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EstaPasta_de_trabalho" defaultThemeVersion="124226"/>
  <mc:AlternateContent xmlns:mc="http://schemas.openxmlformats.org/markup-compatibility/2006">
    <mc:Choice Requires="x15">
      <x15ac:absPath xmlns:x15ac="http://schemas.microsoft.com/office/spreadsheetml/2010/11/ac" url="\\lua\SMECEL-GESTAO\backups\BACKUP ANA PAULA 16-12-2021\ANA PAULA\01-EMEB\EMEB LIBIA DA COSTA RODON\PLANILHA\"/>
    </mc:Choice>
  </mc:AlternateContent>
  <bookViews>
    <workbookView xWindow="-120" yWindow="-120" windowWidth="24240" windowHeight="13140" tabRatio="949" activeTab="8"/>
  </bookViews>
  <sheets>
    <sheet name="SINAPI FEVEREIRO 2022" sheetId="39" r:id="rId1"/>
    <sheet name="QUANT" sheetId="44" r:id="rId2"/>
    <sheet name="1-RESUMO" sheetId="50" r:id="rId3"/>
    <sheet name="2-ORÇAMENTO" sheetId="41" r:id="rId4"/>
    <sheet name="3-CRONOGRAMA" sheetId="33" r:id="rId5"/>
    <sheet name="4-BDI" sheetId="45" r:id="rId6"/>
    <sheet name="5-COMP. PROPRIA" sheetId="43" r:id="rId7"/>
    <sheet name="6-ENCARGOS SOCIAIS" sheetId="56" r:id="rId8"/>
    <sheet name="CPUs" sheetId="54" r:id="rId9"/>
  </sheets>
  <definedNames>
    <definedName name="_xlnm._FilterDatabase" localSheetId="3" hidden="1">'2-ORÇAMENTO'!$C$1:$D$496</definedName>
    <definedName name="_xlnm._FilterDatabase" localSheetId="6" hidden="1">'5-COMP. PROPRIA'!$C$1:$D$647</definedName>
    <definedName name="_xlnm._FilterDatabase" localSheetId="1" hidden="1">QUANT!$C$1:$D$1052</definedName>
    <definedName name="_xlnm.Print_Area" localSheetId="2">'1-RESUMO'!$B$2:$E$69</definedName>
    <definedName name="_xlnm.Print_Area" localSheetId="3">'2-ORÇAMENTO'!$B$2:$K$493</definedName>
    <definedName name="_xlnm.Print_Area" localSheetId="4">'3-CRONOGRAMA'!$B$2:$L$73</definedName>
    <definedName name="_xlnm.Print_Area" localSheetId="5">'4-BDI'!$B$2:$D$49</definedName>
    <definedName name="_xlnm.Print_Area" localSheetId="6">'5-COMP. PROPRIA'!$B$2:$I$654</definedName>
    <definedName name="_xlnm.Print_Area" localSheetId="7">'6-ENCARGOS SOCIAIS'!$B$2:$G$51</definedName>
    <definedName name="_xlnm.Print_Area" localSheetId="1">QUANT!$B$2:$O$1053</definedName>
    <definedName name="_xlnm.Print_Titles" localSheetId="3">'2-ORÇAMENTO'!$8:$8</definedName>
  </definedNames>
  <calcPr calcId="162913"/>
  <fileRecoveryPr autoRecover="0"/>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K57" i="33" l="1"/>
  <c r="K53" i="33"/>
  <c r="I37" i="33"/>
  <c r="G33" i="33"/>
  <c r="H25" i="33"/>
  <c r="H23" i="33"/>
  <c r="G17" i="33"/>
  <c r="F13" i="33"/>
  <c r="G41" i="56" l="1"/>
  <c r="G42" i="56" s="1"/>
  <c r="F41" i="56"/>
  <c r="E41" i="56"/>
  <c r="E42" i="56" s="1"/>
  <c r="D41" i="56"/>
  <c r="D42" i="56" s="1"/>
  <c r="G36" i="56"/>
  <c r="F36" i="56"/>
  <c r="E36" i="56"/>
  <c r="D36" i="56"/>
  <c r="G29" i="56"/>
  <c r="F29" i="56"/>
  <c r="F42" i="56" s="1"/>
  <c r="E29" i="56"/>
  <c r="D29" i="56"/>
  <c r="G17" i="56"/>
  <c r="F17" i="56"/>
  <c r="E17" i="56"/>
  <c r="D17" i="56"/>
  <c r="K63" i="33" l="1"/>
  <c r="H63" i="33"/>
  <c r="G63" i="33"/>
  <c r="C47" i="33"/>
  <c r="G288" i="41"/>
  <c r="G483" i="41"/>
  <c r="G482" i="41"/>
  <c r="G481" i="41"/>
  <c r="G480" i="41"/>
  <c r="G477" i="41"/>
  <c r="G476" i="41"/>
  <c r="G475" i="41"/>
  <c r="G474" i="41"/>
  <c r="G473" i="41"/>
  <c r="G472" i="41"/>
  <c r="G471" i="41"/>
  <c r="G470" i="41"/>
  <c r="G469" i="41"/>
  <c r="G468" i="41"/>
  <c r="G467" i="41"/>
  <c r="G464" i="41"/>
  <c r="G463" i="41"/>
  <c r="G460" i="41"/>
  <c r="G459" i="41"/>
  <c r="G458" i="41"/>
  <c r="G455" i="41"/>
  <c r="G454" i="41"/>
  <c r="G453" i="41"/>
  <c r="G450" i="41"/>
  <c r="G449" i="41"/>
  <c r="G448" i="41"/>
  <c r="G447" i="41"/>
  <c r="G446" i="41"/>
  <c r="G445" i="41"/>
  <c r="G444" i="41"/>
  <c r="G443" i="41"/>
  <c r="G442" i="41"/>
  <c r="G441" i="41"/>
  <c r="G440" i="41"/>
  <c r="G439" i="41"/>
  <c r="G438" i="41"/>
  <c r="G435" i="41"/>
  <c r="G434" i="41"/>
  <c r="G433" i="41"/>
  <c r="G432" i="41"/>
  <c r="G431" i="41"/>
  <c r="G430" i="41"/>
  <c r="G426" i="41"/>
  <c r="G425" i="41"/>
  <c r="G424" i="41"/>
  <c r="G423" i="41"/>
  <c r="G422" i="41"/>
  <c r="G421" i="41"/>
  <c r="G420" i="41"/>
  <c r="G419" i="41"/>
  <c r="G418" i="41"/>
  <c r="G417" i="41"/>
  <c r="G416" i="41"/>
  <c r="G415" i="41"/>
  <c r="G414" i="41"/>
  <c r="G411" i="41"/>
  <c r="G410" i="41"/>
  <c r="G405" i="41"/>
  <c r="G404" i="41"/>
  <c r="G403" i="41"/>
  <c r="G400" i="41"/>
  <c r="G399" i="41"/>
  <c r="G398" i="41"/>
  <c r="G397" i="41"/>
  <c r="G396" i="41"/>
  <c r="G395" i="41"/>
  <c r="G392" i="41"/>
  <c r="G391" i="41"/>
  <c r="G390" i="41"/>
  <c r="G387" i="41"/>
  <c r="G386" i="41"/>
  <c r="G385" i="41"/>
  <c r="G384" i="41"/>
  <c r="G383" i="41"/>
  <c r="G382" i="41"/>
  <c r="G381" i="41"/>
  <c r="G380" i="41"/>
  <c r="G379" i="41"/>
  <c r="G378" i="41"/>
  <c r="G377" i="41"/>
  <c r="G376" i="41"/>
  <c r="G375" i="41"/>
  <c r="G374" i="41"/>
  <c r="G371" i="41"/>
  <c r="G370" i="41"/>
  <c r="G369" i="41"/>
  <c r="G368" i="41"/>
  <c r="G367" i="41"/>
  <c r="G366" i="41"/>
  <c r="G363" i="41"/>
  <c r="G362" i="41"/>
  <c r="G361" i="41"/>
  <c r="G360" i="41"/>
  <c r="G359" i="41"/>
  <c r="G358" i="41"/>
  <c r="G357" i="41"/>
  <c r="G356" i="41"/>
  <c r="G355" i="41"/>
  <c r="G354" i="41"/>
  <c r="G353" i="41"/>
  <c r="G352" i="41"/>
  <c r="G351" i="41"/>
  <c r="G350" i="41"/>
  <c r="G349" i="41"/>
  <c r="G348" i="41"/>
  <c r="G347" i="41"/>
  <c r="G344" i="41"/>
  <c r="G343" i="41"/>
  <c r="G342" i="41"/>
  <c r="G341" i="41"/>
  <c r="G340" i="41"/>
  <c r="G339" i="41"/>
  <c r="G338" i="41"/>
  <c r="G337" i="41"/>
  <c r="G336" i="41"/>
  <c r="G332" i="41"/>
  <c r="G331" i="41"/>
  <c r="G330" i="41"/>
  <c r="G329" i="41"/>
  <c r="G328" i="41"/>
  <c r="G327" i="41"/>
  <c r="G323" i="41"/>
  <c r="G322" i="41"/>
  <c r="G321" i="41" l="1"/>
  <c r="G320" i="41"/>
  <c r="G319" i="41"/>
  <c r="G318" i="41"/>
  <c r="G317" i="41"/>
  <c r="G316" i="41"/>
  <c r="G315" i="41"/>
  <c r="G314" i="41"/>
  <c r="G313" i="41"/>
  <c r="G312" i="41"/>
  <c r="G311" i="41"/>
  <c r="G310" i="41"/>
  <c r="G309" i="41"/>
  <c r="G308" i="41"/>
  <c r="G307" i="41"/>
  <c r="G306" i="41"/>
  <c r="G303" i="41"/>
  <c r="G302" i="41"/>
  <c r="G301" i="41"/>
  <c r="G300" i="41"/>
  <c r="G299" i="41"/>
  <c r="G298" i="41"/>
  <c r="G297" i="41"/>
  <c r="G296" i="41"/>
  <c r="G295" i="41"/>
  <c r="G294" i="41"/>
  <c r="G293" i="41"/>
  <c r="G292" i="41"/>
  <c r="G291" i="41"/>
  <c r="G290" i="41"/>
  <c r="G289" i="41"/>
  <c r="G287" i="41"/>
  <c r="G286" i="41"/>
  <c r="G285" i="41"/>
  <c r="G284" i="41"/>
  <c r="G283" i="41"/>
  <c r="G282" i="41"/>
  <c r="G281" i="41"/>
  <c r="G280" i="41"/>
  <c r="G279" i="41"/>
  <c r="G278" i="41"/>
  <c r="G277" i="41"/>
  <c r="G276" i="41"/>
  <c r="G275" i="41"/>
  <c r="G274" i="41"/>
  <c r="G273" i="41"/>
  <c r="G272" i="41"/>
  <c r="G271" i="41"/>
  <c r="G270" i="41"/>
  <c r="G269" i="41"/>
  <c r="G268" i="41"/>
  <c r="G267" i="41"/>
  <c r="G266" i="41"/>
  <c r="G265" i="41"/>
  <c r="G264" i="41"/>
  <c r="G263" i="41"/>
  <c r="G262" i="41"/>
  <c r="G261" i="41"/>
  <c r="G260" i="41"/>
  <c r="G259" i="41"/>
  <c r="G258" i="41"/>
  <c r="G257" i="41"/>
  <c r="G256" i="41"/>
  <c r="G255" i="41"/>
  <c r="G252" i="41"/>
  <c r="G251" i="41"/>
  <c r="G250" i="41"/>
  <c r="G249" i="41"/>
  <c r="G248" i="41"/>
  <c r="G247" i="41"/>
  <c r="G246" i="41"/>
  <c r="G243" i="41"/>
  <c r="G242" i="41"/>
  <c r="G241" i="41"/>
  <c r="G240" i="41"/>
  <c r="G239" i="41"/>
  <c r="G238" i="41"/>
  <c r="G237" i="41"/>
  <c r="G236" i="41"/>
  <c r="G235" i="41"/>
  <c r="G234" i="41"/>
  <c r="G233" i="41"/>
  <c r="G232" i="41"/>
  <c r="G231" i="41"/>
  <c r="G230" i="41"/>
  <c r="G229" i="41"/>
  <c r="G228" i="41"/>
  <c r="G227" i="41"/>
  <c r="G226" i="41"/>
  <c r="G225" i="41"/>
  <c r="G224" i="41"/>
  <c r="G223" i="41"/>
  <c r="G222" i="41"/>
  <c r="G221" i="41"/>
  <c r="G220" i="41"/>
  <c r="G219" i="41"/>
  <c r="G218" i="41"/>
  <c r="G217" i="41"/>
  <c r="G216" i="41"/>
  <c r="G215" i="41"/>
  <c r="G210" i="41"/>
  <c r="G209" i="41"/>
  <c r="G208" i="41"/>
  <c r="G207" i="41"/>
  <c r="G206" i="41"/>
  <c r="G205" i="41"/>
  <c r="G204" i="41"/>
  <c r="G203" i="41"/>
  <c r="G200" i="41"/>
  <c r="G199" i="41"/>
  <c r="G198" i="41"/>
  <c r="G197" i="41"/>
  <c r="G196" i="41"/>
  <c r="G195" i="41"/>
  <c r="G192" i="41"/>
  <c r="G191" i="41"/>
  <c r="G190" i="41"/>
  <c r="G189" i="41"/>
  <c r="G188" i="41"/>
  <c r="G184" i="41"/>
  <c r="G181" i="41"/>
  <c r="G180" i="41"/>
  <c r="G179" i="41"/>
  <c r="G178" i="41"/>
  <c r="G175" i="41"/>
  <c r="G174" i="41"/>
  <c r="G173" i="41"/>
  <c r="G172" i="41"/>
  <c r="G171" i="41"/>
  <c r="G170" i="41"/>
  <c r="G169" i="41"/>
  <c r="G168" i="41"/>
  <c r="G165" i="41"/>
  <c r="G164" i="41"/>
  <c r="G163" i="41"/>
  <c r="G162" i="41"/>
  <c r="G161" i="41"/>
  <c r="G160" i="41"/>
  <c r="G159" i="41"/>
  <c r="G158" i="41"/>
  <c r="G157" i="41"/>
  <c r="G154" i="41"/>
  <c r="G153" i="41"/>
  <c r="G152" i="41"/>
  <c r="G148" i="41"/>
  <c r="G147" i="41"/>
  <c r="G144" i="41"/>
  <c r="G143" i="41"/>
  <c r="G142" i="41"/>
  <c r="G141" i="41"/>
  <c r="G140" i="41"/>
  <c r="G137" i="41"/>
  <c r="G136" i="41"/>
  <c r="G135" i="41"/>
  <c r="G134" i="41"/>
  <c r="G133" i="41"/>
  <c r="G132" i="41"/>
  <c r="G127" i="41"/>
  <c r="G126" i="41"/>
  <c r="G125" i="41"/>
  <c r="G124" i="41"/>
  <c r="G121" i="41"/>
  <c r="G120" i="41"/>
  <c r="G115" i="41"/>
  <c r="G114" i="41"/>
  <c r="G113" i="41"/>
  <c r="G112" i="41"/>
  <c r="G109" i="41"/>
  <c r="G104" i="41"/>
  <c r="G103" i="41"/>
  <c r="G102" i="41"/>
  <c r="G101" i="41"/>
  <c r="G100" i="41"/>
  <c r="G99" i="41"/>
  <c r="G98" i="41"/>
  <c r="G97" i="41"/>
  <c r="G94" i="41"/>
  <c r="G93" i="41"/>
  <c r="G92" i="41"/>
  <c r="G91" i="41"/>
  <c r="G90" i="41"/>
  <c r="G85" i="41"/>
  <c r="G84" i="41"/>
  <c r="G83" i="41"/>
  <c r="G82" i="41"/>
  <c r="G81" i="41"/>
  <c r="G80" i="41"/>
  <c r="G79" i="41"/>
  <c r="G78" i="41"/>
  <c r="G77" i="41"/>
  <c r="G76" i="41"/>
  <c r="G75" i="41"/>
  <c r="G74" i="41"/>
  <c r="G71" i="41"/>
  <c r="G70" i="41"/>
  <c r="G69" i="41"/>
  <c r="G68" i="41"/>
  <c r="G67" i="41"/>
  <c r="G66" i="41"/>
  <c r="G65" i="41"/>
  <c r="G64" i="41"/>
  <c r="G63" i="41"/>
  <c r="G62" i="41"/>
  <c r="G61" i="41"/>
  <c r="G60" i="41"/>
  <c r="G59" i="41"/>
  <c r="G55" i="41"/>
  <c r="G52" i="41"/>
  <c r="G51" i="41"/>
  <c r="G50" i="41"/>
  <c r="G49" i="41"/>
  <c r="G48" i="41"/>
  <c r="G47" i="41"/>
  <c r="G46" i="41"/>
  <c r="G45" i="41"/>
  <c r="G44" i="41"/>
  <c r="G43" i="41"/>
  <c r="G42" i="41"/>
  <c r="G41" i="41"/>
  <c r="G40" i="41"/>
  <c r="G39" i="41"/>
  <c r="G38" i="41"/>
  <c r="G37" i="41"/>
  <c r="G36" i="41"/>
  <c r="G35" i="41"/>
  <c r="G34" i="41"/>
  <c r="G33" i="41"/>
  <c r="G32" i="41"/>
  <c r="G31" i="41"/>
  <c r="G30" i="41"/>
  <c r="G29" i="41"/>
  <c r="G28" i="41"/>
  <c r="G27" i="41"/>
  <c r="G26" i="41"/>
  <c r="G25" i="41"/>
  <c r="G24" i="41"/>
  <c r="G23" i="41"/>
  <c r="G22" i="41"/>
  <c r="G21" i="41"/>
  <c r="G18" i="41"/>
  <c r="G17" i="41"/>
  <c r="G16" i="41"/>
  <c r="G13" i="41"/>
  <c r="G12" i="41"/>
  <c r="G11" i="41"/>
  <c r="G10" i="41"/>
  <c r="C47" i="50"/>
  <c r="C439" i="41"/>
  <c r="H439" i="41" s="1"/>
  <c r="D439" i="41"/>
  <c r="E439" i="41"/>
  <c r="F439" i="41"/>
  <c r="C440" i="41"/>
  <c r="D440" i="41"/>
  <c r="C441" i="41"/>
  <c r="H441" i="41" s="1"/>
  <c r="D441" i="41"/>
  <c r="F441" i="41"/>
  <c r="C442" i="41"/>
  <c r="H442" i="41" s="1"/>
  <c r="I442" i="41" s="1"/>
  <c r="D442" i="41"/>
  <c r="C443" i="41"/>
  <c r="D443" i="41"/>
  <c r="C444" i="41"/>
  <c r="D444" i="41"/>
  <c r="C445" i="41"/>
  <c r="H445" i="41" s="1"/>
  <c r="D445" i="41"/>
  <c r="C446" i="41"/>
  <c r="D446" i="41"/>
  <c r="C447" i="41"/>
  <c r="H447" i="41" s="1"/>
  <c r="D447" i="41"/>
  <c r="E447" i="41"/>
  <c r="F447" i="41"/>
  <c r="C448" i="41"/>
  <c r="H448" i="41" s="1"/>
  <c r="I448" i="41" s="1"/>
  <c r="K448" i="41" s="1"/>
  <c r="D448" i="41"/>
  <c r="C449" i="41"/>
  <c r="D449" i="41"/>
  <c r="C450" i="41"/>
  <c r="D450" i="41"/>
  <c r="E441" i="41" l="1"/>
  <c r="F445" i="41"/>
  <c r="E445" i="41"/>
  <c r="K442" i="41"/>
  <c r="J442" i="41"/>
  <c r="J448" i="41"/>
  <c r="I447" i="41"/>
  <c r="K447" i="41" s="1"/>
  <c r="J447" i="41"/>
  <c r="I441" i="41"/>
  <c r="K441" i="41" s="1"/>
  <c r="J441" i="41"/>
  <c r="I445" i="41"/>
  <c r="K445" i="41" s="1"/>
  <c r="J445" i="41"/>
  <c r="I439" i="41"/>
  <c r="K439" i="41" s="1"/>
  <c r="J439" i="41"/>
  <c r="F448" i="41"/>
  <c r="F442" i="41"/>
  <c r="E448" i="41"/>
  <c r="E442" i="41"/>
  <c r="C431" i="41"/>
  <c r="F431" i="41" s="1"/>
  <c r="D431" i="41"/>
  <c r="C432" i="41"/>
  <c r="F432" i="41" s="1"/>
  <c r="D432" i="41"/>
  <c r="C433" i="41"/>
  <c r="E433" i="41" s="1"/>
  <c r="D433" i="41"/>
  <c r="C434" i="41"/>
  <c r="F434" i="41" s="1"/>
  <c r="D434" i="41"/>
  <c r="C435" i="41"/>
  <c r="D435" i="41"/>
  <c r="D415" i="41"/>
  <c r="D416" i="41"/>
  <c r="D417" i="41"/>
  <c r="D418" i="41"/>
  <c r="D419" i="41"/>
  <c r="D420" i="41"/>
  <c r="C421" i="41"/>
  <c r="E421" i="41" s="1"/>
  <c r="D421" i="41"/>
  <c r="C422" i="41"/>
  <c r="H422" i="41" s="1"/>
  <c r="I422" i="41" s="1"/>
  <c r="D422" i="41"/>
  <c r="C423" i="41"/>
  <c r="E423" i="41" s="1"/>
  <c r="D423" i="41"/>
  <c r="C424" i="41"/>
  <c r="H424" i="41" s="1"/>
  <c r="I424" i="41" s="1"/>
  <c r="D424" i="41"/>
  <c r="C425" i="41"/>
  <c r="E425" i="41" s="1"/>
  <c r="D425" i="41"/>
  <c r="C426" i="41"/>
  <c r="E426" i="41" s="1"/>
  <c r="D426" i="41"/>
  <c r="D414" i="41"/>
  <c r="C414" i="41"/>
  <c r="H414" i="41" s="1"/>
  <c r="I414" i="41" s="1"/>
  <c r="E413" i="41"/>
  <c r="D411" i="41"/>
  <c r="D410" i="41"/>
  <c r="C410" i="41"/>
  <c r="E410" i="41" s="1"/>
  <c r="E409" i="41"/>
  <c r="E408" i="41"/>
  <c r="C375" i="41"/>
  <c r="F375" i="41" s="1"/>
  <c r="D375" i="41"/>
  <c r="C376" i="41"/>
  <c r="E376" i="41" s="1"/>
  <c r="D376" i="41"/>
  <c r="C377" i="41"/>
  <c r="F377" i="41" s="1"/>
  <c r="D377" i="41"/>
  <c r="C378" i="41"/>
  <c r="H378" i="41" s="1"/>
  <c r="I378" i="41" s="1"/>
  <c r="D378" i="41"/>
  <c r="C379" i="41"/>
  <c r="F379" i="41" s="1"/>
  <c r="D379" i="41"/>
  <c r="C380" i="41"/>
  <c r="F380" i="41" s="1"/>
  <c r="D380" i="41"/>
  <c r="C381" i="41"/>
  <c r="D381" i="41"/>
  <c r="C382" i="41"/>
  <c r="D382" i="41"/>
  <c r="C383" i="41"/>
  <c r="D383" i="41"/>
  <c r="D384" i="41"/>
  <c r="D385" i="41"/>
  <c r="C386" i="41"/>
  <c r="E386" i="41" s="1"/>
  <c r="D386" i="41"/>
  <c r="D387" i="41"/>
  <c r="C348" i="41"/>
  <c r="F348" i="41" s="1"/>
  <c r="D348" i="41"/>
  <c r="C349" i="41"/>
  <c r="F349" i="41" s="1"/>
  <c r="D349" i="41"/>
  <c r="C350" i="41"/>
  <c r="F350" i="41" s="1"/>
  <c r="D350" i="41"/>
  <c r="C351" i="41"/>
  <c r="H351" i="41" s="1"/>
  <c r="I351" i="41" s="1"/>
  <c r="D351" i="41"/>
  <c r="C352" i="41"/>
  <c r="F352" i="41" s="1"/>
  <c r="D352" i="41"/>
  <c r="C353" i="41"/>
  <c r="E353" i="41" s="1"/>
  <c r="D353" i="41"/>
  <c r="C354" i="41"/>
  <c r="F354" i="41" s="1"/>
  <c r="D354" i="41"/>
  <c r="C355" i="41"/>
  <c r="E355" i="41" s="1"/>
  <c r="D355" i="41"/>
  <c r="C356" i="41"/>
  <c r="F356" i="41" s="1"/>
  <c r="D356" i="41"/>
  <c r="C357" i="41"/>
  <c r="F357" i="41" s="1"/>
  <c r="D357" i="41"/>
  <c r="C358" i="41"/>
  <c r="F358" i="41" s="1"/>
  <c r="D358" i="41"/>
  <c r="C359" i="41"/>
  <c r="F359" i="41" s="1"/>
  <c r="D359" i="41"/>
  <c r="C360" i="41"/>
  <c r="D360" i="41"/>
  <c r="C361" i="41"/>
  <c r="D361" i="41"/>
  <c r="C362" i="41"/>
  <c r="E362" i="41" s="1"/>
  <c r="D362" i="41"/>
  <c r="D363" i="41"/>
  <c r="C337" i="41"/>
  <c r="E337" i="41" s="1"/>
  <c r="D337" i="41"/>
  <c r="C338" i="41"/>
  <c r="H338" i="41" s="1"/>
  <c r="I338" i="41" s="1"/>
  <c r="D338" i="41"/>
  <c r="C339" i="41"/>
  <c r="E339" i="41" s="1"/>
  <c r="D339" i="41"/>
  <c r="C340" i="41"/>
  <c r="H340" i="41" s="1"/>
  <c r="I340" i="41" s="1"/>
  <c r="D340" i="41"/>
  <c r="C341" i="41"/>
  <c r="E341" i="41" s="1"/>
  <c r="D341" i="41"/>
  <c r="C342" i="41"/>
  <c r="H342" i="41" s="1"/>
  <c r="I342" i="41" s="1"/>
  <c r="D342" i="41"/>
  <c r="C343" i="41"/>
  <c r="H343" i="41" s="1"/>
  <c r="D343" i="41"/>
  <c r="C344" i="41"/>
  <c r="H344" i="41" s="1"/>
  <c r="I344" i="41" s="1"/>
  <c r="D344" i="41"/>
  <c r="C954" i="44"/>
  <c r="E954" i="44" s="1"/>
  <c r="C953" i="44"/>
  <c r="E953" i="44" s="1"/>
  <c r="C952" i="44"/>
  <c r="E952" i="44" s="1"/>
  <c r="C951" i="44"/>
  <c r="E951" i="44" s="1"/>
  <c r="C950" i="44"/>
  <c r="E950" i="44" s="1"/>
  <c r="C949" i="44"/>
  <c r="E949" i="44" s="1"/>
  <c r="I464" i="43"/>
  <c r="H463" i="43"/>
  <c r="I463" i="43" s="1"/>
  <c r="F463" i="43"/>
  <c r="E463" i="43"/>
  <c r="H462" i="43"/>
  <c r="I462" i="43" s="1"/>
  <c r="F462" i="43"/>
  <c r="E462" i="43"/>
  <c r="I459" i="43"/>
  <c r="H458" i="43"/>
  <c r="I458" i="43" s="1"/>
  <c r="F458" i="43"/>
  <c r="E458" i="43"/>
  <c r="H457" i="43"/>
  <c r="I457" i="43" s="1"/>
  <c r="F457" i="43"/>
  <c r="E457" i="43"/>
  <c r="I454" i="43"/>
  <c r="H453" i="43"/>
  <c r="I453" i="43" s="1"/>
  <c r="F453" i="43"/>
  <c r="E453" i="43"/>
  <c r="H452" i="43"/>
  <c r="I452" i="43" s="1"/>
  <c r="F452" i="43"/>
  <c r="E452" i="43"/>
  <c r="I449" i="43"/>
  <c r="H448" i="43"/>
  <c r="I448" i="43" s="1"/>
  <c r="F448" i="43"/>
  <c r="E448" i="43"/>
  <c r="H447" i="43"/>
  <c r="I447" i="43" s="1"/>
  <c r="F447" i="43"/>
  <c r="E447" i="43"/>
  <c r="I444" i="43"/>
  <c r="H443" i="43"/>
  <c r="I443" i="43" s="1"/>
  <c r="F443" i="43"/>
  <c r="E443" i="43"/>
  <c r="H442" i="43"/>
  <c r="I442" i="43" s="1"/>
  <c r="F442" i="43"/>
  <c r="E442" i="43"/>
  <c r="E438" i="43"/>
  <c r="F438" i="43"/>
  <c r="H438" i="43"/>
  <c r="I438" i="43" s="1"/>
  <c r="I439" i="43"/>
  <c r="E437" i="43"/>
  <c r="H437" i="43"/>
  <c r="I437" i="43" s="1"/>
  <c r="F437" i="43"/>
  <c r="E955" i="44"/>
  <c r="E956" i="44"/>
  <c r="E957" i="44"/>
  <c r="E958" i="44"/>
  <c r="E959" i="44"/>
  <c r="E960" i="44"/>
  <c r="E948" i="44"/>
  <c r="C944" i="44"/>
  <c r="E944" i="44" s="1"/>
  <c r="L942" i="44"/>
  <c r="E942" i="44"/>
  <c r="L967" i="44"/>
  <c r="E967" i="44"/>
  <c r="C915" i="44"/>
  <c r="C387" i="41" s="1"/>
  <c r="I429" i="43"/>
  <c r="H428" i="43"/>
  <c r="I428" i="43" s="1"/>
  <c r="F428" i="43"/>
  <c r="E428" i="43"/>
  <c r="H427" i="43"/>
  <c r="I427" i="43" s="1"/>
  <c r="F427" i="43"/>
  <c r="E427" i="43"/>
  <c r="L914" i="44"/>
  <c r="C881" i="44"/>
  <c r="C363" i="41" s="1"/>
  <c r="E432" i="41" l="1"/>
  <c r="K422" i="41"/>
  <c r="H432" i="41"/>
  <c r="I432" i="41" s="1"/>
  <c r="K432" i="41" s="1"/>
  <c r="H434" i="41"/>
  <c r="I434" i="41" s="1"/>
  <c r="K434" i="41" s="1"/>
  <c r="E434" i="41"/>
  <c r="E431" i="41"/>
  <c r="H433" i="41"/>
  <c r="H431" i="41"/>
  <c r="F433" i="41"/>
  <c r="H425" i="41"/>
  <c r="I425" i="41" s="1"/>
  <c r="K425" i="41" s="1"/>
  <c r="C420" i="41"/>
  <c r="F424" i="41"/>
  <c r="C416" i="41"/>
  <c r="E424" i="41"/>
  <c r="J424" i="41"/>
  <c r="C418" i="41"/>
  <c r="C411" i="41"/>
  <c r="F422" i="41"/>
  <c r="C419" i="41"/>
  <c r="C417" i="41"/>
  <c r="C415" i="41"/>
  <c r="F414" i="41"/>
  <c r="H423" i="41"/>
  <c r="I423" i="41" s="1"/>
  <c r="K423" i="41" s="1"/>
  <c r="E422" i="41"/>
  <c r="F426" i="41"/>
  <c r="H421" i="41"/>
  <c r="I421" i="41" s="1"/>
  <c r="K421" i="41" s="1"/>
  <c r="H426" i="41"/>
  <c r="I426" i="41" s="1"/>
  <c r="K426" i="41" s="1"/>
  <c r="J422" i="41"/>
  <c r="K424" i="41"/>
  <c r="F425" i="41"/>
  <c r="F423" i="41"/>
  <c r="F421" i="41"/>
  <c r="J425" i="41"/>
  <c r="E379" i="41"/>
  <c r="E378" i="41"/>
  <c r="E414" i="41"/>
  <c r="K414" i="41"/>
  <c r="J414" i="41"/>
  <c r="F410" i="41"/>
  <c r="H410" i="41"/>
  <c r="K378" i="41"/>
  <c r="H380" i="41"/>
  <c r="I380" i="41" s="1"/>
  <c r="K380" i="41" s="1"/>
  <c r="E375" i="41"/>
  <c r="E380" i="41"/>
  <c r="F378" i="41"/>
  <c r="H386" i="41"/>
  <c r="I386" i="41" s="1"/>
  <c r="K386" i="41" s="1"/>
  <c r="H376" i="41"/>
  <c r="I376" i="41" s="1"/>
  <c r="K376" i="41" s="1"/>
  <c r="F386" i="41"/>
  <c r="F376" i="41"/>
  <c r="E349" i="41"/>
  <c r="J378" i="41"/>
  <c r="E377" i="41"/>
  <c r="H379" i="41"/>
  <c r="H377" i="41"/>
  <c r="H375" i="41"/>
  <c r="K351" i="41"/>
  <c r="H349" i="41"/>
  <c r="I349" i="41" s="1"/>
  <c r="K349" i="41" s="1"/>
  <c r="H359" i="41"/>
  <c r="I359" i="41" s="1"/>
  <c r="K359" i="41" s="1"/>
  <c r="E350" i="41"/>
  <c r="E359" i="41"/>
  <c r="F351" i="41"/>
  <c r="F342" i="41"/>
  <c r="H357" i="41"/>
  <c r="I357" i="41" s="1"/>
  <c r="K357" i="41" s="1"/>
  <c r="E348" i="41"/>
  <c r="H358" i="41"/>
  <c r="I358" i="41" s="1"/>
  <c r="K358" i="41" s="1"/>
  <c r="E357" i="41"/>
  <c r="H353" i="41"/>
  <c r="I353" i="41" s="1"/>
  <c r="K353" i="41" s="1"/>
  <c r="H362" i="41"/>
  <c r="I362" i="41" s="1"/>
  <c r="K362" i="41" s="1"/>
  <c r="E358" i="41"/>
  <c r="H355" i="41"/>
  <c r="I355" i="41" s="1"/>
  <c r="K355" i="41" s="1"/>
  <c r="H354" i="41"/>
  <c r="I354" i="41" s="1"/>
  <c r="K354" i="41" s="1"/>
  <c r="E352" i="41"/>
  <c r="E351" i="41"/>
  <c r="H356" i="41"/>
  <c r="I356" i="41" s="1"/>
  <c r="K356" i="41" s="1"/>
  <c r="F353" i="41"/>
  <c r="F355" i="41"/>
  <c r="E354" i="41"/>
  <c r="E356" i="41"/>
  <c r="J351" i="41"/>
  <c r="H352" i="41"/>
  <c r="H350" i="41"/>
  <c r="H348" i="41"/>
  <c r="F362" i="41"/>
  <c r="K344" i="41"/>
  <c r="E342" i="41"/>
  <c r="K338" i="41"/>
  <c r="E344" i="41"/>
  <c r="J342" i="41"/>
  <c r="F338" i="41"/>
  <c r="K340" i="41"/>
  <c r="E338" i="41"/>
  <c r="F344" i="41"/>
  <c r="F340" i="41"/>
  <c r="K342" i="41"/>
  <c r="E340" i="41"/>
  <c r="J340" i="41"/>
  <c r="J344" i="41"/>
  <c r="J338" i="41"/>
  <c r="I343" i="41"/>
  <c r="K343" i="41" s="1"/>
  <c r="J343" i="41"/>
  <c r="H341" i="41"/>
  <c r="H339" i="41"/>
  <c r="H337" i="41"/>
  <c r="F343" i="41"/>
  <c r="F341" i="41"/>
  <c r="F339" i="41"/>
  <c r="F337" i="41"/>
  <c r="E343" i="41"/>
  <c r="I461" i="43"/>
  <c r="I456" i="43"/>
  <c r="I451" i="43"/>
  <c r="I436" i="43"/>
  <c r="I446" i="43"/>
  <c r="I441" i="43"/>
  <c r="L948" i="44"/>
  <c r="I426" i="43"/>
  <c r="E915" i="44"/>
  <c r="E914" i="44"/>
  <c r="J432" i="41" l="1"/>
  <c r="J434" i="41"/>
  <c r="I431" i="41"/>
  <c r="K431" i="41" s="1"/>
  <c r="J431" i="41"/>
  <c r="I433" i="41"/>
  <c r="K433" i="41" s="1"/>
  <c r="J433" i="41"/>
  <c r="J423" i="41"/>
  <c r="J421" i="41"/>
  <c r="J426" i="41"/>
  <c r="J410" i="41"/>
  <c r="I410" i="41"/>
  <c r="K410" i="41" s="1"/>
  <c r="J380" i="41"/>
  <c r="J386" i="41"/>
  <c r="J376" i="41"/>
  <c r="I375" i="41"/>
  <c r="K375" i="41" s="1"/>
  <c r="J375" i="41"/>
  <c r="I377" i="41"/>
  <c r="K377" i="41" s="1"/>
  <c r="J377" i="41"/>
  <c r="I379" i="41"/>
  <c r="K379" i="41" s="1"/>
  <c r="J379" i="41"/>
  <c r="J359" i="41"/>
  <c r="J358" i="41"/>
  <c r="J349" i="41"/>
  <c r="J354" i="41"/>
  <c r="J353" i="41"/>
  <c r="J356" i="41"/>
  <c r="J357" i="41"/>
  <c r="J362" i="41"/>
  <c r="J355" i="41"/>
  <c r="I348" i="41"/>
  <c r="K348" i="41" s="1"/>
  <c r="J348" i="41"/>
  <c r="I350" i="41"/>
  <c r="K350" i="41" s="1"/>
  <c r="J350" i="41"/>
  <c r="I352" i="41"/>
  <c r="K352" i="41" s="1"/>
  <c r="J352" i="41"/>
  <c r="I337" i="41"/>
  <c r="K337" i="41" s="1"/>
  <c r="J337" i="41"/>
  <c r="J339" i="41"/>
  <c r="I339" i="41"/>
  <c r="K339" i="41" s="1"/>
  <c r="I341" i="41"/>
  <c r="K341" i="41" s="1"/>
  <c r="J341" i="41"/>
  <c r="H432" i="43" l="1"/>
  <c r="I432" i="43" s="1"/>
  <c r="I431" i="43" s="1"/>
  <c r="F432" i="43"/>
  <c r="E432" i="43"/>
  <c r="E881" i="44"/>
  <c r="L880" i="44"/>
  <c r="E880" i="44"/>
  <c r="L861" i="44"/>
  <c r="E861" i="44"/>
  <c r="L860" i="44"/>
  <c r="E860" i="44"/>
  <c r="L859" i="44"/>
  <c r="E859" i="44"/>
  <c r="H392" i="43" l="1"/>
  <c r="H393" i="43"/>
  <c r="H391" i="43"/>
  <c r="F418" i="43"/>
  <c r="F417" i="43"/>
  <c r="F510" i="43"/>
  <c r="F509" i="43"/>
  <c r="F508" i="43"/>
  <c r="F502" i="43"/>
  <c r="F503" i="43"/>
  <c r="F504" i="43"/>
  <c r="F505" i="43"/>
  <c r="F501" i="43"/>
  <c r="F498" i="43"/>
  <c r="F496" i="43"/>
  <c r="F495" i="43"/>
  <c r="F492" i="43"/>
  <c r="F491" i="43"/>
  <c r="F490" i="43"/>
  <c r="F487" i="43"/>
  <c r="F485" i="43"/>
  <c r="F484" i="43"/>
  <c r="F480" i="43"/>
  <c r="F479" i="43"/>
  <c r="F475" i="43"/>
  <c r="F474" i="43"/>
  <c r="F470" i="43"/>
  <c r="F469" i="43"/>
  <c r="F423" i="43"/>
  <c r="F424" i="43"/>
  <c r="F422" i="43"/>
  <c r="D175" i="41"/>
  <c r="C175" i="41"/>
  <c r="F175" i="41" s="1"/>
  <c r="L41" i="33"/>
  <c r="L33" i="33"/>
  <c r="L31" i="33"/>
  <c r="L29" i="33"/>
  <c r="L27" i="33"/>
  <c r="L25" i="33"/>
  <c r="L23" i="33"/>
  <c r="L21" i="33"/>
  <c r="L19" i="33"/>
  <c r="L17" i="33"/>
  <c r="L15" i="33"/>
  <c r="L11" i="33"/>
  <c r="D18" i="41"/>
  <c r="C32" i="44"/>
  <c r="C18" i="41" s="1"/>
  <c r="E25" i="43"/>
  <c r="F25" i="43"/>
  <c r="H25" i="43"/>
  <c r="I25" i="43" s="1"/>
  <c r="E26" i="43"/>
  <c r="F26" i="43"/>
  <c r="H26" i="43"/>
  <c r="I26" i="43" s="1"/>
  <c r="E27" i="43"/>
  <c r="F27" i="43"/>
  <c r="H27" i="43"/>
  <c r="I27" i="43" s="1"/>
  <c r="E28" i="43"/>
  <c r="F28" i="43"/>
  <c r="H28" i="43"/>
  <c r="I28" i="43" s="1"/>
  <c r="E29" i="43"/>
  <c r="F29" i="43"/>
  <c r="H29" i="43"/>
  <c r="I29" i="43" s="1"/>
  <c r="E30" i="43"/>
  <c r="F30" i="43"/>
  <c r="H30" i="43"/>
  <c r="I30" i="43" s="1"/>
  <c r="E31" i="43"/>
  <c r="F31" i="43"/>
  <c r="H31" i="43"/>
  <c r="I31" i="43" s="1"/>
  <c r="H24" i="43"/>
  <c r="I24" i="43" s="1"/>
  <c r="F24" i="43"/>
  <c r="E24" i="43"/>
  <c r="H23" i="43"/>
  <c r="I23" i="43" s="1"/>
  <c r="F23" i="43"/>
  <c r="E23" i="43"/>
  <c r="H22" i="43"/>
  <c r="I22" i="43" s="1"/>
  <c r="F22" i="43"/>
  <c r="E22" i="43"/>
  <c r="H175" i="41" l="1"/>
  <c r="I175" i="41" s="1"/>
  <c r="I21" i="43"/>
  <c r="E175" i="41"/>
  <c r="C985" i="44"/>
  <c r="C984" i="44"/>
  <c r="H523" i="43"/>
  <c r="H524" i="43"/>
  <c r="H525" i="43"/>
  <c r="H526" i="43"/>
  <c r="H527" i="43"/>
  <c r="H528" i="43"/>
  <c r="H522" i="43"/>
  <c r="H516" i="43"/>
  <c r="H515" i="43"/>
  <c r="H509" i="43"/>
  <c r="I509" i="43" s="1"/>
  <c r="H510" i="43"/>
  <c r="I510" i="43" s="1"/>
  <c r="H508" i="43"/>
  <c r="I508" i="43" s="1"/>
  <c r="H502" i="43"/>
  <c r="H503" i="43"/>
  <c r="H504" i="43"/>
  <c r="H505" i="43"/>
  <c r="I505" i="43" s="1"/>
  <c r="H501" i="43"/>
  <c r="H498" i="43"/>
  <c r="H496" i="43"/>
  <c r="H495" i="43"/>
  <c r="H491" i="43"/>
  <c r="H492" i="43"/>
  <c r="H490" i="43"/>
  <c r="H487" i="43"/>
  <c r="H485" i="43"/>
  <c r="H484" i="43"/>
  <c r="H480" i="43"/>
  <c r="H479" i="43"/>
  <c r="H475" i="43"/>
  <c r="H474" i="43"/>
  <c r="H470" i="43"/>
  <c r="H469" i="43"/>
  <c r="H424" i="43"/>
  <c r="E510" i="43"/>
  <c r="E509" i="43"/>
  <c r="E508" i="43"/>
  <c r="E505" i="43"/>
  <c r="E985" i="44" l="1"/>
  <c r="I507" i="43"/>
  <c r="E503" i="43"/>
  <c r="I503" i="43"/>
  <c r="I504" i="43"/>
  <c r="E504" i="43"/>
  <c r="I502" i="43"/>
  <c r="E502" i="43"/>
  <c r="I501" i="43"/>
  <c r="E501" i="43"/>
  <c r="I500" i="43" l="1"/>
  <c r="K416" i="44"/>
  <c r="K415" i="44"/>
  <c r="D33" i="41"/>
  <c r="C33" i="41"/>
  <c r="E33" i="41" s="1"/>
  <c r="H33" i="41" l="1"/>
  <c r="I33" i="41" s="1"/>
  <c r="F33" i="41"/>
  <c r="E20" i="41" l="1"/>
  <c r="C15" i="33" s="1"/>
  <c r="D84" i="41"/>
  <c r="D83" i="41"/>
  <c r="D82" i="41"/>
  <c r="D81" i="41"/>
  <c r="D80" i="41"/>
  <c r="D229" i="41"/>
  <c r="D103" i="41"/>
  <c r="C68" i="50" l="1"/>
  <c r="C67" i="50"/>
  <c r="C71" i="33"/>
  <c r="C70" i="33"/>
  <c r="D50" i="56"/>
  <c r="D49" i="56"/>
  <c r="D477" i="41"/>
  <c r="D476" i="41"/>
  <c r="D475" i="41"/>
  <c r="D474" i="41"/>
  <c r="C474" i="41"/>
  <c r="H474" i="41" s="1"/>
  <c r="I474" i="41" s="1"/>
  <c r="D460" i="41"/>
  <c r="D459" i="41"/>
  <c r="D458" i="41"/>
  <c r="D332" i="41"/>
  <c r="D331" i="41"/>
  <c r="D330" i="41"/>
  <c r="D329" i="41"/>
  <c r="D328" i="41"/>
  <c r="D327" i="41"/>
  <c r="C332" i="41"/>
  <c r="F332" i="41" s="1"/>
  <c r="C331" i="41"/>
  <c r="E331" i="41" s="1"/>
  <c r="C330" i="41"/>
  <c r="F330" i="41" s="1"/>
  <c r="C329" i="41"/>
  <c r="E329" i="41" s="1"/>
  <c r="C328" i="41"/>
  <c r="C327" i="41"/>
  <c r="E327" i="41" s="1"/>
  <c r="E326" i="41"/>
  <c r="D323" i="41"/>
  <c r="D322" i="41"/>
  <c r="D321" i="41"/>
  <c r="D320" i="41"/>
  <c r="D319" i="41"/>
  <c r="D318" i="41"/>
  <c r="C323" i="41"/>
  <c r="E323" i="41" s="1"/>
  <c r="C321" i="41"/>
  <c r="E321" i="41" s="1"/>
  <c r="C319" i="41"/>
  <c r="E319" i="41" s="1"/>
  <c r="C318" i="41"/>
  <c r="E318" i="41" s="1"/>
  <c r="C317" i="41"/>
  <c r="C316" i="41"/>
  <c r="C315" i="41"/>
  <c r="C314" i="41"/>
  <c r="C312" i="41"/>
  <c r="C311" i="41"/>
  <c r="C310" i="41"/>
  <c r="C309" i="41"/>
  <c r="C308" i="41"/>
  <c r="C307" i="41"/>
  <c r="C306" i="41"/>
  <c r="D303" i="41"/>
  <c r="D302" i="41"/>
  <c r="D301" i="41"/>
  <c r="D300" i="41"/>
  <c r="D299" i="41"/>
  <c r="D298" i="41"/>
  <c r="D297" i="41"/>
  <c r="D296" i="41"/>
  <c r="D295" i="41"/>
  <c r="D294" i="41"/>
  <c r="D293" i="41"/>
  <c r="D292" i="41"/>
  <c r="D291" i="41"/>
  <c r="D290" i="41"/>
  <c r="D289" i="41"/>
  <c r="D288" i="41"/>
  <c r="D287" i="41"/>
  <c r="D286" i="41"/>
  <c r="D285" i="41"/>
  <c r="D284" i="41"/>
  <c r="D283" i="41"/>
  <c r="D282" i="41"/>
  <c r="D281" i="41"/>
  <c r="D280" i="41"/>
  <c r="D279" i="41"/>
  <c r="D278" i="41"/>
  <c r="D277" i="41"/>
  <c r="D276" i="41"/>
  <c r="D275" i="41"/>
  <c r="D274" i="41"/>
  <c r="D273" i="41"/>
  <c r="D272" i="41"/>
  <c r="D271" i="41"/>
  <c r="D270" i="41"/>
  <c r="D269" i="41"/>
  <c r="D268" i="41"/>
  <c r="D267" i="41"/>
  <c r="D266" i="41"/>
  <c r="D265" i="41"/>
  <c r="D264" i="41"/>
  <c r="D263" i="41"/>
  <c r="D262" i="41"/>
  <c r="D261" i="41"/>
  <c r="D260" i="41"/>
  <c r="D259" i="41"/>
  <c r="D258" i="41"/>
  <c r="D257" i="41"/>
  <c r="D256" i="41"/>
  <c r="D255" i="41"/>
  <c r="C302" i="41"/>
  <c r="H302" i="41" s="1"/>
  <c r="C301" i="41"/>
  <c r="H301" i="41" s="1"/>
  <c r="C299" i="41"/>
  <c r="E299" i="41" s="1"/>
  <c r="C298" i="41"/>
  <c r="H298" i="41" s="1"/>
  <c r="I298" i="41" s="1"/>
  <c r="C297" i="41"/>
  <c r="E297" i="41" s="1"/>
  <c r="C296" i="41"/>
  <c r="H296" i="41" s="1"/>
  <c r="I296" i="41" s="1"/>
  <c r="C295" i="41"/>
  <c r="F295" i="41" s="1"/>
  <c r="C294" i="41"/>
  <c r="E294" i="41" s="1"/>
  <c r="C293" i="41"/>
  <c r="H293" i="41" s="1"/>
  <c r="I293" i="41" s="1"/>
  <c r="C292" i="41"/>
  <c r="F292" i="41" s="1"/>
  <c r="C291" i="41"/>
  <c r="E291" i="41" s="1"/>
  <c r="C290" i="41"/>
  <c r="C289" i="41"/>
  <c r="C288" i="41"/>
  <c r="C287" i="41"/>
  <c r="C286" i="41"/>
  <c r="C285" i="41"/>
  <c r="C284" i="41"/>
  <c r="C283" i="41"/>
  <c r="C282" i="41"/>
  <c r="C281" i="41"/>
  <c r="C277" i="41"/>
  <c r="C276" i="41"/>
  <c r="C275" i="41"/>
  <c r="C274" i="41"/>
  <c r="C273" i="41"/>
  <c r="C272" i="41"/>
  <c r="C271" i="41"/>
  <c r="C270" i="41"/>
  <c r="C269" i="41"/>
  <c r="C268" i="41"/>
  <c r="C267" i="41"/>
  <c r="C264" i="41"/>
  <c r="C263" i="41"/>
  <c r="C262" i="41"/>
  <c r="C261" i="41"/>
  <c r="C260" i="41"/>
  <c r="C259" i="41"/>
  <c r="C258" i="41"/>
  <c r="C257" i="41"/>
  <c r="C256" i="41"/>
  <c r="C255" i="41"/>
  <c r="D252" i="41"/>
  <c r="D251" i="41"/>
  <c r="D250" i="41"/>
  <c r="D249" i="41"/>
  <c r="D248" i="41"/>
  <c r="D247" i="41"/>
  <c r="D246" i="41"/>
  <c r="C251" i="41"/>
  <c r="C250" i="41"/>
  <c r="C248" i="41"/>
  <c r="C247" i="41"/>
  <c r="C246" i="41"/>
  <c r="D243" i="41"/>
  <c r="D242" i="41"/>
  <c r="D241" i="41"/>
  <c r="D240" i="41"/>
  <c r="D239" i="41"/>
  <c r="D238" i="41"/>
  <c r="D237" i="41"/>
  <c r="D236" i="41"/>
  <c r="D235" i="41"/>
  <c r="D234" i="41"/>
  <c r="D233" i="41"/>
  <c r="D232" i="41"/>
  <c r="D231" i="41"/>
  <c r="D230" i="41"/>
  <c r="D228" i="41"/>
  <c r="D227" i="41"/>
  <c r="D226" i="41"/>
  <c r="D225" i="41"/>
  <c r="D224" i="41"/>
  <c r="D223" i="41"/>
  <c r="D222" i="41"/>
  <c r="D221" i="41"/>
  <c r="D220" i="41"/>
  <c r="D219" i="41"/>
  <c r="D218" i="41"/>
  <c r="D217" i="41"/>
  <c r="D216" i="41"/>
  <c r="D215" i="41"/>
  <c r="C224" i="41"/>
  <c r="E224" i="41" s="1"/>
  <c r="C223" i="41"/>
  <c r="H223" i="41" s="1"/>
  <c r="I223" i="41" s="1"/>
  <c r="C220" i="41"/>
  <c r="C219" i="41"/>
  <c r="C217" i="41"/>
  <c r="C216" i="41"/>
  <c r="C215" i="41"/>
  <c r="E214" i="41"/>
  <c r="E213" i="41"/>
  <c r="D210" i="41"/>
  <c r="D209" i="41"/>
  <c r="D208" i="41"/>
  <c r="D207" i="41"/>
  <c r="D206" i="41"/>
  <c r="D205" i="41"/>
  <c r="D204" i="41"/>
  <c r="D203" i="41"/>
  <c r="C210" i="41"/>
  <c r="H210" i="41" s="1"/>
  <c r="C209" i="41"/>
  <c r="F209" i="41" s="1"/>
  <c r="C208" i="41"/>
  <c r="H208" i="41" s="1"/>
  <c r="C206" i="41"/>
  <c r="E206" i="41" s="1"/>
  <c r="C205" i="41"/>
  <c r="H205" i="41" s="1"/>
  <c r="I205" i="41" s="1"/>
  <c r="C204" i="41"/>
  <c r="E204" i="41" s="1"/>
  <c r="D200" i="41"/>
  <c r="D199" i="41"/>
  <c r="D198" i="41"/>
  <c r="D197" i="41"/>
  <c r="D196" i="41"/>
  <c r="D195" i="41"/>
  <c r="C200" i="41"/>
  <c r="E200" i="41" s="1"/>
  <c r="C198" i="41"/>
  <c r="E198" i="41" s="1"/>
  <c r="C197" i="41"/>
  <c r="E197" i="41" s="1"/>
  <c r="C196" i="41"/>
  <c r="E196" i="41" s="1"/>
  <c r="E194" i="41"/>
  <c r="D192" i="41"/>
  <c r="D191" i="41"/>
  <c r="D190" i="41"/>
  <c r="D189" i="41"/>
  <c r="D188" i="41"/>
  <c r="C192" i="41"/>
  <c r="C190" i="41"/>
  <c r="C189" i="41"/>
  <c r="C188" i="41"/>
  <c r="E187" i="41"/>
  <c r="E186" i="41"/>
  <c r="D184" i="41"/>
  <c r="C184" i="41"/>
  <c r="D181" i="41"/>
  <c r="C181" i="41"/>
  <c r="D171" i="41"/>
  <c r="C171" i="41"/>
  <c r="E171" i="41" s="1"/>
  <c r="D162" i="41"/>
  <c r="D148" i="41"/>
  <c r="D147" i="41"/>
  <c r="C148" i="41"/>
  <c r="H148" i="41" s="1"/>
  <c r="C147" i="41"/>
  <c r="H147" i="41" s="1"/>
  <c r="I147" i="41" s="1"/>
  <c r="E146" i="41"/>
  <c r="D144" i="41"/>
  <c r="D143" i="41"/>
  <c r="D142" i="41"/>
  <c r="D141" i="41"/>
  <c r="D140" i="41"/>
  <c r="C144" i="41"/>
  <c r="F144" i="41" s="1"/>
  <c r="C143" i="41"/>
  <c r="E143" i="41" s="1"/>
  <c r="C142" i="41"/>
  <c r="E142" i="41" s="1"/>
  <c r="C141" i="41"/>
  <c r="F141" i="41" s="1"/>
  <c r="C140" i="41"/>
  <c r="F140" i="41" s="1"/>
  <c r="E139" i="41"/>
  <c r="D137" i="41"/>
  <c r="D136" i="41"/>
  <c r="D135" i="41"/>
  <c r="D134" i="41"/>
  <c r="D133" i="41"/>
  <c r="D132" i="41"/>
  <c r="C137" i="41"/>
  <c r="E137" i="41" s="1"/>
  <c r="C135" i="41"/>
  <c r="E135" i="41" s="1"/>
  <c r="C133" i="41"/>
  <c r="E133" i="41" s="1"/>
  <c r="C132" i="41"/>
  <c r="F132" i="41" s="1"/>
  <c r="E131" i="41"/>
  <c r="E130" i="41"/>
  <c r="D127" i="41"/>
  <c r="C127" i="41"/>
  <c r="D126" i="41"/>
  <c r="C126" i="41"/>
  <c r="D125" i="41"/>
  <c r="D124" i="41"/>
  <c r="E123" i="41"/>
  <c r="D121" i="41"/>
  <c r="D120" i="41"/>
  <c r="C121" i="41"/>
  <c r="C120" i="41"/>
  <c r="E119" i="41"/>
  <c r="D115" i="41"/>
  <c r="C115" i="41"/>
  <c r="D114" i="41"/>
  <c r="C114" i="41"/>
  <c r="D113" i="41"/>
  <c r="C113" i="41"/>
  <c r="C102" i="41"/>
  <c r="F102" i="41" s="1"/>
  <c r="D104" i="41"/>
  <c r="C104" i="41"/>
  <c r="E104" i="41" s="1"/>
  <c r="C103" i="41"/>
  <c r="H103" i="41" s="1"/>
  <c r="I103" i="41" s="1"/>
  <c r="D102" i="41"/>
  <c r="D101" i="41"/>
  <c r="C101" i="41"/>
  <c r="F101" i="41" s="1"/>
  <c r="D100" i="41"/>
  <c r="C100" i="41"/>
  <c r="E100" i="41" s="1"/>
  <c r="D99" i="41"/>
  <c r="C99" i="41"/>
  <c r="H99" i="41" s="1"/>
  <c r="I99" i="41" s="1"/>
  <c r="D98" i="41"/>
  <c r="C98" i="41"/>
  <c r="F98" i="41" s="1"/>
  <c r="D97" i="41"/>
  <c r="C97" i="41"/>
  <c r="D94" i="41"/>
  <c r="C94" i="41"/>
  <c r="E94" i="41" s="1"/>
  <c r="D78" i="41"/>
  <c r="C78" i="41"/>
  <c r="F78" i="41" s="1"/>
  <c r="C81" i="41"/>
  <c r="H81" i="41" s="1"/>
  <c r="D69" i="41"/>
  <c r="D68" i="41"/>
  <c r="D65" i="41"/>
  <c r="C65" i="41"/>
  <c r="E65" i="41" s="1"/>
  <c r="D60" i="41"/>
  <c r="C60" i="41"/>
  <c r="H60" i="41" s="1"/>
  <c r="D50" i="41"/>
  <c r="D49" i="41"/>
  <c r="D48" i="41"/>
  <c r="L847" i="44"/>
  <c r="K847" i="44"/>
  <c r="E847" i="44"/>
  <c r="L845" i="44"/>
  <c r="K845" i="44"/>
  <c r="E845" i="44"/>
  <c r="K548" i="44"/>
  <c r="K842" i="44"/>
  <c r="E843" i="44"/>
  <c r="K843" i="44" s="1"/>
  <c r="L837" i="44"/>
  <c r="E837" i="44"/>
  <c r="L835" i="44"/>
  <c r="E835" i="44"/>
  <c r="L833" i="44"/>
  <c r="E833" i="44"/>
  <c r="K262" i="44"/>
  <c r="K180" i="44"/>
  <c r="H102" i="41" l="1"/>
  <c r="I102" i="41" s="1"/>
  <c r="C27" i="33"/>
  <c r="C27" i="50"/>
  <c r="C43" i="50"/>
  <c r="C43" i="33"/>
  <c r="C39" i="50"/>
  <c r="C39" i="33"/>
  <c r="C41" i="50"/>
  <c r="C41" i="33"/>
  <c r="F474" i="41"/>
  <c r="E474" i="41"/>
  <c r="E332" i="41"/>
  <c r="H330" i="41"/>
  <c r="I330" i="41" s="1"/>
  <c r="E330" i="41"/>
  <c r="H331" i="41"/>
  <c r="H329" i="41"/>
  <c r="I329" i="41" s="1"/>
  <c r="K329" i="41" s="1"/>
  <c r="H332" i="41"/>
  <c r="I332" i="41" s="1"/>
  <c r="K332" i="41" s="1"/>
  <c r="F331" i="41"/>
  <c r="F329" i="41"/>
  <c r="H323" i="41"/>
  <c r="I323" i="41" s="1"/>
  <c r="K323" i="41" s="1"/>
  <c r="F323" i="41"/>
  <c r="H327" i="41"/>
  <c r="J327" i="41" s="1"/>
  <c r="H321" i="41"/>
  <c r="I321" i="41" s="1"/>
  <c r="K321" i="41" s="1"/>
  <c r="F327" i="41"/>
  <c r="H318" i="41"/>
  <c r="F321" i="41"/>
  <c r="F318" i="41"/>
  <c r="H319" i="41"/>
  <c r="I319" i="41" s="1"/>
  <c r="K319" i="41" s="1"/>
  <c r="F319" i="41"/>
  <c r="K293" i="41"/>
  <c r="F298" i="41"/>
  <c r="E298" i="41"/>
  <c r="H292" i="41"/>
  <c r="I292" i="41" s="1"/>
  <c r="K292" i="41" s="1"/>
  <c r="E292" i="41"/>
  <c r="H299" i="41"/>
  <c r="I299" i="41" s="1"/>
  <c r="K299" i="41" s="1"/>
  <c r="F293" i="41"/>
  <c r="J298" i="41"/>
  <c r="E293" i="41"/>
  <c r="H295" i="41"/>
  <c r="I295" i="41" s="1"/>
  <c r="K295" i="41" s="1"/>
  <c r="F301" i="41"/>
  <c r="E295" i="41"/>
  <c r="I301" i="41"/>
  <c r="K301" i="41" s="1"/>
  <c r="J301" i="41"/>
  <c r="I302" i="41"/>
  <c r="K302" i="41" s="1"/>
  <c r="J302" i="41"/>
  <c r="F296" i="41"/>
  <c r="F302" i="41"/>
  <c r="E301" i="41"/>
  <c r="F299" i="41"/>
  <c r="E296" i="41"/>
  <c r="H294" i="41"/>
  <c r="H291" i="41"/>
  <c r="I291" i="41" s="1"/>
  <c r="K291" i="41" s="1"/>
  <c r="E302" i="41"/>
  <c r="H297" i="41"/>
  <c r="F294" i="41"/>
  <c r="F291" i="41"/>
  <c r="K298" i="41"/>
  <c r="F297" i="41"/>
  <c r="F223" i="41"/>
  <c r="K296" i="41"/>
  <c r="J296" i="41"/>
  <c r="J293" i="41"/>
  <c r="F206" i="41"/>
  <c r="H224" i="41"/>
  <c r="I224" i="41" s="1"/>
  <c r="K224" i="41" s="1"/>
  <c r="F224" i="41"/>
  <c r="E223" i="41"/>
  <c r="J223" i="41"/>
  <c r="K223" i="41"/>
  <c r="F210" i="41"/>
  <c r="F208" i="41"/>
  <c r="E208" i="41"/>
  <c r="E210" i="41"/>
  <c r="H206" i="41"/>
  <c r="I206" i="41" s="1"/>
  <c r="H204" i="41"/>
  <c r="I204" i="41" s="1"/>
  <c r="F204" i="41"/>
  <c r="I208" i="41"/>
  <c r="I210" i="41"/>
  <c r="K210" i="41" s="1"/>
  <c r="J210" i="41"/>
  <c r="F205" i="41"/>
  <c r="E209" i="41"/>
  <c r="E205" i="41"/>
  <c r="H209" i="41"/>
  <c r="I209" i="41" s="1"/>
  <c r="K209" i="41" s="1"/>
  <c r="F197" i="41"/>
  <c r="H197" i="41"/>
  <c r="I197" i="41" s="1"/>
  <c r="H200" i="41"/>
  <c r="H198" i="41"/>
  <c r="H196" i="41"/>
  <c r="F200" i="41"/>
  <c r="F198" i="41"/>
  <c r="F196" i="41"/>
  <c r="H171" i="41"/>
  <c r="I171" i="41" s="1"/>
  <c r="K171" i="41" s="1"/>
  <c r="F171" i="41"/>
  <c r="E147" i="41"/>
  <c r="F147" i="41"/>
  <c r="E141" i="41"/>
  <c r="I148" i="41"/>
  <c r="K148" i="41" s="1"/>
  <c r="J148" i="41"/>
  <c r="E148" i="41"/>
  <c r="F148" i="41"/>
  <c r="H144" i="41"/>
  <c r="I144" i="41" s="1"/>
  <c r="H140" i="41"/>
  <c r="J140" i="41" s="1"/>
  <c r="E144" i="41"/>
  <c r="H142" i="41"/>
  <c r="F142" i="41"/>
  <c r="H143" i="41"/>
  <c r="I143" i="41" s="1"/>
  <c r="F143" i="41"/>
  <c r="H141" i="41"/>
  <c r="I141" i="41" s="1"/>
  <c r="E140" i="41"/>
  <c r="E132" i="41"/>
  <c r="H132" i="41"/>
  <c r="J132" i="41" s="1"/>
  <c r="H137" i="41"/>
  <c r="I137" i="41" s="1"/>
  <c r="F137" i="41"/>
  <c r="H135" i="41"/>
  <c r="I135" i="41" s="1"/>
  <c r="F135" i="41"/>
  <c r="H133" i="41"/>
  <c r="I133" i="41" s="1"/>
  <c r="F133" i="41"/>
  <c r="F103" i="41"/>
  <c r="H104" i="41"/>
  <c r="I104" i="41" s="1"/>
  <c r="E103" i="41"/>
  <c r="H100" i="41"/>
  <c r="I100" i="41" s="1"/>
  <c r="H101" i="41"/>
  <c r="I101" i="41" s="1"/>
  <c r="E101" i="41"/>
  <c r="E102" i="41"/>
  <c r="F99" i="41"/>
  <c r="E99" i="41"/>
  <c r="E98" i="41"/>
  <c r="H98" i="41"/>
  <c r="I98" i="41" s="1"/>
  <c r="F104" i="41"/>
  <c r="F100" i="41"/>
  <c r="H94" i="41"/>
  <c r="I94" i="41" s="1"/>
  <c r="F94" i="41"/>
  <c r="E78" i="41"/>
  <c r="H78" i="41"/>
  <c r="I78" i="41" s="1"/>
  <c r="K78" i="41" s="1"/>
  <c r="F81" i="41"/>
  <c r="E81" i="41"/>
  <c r="I81" i="41"/>
  <c r="E60" i="41"/>
  <c r="F65" i="41"/>
  <c r="H65" i="41"/>
  <c r="I65" i="41" s="1"/>
  <c r="F60" i="41"/>
  <c r="I60" i="41"/>
  <c r="C1041" i="44"/>
  <c r="C477" i="41" s="1"/>
  <c r="H641" i="43"/>
  <c r="I641" i="43" s="1"/>
  <c r="F641" i="43"/>
  <c r="E641" i="43"/>
  <c r="H642" i="43"/>
  <c r="I642" i="43" s="1"/>
  <c r="F642" i="43"/>
  <c r="E642" i="43"/>
  <c r="G539" i="43"/>
  <c r="G530" i="43"/>
  <c r="G522" i="43"/>
  <c r="G524" i="43" s="1"/>
  <c r="G538" i="43" s="1"/>
  <c r="E527" i="43"/>
  <c r="F527" i="43"/>
  <c r="I527" i="43"/>
  <c r="E528" i="43"/>
  <c r="F528" i="43"/>
  <c r="I528" i="43"/>
  <c r="E713" i="44"/>
  <c r="L713" i="44"/>
  <c r="C791" i="44"/>
  <c r="E351" i="43"/>
  <c r="F351" i="43"/>
  <c r="H351" i="43"/>
  <c r="I351" i="43" s="1"/>
  <c r="E352" i="43"/>
  <c r="F352" i="43"/>
  <c r="H352" i="43"/>
  <c r="I352" i="43" s="1"/>
  <c r="E353" i="43"/>
  <c r="F353" i="43"/>
  <c r="H353" i="43"/>
  <c r="I353" i="43" s="1"/>
  <c r="E354" i="43"/>
  <c r="F354" i="43"/>
  <c r="H354" i="43"/>
  <c r="I354" i="43" s="1"/>
  <c r="H350" i="43"/>
  <c r="I350" i="43" s="1"/>
  <c r="F350" i="43"/>
  <c r="E350" i="43"/>
  <c r="H349" i="43"/>
  <c r="I349" i="43" s="1"/>
  <c r="F349" i="43"/>
  <c r="E349" i="43"/>
  <c r="C827" i="44"/>
  <c r="C322" i="41" s="1"/>
  <c r="E340" i="43"/>
  <c r="F340" i="43"/>
  <c r="H340" i="43"/>
  <c r="I340" i="43" s="1"/>
  <c r="E341" i="43"/>
  <c r="F341" i="43"/>
  <c r="H341" i="43"/>
  <c r="I341" i="43" s="1"/>
  <c r="E342" i="43"/>
  <c r="F342" i="43"/>
  <c r="H342" i="43"/>
  <c r="I342" i="43" s="1"/>
  <c r="E343" i="43"/>
  <c r="F343" i="43"/>
  <c r="H343" i="43"/>
  <c r="I343" i="43" s="1"/>
  <c r="E344" i="43"/>
  <c r="F344" i="43"/>
  <c r="H344" i="43"/>
  <c r="I344" i="43" s="1"/>
  <c r="E345" i="43"/>
  <c r="F345" i="43"/>
  <c r="H345" i="43"/>
  <c r="I345" i="43" s="1"/>
  <c r="E346" i="43"/>
  <c r="F346" i="43"/>
  <c r="H346" i="43"/>
  <c r="I346" i="43" s="1"/>
  <c r="H339" i="43"/>
  <c r="I339" i="43" s="1"/>
  <c r="F339" i="43"/>
  <c r="E339" i="43"/>
  <c r="E791" i="44" l="1"/>
  <c r="C303" i="41"/>
  <c r="J332" i="41"/>
  <c r="I331" i="41"/>
  <c r="K331" i="41" s="1"/>
  <c r="J331" i="41"/>
  <c r="J329" i="41"/>
  <c r="J323" i="41"/>
  <c r="I327" i="41"/>
  <c r="K327" i="41" s="1"/>
  <c r="J321" i="41"/>
  <c r="I318" i="41"/>
  <c r="K318" i="41" s="1"/>
  <c r="J318" i="41"/>
  <c r="J319" i="41"/>
  <c r="J299" i="41"/>
  <c r="J292" i="41"/>
  <c r="J291" i="41"/>
  <c r="J295" i="41"/>
  <c r="J294" i="41"/>
  <c r="I294" i="41"/>
  <c r="K294" i="41" s="1"/>
  <c r="J297" i="41"/>
  <c r="I297" i="41"/>
  <c r="K297" i="41" s="1"/>
  <c r="J224" i="41"/>
  <c r="J209" i="41"/>
  <c r="I196" i="41"/>
  <c r="I198" i="41"/>
  <c r="I200" i="41"/>
  <c r="J171" i="41"/>
  <c r="I140" i="41"/>
  <c r="K140" i="41" s="1"/>
  <c r="I142" i="41"/>
  <c r="I132" i="41"/>
  <c r="K132" i="41" s="1"/>
  <c r="J78" i="41"/>
  <c r="G526" i="43"/>
  <c r="I640" i="43"/>
  <c r="E1041" i="44"/>
  <c r="G537" i="43"/>
  <c r="G540" i="43" s="1"/>
  <c r="G523" i="43"/>
  <c r="I348" i="43"/>
  <c r="I338" i="43"/>
  <c r="G531" i="43" l="1"/>
  <c r="G532" i="43" s="1"/>
  <c r="G533" i="43" s="1"/>
  <c r="G534" i="43" s="1"/>
  <c r="L829" i="44" l="1"/>
  <c r="E829" i="44"/>
  <c r="E827" i="44"/>
  <c r="L825" i="44" l="1"/>
  <c r="C823" i="44"/>
  <c r="E334" i="43"/>
  <c r="F334" i="43"/>
  <c r="H334" i="43"/>
  <c r="I334" i="43" s="1"/>
  <c r="I336" i="43"/>
  <c r="H335" i="43"/>
  <c r="I335" i="43" s="1"/>
  <c r="F335" i="43"/>
  <c r="E335" i="43"/>
  <c r="H333" i="43"/>
  <c r="I333" i="43" s="1"/>
  <c r="F333" i="43"/>
  <c r="E333" i="43"/>
  <c r="L821" i="44"/>
  <c r="E821" i="44"/>
  <c r="L819" i="44"/>
  <c r="E819" i="44"/>
  <c r="C1039" i="44"/>
  <c r="E634" i="43"/>
  <c r="F634" i="43"/>
  <c r="H634" i="43"/>
  <c r="I634" i="43" s="1"/>
  <c r="E635" i="43"/>
  <c r="F635" i="43"/>
  <c r="H635" i="43"/>
  <c r="I635" i="43" s="1"/>
  <c r="E636" i="43"/>
  <c r="F636" i="43"/>
  <c r="H636" i="43"/>
  <c r="I636" i="43" s="1"/>
  <c r="E637" i="43"/>
  <c r="F637" i="43"/>
  <c r="H637" i="43"/>
  <c r="I637" i="43" s="1"/>
  <c r="E638" i="43"/>
  <c r="F638" i="43"/>
  <c r="H638" i="43"/>
  <c r="I638" i="43" s="1"/>
  <c r="H633" i="43"/>
  <c r="I633" i="43" s="1"/>
  <c r="F633" i="43"/>
  <c r="E633" i="43"/>
  <c r="I632" i="43"/>
  <c r="C785" i="44"/>
  <c r="C300" i="41" s="1"/>
  <c r="L789" i="44"/>
  <c r="E789" i="44"/>
  <c r="L787" i="44"/>
  <c r="E787" i="44"/>
  <c r="K763" i="44"/>
  <c r="E1039" i="44" l="1"/>
  <c r="C476" i="41"/>
  <c r="E823" i="44"/>
  <c r="C320" i="41"/>
  <c r="E825" i="44"/>
  <c r="I332" i="43"/>
  <c r="I631" i="43"/>
  <c r="E785" i="44"/>
  <c r="K414" i="44" l="1"/>
  <c r="K377" i="44"/>
  <c r="E556" i="44"/>
  <c r="E532" i="44"/>
  <c r="E531" i="44"/>
  <c r="E542" i="44"/>
  <c r="K540" i="44" s="1"/>
  <c r="E841" i="44"/>
  <c r="K841" i="44" s="1"/>
  <c r="K839" i="44" s="1"/>
  <c r="E546" i="44"/>
  <c r="K544" i="44" s="1"/>
  <c r="F538" i="44"/>
  <c r="E538" i="44"/>
  <c r="L520" i="44"/>
  <c r="E520" i="44"/>
  <c r="K486" i="44"/>
  <c r="K484" i="44" s="1"/>
  <c r="K479" i="44"/>
  <c r="E460" i="44"/>
  <c r="K460" i="44" s="1"/>
  <c r="K461" i="44"/>
  <c r="K462" i="44"/>
  <c r="K458" i="44" l="1"/>
  <c r="K330" i="41"/>
  <c r="J330" i="41"/>
  <c r="E444" i="44"/>
  <c r="L444" i="44"/>
  <c r="E442" i="44"/>
  <c r="L442" i="44"/>
  <c r="K438" i="44"/>
  <c r="K410" i="44"/>
  <c r="K411" i="44"/>
  <c r="K412" i="44"/>
  <c r="K413" i="44"/>
  <c r="K409" i="44"/>
  <c r="K400" i="44"/>
  <c r="P218" i="44"/>
  <c r="K191" i="44"/>
  <c r="P191" i="44" s="1"/>
  <c r="K190" i="44"/>
  <c r="P190" i="44" s="1"/>
  <c r="K185" i="44"/>
  <c r="E103" i="43"/>
  <c r="F103" i="43"/>
  <c r="H103" i="43"/>
  <c r="I103" i="43" s="1"/>
  <c r="C396" i="44"/>
  <c r="L400" i="44"/>
  <c r="E400" i="44"/>
  <c r="N185" i="44"/>
  <c r="E375" i="44"/>
  <c r="K375" i="44" s="1"/>
  <c r="K381" i="44"/>
  <c r="K376" i="44"/>
  <c r="K363" i="44"/>
  <c r="K129" i="44"/>
  <c r="K128" i="44"/>
  <c r="K127" i="44"/>
  <c r="K126" i="44"/>
  <c r="K125" i="44"/>
  <c r="K124" i="44"/>
  <c r="K123" i="44"/>
  <c r="K122" i="44"/>
  <c r="K121" i="44"/>
  <c r="K120" i="44"/>
  <c r="K119" i="44"/>
  <c r="K118" i="44"/>
  <c r="K117" i="44"/>
  <c r="K407" i="44" l="1"/>
  <c r="K104" i="41"/>
  <c r="J104" i="41"/>
  <c r="K442" i="44"/>
  <c r="E396" i="44"/>
  <c r="C125" i="41"/>
  <c r="L363" i="44"/>
  <c r="E363" i="44"/>
  <c r="K292" i="44"/>
  <c r="C292" i="44"/>
  <c r="C69" i="41" s="1"/>
  <c r="H93" i="43"/>
  <c r="I93" i="43" s="1"/>
  <c r="F93" i="43"/>
  <c r="E93" i="43"/>
  <c r="H92" i="43"/>
  <c r="I92" i="43" s="1"/>
  <c r="F92" i="43"/>
  <c r="E92" i="43"/>
  <c r="H91" i="43"/>
  <c r="I91" i="43" s="1"/>
  <c r="F91" i="43"/>
  <c r="E91" i="43"/>
  <c r="H90" i="43"/>
  <c r="I90" i="43" s="1"/>
  <c r="F90" i="43"/>
  <c r="E90" i="43"/>
  <c r="H89" i="43"/>
  <c r="I89" i="43" s="1"/>
  <c r="F89" i="43"/>
  <c r="E89" i="43"/>
  <c r="K290" i="44"/>
  <c r="K361" i="44"/>
  <c r="K343" i="44"/>
  <c r="K318" i="44"/>
  <c r="E318" i="44"/>
  <c r="L318" i="44"/>
  <c r="E282" i="44"/>
  <c r="L282" i="44"/>
  <c r="E345" i="44"/>
  <c r="L345" i="44"/>
  <c r="K355" i="44"/>
  <c r="K353" i="44"/>
  <c r="K351" i="44"/>
  <c r="E353" i="44"/>
  <c r="L353" i="44"/>
  <c r="K349" i="44"/>
  <c r="L359" i="44"/>
  <c r="E359" i="44"/>
  <c r="L357" i="44"/>
  <c r="E357" i="44"/>
  <c r="L355" i="44"/>
  <c r="E355" i="44"/>
  <c r="L351" i="44"/>
  <c r="E351" i="44"/>
  <c r="L349" i="44"/>
  <c r="E349" i="44"/>
  <c r="E328" i="44"/>
  <c r="K304" i="44"/>
  <c r="E312" i="44"/>
  <c r="L312" i="44"/>
  <c r="C290" i="44"/>
  <c r="C68" i="41" s="1"/>
  <c r="E83" i="43"/>
  <c r="F83" i="43"/>
  <c r="H83" i="43"/>
  <c r="I83" i="43" s="1"/>
  <c r="E84" i="43"/>
  <c r="F84" i="43"/>
  <c r="H84" i="43"/>
  <c r="I84" i="43" s="1"/>
  <c r="E85" i="43"/>
  <c r="F85" i="43"/>
  <c r="H85" i="43"/>
  <c r="I85" i="43" s="1"/>
  <c r="E86" i="43"/>
  <c r="F86" i="43"/>
  <c r="H86" i="43"/>
  <c r="I86" i="43" s="1"/>
  <c r="H82" i="43"/>
  <c r="I82" i="43" s="1"/>
  <c r="F82" i="43"/>
  <c r="E82" i="43"/>
  <c r="K280" i="44"/>
  <c r="K278" i="44"/>
  <c r="K276" i="44"/>
  <c r="K274" i="44"/>
  <c r="K345" i="44" l="1"/>
  <c r="K94" i="41" s="1"/>
  <c r="K282" i="44"/>
  <c r="J65" i="41" s="1"/>
  <c r="M304" i="44"/>
  <c r="E324" i="44" s="1"/>
  <c r="K357" i="44"/>
  <c r="J81" i="41"/>
  <c r="K81" i="41"/>
  <c r="K368" i="44"/>
  <c r="M292" i="44"/>
  <c r="K141" i="41"/>
  <c r="J141" i="41"/>
  <c r="K98" i="41"/>
  <c r="J98" i="41"/>
  <c r="M290" i="44"/>
  <c r="E296" i="44" s="1"/>
  <c r="J143" i="41"/>
  <c r="K143" i="41"/>
  <c r="J99" i="41"/>
  <c r="K99" i="41"/>
  <c r="K100" i="41"/>
  <c r="J100" i="41"/>
  <c r="K133" i="41"/>
  <c r="J133" i="41"/>
  <c r="I88" i="43"/>
  <c r="I81" i="43"/>
  <c r="K306" i="44"/>
  <c r="J94" i="41" l="1"/>
  <c r="K65" i="41"/>
  <c r="K314" i="44"/>
  <c r="K388" i="44"/>
  <c r="N304" i="44"/>
  <c r="K359" i="44"/>
  <c r="K103" i="41"/>
  <c r="J103" i="41"/>
  <c r="K272" i="44"/>
  <c r="L272" i="44"/>
  <c r="E272" i="44"/>
  <c r="K390" i="44" l="1"/>
  <c r="K561" i="44"/>
  <c r="K320" i="44"/>
  <c r="J101" i="41"/>
  <c r="K101" i="41"/>
  <c r="K102" i="41"/>
  <c r="J102" i="41"/>
  <c r="K284" i="44"/>
  <c r="E557" i="43"/>
  <c r="F557" i="43"/>
  <c r="H557" i="43"/>
  <c r="I557" i="43" s="1"/>
  <c r="E554" i="43"/>
  <c r="F554" i="43"/>
  <c r="H554" i="43"/>
  <c r="I554" i="43" s="1"/>
  <c r="E555" i="43"/>
  <c r="F555" i="43"/>
  <c r="H555" i="43"/>
  <c r="I555" i="43" s="1"/>
  <c r="E556" i="43"/>
  <c r="F556" i="43"/>
  <c r="H556" i="43"/>
  <c r="I556" i="43" s="1"/>
  <c r="G547" i="43"/>
  <c r="H546" i="43"/>
  <c r="I546" i="43" s="1"/>
  <c r="F546" i="43"/>
  <c r="E546" i="43"/>
  <c r="J60" i="41" l="1"/>
  <c r="K60" i="41"/>
  <c r="L749" i="44"/>
  <c r="E749" i="44"/>
  <c r="L747" i="44"/>
  <c r="E747" i="44"/>
  <c r="L735" i="44"/>
  <c r="E735" i="44"/>
  <c r="L731" i="44"/>
  <c r="E731" i="44"/>
  <c r="L729" i="44"/>
  <c r="E729" i="44"/>
  <c r="L727" i="44"/>
  <c r="E727" i="44"/>
  <c r="L725" i="44"/>
  <c r="E725" i="44"/>
  <c r="L721" i="44"/>
  <c r="E721" i="44"/>
  <c r="L719" i="44"/>
  <c r="E719" i="44"/>
  <c r="L709" i="44"/>
  <c r="E709" i="44"/>
  <c r="L703" i="44"/>
  <c r="E703" i="44"/>
  <c r="L705" i="44"/>
  <c r="E705" i="44"/>
  <c r="L695" i="44"/>
  <c r="E695" i="44"/>
  <c r="L679" i="44"/>
  <c r="E679" i="44"/>
  <c r="L619" i="44"/>
  <c r="E619" i="44"/>
  <c r="L623" i="44" l="1"/>
  <c r="E623" i="44"/>
  <c r="K516" i="44"/>
  <c r="L452" i="44"/>
  <c r="E452" i="44"/>
  <c r="C1037" i="44"/>
  <c r="C475" i="41" s="1"/>
  <c r="E629" i="43"/>
  <c r="F629" i="43"/>
  <c r="H629" i="43"/>
  <c r="I629" i="43" s="1"/>
  <c r="E628" i="43"/>
  <c r="F628" i="43"/>
  <c r="H628" i="43"/>
  <c r="I628" i="43" s="1"/>
  <c r="E627" i="43"/>
  <c r="F627" i="43"/>
  <c r="H627" i="43"/>
  <c r="I627" i="43" s="1"/>
  <c r="H626" i="43"/>
  <c r="I626" i="43" s="1"/>
  <c r="F626" i="43"/>
  <c r="E626" i="43"/>
  <c r="K1033" i="44"/>
  <c r="K1034" i="44"/>
  <c r="K1035" i="44"/>
  <c r="K1032" i="44"/>
  <c r="L1030" i="44"/>
  <c r="E1030" i="44"/>
  <c r="K243" i="44"/>
  <c r="K244" i="44"/>
  <c r="K242" i="44"/>
  <c r="C240" i="44"/>
  <c r="C50" i="41" s="1"/>
  <c r="C238" i="44"/>
  <c r="C49" i="41" s="1"/>
  <c r="M238" i="44"/>
  <c r="H77" i="43"/>
  <c r="I77" i="43" s="1"/>
  <c r="F77" i="43"/>
  <c r="E77" i="43"/>
  <c r="H76" i="43"/>
  <c r="I76" i="43" s="1"/>
  <c r="F76" i="43"/>
  <c r="E76" i="43"/>
  <c r="H73" i="43"/>
  <c r="I73" i="43" s="1"/>
  <c r="F73" i="43"/>
  <c r="E73" i="43"/>
  <c r="H72" i="43"/>
  <c r="I72" i="43" s="1"/>
  <c r="F72" i="43"/>
  <c r="E72" i="43"/>
  <c r="C236" i="44"/>
  <c r="C48" i="41" s="1"/>
  <c r="M236" i="44"/>
  <c r="E69" i="43"/>
  <c r="F69" i="43"/>
  <c r="H69" i="43"/>
  <c r="I69" i="43" s="1"/>
  <c r="H68" i="43"/>
  <c r="I68" i="43" s="1"/>
  <c r="F68" i="43"/>
  <c r="E68" i="43"/>
  <c r="K179" i="44"/>
  <c r="K167" i="44"/>
  <c r="K113" i="44"/>
  <c r="K112" i="44"/>
  <c r="L110" i="44"/>
  <c r="E110" i="44"/>
  <c r="K210" i="44"/>
  <c r="K218" i="44"/>
  <c r="K174" i="44"/>
  <c r="K171" i="44"/>
  <c r="K172" i="44"/>
  <c r="K165" i="44"/>
  <c r="K142" i="44"/>
  <c r="I625" i="43" l="1"/>
  <c r="E1037" i="44"/>
  <c r="K1030" i="44"/>
  <c r="I71" i="43"/>
  <c r="I75" i="43"/>
  <c r="K240" i="44"/>
  <c r="I67" i="43"/>
  <c r="K110" i="44"/>
  <c r="K140" i="44"/>
  <c r="K98" i="44"/>
  <c r="K52" i="44"/>
  <c r="K50" i="44"/>
  <c r="K39" i="44"/>
  <c r="K51" i="44"/>
  <c r="K40" i="44"/>
  <c r="K41" i="44"/>
  <c r="K27" i="44"/>
  <c r="K29" i="44"/>
  <c r="K30" i="44"/>
  <c r="K474" i="41" l="1"/>
  <c r="J474" i="41"/>
  <c r="M110" i="44"/>
  <c r="M240" i="44"/>
  <c r="K115" i="44"/>
  <c r="K36" i="44"/>
  <c r="K48" i="44"/>
  <c r="K33" i="41" l="1"/>
  <c r="J33" i="41"/>
  <c r="D473" i="41"/>
  <c r="D472" i="41"/>
  <c r="D471" i="41"/>
  <c r="D470" i="41"/>
  <c r="D469" i="41"/>
  <c r="D468" i="41"/>
  <c r="D467" i="41"/>
  <c r="C473" i="41"/>
  <c r="E466" i="41"/>
  <c r="D464" i="41"/>
  <c r="D463" i="41"/>
  <c r="C464" i="41"/>
  <c r="E462" i="41"/>
  <c r="D455" i="41"/>
  <c r="D454" i="41"/>
  <c r="D453" i="41"/>
  <c r="C454" i="41"/>
  <c r="C453" i="41"/>
  <c r="E452" i="41"/>
  <c r="D315" i="41"/>
  <c r="F315" i="41"/>
  <c r="D317" i="41"/>
  <c r="D316" i="41"/>
  <c r="D314" i="41"/>
  <c r="D313" i="41"/>
  <c r="D312" i="41"/>
  <c r="D311" i="41"/>
  <c r="D310" i="41"/>
  <c r="D309" i="41"/>
  <c r="D308" i="41"/>
  <c r="D307" i="41"/>
  <c r="D306" i="41"/>
  <c r="H317" i="41"/>
  <c r="H316" i="41"/>
  <c r="H314" i="41"/>
  <c r="F312" i="41"/>
  <c r="E311" i="41"/>
  <c r="H310" i="41"/>
  <c r="E309" i="41"/>
  <c r="F308" i="41"/>
  <c r="E307" i="41"/>
  <c r="F306" i="41"/>
  <c r="E305" i="41"/>
  <c r="E290" i="41"/>
  <c r="E289" i="41"/>
  <c r="H288" i="41"/>
  <c r="E287" i="41"/>
  <c r="E285" i="41"/>
  <c r="E284" i="41"/>
  <c r="E283" i="41"/>
  <c r="E282" i="41"/>
  <c r="E281" i="41"/>
  <c r="H277" i="41"/>
  <c r="H276" i="41"/>
  <c r="F275" i="41"/>
  <c r="E274" i="41"/>
  <c r="F273" i="41"/>
  <c r="F269" i="41"/>
  <c r="H268" i="41"/>
  <c r="H267" i="41"/>
  <c r="E264" i="41"/>
  <c r="H261" i="41"/>
  <c r="H259" i="41"/>
  <c r="H258" i="41"/>
  <c r="F257" i="41"/>
  <c r="H256" i="41"/>
  <c r="F255" i="41"/>
  <c r="E254" i="41"/>
  <c r="F250" i="41"/>
  <c r="E247" i="41"/>
  <c r="F246" i="41"/>
  <c r="E245" i="41"/>
  <c r="C243" i="41"/>
  <c r="H243" i="41" s="1"/>
  <c r="C242" i="41"/>
  <c r="E242" i="41" s="1"/>
  <c r="C241" i="41"/>
  <c r="F241" i="41" s="1"/>
  <c r="C240" i="41"/>
  <c r="H240" i="41" s="1"/>
  <c r="C239" i="41"/>
  <c r="H239" i="41" s="1"/>
  <c r="C238" i="41"/>
  <c r="H238" i="41" s="1"/>
  <c r="C237" i="41"/>
  <c r="F237" i="41" s="1"/>
  <c r="C235" i="41"/>
  <c r="C232" i="41"/>
  <c r="C231" i="41"/>
  <c r="C230" i="41"/>
  <c r="C229" i="41"/>
  <c r="C228" i="41"/>
  <c r="C227" i="41"/>
  <c r="C226" i="41"/>
  <c r="C225" i="41"/>
  <c r="E181" i="41"/>
  <c r="D180" i="41"/>
  <c r="D179" i="41"/>
  <c r="C179" i="41"/>
  <c r="E177" i="41"/>
  <c r="D165" i="41"/>
  <c r="D164" i="41"/>
  <c r="C164" i="41"/>
  <c r="E164" i="41" s="1"/>
  <c r="D163" i="41"/>
  <c r="D161" i="41"/>
  <c r="D160" i="41"/>
  <c r="E127" i="41"/>
  <c r="H126" i="41"/>
  <c r="K1019" i="44"/>
  <c r="K1007" i="44"/>
  <c r="K1005" i="44" s="1"/>
  <c r="C981" i="44"/>
  <c r="C979" i="44"/>
  <c r="C978" i="44"/>
  <c r="C975" i="44"/>
  <c r="C35" i="50" l="1"/>
  <c r="C35" i="33"/>
  <c r="C59" i="50"/>
  <c r="C59" i="33"/>
  <c r="C53" i="33"/>
  <c r="C53" i="50"/>
  <c r="C57" i="50"/>
  <c r="C57" i="33"/>
  <c r="H290" i="41"/>
  <c r="J290" i="41" s="1"/>
  <c r="F164" i="41"/>
  <c r="F317" i="41"/>
  <c r="E317" i="41"/>
  <c r="E315" i="41"/>
  <c r="H315" i="41"/>
  <c r="E308" i="41"/>
  <c r="F316" i="41"/>
  <c r="H281" i="41"/>
  <c r="J281" i="41" s="1"/>
  <c r="J317" i="41"/>
  <c r="E316" i="41"/>
  <c r="J316" i="41"/>
  <c r="F311" i="41"/>
  <c r="H309" i="41"/>
  <c r="F307" i="41"/>
  <c r="F309" i="41"/>
  <c r="E312" i="41"/>
  <c r="H311" i="41"/>
  <c r="H307" i="41"/>
  <c r="H306" i="41"/>
  <c r="J310" i="41"/>
  <c r="J314" i="41"/>
  <c r="F314" i="41"/>
  <c r="H312" i="41"/>
  <c r="F310" i="41"/>
  <c r="H308" i="41"/>
  <c r="E314" i="41"/>
  <c r="E310" i="41"/>
  <c r="E306" i="41"/>
  <c r="F281" i="41"/>
  <c r="F289" i="41"/>
  <c r="H287" i="41"/>
  <c r="H285" i="41"/>
  <c r="H289" i="41"/>
  <c r="J288" i="41"/>
  <c r="F288" i="41"/>
  <c r="E288" i="41"/>
  <c r="F290" i="41"/>
  <c r="H283" i="41"/>
  <c r="F276" i="41"/>
  <c r="H274" i="41"/>
  <c r="J274" i="41" s="1"/>
  <c r="J276" i="41"/>
  <c r="J277" i="41"/>
  <c r="F264" i="41"/>
  <c r="F277" i="41"/>
  <c r="E276" i="41"/>
  <c r="H275" i="41"/>
  <c r="E273" i="41"/>
  <c r="H284" i="41"/>
  <c r="H282" i="41"/>
  <c r="E277" i="41"/>
  <c r="F274" i="41"/>
  <c r="H273" i="41"/>
  <c r="E275" i="41"/>
  <c r="H257" i="41"/>
  <c r="H264" i="41"/>
  <c r="F287" i="41"/>
  <c r="F285" i="41"/>
  <c r="F284" i="41"/>
  <c r="F283" i="41"/>
  <c r="F282" i="41"/>
  <c r="E257" i="41"/>
  <c r="E261" i="41"/>
  <c r="E269" i="41"/>
  <c r="H269" i="41"/>
  <c r="J268" i="41"/>
  <c r="F268" i="41"/>
  <c r="E268" i="41"/>
  <c r="F261" i="41"/>
  <c r="J261" i="41"/>
  <c r="J267" i="41"/>
  <c r="F267" i="41"/>
  <c r="E267" i="41"/>
  <c r="H250" i="41"/>
  <c r="E246" i="41"/>
  <c r="E250" i="41"/>
  <c r="H246" i="41"/>
  <c r="H247" i="41"/>
  <c r="F256" i="41"/>
  <c r="F247" i="41"/>
  <c r="E258" i="41"/>
  <c r="J258" i="41"/>
  <c r="J256" i="41"/>
  <c r="E256" i="41"/>
  <c r="H255" i="41"/>
  <c r="J259" i="41"/>
  <c r="F259" i="41"/>
  <c r="E259" i="41"/>
  <c r="F258" i="41"/>
  <c r="E255" i="41"/>
  <c r="F238" i="41"/>
  <c r="H242" i="41"/>
  <c r="J242" i="41" s="1"/>
  <c r="F242" i="41"/>
  <c r="F240" i="41"/>
  <c r="F239" i="41"/>
  <c r="E237" i="41"/>
  <c r="J240" i="41"/>
  <c r="E243" i="41"/>
  <c r="E240" i="41"/>
  <c r="E239" i="41"/>
  <c r="E238" i="41"/>
  <c r="E241" i="41"/>
  <c r="H241" i="41"/>
  <c r="H237" i="41"/>
  <c r="F243" i="41"/>
  <c r="J239" i="41"/>
  <c r="J243" i="41"/>
  <c r="J238" i="41"/>
  <c r="F181" i="41"/>
  <c r="H181" i="41"/>
  <c r="H164" i="41"/>
  <c r="H127" i="41"/>
  <c r="F127" i="41"/>
  <c r="F126" i="41"/>
  <c r="E126" i="41"/>
  <c r="J309" i="41" l="1"/>
  <c r="J283" i="41"/>
  <c r="J315" i="41"/>
  <c r="J257" i="41"/>
  <c r="J264" i="41"/>
  <c r="J289" i="41"/>
  <c r="J311" i="41"/>
  <c r="J307" i="41"/>
  <c r="J306" i="41"/>
  <c r="J308" i="41"/>
  <c r="J312" i="41"/>
  <c r="J287" i="41"/>
  <c r="J285" i="41"/>
  <c r="J284" i="41"/>
  <c r="J275" i="41"/>
  <c r="J282" i="41"/>
  <c r="J273" i="41"/>
  <c r="J269" i="41"/>
  <c r="J250" i="41"/>
  <c r="J247" i="41"/>
  <c r="J246" i="41"/>
  <c r="J255" i="41"/>
  <c r="J241" i="41"/>
  <c r="J237" i="41"/>
  <c r="J181" i="41"/>
  <c r="D405" i="41" l="1"/>
  <c r="D404" i="41"/>
  <c r="C404" i="41"/>
  <c r="H404" i="41" s="1"/>
  <c r="D400" i="41"/>
  <c r="D374" i="41"/>
  <c r="C374" i="41"/>
  <c r="D368" i="41"/>
  <c r="D371" i="41"/>
  <c r="C371" i="41"/>
  <c r="D370" i="41"/>
  <c r="C370" i="41"/>
  <c r="D369" i="41"/>
  <c r="C369" i="41"/>
  <c r="C368" i="41"/>
  <c r="D366" i="41"/>
  <c r="E498" i="43"/>
  <c r="E495" i="43"/>
  <c r="E496" i="43"/>
  <c r="E492" i="43"/>
  <c r="E491" i="43"/>
  <c r="E490" i="43"/>
  <c r="E487" i="43"/>
  <c r="E485" i="43"/>
  <c r="E484" i="43"/>
  <c r="E480" i="43"/>
  <c r="E479" i="43"/>
  <c r="E475" i="43"/>
  <c r="E474" i="43"/>
  <c r="E470" i="43"/>
  <c r="E469" i="43"/>
  <c r="E335" i="41"/>
  <c r="C936" i="44"/>
  <c r="E936" i="44" s="1"/>
  <c r="E409" i="43"/>
  <c r="F409" i="43"/>
  <c r="H409" i="43"/>
  <c r="I409" i="43" s="1"/>
  <c r="H408" i="43"/>
  <c r="I408" i="43" s="1"/>
  <c r="F408" i="43"/>
  <c r="E408" i="43"/>
  <c r="H407" i="43"/>
  <c r="I407" i="43" s="1"/>
  <c r="F407" i="43"/>
  <c r="E407" i="43"/>
  <c r="H406" i="43"/>
  <c r="I406" i="43" s="1"/>
  <c r="F406" i="43"/>
  <c r="E406" i="43"/>
  <c r="L935" i="44"/>
  <c r="E935" i="44"/>
  <c r="C930" i="44"/>
  <c r="C400" i="41" s="1"/>
  <c r="I414" i="43"/>
  <c r="H413" i="43"/>
  <c r="I413" i="43" s="1"/>
  <c r="F413" i="43"/>
  <c r="E413" i="43"/>
  <c r="H412" i="43"/>
  <c r="I412" i="43" s="1"/>
  <c r="F412" i="43"/>
  <c r="E412" i="43"/>
  <c r="E382" i="43"/>
  <c r="F382" i="43"/>
  <c r="H382" i="43"/>
  <c r="I382" i="43" s="1"/>
  <c r="E388" i="43"/>
  <c r="F388" i="43"/>
  <c r="H388" i="43"/>
  <c r="I388" i="43" s="1"/>
  <c r="C913" i="44"/>
  <c r="C912" i="44"/>
  <c r="I424" i="43"/>
  <c r="H423" i="43"/>
  <c r="I423" i="43" s="1"/>
  <c r="E423" i="43"/>
  <c r="H422" i="43"/>
  <c r="I422" i="43" s="1"/>
  <c r="E422" i="43"/>
  <c r="I419" i="43"/>
  <c r="E418" i="43"/>
  <c r="H418" i="43"/>
  <c r="I418" i="43" s="1"/>
  <c r="H417" i="43"/>
  <c r="I417" i="43" s="1"/>
  <c r="E417" i="43"/>
  <c r="L908" i="44"/>
  <c r="E908" i="44"/>
  <c r="L907" i="44"/>
  <c r="E907" i="44"/>
  <c r="L877" i="44"/>
  <c r="E877" i="44"/>
  <c r="K508" i="44"/>
  <c r="K502" i="44"/>
  <c r="K498" i="44"/>
  <c r="K494" i="44"/>
  <c r="C496" i="44"/>
  <c r="E158" i="43"/>
  <c r="E151" i="43"/>
  <c r="I159" i="43"/>
  <c r="H158" i="43"/>
  <c r="I158" i="43" s="1"/>
  <c r="F158" i="43"/>
  <c r="H157" i="43"/>
  <c r="I157" i="43" s="1"/>
  <c r="F157" i="43"/>
  <c r="E157" i="43"/>
  <c r="H156" i="43"/>
  <c r="I156" i="43" s="1"/>
  <c r="F156" i="43"/>
  <c r="E156" i="43"/>
  <c r="H155" i="43"/>
  <c r="I155" i="43" s="1"/>
  <c r="F155" i="43"/>
  <c r="E155" i="43"/>
  <c r="E152" i="43"/>
  <c r="F152" i="43"/>
  <c r="H152" i="43"/>
  <c r="C484" i="44"/>
  <c r="C160" i="41" s="1"/>
  <c r="E137" i="43"/>
  <c r="F137" i="43"/>
  <c r="H137" i="43"/>
  <c r="I137" i="43" s="1"/>
  <c r="E138" i="43"/>
  <c r="F138" i="43"/>
  <c r="H138" i="43"/>
  <c r="I138" i="43" s="1"/>
  <c r="E912" i="44" l="1"/>
  <c r="C384" i="41"/>
  <c r="E913" i="44"/>
  <c r="C385" i="41"/>
  <c r="I154" i="43"/>
  <c r="K418" i="44"/>
  <c r="E930" i="44"/>
  <c r="I405" i="43"/>
  <c r="E496" i="44"/>
  <c r="C163" i="41"/>
  <c r="F404" i="41"/>
  <c r="C405" i="41"/>
  <c r="J404" i="41"/>
  <c r="E404" i="41"/>
  <c r="I411" i="43"/>
  <c r="I421" i="43"/>
  <c r="I416" i="43"/>
  <c r="E145" i="43" l="1"/>
  <c r="F145" i="43"/>
  <c r="H145" i="43"/>
  <c r="I145" i="43" s="1"/>
  <c r="H144" i="43"/>
  <c r="I144" i="43" s="1"/>
  <c r="F144" i="43"/>
  <c r="E144" i="43"/>
  <c r="H143" i="43"/>
  <c r="I143" i="43" s="1"/>
  <c r="F143" i="43"/>
  <c r="E143" i="43"/>
  <c r="H142" i="43"/>
  <c r="I142" i="43" s="1"/>
  <c r="F142" i="43"/>
  <c r="E142" i="43"/>
  <c r="H141" i="43"/>
  <c r="I141" i="43" s="1"/>
  <c r="F141" i="43"/>
  <c r="E141" i="43"/>
  <c r="K480" i="44"/>
  <c r="K477" i="44"/>
  <c r="K478" i="44"/>
  <c r="K476" i="44"/>
  <c r="I140" i="43" l="1"/>
  <c r="E484" i="44"/>
  <c r="E102" i="43"/>
  <c r="F102" i="43"/>
  <c r="H102" i="43"/>
  <c r="I102" i="43" s="1"/>
  <c r="H101" i="43"/>
  <c r="I101" i="43" s="1"/>
  <c r="F101" i="43"/>
  <c r="E101" i="43"/>
  <c r="K217" i="44"/>
  <c r="P217" i="44" s="1"/>
  <c r="K216" i="44"/>
  <c r="P216" i="44" s="1"/>
  <c r="E214" i="44"/>
  <c r="K214" i="44" s="1"/>
  <c r="P214" i="44" s="1"/>
  <c r="E213" i="44"/>
  <c r="K213" i="44" s="1"/>
  <c r="P213" i="44" s="1"/>
  <c r="E215" i="44"/>
  <c r="K215" i="44" s="1"/>
  <c r="P215" i="44" s="1"/>
  <c r="E212" i="44"/>
  <c r="K212" i="44" s="1"/>
  <c r="P212" i="44" s="1"/>
  <c r="H211" i="44"/>
  <c r="K211" i="44" s="1"/>
  <c r="H209" i="44"/>
  <c r="K209" i="44" s="1"/>
  <c r="K208" i="44"/>
  <c r="P208" i="44" s="1"/>
  <c r="H188" i="44"/>
  <c r="E188" i="44"/>
  <c r="K186" i="44"/>
  <c r="K189" i="44"/>
  <c r="K192" i="44"/>
  <c r="P192" i="44" s="1"/>
  <c r="K193" i="44"/>
  <c r="P193" i="44" s="1"/>
  <c r="K194" i="44"/>
  <c r="P194" i="44" s="1"/>
  <c r="K195" i="44"/>
  <c r="P195" i="44" s="1"/>
  <c r="K196" i="44"/>
  <c r="P196" i="44" s="1"/>
  <c r="K197" i="44"/>
  <c r="P197" i="44" s="1"/>
  <c r="K198" i="44"/>
  <c r="P198" i="44" s="1"/>
  <c r="K199" i="44"/>
  <c r="P199" i="44" s="1"/>
  <c r="K200" i="44"/>
  <c r="P200" i="44" s="1"/>
  <c r="K201" i="44"/>
  <c r="P201" i="44" s="1"/>
  <c r="K202" i="44"/>
  <c r="P202" i="44" s="1"/>
  <c r="K203" i="44"/>
  <c r="P203" i="44" s="1"/>
  <c r="K204" i="44"/>
  <c r="P204" i="44" s="1"/>
  <c r="K205" i="44"/>
  <c r="P205" i="44" s="1"/>
  <c r="K206" i="44"/>
  <c r="P206" i="44" s="1"/>
  <c r="K207" i="44"/>
  <c r="P207" i="44" s="1"/>
  <c r="H187" i="44"/>
  <c r="K187" i="44" s="1"/>
  <c r="E41" i="43"/>
  <c r="F41" i="43"/>
  <c r="H41" i="43"/>
  <c r="I41" i="43" s="1"/>
  <c r="E42" i="43"/>
  <c r="F42" i="43"/>
  <c r="H42" i="43"/>
  <c r="I42" i="43" s="1"/>
  <c r="M185" i="44" l="1"/>
  <c r="P189" i="44"/>
  <c r="K396" i="44" s="1"/>
  <c r="I100" i="43"/>
  <c r="K188" i="44"/>
  <c r="K173" i="44"/>
  <c r="K175" i="44"/>
  <c r="K176" i="44"/>
  <c r="E178" i="44"/>
  <c r="K178" i="44" s="1"/>
  <c r="E177" i="44"/>
  <c r="K177" i="44" s="1"/>
  <c r="K160" i="44"/>
  <c r="K134" i="44"/>
  <c r="K135" i="44"/>
  <c r="K133" i="44"/>
  <c r="K169" i="44" l="1"/>
  <c r="K131" i="44"/>
  <c r="E184" i="44" l="1"/>
  <c r="K184" i="44" s="1"/>
  <c r="K159" i="44"/>
  <c r="K149" i="44"/>
  <c r="E858" i="44"/>
  <c r="L398" i="44"/>
  <c r="E398" i="44"/>
  <c r="M184" i="44" l="1"/>
  <c r="K394" i="44" s="1"/>
  <c r="K182" i="44"/>
  <c r="C809" i="44"/>
  <c r="C313" i="41" s="1"/>
  <c r="I330" i="43"/>
  <c r="H329" i="43"/>
  <c r="I329" i="43" s="1"/>
  <c r="F329" i="43"/>
  <c r="E329" i="43"/>
  <c r="H328" i="43"/>
  <c r="I328" i="43" s="1"/>
  <c r="F328" i="43"/>
  <c r="E328" i="43"/>
  <c r="L817" i="44"/>
  <c r="E817" i="44"/>
  <c r="L815" i="44"/>
  <c r="E815" i="44"/>
  <c r="C1001" i="44"/>
  <c r="C460" i="41" s="1"/>
  <c r="C999" i="44"/>
  <c r="C459" i="41" s="1"/>
  <c r="L1009" i="44"/>
  <c r="C1005" i="44"/>
  <c r="C463" i="41" s="1"/>
  <c r="E564" i="43"/>
  <c r="F564" i="43"/>
  <c r="H564" i="43"/>
  <c r="I564" i="43" s="1"/>
  <c r="H563" i="43"/>
  <c r="I563" i="43" s="1"/>
  <c r="F563" i="43"/>
  <c r="E563" i="43"/>
  <c r="H562" i="43"/>
  <c r="I562" i="43" s="1"/>
  <c r="F562" i="43"/>
  <c r="E562" i="43"/>
  <c r="M182" i="44" l="1"/>
  <c r="K220" i="44"/>
  <c r="E809" i="44"/>
  <c r="I327" i="43"/>
  <c r="I561" i="43"/>
  <c r="E1009" i="44"/>
  <c r="E1005" i="44" l="1"/>
  <c r="K450" i="44"/>
  <c r="K449" i="44"/>
  <c r="K447" i="44" l="1"/>
  <c r="C112" i="41"/>
  <c r="D109" i="41"/>
  <c r="C109" i="41"/>
  <c r="E202" i="41"/>
  <c r="E183" i="41"/>
  <c r="D178" i="41"/>
  <c r="D174" i="41"/>
  <c r="D173" i="41"/>
  <c r="D172" i="41"/>
  <c r="D170" i="41"/>
  <c r="D169" i="41"/>
  <c r="D168" i="41"/>
  <c r="H179" i="41"/>
  <c r="C178" i="41"/>
  <c r="C174" i="41"/>
  <c r="E174" i="41" s="1"/>
  <c r="C173" i="41"/>
  <c r="F173" i="41" s="1"/>
  <c r="C172" i="41"/>
  <c r="H172" i="41" s="1"/>
  <c r="C170" i="41"/>
  <c r="C169" i="41"/>
  <c r="C168" i="41"/>
  <c r="E167" i="41"/>
  <c r="D159" i="41"/>
  <c r="D158" i="41"/>
  <c r="D157" i="41"/>
  <c r="C158" i="41"/>
  <c r="C157" i="41"/>
  <c r="E156" i="41"/>
  <c r="D154" i="41"/>
  <c r="C154" i="41"/>
  <c r="F154" i="41" s="1"/>
  <c r="D153" i="41"/>
  <c r="D152" i="41"/>
  <c r="C152" i="41"/>
  <c r="E151" i="41"/>
  <c r="E118" i="41"/>
  <c r="D112" i="41"/>
  <c r="E111" i="41"/>
  <c r="E108" i="41"/>
  <c r="E107" i="41"/>
  <c r="E96" i="41"/>
  <c r="D93" i="41"/>
  <c r="C93" i="41"/>
  <c r="D92" i="41"/>
  <c r="C92" i="41"/>
  <c r="D91" i="41"/>
  <c r="C91" i="41"/>
  <c r="D90" i="41"/>
  <c r="C90" i="41"/>
  <c r="E89" i="41"/>
  <c r="E88" i="41"/>
  <c r="D63" i="41"/>
  <c r="C63" i="41"/>
  <c r="D62" i="41"/>
  <c r="C62" i="41"/>
  <c r="D61" i="41"/>
  <c r="C61" i="41"/>
  <c r="D47" i="41"/>
  <c r="D46" i="41"/>
  <c r="D45" i="41"/>
  <c r="D44" i="41"/>
  <c r="C44" i="41"/>
  <c r="F44" i="41" s="1"/>
  <c r="D43" i="41"/>
  <c r="C43" i="41"/>
  <c r="E43" i="41" s="1"/>
  <c r="D42" i="41"/>
  <c r="C42" i="41"/>
  <c r="E42" i="41" s="1"/>
  <c r="D37" i="41"/>
  <c r="C37" i="41"/>
  <c r="D36" i="41"/>
  <c r="C36" i="41"/>
  <c r="D35" i="41"/>
  <c r="D34" i="41"/>
  <c r="C34" i="41"/>
  <c r="D32" i="41"/>
  <c r="C32" i="41"/>
  <c r="D31" i="41"/>
  <c r="C31" i="41"/>
  <c r="D30" i="41"/>
  <c r="C30" i="41"/>
  <c r="D29" i="41"/>
  <c r="C29" i="41"/>
  <c r="D28" i="41"/>
  <c r="C28" i="41"/>
  <c r="D27" i="41"/>
  <c r="C27" i="41"/>
  <c r="D26" i="41"/>
  <c r="C26" i="41"/>
  <c r="D25" i="41"/>
  <c r="C1026" i="44"/>
  <c r="I623" i="43"/>
  <c r="H622" i="43"/>
  <c r="I622" i="43" s="1"/>
  <c r="F622" i="43"/>
  <c r="E622" i="43"/>
  <c r="E1028" i="44"/>
  <c r="C37" i="33" l="1"/>
  <c r="C37" i="50"/>
  <c r="C25" i="33"/>
  <c r="C25" i="50"/>
  <c r="C29" i="50"/>
  <c r="C29" i="33"/>
  <c r="C31" i="50"/>
  <c r="C31" i="33"/>
  <c r="C33" i="50"/>
  <c r="C33" i="33"/>
  <c r="C23" i="50"/>
  <c r="C23" i="33"/>
  <c r="C21" i="50"/>
  <c r="C21" i="33"/>
  <c r="K147" i="41"/>
  <c r="K149" i="41" s="1"/>
  <c r="J147" i="41"/>
  <c r="J149" i="41" s="1"/>
  <c r="E1026" i="44"/>
  <c r="C472" i="41"/>
  <c r="I621" i="43"/>
  <c r="E173" i="41"/>
  <c r="F174" i="41"/>
  <c r="H174" i="41"/>
  <c r="F179" i="41"/>
  <c r="E179" i="41"/>
  <c r="F172" i="41"/>
  <c r="J172" i="41"/>
  <c r="H173" i="41"/>
  <c r="E172" i="41"/>
  <c r="E154" i="41"/>
  <c r="H154" i="41"/>
  <c r="H44" i="41"/>
  <c r="E44" i="41"/>
  <c r="F43" i="41"/>
  <c r="F42" i="41"/>
  <c r="H42" i="41"/>
  <c r="H43" i="41"/>
  <c r="J174" i="41" l="1"/>
  <c r="J173" i="41"/>
  <c r="J42" i="41"/>
  <c r="J43" i="41"/>
  <c r="K1020" i="44" l="1"/>
  <c r="K440" i="44"/>
  <c r="K423" i="44"/>
  <c r="K424" i="44"/>
  <c r="K425" i="44"/>
  <c r="K426" i="44"/>
  <c r="K427" i="44"/>
  <c r="K428" i="44"/>
  <c r="K422" i="44"/>
  <c r="C418" i="44"/>
  <c r="H190" i="43"/>
  <c r="I190" i="43" s="1"/>
  <c r="F190" i="43"/>
  <c r="E190" i="43"/>
  <c r="H189" i="43"/>
  <c r="I189" i="43" s="1"/>
  <c r="F189" i="43"/>
  <c r="E189" i="43"/>
  <c r="H188" i="43"/>
  <c r="I188" i="43" s="1"/>
  <c r="F188" i="43"/>
  <c r="E188" i="43"/>
  <c r="G594" i="44"/>
  <c r="E594" i="44"/>
  <c r="G593" i="44"/>
  <c r="E593" i="44"/>
  <c r="K589" i="44"/>
  <c r="G588" i="44"/>
  <c r="G587" i="44"/>
  <c r="E588" i="44"/>
  <c r="E587" i="44"/>
  <c r="K569" i="44"/>
  <c r="K567" i="44" s="1"/>
  <c r="C567" i="44"/>
  <c r="C191" i="41" l="1"/>
  <c r="J142" i="41"/>
  <c r="K142" i="41"/>
  <c r="C134" i="41"/>
  <c r="I187" i="43"/>
  <c r="K444" i="44"/>
  <c r="K420" i="44"/>
  <c r="K1017" i="44"/>
  <c r="K588" i="44"/>
  <c r="K593" i="44"/>
  <c r="K594" i="44"/>
  <c r="K587" i="44"/>
  <c r="E567" i="44"/>
  <c r="K432" i="44" l="1"/>
  <c r="K144" i="41"/>
  <c r="K145" i="41" s="1"/>
  <c r="J144" i="41"/>
  <c r="J145" i="41" s="1"/>
  <c r="K585" i="44"/>
  <c r="K591" i="44"/>
  <c r="K135" i="41" l="1"/>
  <c r="J135" i="41"/>
  <c r="K137" i="41"/>
  <c r="J137" i="41"/>
  <c r="F288" i="44"/>
  <c r="J198" i="41" l="1"/>
  <c r="K198" i="41"/>
  <c r="K270" i="44"/>
  <c r="K269" i="44"/>
  <c r="L548" i="44"/>
  <c r="E548" i="44"/>
  <c r="G532" i="44"/>
  <c r="G531" i="44"/>
  <c r="L526" i="44"/>
  <c r="E526" i="44"/>
  <c r="L518" i="44"/>
  <c r="E518" i="44"/>
  <c r="L524" i="44"/>
  <c r="E524" i="44"/>
  <c r="K514" i="44"/>
  <c r="K538" i="44"/>
  <c r="K536" i="44" s="1"/>
  <c r="F532" i="44"/>
  <c r="F531" i="44"/>
  <c r="F530" i="44"/>
  <c r="L528" i="44"/>
  <c r="E528" i="44"/>
  <c r="C544" i="44"/>
  <c r="C180" i="41" s="1"/>
  <c r="L839" i="44"/>
  <c r="E839" i="44"/>
  <c r="L540" i="44"/>
  <c r="E540" i="44"/>
  <c r="L536" i="44"/>
  <c r="E536" i="44"/>
  <c r="L522" i="44"/>
  <c r="E522" i="44"/>
  <c r="E530" i="44" l="1"/>
  <c r="G530" i="44" s="1"/>
  <c r="K530" i="44" s="1"/>
  <c r="J154" i="41"/>
  <c r="K267" i="44"/>
  <c r="K531" i="44"/>
  <c r="K532" i="44"/>
  <c r="E544" i="44"/>
  <c r="E288" i="44" l="1"/>
  <c r="K288" i="44" s="1"/>
  <c r="F324" i="44"/>
  <c r="K328" i="44"/>
  <c r="K326" i="44" s="1"/>
  <c r="K528" i="44"/>
  <c r="J175" i="41" l="1"/>
  <c r="K175" i="41"/>
  <c r="E332" i="44"/>
  <c r="K332" i="44" s="1"/>
  <c r="K330" i="44" s="1"/>
  <c r="K324" i="44"/>
  <c r="J179" i="41"/>
  <c r="K322" i="44" l="1"/>
  <c r="L514" i="44"/>
  <c r="E514" i="44" l="1"/>
  <c r="E512" i="44"/>
  <c r="K507" i="44"/>
  <c r="K506" i="44"/>
  <c r="K492" i="44"/>
  <c r="K490" i="44"/>
  <c r="K488" i="44" s="1"/>
  <c r="K475" i="44"/>
  <c r="K473" i="44" s="1"/>
  <c r="K471" i="44"/>
  <c r="K470" i="44"/>
  <c r="M131" i="44"/>
  <c r="M234" i="44"/>
  <c r="M232" i="44"/>
  <c r="M230" i="44"/>
  <c r="M226" i="44"/>
  <c r="M224" i="44"/>
  <c r="M222" i="44"/>
  <c r="K504" i="44" l="1"/>
  <c r="K468" i="44"/>
  <c r="K563" i="44"/>
  <c r="K565" i="44"/>
  <c r="C234" i="44" l="1"/>
  <c r="C47" i="41" s="1"/>
  <c r="H65" i="43"/>
  <c r="I65" i="43" s="1"/>
  <c r="I64" i="43" s="1"/>
  <c r="F65" i="43"/>
  <c r="E65" i="43"/>
  <c r="C232" i="44"/>
  <c r="C46" i="41" s="1"/>
  <c r="H62" i="43"/>
  <c r="I62" i="43" s="1"/>
  <c r="I61" i="43" s="1"/>
  <c r="F62" i="43"/>
  <c r="E62" i="43"/>
  <c r="C230" i="44"/>
  <c r="C45" i="41" s="1"/>
  <c r="H59" i="43"/>
  <c r="I59" i="43" s="1"/>
  <c r="I58" i="43" s="1"/>
  <c r="F59" i="43"/>
  <c r="E59" i="43"/>
  <c r="K145" i="44"/>
  <c r="K143" i="44"/>
  <c r="K144" i="44"/>
  <c r="K146" i="44"/>
  <c r="K151" i="44"/>
  <c r="K153" i="44"/>
  <c r="K155" i="44"/>
  <c r="K157" i="44"/>
  <c r="K158" i="44"/>
  <c r="C131" i="44"/>
  <c r="C35" i="41" s="1"/>
  <c r="H56" i="43"/>
  <c r="I56" i="43" s="1"/>
  <c r="I55" i="43" s="1"/>
  <c r="F56" i="43"/>
  <c r="E56" i="43"/>
  <c r="F152" i="44"/>
  <c r="K152" i="44" s="1"/>
  <c r="F156" i="44"/>
  <c r="K156" i="44" s="1"/>
  <c r="F154" i="44"/>
  <c r="K154" i="44" s="1"/>
  <c r="F150" i="44"/>
  <c r="K150" i="44" s="1"/>
  <c r="F148" i="44"/>
  <c r="K148" i="44" s="1"/>
  <c r="F147" i="44"/>
  <c r="K147" i="44" s="1"/>
  <c r="I141" i="44"/>
  <c r="F141" i="44"/>
  <c r="K73" i="44"/>
  <c r="K71" i="44" s="1"/>
  <c r="C71" i="44"/>
  <c r="C25" i="41" s="1"/>
  <c r="H36" i="43"/>
  <c r="I36" i="43" s="1"/>
  <c r="I35" i="43" s="1"/>
  <c r="F36" i="43"/>
  <c r="E36" i="43"/>
  <c r="K69" i="44"/>
  <c r="K102" i="44"/>
  <c r="K68" i="44"/>
  <c r="K67" i="44"/>
  <c r="K66" i="44"/>
  <c r="K65" i="44"/>
  <c r="K64" i="44"/>
  <c r="K62" i="44"/>
  <c r="K63" i="44"/>
  <c r="F59" i="44"/>
  <c r="K59" i="44" s="1"/>
  <c r="E77" i="44"/>
  <c r="K166" i="44"/>
  <c r="K259" i="44"/>
  <c r="C1024" i="44"/>
  <c r="C471" i="41" s="1"/>
  <c r="E616" i="43"/>
  <c r="F616" i="43"/>
  <c r="H616" i="43"/>
  <c r="I616" i="43" s="1"/>
  <c r="E617" i="43"/>
  <c r="F617" i="43"/>
  <c r="H617" i="43"/>
  <c r="I617" i="43" s="1"/>
  <c r="E618" i="43"/>
  <c r="F618" i="43"/>
  <c r="H618" i="43"/>
  <c r="I618" i="43" s="1"/>
  <c r="E619" i="43"/>
  <c r="F619" i="43"/>
  <c r="H619" i="43"/>
  <c r="I619" i="43" s="1"/>
  <c r="I615" i="43"/>
  <c r="F615" i="43"/>
  <c r="H614" i="43"/>
  <c r="I614" i="43" s="1"/>
  <c r="F614" i="43"/>
  <c r="E614" i="43"/>
  <c r="L813" i="44"/>
  <c r="E813" i="44"/>
  <c r="L811" i="44"/>
  <c r="E811" i="44"/>
  <c r="C1022" i="44"/>
  <c r="C470" i="41" s="1"/>
  <c r="H611" i="43"/>
  <c r="I611" i="43" s="1"/>
  <c r="F611" i="43"/>
  <c r="E611" i="43"/>
  <c r="H610" i="43"/>
  <c r="I610" i="43" s="1"/>
  <c r="F610" i="43"/>
  <c r="E610" i="43"/>
  <c r="C1017" i="44"/>
  <c r="C469" i="41" s="1"/>
  <c r="G606" i="43"/>
  <c r="E607" i="43"/>
  <c r="F607" i="43"/>
  <c r="H607" i="43"/>
  <c r="I607" i="43" s="1"/>
  <c r="H606" i="43"/>
  <c r="F606" i="43"/>
  <c r="E606" i="43"/>
  <c r="H605" i="43"/>
  <c r="I605" i="43" s="1"/>
  <c r="F605" i="43"/>
  <c r="E605" i="43"/>
  <c r="H604" i="43"/>
  <c r="I604" i="43" s="1"/>
  <c r="F604" i="43"/>
  <c r="E604" i="43"/>
  <c r="C1015" i="44"/>
  <c r="C468" i="41" s="1"/>
  <c r="H601" i="43"/>
  <c r="I601" i="43" s="1"/>
  <c r="F601" i="43"/>
  <c r="E601" i="43"/>
  <c r="H600" i="43"/>
  <c r="I600" i="43" s="1"/>
  <c r="F600" i="43"/>
  <c r="E600" i="43"/>
  <c r="H599" i="43"/>
  <c r="I599" i="43" s="1"/>
  <c r="F599" i="43"/>
  <c r="E599" i="43"/>
  <c r="H598" i="43"/>
  <c r="I598" i="43" s="1"/>
  <c r="F598" i="43"/>
  <c r="E598" i="43"/>
  <c r="H597" i="43"/>
  <c r="I597" i="43" s="1"/>
  <c r="F597" i="43"/>
  <c r="E597" i="43"/>
  <c r="C1013" i="44"/>
  <c r="C467" i="41" s="1"/>
  <c r="F570" i="43"/>
  <c r="F571" i="43"/>
  <c r="F572" i="43"/>
  <c r="F573" i="43"/>
  <c r="F574" i="43"/>
  <c r="F575" i="43"/>
  <c r="F576" i="43"/>
  <c r="F577" i="43"/>
  <c r="F578" i="43"/>
  <c r="F579" i="43"/>
  <c r="F580" i="43"/>
  <c r="F581" i="43"/>
  <c r="F582" i="43"/>
  <c r="F583" i="43"/>
  <c r="F584" i="43"/>
  <c r="F585" i="43"/>
  <c r="F586" i="43"/>
  <c r="F587" i="43"/>
  <c r="F588" i="43"/>
  <c r="F589" i="43"/>
  <c r="F592" i="43"/>
  <c r="F593" i="43"/>
  <c r="F594" i="43"/>
  <c r="F569" i="43"/>
  <c r="C47" i="45"/>
  <c r="K77" i="44" l="1"/>
  <c r="K75" i="44" s="1"/>
  <c r="K141" i="44"/>
  <c r="K138" i="44" s="1"/>
  <c r="M71" i="44"/>
  <c r="I613" i="43"/>
  <c r="E1024" i="44"/>
  <c r="I609" i="43"/>
  <c r="I596" i="43"/>
  <c r="I606" i="43"/>
  <c r="I603" i="43" s="1"/>
  <c r="E1022" i="44"/>
  <c r="E1017" i="44"/>
  <c r="E1015" i="44"/>
  <c r="E1013" i="44"/>
  <c r="M75" i="44" l="1"/>
  <c r="M138" i="44"/>
  <c r="K164" i="44"/>
  <c r="K162" i="44" s="1"/>
  <c r="K58" i="44"/>
  <c r="K10" i="44"/>
  <c r="K8" i="44" s="1"/>
  <c r="C997" i="44"/>
  <c r="C458" i="41" s="1"/>
  <c r="C993" i="44"/>
  <c r="C455" i="41" s="1"/>
  <c r="E925" i="44"/>
  <c r="L891" i="44"/>
  <c r="E891" i="44"/>
  <c r="L885" i="44"/>
  <c r="E885" i="44"/>
  <c r="E879" i="44"/>
  <c r="E878" i="44"/>
  <c r="E876" i="44"/>
  <c r="E875" i="44"/>
  <c r="E874" i="44"/>
  <c r="E873" i="44"/>
  <c r="E872" i="44"/>
  <c r="E871" i="44"/>
  <c r="E870" i="44"/>
  <c r="E869" i="44"/>
  <c r="E868" i="44"/>
  <c r="E867" i="44"/>
  <c r="E866" i="44"/>
  <c r="E865" i="44"/>
  <c r="E857" i="44"/>
  <c r="E856" i="44"/>
  <c r="E855" i="44"/>
  <c r="E854" i="44"/>
  <c r="E853" i="44"/>
  <c r="H300" i="43"/>
  <c r="I300" i="43" s="1"/>
  <c r="H301" i="43"/>
  <c r="I301" i="43" s="1"/>
  <c r="H302" i="43"/>
  <c r="I302" i="43" s="1"/>
  <c r="H303" i="43"/>
  <c r="I303" i="43" s="1"/>
  <c r="H304" i="43"/>
  <c r="I304" i="43" s="1"/>
  <c r="H305" i="43"/>
  <c r="I305" i="43" s="1"/>
  <c r="H306" i="43"/>
  <c r="H307" i="43"/>
  <c r="I307" i="43" s="1"/>
  <c r="H308" i="43"/>
  <c r="I308" i="43" s="1"/>
  <c r="H309" i="43"/>
  <c r="I309" i="43" s="1"/>
  <c r="H310" i="43"/>
  <c r="I310" i="43" s="1"/>
  <c r="H311" i="43"/>
  <c r="I311" i="43" s="1"/>
  <c r="H312" i="43"/>
  <c r="I312" i="43" s="1"/>
  <c r="H313" i="43"/>
  <c r="I313" i="43" s="1"/>
  <c r="H314" i="43"/>
  <c r="I314" i="43" s="1"/>
  <c r="H315" i="43"/>
  <c r="H316" i="43"/>
  <c r="I316" i="43" s="1"/>
  <c r="H317" i="43"/>
  <c r="I317" i="43" s="1"/>
  <c r="H318" i="43"/>
  <c r="I318" i="43" s="1"/>
  <c r="H319" i="43"/>
  <c r="I319" i="43" s="1"/>
  <c r="H320" i="43"/>
  <c r="I320" i="43" s="1"/>
  <c r="H321" i="43"/>
  <c r="I321" i="43" s="1"/>
  <c r="H322" i="43"/>
  <c r="I322" i="43" s="1"/>
  <c r="H323" i="43"/>
  <c r="I323" i="43" s="1"/>
  <c r="H324" i="43"/>
  <c r="I324" i="43" s="1"/>
  <c r="H325" i="43"/>
  <c r="I325" i="43" s="1"/>
  <c r="E300" i="43"/>
  <c r="F300" i="43"/>
  <c r="E301" i="43"/>
  <c r="F301" i="43"/>
  <c r="E302" i="43"/>
  <c r="F302" i="43"/>
  <c r="E303" i="43"/>
  <c r="F303" i="43"/>
  <c r="E304" i="43"/>
  <c r="F304" i="43"/>
  <c r="E305" i="43"/>
  <c r="F305" i="43"/>
  <c r="F306" i="43"/>
  <c r="E307" i="43"/>
  <c r="F307" i="43"/>
  <c r="E308" i="43"/>
  <c r="F308" i="43"/>
  <c r="E309" i="43"/>
  <c r="F309" i="43"/>
  <c r="E310" i="43"/>
  <c r="F310" i="43"/>
  <c r="E311" i="43"/>
  <c r="F311" i="43"/>
  <c r="E312" i="43"/>
  <c r="F312" i="43"/>
  <c r="E313" i="43"/>
  <c r="F313" i="43"/>
  <c r="E314" i="43"/>
  <c r="F314" i="43"/>
  <c r="F315" i="43"/>
  <c r="E316" i="43"/>
  <c r="F316" i="43"/>
  <c r="E317" i="43"/>
  <c r="F317" i="43"/>
  <c r="E318" i="43"/>
  <c r="F318" i="43"/>
  <c r="E319" i="43"/>
  <c r="F319" i="43"/>
  <c r="E320" i="43"/>
  <c r="F320" i="43"/>
  <c r="E321" i="43"/>
  <c r="F321" i="43"/>
  <c r="E322" i="43"/>
  <c r="F322" i="43"/>
  <c r="E323" i="43"/>
  <c r="F323" i="43"/>
  <c r="E324" i="43"/>
  <c r="F324" i="43"/>
  <c r="E325" i="43"/>
  <c r="F325" i="43"/>
  <c r="H299" i="43"/>
  <c r="I299" i="43" s="1"/>
  <c r="F299" i="43"/>
  <c r="E299" i="43"/>
  <c r="H298" i="43"/>
  <c r="I298" i="43" s="1"/>
  <c r="F298" i="43"/>
  <c r="E298" i="43"/>
  <c r="H297" i="43"/>
  <c r="I297" i="43" s="1"/>
  <c r="F297" i="43"/>
  <c r="E297" i="43"/>
  <c r="H296" i="43"/>
  <c r="I296" i="43" s="1"/>
  <c r="F296" i="43"/>
  <c r="E296" i="43"/>
  <c r="L807" i="44"/>
  <c r="E807" i="44"/>
  <c r="L805" i="44"/>
  <c r="E805" i="44"/>
  <c r="L803" i="44"/>
  <c r="E803" i="44"/>
  <c r="L801" i="44"/>
  <c r="E801" i="44"/>
  <c r="L799" i="44"/>
  <c r="E799" i="44"/>
  <c r="L797" i="44"/>
  <c r="E797" i="44"/>
  <c r="L795" i="44"/>
  <c r="E795" i="44"/>
  <c r="L783" i="44"/>
  <c r="E783" i="44"/>
  <c r="L781" i="44"/>
  <c r="E781" i="44"/>
  <c r="L779" i="44"/>
  <c r="E779" i="44"/>
  <c r="L777" i="44"/>
  <c r="H293" i="43"/>
  <c r="I293" i="43" s="1"/>
  <c r="F293" i="43"/>
  <c r="E293" i="43"/>
  <c r="H292" i="43"/>
  <c r="I292" i="43" s="1"/>
  <c r="F292" i="43"/>
  <c r="E292" i="43"/>
  <c r="H291" i="43"/>
  <c r="I291" i="43" s="1"/>
  <c r="F291" i="43"/>
  <c r="E291" i="43"/>
  <c r="H290" i="43"/>
  <c r="I290" i="43" s="1"/>
  <c r="F290" i="43"/>
  <c r="E290" i="43"/>
  <c r="H289" i="43"/>
  <c r="I289" i="43" s="1"/>
  <c r="F289" i="43"/>
  <c r="E289" i="43"/>
  <c r="H288" i="43"/>
  <c r="I288" i="43" s="1"/>
  <c r="F288" i="43"/>
  <c r="E288" i="43"/>
  <c r="L773" i="44"/>
  <c r="E773" i="44"/>
  <c r="L771" i="44"/>
  <c r="E771" i="44"/>
  <c r="L769" i="44"/>
  <c r="E769" i="44"/>
  <c r="L767" i="44"/>
  <c r="E767" i="44"/>
  <c r="L765" i="44"/>
  <c r="E765" i="44"/>
  <c r="L763" i="44"/>
  <c r="E763" i="44"/>
  <c r="L761" i="44"/>
  <c r="E761" i="44"/>
  <c r="L759" i="44"/>
  <c r="E759" i="44"/>
  <c r="L757" i="44"/>
  <c r="E757" i="44"/>
  <c r="L755" i="44"/>
  <c r="E755" i="44"/>
  <c r="L753" i="44"/>
  <c r="E753" i="44"/>
  <c r="L751" i="44"/>
  <c r="E751" i="44"/>
  <c r="C745" i="44"/>
  <c r="C280" i="41" s="1"/>
  <c r="H285" i="43"/>
  <c r="I285" i="43" s="1"/>
  <c r="F285" i="43"/>
  <c r="E285" i="43"/>
  <c r="H284" i="43"/>
  <c r="I284" i="43" s="1"/>
  <c r="F284" i="43"/>
  <c r="E284" i="43"/>
  <c r="H283" i="43"/>
  <c r="I283" i="43" s="1"/>
  <c r="F283" i="43"/>
  <c r="E283" i="43"/>
  <c r="H282" i="43"/>
  <c r="I282" i="43" s="1"/>
  <c r="F282" i="43"/>
  <c r="E282" i="43"/>
  <c r="H281" i="43"/>
  <c r="I281" i="43" s="1"/>
  <c r="F281" i="43"/>
  <c r="E281" i="43"/>
  <c r="H280" i="43"/>
  <c r="I280" i="43" s="1"/>
  <c r="F280" i="43"/>
  <c r="E280" i="43"/>
  <c r="C743" i="44"/>
  <c r="C279" i="41" s="1"/>
  <c r="H277" i="43"/>
  <c r="I277" i="43" s="1"/>
  <c r="F277" i="43"/>
  <c r="E277" i="43"/>
  <c r="H276" i="43"/>
  <c r="I276" i="43" s="1"/>
  <c r="F276" i="43"/>
  <c r="E276" i="43"/>
  <c r="H275" i="43"/>
  <c r="I275" i="43" s="1"/>
  <c r="F275" i="43"/>
  <c r="E275" i="43"/>
  <c r="H274" i="43"/>
  <c r="I274" i="43" s="1"/>
  <c r="F274" i="43"/>
  <c r="E274" i="43"/>
  <c r="H273" i="43"/>
  <c r="I273" i="43" s="1"/>
  <c r="F273" i="43"/>
  <c r="E273" i="43"/>
  <c r="H272" i="43"/>
  <c r="I272" i="43" s="1"/>
  <c r="F272" i="43"/>
  <c r="E272" i="43"/>
  <c r="C741" i="44"/>
  <c r="C278" i="41" s="1"/>
  <c r="E269" i="43"/>
  <c r="F269" i="43"/>
  <c r="H269" i="43"/>
  <c r="I269" i="43" s="1"/>
  <c r="H268" i="43"/>
  <c r="I268" i="43" s="1"/>
  <c r="F268" i="43"/>
  <c r="E268" i="43"/>
  <c r="H267" i="43"/>
  <c r="I267" i="43" s="1"/>
  <c r="F267" i="43"/>
  <c r="E267" i="43"/>
  <c r="H266" i="43"/>
  <c r="I266" i="43" s="1"/>
  <c r="F266" i="43"/>
  <c r="E266" i="43"/>
  <c r="H265" i="43"/>
  <c r="I265" i="43" s="1"/>
  <c r="F265" i="43"/>
  <c r="E265" i="43"/>
  <c r="H264" i="43"/>
  <c r="I264" i="43" s="1"/>
  <c r="F264" i="43"/>
  <c r="E264" i="43"/>
  <c r="L739" i="44"/>
  <c r="E739" i="44"/>
  <c r="L737" i="44"/>
  <c r="E737" i="44"/>
  <c r="L733" i="44"/>
  <c r="E733" i="44"/>
  <c r="C717" i="44"/>
  <c r="C266" i="41" s="1"/>
  <c r="H261" i="43"/>
  <c r="I261" i="43" s="1"/>
  <c r="F261" i="43"/>
  <c r="E261" i="43"/>
  <c r="I260" i="43"/>
  <c r="H259" i="43"/>
  <c r="I259" i="43" s="1"/>
  <c r="F259" i="43"/>
  <c r="E259" i="43"/>
  <c r="H258" i="43"/>
  <c r="I258" i="43" s="1"/>
  <c r="F258" i="43"/>
  <c r="E258" i="43"/>
  <c r="C715" i="44"/>
  <c r="C265" i="41" s="1"/>
  <c r="H255" i="43"/>
  <c r="I255" i="43" s="1"/>
  <c r="F255" i="43"/>
  <c r="E255" i="43"/>
  <c r="I254" i="43"/>
  <c r="H253" i="43"/>
  <c r="I253" i="43" s="1"/>
  <c r="F253" i="43"/>
  <c r="E253" i="43"/>
  <c r="H252" i="43"/>
  <c r="I252" i="43" s="1"/>
  <c r="F252" i="43"/>
  <c r="E252" i="43"/>
  <c r="E723" i="44"/>
  <c r="L711" i="44"/>
  <c r="E711" i="44"/>
  <c r="L707" i="44"/>
  <c r="E707" i="44"/>
  <c r="L701" i="44"/>
  <c r="E701" i="44"/>
  <c r="L699" i="44"/>
  <c r="E699" i="44"/>
  <c r="L697" i="44"/>
  <c r="E697" i="44"/>
  <c r="L687" i="44"/>
  <c r="E687" i="44"/>
  <c r="C691" i="44"/>
  <c r="C252" i="41" s="1"/>
  <c r="H249" i="43"/>
  <c r="I249" i="43" s="1"/>
  <c r="F249" i="43"/>
  <c r="E249" i="43"/>
  <c r="H248" i="43"/>
  <c r="I248" i="43" s="1"/>
  <c r="F248" i="43"/>
  <c r="E248" i="43"/>
  <c r="H247" i="43"/>
  <c r="I247" i="43" s="1"/>
  <c r="F247" i="43"/>
  <c r="E247" i="43"/>
  <c r="H246" i="43"/>
  <c r="I246" i="43" s="1"/>
  <c r="F246" i="43"/>
  <c r="E246" i="43"/>
  <c r="H245" i="43"/>
  <c r="I245" i="43" s="1"/>
  <c r="F245" i="43"/>
  <c r="E245" i="43"/>
  <c r="L689" i="44"/>
  <c r="H18" i="44"/>
  <c r="H19" i="44"/>
  <c r="C23" i="44"/>
  <c r="E25" i="44"/>
  <c r="L25" i="44"/>
  <c r="K28" i="44"/>
  <c r="K25" i="44" s="1"/>
  <c r="E36" i="44"/>
  <c r="L36" i="44"/>
  <c r="E43" i="44"/>
  <c r="L43" i="44"/>
  <c r="K46" i="44"/>
  <c r="E48" i="44"/>
  <c r="L48" i="44"/>
  <c r="E54" i="44"/>
  <c r="L54" i="44"/>
  <c r="K56" i="44"/>
  <c r="K57" i="44"/>
  <c r="K60" i="44"/>
  <c r="K61" i="44"/>
  <c r="E75" i="44"/>
  <c r="L75" i="44"/>
  <c r="E79" i="44"/>
  <c r="L79" i="44"/>
  <c r="K82" i="44"/>
  <c r="K79" i="44" s="1"/>
  <c r="E84" i="44"/>
  <c r="L84" i="44"/>
  <c r="K86" i="44"/>
  <c r="K84" i="44" s="1"/>
  <c r="E88" i="44"/>
  <c r="L88" i="44"/>
  <c r="K90" i="44"/>
  <c r="K88" i="44" s="1"/>
  <c r="E92" i="44"/>
  <c r="L92" i="44"/>
  <c r="K94" i="44"/>
  <c r="K92" i="44" s="1"/>
  <c r="E96" i="44"/>
  <c r="L96" i="44"/>
  <c r="K99" i="44"/>
  <c r="K100" i="44"/>
  <c r="K101" i="44"/>
  <c r="E104" i="44"/>
  <c r="L104" i="44"/>
  <c r="K106" i="44"/>
  <c r="K107" i="44"/>
  <c r="K108" i="44"/>
  <c r="E115" i="44"/>
  <c r="L115" i="44"/>
  <c r="E224" i="44"/>
  <c r="L224" i="44"/>
  <c r="E226" i="44"/>
  <c r="K228" i="44"/>
  <c r="L226" i="44"/>
  <c r="E228" i="44"/>
  <c r="L228" i="44"/>
  <c r="E138" i="44"/>
  <c r="L138" i="44"/>
  <c r="E162" i="44"/>
  <c r="L162" i="44"/>
  <c r="C169" i="44"/>
  <c r="E182" i="44"/>
  <c r="L182" i="44"/>
  <c r="E220" i="44"/>
  <c r="L220" i="44"/>
  <c r="C222" i="44"/>
  <c r="E246" i="44"/>
  <c r="L246" i="44"/>
  <c r="E250" i="44"/>
  <c r="L250" i="44"/>
  <c r="E256" i="44"/>
  <c r="L256" i="44"/>
  <c r="K260" i="44"/>
  <c r="K261" i="44"/>
  <c r="E267" i="44"/>
  <c r="L267" i="44"/>
  <c r="E274" i="44"/>
  <c r="L274" i="44"/>
  <c r="E276" i="44"/>
  <c r="L276" i="44"/>
  <c r="E278" i="44"/>
  <c r="L278" i="44"/>
  <c r="E280" i="44"/>
  <c r="L280" i="44"/>
  <c r="E284" i="44"/>
  <c r="L284" i="44"/>
  <c r="E286" i="44"/>
  <c r="L286" i="44"/>
  <c r="E294" i="44"/>
  <c r="L294" i="44"/>
  <c r="E298" i="44"/>
  <c r="L298" i="44"/>
  <c r="E304" i="44"/>
  <c r="L304" i="44"/>
  <c r="E306" i="44"/>
  <c r="L306" i="44"/>
  <c r="E308" i="44"/>
  <c r="L308" i="44"/>
  <c r="E310" i="44"/>
  <c r="L310" i="44"/>
  <c r="E314" i="44"/>
  <c r="L314" i="44"/>
  <c r="E316" i="44"/>
  <c r="L316" i="44"/>
  <c r="E320" i="44"/>
  <c r="L320" i="44"/>
  <c r="E322" i="44"/>
  <c r="L322" i="44"/>
  <c r="E326" i="44"/>
  <c r="L326" i="44"/>
  <c r="E330" i="44"/>
  <c r="L330" i="44"/>
  <c r="E337" i="44"/>
  <c r="L337" i="44"/>
  <c r="E339" i="44"/>
  <c r="L339" i="44"/>
  <c r="E341" i="44"/>
  <c r="L341" i="44"/>
  <c r="E343" i="44"/>
  <c r="L343" i="44"/>
  <c r="E361" i="44"/>
  <c r="L361" i="44"/>
  <c r="E368" i="44"/>
  <c r="E372" i="44"/>
  <c r="K374" i="44"/>
  <c r="E379" i="44"/>
  <c r="L379" i="44"/>
  <c r="E381" i="44"/>
  <c r="L381" i="44"/>
  <c r="E383" i="44"/>
  <c r="L383" i="44"/>
  <c r="C394" i="44"/>
  <c r="C124" i="41" s="1"/>
  <c r="E388" i="44"/>
  <c r="L388" i="44"/>
  <c r="E390" i="44"/>
  <c r="L390" i="44"/>
  <c r="E456" i="44"/>
  <c r="L456" i="44"/>
  <c r="C458" i="44"/>
  <c r="E464" i="44"/>
  <c r="L464" i="44"/>
  <c r="E468" i="44"/>
  <c r="L468" i="44"/>
  <c r="E473" i="44"/>
  <c r="L473" i="44"/>
  <c r="C482" i="44"/>
  <c r="C159" i="41" s="1"/>
  <c r="C488" i="44"/>
  <c r="C161" i="41" s="1"/>
  <c r="C492" i="44"/>
  <c r="C162" i="41" s="1"/>
  <c r="E500" i="44"/>
  <c r="L500" i="44"/>
  <c r="C504" i="44"/>
  <c r="C165" i="41" s="1"/>
  <c r="E561" i="44"/>
  <c r="L561" i="44"/>
  <c r="E563" i="44"/>
  <c r="L563" i="44"/>
  <c r="E565" i="44"/>
  <c r="L565" i="44"/>
  <c r="E571" i="44"/>
  <c r="L571" i="44"/>
  <c r="C575" i="44"/>
  <c r="C195" i="41" s="1"/>
  <c r="E577" i="44"/>
  <c r="G577" i="44"/>
  <c r="E578" i="44"/>
  <c r="G578" i="44"/>
  <c r="K579" i="44"/>
  <c r="E581" i="44"/>
  <c r="L581" i="44"/>
  <c r="E583" i="44"/>
  <c r="L583" i="44"/>
  <c r="E585" i="44"/>
  <c r="L585" i="44"/>
  <c r="C591" i="44"/>
  <c r="C199" i="41" s="1"/>
  <c r="E596" i="44"/>
  <c r="L596" i="44"/>
  <c r="C600" i="44"/>
  <c r="C203" i="41" s="1"/>
  <c r="K602" i="44"/>
  <c r="E602" i="44"/>
  <c r="L602" i="44"/>
  <c r="E604" i="44"/>
  <c r="L604" i="44"/>
  <c r="E606" i="44"/>
  <c r="L606" i="44"/>
  <c r="C608" i="44"/>
  <c r="C207" i="41" s="1"/>
  <c r="E610" i="44"/>
  <c r="K610" i="44"/>
  <c r="L610" i="44"/>
  <c r="E612" i="44"/>
  <c r="E614" i="44"/>
  <c r="L614" i="44"/>
  <c r="E405" i="44"/>
  <c r="L405" i="44"/>
  <c r="E407" i="44"/>
  <c r="L407" i="44"/>
  <c r="E418" i="44"/>
  <c r="E420" i="44"/>
  <c r="L420" i="44"/>
  <c r="C430" i="44"/>
  <c r="C136" i="41" s="1"/>
  <c r="K430" i="44"/>
  <c r="E432" i="44"/>
  <c r="L432" i="44"/>
  <c r="E436" i="44"/>
  <c r="L436" i="44"/>
  <c r="E438" i="44"/>
  <c r="L438" i="44"/>
  <c r="E440" i="44"/>
  <c r="L440" i="44"/>
  <c r="E447" i="44"/>
  <c r="L447" i="44"/>
  <c r="E554" i="44"/>
  <c r="L554" i="44"/>
  <c r="K556" i="44"/>
  <c r="E621" i="44"/>
  <c r="L621" i="44"/>
  <c r="C625" i="44"/>
  <c r="C218" i="41" s="1"/>
  <c r="E627" i="44"/>
  <c r="L627" i="44"/>
  <c r="E629" i="44"/>
  <c r="L629" i="44"/>
  <c r="C631" i="44"/>
  <c r="C221" i="41" s="1"/>
  <c r="C633" i="44"/>
  <c r="C222" i="41" s="1"/>
  <c r="E635" i="44"/>
  <c r="L635" i="44"/>
  <c r="E637" i="44"/>
  <c r="L637" i="44"/>
  <c r="E639" i="44"/>
  <c r="L639" i="44"/>
  <c r="E641" i="44"/>
  <c r="L641" i="44"/>
  <c r="E643" i="44"/>
  <c r="L643" i="44"/>
  <c r="E645" i="44"/>
  <c r="L645" i="44"/>
  <c r="E647" i="44"/>
  <c r="L647" i="44"/>
  <c r="E649" i="44"/>
  <c r="L649" i="44"/>
  <c r="E651" i="44"/>
  <c r="L651" i="44"/>
  <c r="E653" i="44"/>
  <c r="L653" i="44"/>
  <c r="C655" i="44"/>
  <c r="C657" i="44"/>
  <c r="E659" i="44"/>
  <c r="L659" i="44"/>
  <c r="C661" i="44"/>
  <c r="E663" i="44"/>
  <c r="L663" i="44"/>
  <c r="E665" i="44"/>
  <c r="L665" i="44"/>
  <c r="E667" i="44"/>
  <c r="L667" i="44"/>
  <c r="E669" i="44"/>
  <c r="L669" i="44"/>
  <c r="E671" i="44"/>
  <c r="L671" i="44"/>
  <c r="E673" i="44"/>
  <c r="L673" i="44"/>
  <c r="E675" i="44"/>
  <c r="L675" i="44"/>
  <c r="E681" i="44"/>
  <c r="L681" i="44"/>
  <c r="E683" i="44"/>
  <c r="L683" i="44"/>
  <c r="C685" i="44"/>
  <c r="C249" i="41" s="1"/>
  <c r="H242" i="43"/>
  <c r="I242" i="43" s="1"/>
  <c r="F242" i="43"/>
  <c r="E242" i="43"/>
  <c r="H241" i="43"/>
  <c r="I241" i="43" s="1"/>
  <c r="F241" i="43"/>
  <c r="E241" i="43"/>
  <c r="H240" i="43"/>
  <c r="I240" i="43" s="1"/>
  <c r="F240" i="43"/>
  <c r="E240" i="43"/>
  <c r="H239" i="43"/>
  <c r="I239" i="43" s="1"/>
  <c r="F239" i="43"/>
  <c r="E239" i="43"/>
  <c r="H238" i="43"/>
  <c r="I238" i="43" s="1"/>
  <c r="F238" i="43"/>
  <c r="E238" i="43"/>
  <c r="H235" i="43"/>
  <c r="I235" i="43" s="1"/>
  <c r="F235" i="43"/>
  <c r="E235" i="43"/>
  <c r="H234" i="43"/>
  <c r="I234" i="43" s="1"/>
  <c r="F234" i="43"/>
  <c r="E234" i="43"/>
  <c r="H233" i="43"/>
  <c r="I233" i="43" s="1"/>
  <c r="F233" i="43"/>
  <c r="E233" i="43"/>
  <c r="H232" i="43"/>
  <c r="I232" i="43" s="1"/>
  <c r="F232" i="43"/>
  <c r="E232" i="43"/>
  <c r="H231" i="43"/>
  <c r="I231" i="43" s="1"/>
  <c r="F231" i="43"/>
  <c r="E231" i="43"/>
  <c r="H228" i="43"/>
  <c r="I228" i="43" s="1"/>
  <c r="F228" i="43"/>
  <c r="E228" i="43"/>
  <c r="H227" i="43"/>
  <c r="I227" i="43" s="1"/>
  <c r="F227" i="43"/>
  <c r="E227" i="43"/>
  <c r="H226" i="43"/>
  <c r="I226" i="43" s="1"/>
  <c r="F226" i="43"/>
  <c r="E226" i="43"/>
  <c r="H225" i="43"/>
  <c r="I225" i="43" s="1"/>
  <c r="F225" i="43"/>
  <c r="E225" i="43"/>
  <c r="H224" i="43"/>
  <c r="I224" i="43" s="1"/>
  <c r="F224" i="43"/>
  <c r="E224" i="43"/>
  <c r="H214" i="43"/>
  <c r="I214" i="43" s="1"/>
  <c r="F214" i="43"/>
  <c r="E214" i="43"/>
  <c r="H213" i="43"/>
  <c r="I213" i="43" s="1"/>
  <c r="F213" i="43"/>
  <c r="E213" i="43"/>
  <c r="H212" i="43"/>
  <c r="I212" i="43" s="1"/>
  <c r="F212" i="43"/>
  <c r="E212" i="43"/>
  <c r="H211" i="43"/>
  <c r="I211" i="43" s="1"/>
  <c r="F211" i="43"/>
  <c r="E211" i="43"/>
  <c r="H208" i="43"/>
  <c r="I208" i="43" s="1"/>
  <c r="F208" i="43"/>
  <c r="E208" i="43"/>
  <c r="H207" i="43"/>
  <c r="I207" i="43" s="1"/>
  <c r="F207" i="43"/>
  <c r="E207" i="43"/>
  <c r="H206" i="43"/>
  <c r="I206" i="43" s="1"/>
  <c r="F206" i="43"/>
  <c r="E206" i="43"/>
  <c r="H205" i="43"/>
  <c r="I205" i="43" s="1"/>
  <c r="F205" i="43"/>
  <c r="E205" i="43"/>
  <c r="E201" i="43"/>
  <c r="F201" i="43"/>
  <c r="H201" i="43"/>
  <c r="I201" i="43" s="1"/>
  <c r="E202" i="43"/>
  <c r="F202" i="43"/>
  <c r="H202" i="43"/>
  <c r="I202" i="43" s="1"/>
  <c r="E200" i="43"/>
  <c r="H200" i="43"/>
  <c r="I200" i="43" s="1"/>
  <c r="F199" i="43"/>
  <c r="E199" i="43"/>
  <c r="H199" i="43"/>
  <c r="I199" i="43" s="1"/>
  <c r="H198" i="43"/>
  <c r="I198" i="43" s="1"/>
  <c r="F198" i="43"/>
  <c r="E198" i="43"/>
  <c r="H197" i="43"/>
  <c r="I197" i="43" s="1"/>
  <c r="F197" i="43"/>
  <c r="E197" i="43"/>
  <c r="H196" i="43"/>
  <c r="I196" i="43" s="1"/>
  <c r="F196" i="43"/>
  <c r="E196" i="43"/>
  <c r="H195" i="43"/>
  <c r="I195" i="43" s="1"/>
  <c r="F195" i="43"/>
  <c r="E195" i="43"/>
  <c r="J204" i="41" l="1"/>
  <c r="K204" i="41"/>
  <c r="K398" i="44"/>
  <c r="K372" i="44"/>
  <c r="K54" i="44"/>
  <c r="K96" i="44"/>
  <c r="K604" i="44"/>
  <c r="E661" i="44"/>
  <c r="C236" i="41"/>
  <c r="E655" i="44"/>
  <c r="C233" i="41"/>
  <c r="E745" i="44"/>
  <c r="E685" i="44"/>
  <c r="E717" i="44"/>
  <c r="E743" i="44"/>
  <c r="E715" i="44"/>
  <c r="E741" i="44"/>
  <c r="E775" i="44"/>
  <c r="E633" i="44"/>
  <c r="E657" i="44"/>
  <c r="C234" i="41"/>
  <c r="E625" i="44"/>
  <c r="E488" i="44"/>
  <c r="M84" i="44"/>
  <c r="M92" i="44"/>
  <c r="E430" i="44"/>
  <c r="E591" i="44"/>
  <c r="E575" i="44"/>
  <c r="E492" i="44"/>
  <c r="E458" i="44"/>
  <c r="C153" i="41"/>
  <c r="M79" i="44"/>
  <c r="M162" i="44"/>
  <c r="E608" i="44"/>
  <c r="E600" i="44"/>
  <c r="M228" i="44"/>
  <c r="M88" i="44"/>
  <c r="K104" i="44"/>
  <c r="I295" i="43"/>
  <c r="I287" i="43"/>
  <c r="K500" i="44"/>
  <c r="E777" i="44"/>
  <c r="I279" i="43"/>
  <c r="I271" i="43"/>
  <c r="I263" i="43"/>
  <c r="I257" i="43"/>
  <c r="I251" i="43"/>
  <c r="K19" i="44"/>
  <c r="K554" i="44"/>
  <c r="K18" i="44"/>
  <c r="K606" i="44"/>
  <c r="K43" i="44"/>
  <c r="M36" i="44"/>
  <c r="M48" i="44"/>
  <c r="I244" i="43"/>
  <c r="E482" i="44"/>
  <c r="E504" i="44"/>
  <c r="E691" i="44"/>
  <c r="E689" i="44"/>
  <c r="K578" i="44"/>
  <c r="K577" i="44"/>
  <c r="E631" i="44"/>
  <c r="E394" i="44"/>
  <c r="I237" i="43"/>
  <c r="I230" i="43"/>
  <c r="I223" i="43"/>
  <c r="I204" i="43"/>
  <c r="I210" i="43"/>
  <c r="I194" i="43"/>
  <c r="F200" i="43"/>
  <c r="J164" i="41" l="1"/>
  <c r="M54" i="44"/>
  <c r="M43" i="44"/>
  <c r="J206" i="41"/>
  <c r="K206" i="41"/>
  <c r="J208" i="41"/>
  <c r="K208" i="41"/>
  <c r="K608" i="44"/>
  <c r="M169" i="44"/>
  <c r="M115" i="44"/>
  <c r="M96" i="44"/>
  <c r="M104" i="44"/>
  <c r="J44" i="41"/>
  <c r="K258" i="44"/>
  <c r="K256" i="44" s="1"/>
  <c r="K575" i="44"/>
  <c r="K205" i="41" l="1"/>
  <c r="J205" i="41"/>
  <c r="K596" i="44"/>
  <c r="J126" i="41"/>
  <c r="M220" i="44"/>
  <c r="E248" i="44" s="1"/>
  <c r="K248" i="44" s="1"/>
  <c r="K246" i="44" s="1"/>
  <c r="K296" i="44"/>
  <c r="K294" i="44" s="1"/>
  <c r="K286" i="44"/>
  <c r="K581" i="44"/>
  <c r="J196" i="41" l="1"/>
  <c r="K196" i="41"/>
  <c r="K583" i="44"/>
  <c r="J127" i="41"/>
  <c r="E300" i="44"/>
  <c r="K300" i="44" s="1"/>
  <c r="K298" i="44" s="1"/>
  <c r="E252" i="44"/>
  <c r="K252" i="44" s="1"/>
  <c r="K250" i="44" s="1"/>
  <c r="H114" i="41"/>
  <c r="H115" i="41"/>
  <c r="F113" i="41"/>
  <c r="E97" i="41"/>
  <c r="E58" i="41"/>
  <c r="D38" i="41"/>
  <c r="E34" i="41"/>
  <c r="C12" i="41"/>
  <c r="H12" i="41" s="1"/>
  <c r="D12" i="41"/>
  <c r="L14" i="44"/>
  <c r="E14" i="44"/>
  <c r="J200" i="41" l="1"/>
  <c r="K200" i="41"/>
  <c r="E115" i="41"/>
  <c r="H34" i="41"/>
  <c r="J34" i="41" s="1"/>
  <c r="F114" i="41"/>
  <c r="E114" i="41"/>
  <c r="E113" i="41"/>
  <c r="F115" i="41"/>
  <c r="H113" i="41"/>
  <c r="J114" i="41"/>
  <c r="H97" i="41"/>
  <c r="F97" i="41"/>
  <c r="F34" i="41"/>
  <c r="F12" i="41"/>
  <c r="E12" i="41"/>
  <c r="J12" i="41"/>
  <c r="K197" i="41" l="1"/>
  <c r="J197" i="41"/>
  <c r="J113" i="41"/>
  <c r="E226" i="41" l="1"/>
  <c r="F227" i="41"/>
  <c r="F228" i="41"/>
  <c r="H229" i="41"/>
  <c r="E230" i="41"/>
  <c r="F231" i="41"/>
  <c r="F232" i="41"/>
  <c r="F235" i="41"/>
  <c r="F217" i="41"/>
  <c r="H169" i="43"/>
  <c r="I169" i="43" s="1"/>
  <c r="H168" i="43"/>
  <c r="I168" i="43" s="1"/>
  <c r="H167" i="43"/>
  <c r="H166" i="43"/>
  <c r="H165" i="43"/>
  <c r="H164" i="43"/>
  <c r="F169" i="43"/>
  <c r="E169" i="43"/>
  <c r="F168" i="43"/>
  <c r="E168" i="43"/>
  <c r="F167" i="43"/>
  <c r="E167" i="43"/>
  <c r="F166" i="43"/>
  <c r="E166" i="43"/>
  <c r="F165" i="43"/>
  <c r="E165" i="43"/>
  <c r="F164" i="43"/>
  <c r="E164" i="43"/>
  <c r="G167" i="43"/>
  <c r="G166" i="43"/>
  <c r="G165" i="43"/>
  <c r="G164" i="43"/>
  <c r="E109" i="43"/>
  <c r="F109" i="43"/>
  <c r="H109" i="43"/>
  <c r="I109" i="43" s="1"/>
  <c r="E110" i="43"/>
  <c r="F110" i="43"/>
  <c r="H110" i="43"/>
  <c r="I110" i="43" s="1"/>
  <c r="E111" i="43"/>
  <c r="F111" i="43"/>
  <c r="H111" i="43"/>
  <c r="I111" i="43" s="1"/>
  <c r="E112" i="43"/>
  <c r="F112" i="43"/>
  <c r="H112" i="43"/>
  <c r="I112" i="43" s="1"/>
  <c r="E113" i="43"/>
  <c r="F113" i="43"/>
  <c r="H113" i="43"/>
  <c r="I113" i="43" s="1"/>
  <c r="E114" i="43"/>
  <c r="F114" i="43"/>
  <c r="H114" i="43"/>
  <c r="I114" i="43" s="1"/>
  <c r="H151" i="43"/>
  <c r="I151" i="43" s="1"/>
  <c r="F151" i="43"/>
  <c r="F150" i="43"/>
  <c r="F149" i="43"/>
  <c r="F148" i="43"/>
  <c r="H136" i="43"/>
  <c r="I136" i="43" s="1"/>
  <c r="H135" i="43"/>
  <c r="I135" i="43" s="1"/>
  <c r="H134" i="43"/>
  <c r="I134" i="43" s="1"/>
  <c r="H133" i="43"/>
  <c r="I133" i="43" s="1"/>
  <c r="H130" i="43"/>
  <c r="I130" i="43" s="1"/>
  <c r="H128" i="43"/>
  <c r="I128" i="43" s="1"/>
  <c r="H127" i="43"/>
  <c r="I127" i="43" s="1"/>
  <c r="H126" i="43"/>
  <c r="I126" i="43" s="1"/>
  <c r="H123" i="43"/>
  <c r="I123" i="43" s="1"/>
  <c r="H121" i="43"/>
  <c r="I121" i="43" s="1"/>
  <c r="H120" i="43"/>
  <c r="I120" i="43" s="1"/>
  <c r="F136" i="43"/>
  <c r="E136" i="43"/>
  <c r="F135" i="43"/>
  <c r="E135" i="43"/>
  <c r="F134" i="43"/>
  <c r="E134" i="43"/>
  <c r="F133" i="43"/>
  <c r="E133" i="43"/>
  <c r="F130" i="43"/>
  <c r="E130" i="43"/>
  <c r="F128" i="43"/>
  <c r="E128" i="43"/>
  <c r="F127" i="43"/>
  <c r="E127" i="43"/>
  <c r="F126" i="43"/>
  <c r="E126" i="43"/>
  <c r="F123" i="43"/>
  <c r="E123" i="43"/>
  <c r="F121" i="43"/>
  <c r="E121" i="43"/>
  <c r="F120" i="43"/>
  <c r="E120" i="43"/>
  <c r="F119" i="43"/>
  <c r="E119" i="43"/>
  <c r="I129" i="43"/>
  <c r="I122" i="43"/>
  <c r="I125" i="43" l="1"/>
  <c r="I132" i="43"/>
  <c r="I165" i="43"/>
  <c r="I166" i="43"/>
  <c r="I167" i="43"/>
  <c r="I164" i="43"/>
  <c r="H226" i="41"/>
  <c r="H228" i="41"/>
  <c r="H232" i="41"/>
  <c r="E228" i="41"/>
  <c r="E227" i="41"/>
  <c r="E232" i="41"/>
  <c r="E231" i="41"/>
  <c r="F226" i="41"/>
  <c r="H230" i="41"/>
  <c r="E235" i="41"/>
  <c r="F230" i="41"/>
  <c r="J229" i="41"/>
  <c r="H235" i="41"/>
  <c r="H231" i="41"/>
  <c r="F229" i="41"/>
  <c r="H227" i="41"/>
  <c r="E229" i="41"/>
  <c r="E217" i="41"/>
  <c r="H217" i="41"/>
  <c r="I163" i="43" l="1"/>
  <c r="J228" i="41"/>
  <c r="J232" i="41"/>
  <c r="J226" i="41"/>
  <c r="J230" i="41"/>
  <c r="J227" i="41"/>
  <c r="J235" i="41"/>
  <c r="J231" i="41"/>
  <c r="J217" i="41"/>
  <c r="C38" i="41" l="1"/>
  <c r="E53" i="43"/>
  <c r="F53" i="43"/>
  <c r="H53" i="43"/>
  <c r="I53" i="43" s="1"/>
  <c r="E189" i="41" l="1"/>
  <c r="D40" i="41"/>
  <c r="C40" i="41"/>
  <c r="E40" i="41" s="1"/>
  <c r="H189" i="41" l="1"/>
  <c r="F189" i="41"/>
  <c r="H40" i="41"/>
  <c r="F40" i="41"/>
  <c r="J189" i="41" l="1"/>
  <c r="L1051" i="44"/>
  <c r="L1049" i="44"/>
  <c r="L1047" i="44"/>
  <c r="L989" i="44"/>
  <c r="L983" i="44"/>
  <c r="L982" i="44"/>
  <c r="L968" i="44"/>
  <c r="L966" i="44"/>
  <c r="L965" i="44"/>
  <c r="L964" i="44"/>
  <c r="L934" i="44"/>
  <c r="L929" i="44"/>
  <c r="L927" i="44"/>
  <c r="L921" i="44"/>
  <c r="L920" i="44"/>
  <c r="L919" i="44"/>
  <c r="L906" i="44"/>
  <c r="L905" i="44"/>
  <c r="L904" i="44"/>
  <c r="L903" i="44"/>
  <c r="L902" i="44"/>
  <c r="L898" i="44"/>
  <c r="L896" i="44"/>
  <c r="L895" i="44"/>
  <c r="L876" i="44"/>
  <c r="L875" i="44"/>
  <c r="L874" i="44"/>
  <c r="L873" i="44"/>
  <c r="L872" i="44"/>
  <c r="L871" i="44"/>
  <c r="L870" i="44"/>
  <c r="L869" i="44"/>
  <c r="L868" i="44"/>
  <c r="L867" i="44"/>
  <c r="L866" i="44"/>
  <c r="L865" i="44"/>
  <c r="L858" i="44"/>
  <c r="L857" i="44"/>
  <c r="L856" i="44"/>
  <c r="L855" i="44"/>
  <c r="L854" i="44"/>
  <c r="L853" i="44"/>
  <c r="L16" i="44"/>
  <c r="L12" i="44"/>
  <c r="J115" i="41"/>
  <c r="C75" i="41"/>
  <c r="E75" i="41" s="1"/>
  <c r="D75" i="41"/>
  <c r="C76" i="41"/>
  <c r="F76" i="41" s="1"/>
  <c r="D76" i="41"/>
  <c r="C77" i="41"/>
  <c r="E77" i="41" s="1"/>
  <c r="D77" i="41"/>
  <c r="C79" i="41"/>
  <c r="H79" i="41" s="1"/>
  <c r="D79" i="41"/>
  <c r="F61" i="41"/>
  <c r="J97" i="41" l="1"/>
  <c r="J105" i="41" s="1"/>
  <c r="E76" i="41"/>
  <c r="H77" i="41"/>
  <c r="H75" i="41"/>
  <c r="F77" i="41"/>
  <c r="F75" i="41"/>
  <c r="J79" i="41"/>
  <c r="F79" i="41"/>
  <c r="H76" i="41"/>
  <c r="E79" i="41"/>
  <c r="H61" i="41"/>
  <c r="E61" i="41"/>
  <c r="C48" i="45"/>
  <c r="J77" i="41" l="1"/>
  <c r="J75" i="41"/>
  <c r="J76" i="41"/>
  <c r="J61" i="41"/>
  <c r="D483" i="41"/>
  <c r="C483" i="41"/>
  <c r="E483" i="41" s="1"/>
  <c r="D482" i="41"/>
  <c r="C482" i="41"/>
  <c r="H482" i="41" s="1"/>
  <c r="D481" i="41"/>
  <c r="C481" i="41"/>
  <c r="H481" i="41" s="1"/>
  <c r="F453" i="41"/>
  <c r="E1051" i="44" l="1"/>
  <c r="E1049" i="44"/>
  <c r="F483" i="41"/>
  <c r="H483" i="41"/>
  <c r="E1047" i="44"/>
  <c r="E482" i="41"/>
  <c r="F482" i="41"/>
  <c r="J482" i="41"/>
  <c r="J481" i="41"/>
  <c r="E481" i="41"/>
  <c r="F481" i="41"/>
  <c r="E453" i="41"/>
  <c r="H453" i="41"/>
  <c r="J483" i="41" l="1"/>
  <c r="J453" i="41"/>
  <c r="D438" i="41" l="1"/>
  <c r="E437" i="41"/>
  <c r="E978" i="44"/>
  <c r="E976" i="44"/>
  <c r="E974" i="44"/>
  <c r="C438" i="41"/>
  <c r="E975" i="44"/>
  <c r="I498" i="43"/>
  <c r="I497" i="43"/>
  <c r="I496" i="43"/>
  <c r="I495" i="43"/>
  <c r="I492" i="43"/>
  <c r="I491" i="43"/>
  <c r="I490" i="43"/>
  <c r="I487" i="43"/>
  <c r="I486" i="43"/>
  <c r="I485" i="43"/>
  <c r="I484" i="43"/>
  <c r="I481" i="43"/>
  <c r="I480" i="43"/>
  <c r="I479" i="43"/>
  <c r="I476" i="43"/>
  <c r="I475" i="43"/>
  <c r="I474" i="43"/>
  <c r="I471" i="43"/>
  <c r="I470" i="43"/>
  <c r="I469" i="43"/>
  <c r="C51" i="33" l="1"/>
  <c r="C51" i="50"/>
  <c r="E973" i="44"/>
  <c r="E977" i="44"/>
  <c r="I494" i="43"/>
  <c r="E984" i="44"/>
  <c r="E979" i="44"/>
  <c r="E980" i="44"/>
  <c r="E981" i="44"/>
  <c r="E982" i="44"/>
  <c r="E983" i="44"/>
  <c r="I473" i="43"/>
  <c r="I483" i="43"/>
  <c r="I468" i="43"/>
  <c r="I478" i="43"/>
  <c r="I489" i="43"/>
  <c r="D41" i="41" l="1"/>
  <c r="C41" i="41"/>
  <c r="H52" i="43" l="1"/>
  <c r="I52" i="43" s="1"/>
  <c r="H50" i="43"/>
  <c r="H49" i="43"/>
  <c r="H48" i="43"/>
  <c r="I48" i="43" s="1"/>
  <c r="H46" i="43"/>
  <c r="I46" i="43" s="1"/>
  <c r="H51" i="43"/>
  <c r="I51" i="43" s="1"/>
  <c r="H47" i="43"/>
  <c r="I47" i="43" s="1"/>
  <c r="F52" i="43"/>
  <c r="F51" i="43"/>
  <c r="F47" i="43"/>
  <c r="E52" i="43"/>
  <c r="E51" i="43"/>
  <c r="E47" i="43"/>
  <c r="E46" i="43"/>
  <c r="F45" i="43"/>
  <c r="G49" i="43"/>
  <c r="G50" i="43" s="1"/>
  <c r="E49" i="43" l="1"/>
  <c r="F49" i="43"/>
  <c r="E48" i="43"/>
  <c r="F48" i="43"/>
  <c r="E45" i="43"/>
  <c r="F46" i="43"/>
  <c r="H45" i="43"/>
  <c r="I45" i="43" s="1"/>
  <c r="I49" i="43"/>
  <c r="I50" i="43"/>
  <c r="E50" i="43"/>
  <c r="F50" i="43"/>
  <c r="I44" i="43" l="1"/>
  <c r="E594" i="43"/>
  <c r="E593" i="43"/>
  <c r="E592" i="43"/>
  <c r="E589" i="43"/>
  <c r="E588" i="43"/>
  <c r="E587" i="43"/>
  <c r="E586" i="43"/>
  <c r="E584" i="43"/>
  <c r="H583" i="43"/>
  <c r="I583" i="43" s="1"/>
  <c r="E582" i="43"/>
  <c r="H581" i="43"/>
  <c r="I581" i="43" s="1"/>
  <c r="H580" i="43"/>
  <c r="I580" i="43" s="1"/>
  <c r="E579" i="43"/>
  <c r="H578" i="43"/>
  <c r="I578" i="43" s="1"/>
  <c r="H577" i="43"/>
  <c r="I577" i="43" s="1"/>
  <c r="E576" i="43"/>
  <c r="E575" i="43"/>
  <c r="H574" i="43"/>
  <c r="I574" i="43" s="1"/>
  <c r="H573" i="43"/>
  <c r="I573" i="43" s="1"/>
  <c r="H571" i="43"/>
  <c r="I571" i="43" s="1"/>
  <c r="E570" i="43"/>
  <c r="H594" i="43"/>
  <c r="I594" i="43" s="1"/>
  <c r="H593" i="43"/>
  <c r="I593" i="43" s="1"/>
  <c r="H592" i="43"/>
  <c r="I592" i="43" s="1"/>
  <c r="I591" i="43"/>
  <c r="I590" i="43"/>
  <c r="H589" i="43"/>
  <c r="I589" i="43" s="1"/>
  <c r="H588" i="43"/>
  <c r="I588" i="43" s="1"/>
  <c r="H587" i="43"/>
  <c r="I587" i="43" s="1"/>
  <c r="H585" i="43"/>
  <c r="I585" i="43" s="1"/>
  <c r="H584" i="43"/>
  <c r="I584" i="43" s="1"/>
  <c r="H572" i="43"/>
  <c r="I572" i="43" s="1"/>
  <c r="H569" i="43"/>
  <c r="I569" i="43" s="1"/>
  <c r="E585" i="43"/>
  <c r="E581" i="43"/>
  <c r="E577" i="43"/>
  <c r="E573" i="43"/>
  <c r="E572" i="43"/>
  <c r="H576" i="43" l="1"/>
  <c r="I576" i="43" s="1"/>
  <c r="H582" i="43"/>
  <c r="I582" i="43" s="1"/>
  <c r="E574" i="43"/>
  <c r="E578" i="43"/>
  <c r="H586" i="43"/>
  <c r="I586" i="43" s="1"/>
  <c r="E580" i="43"/>
  <c r="E571" i="43"/>
  <c r="E569" i="43"/>
  <c r="H570" i="43"/>
  <c r="I570" i="43" s="1"/>
  <c r="H575" i="43"/>
  <c r="I575" i="43" s="1"/>
  <c r="H579" i="43"/>
  <c r="I579" i="43" s="1"/>
  <c r="E583" i="43"/>
  <c r="I568" i="43" l="1"/>
  <c r="B13" i="50"/>
  <c r="B15" i="50"/>
  <c r="B17" i="50"/>
  <c r="B19" i="50"/>
  <c r="E993" i="44"/>
  <c r="D430" i="41"/>
  <c r="C403" i="41"/>
  <c r="C430" i="41"/>
  <c r="E429" i="41"/>
  <c r="D403" i="41"/>
  <c r="E402" i="41"/>
  <c r="D395" i="41"/>
  <c r="D396" i="41"/>
  <c r="D397" i="41"/>
  <c r="D398" i="41"/>
  <c r="D399" i="41"/>
  <c r="C399" i="41"/>
  <c r="H399" i="41" s="1"/>
  <c r="C398" i="41"/>
  <c r="C397" i="41"/>
  <c r="H397" i="41" s="1"/>
  <c r="C396" i="41"/>
  <c r="C395" i="41"/>
  <c r="E394" i="41"/>
  <c r="D391" i="41"/>
  <c r="D392" i="41"/>
  <c r="D390" i="41"/>
  <c r="C392" i="41"/>
  <c r="H392" i="41" s="1"/>
  <c r="C391" i="41"/>
  <c r="H391" i="41" s="1"/>
  <c r="C390" i="41"/>
  <c r="H390" i="41" s="1"/>
  <c r="E389" i="41"/>
  <c r="E373" i="41"/>
  <c r="E365" i="41"/>
  <c r="E346" i="41"/>
  <c r="C49" i="50" l="1"/>
  <c r="C49" i="33"/>
  <c r="J391" i="41"/>
  <c r="E991" i="44"/>
  <c r="E989" i="44"/>
  <c r="J399" i="41"/>
  <c r="E399" i="41"/>
  <c r="F399" i="41"/>
  <c r="J397" i="41"/>
  <c r="E397" i="41"/>
  <c r="F397" i="41"/>
  <c r="E391" i="41"/>
  <c r="F391" i="41"/>
  <c r="J390" i="41"/>
  <c r="J392" i="41"/>
  <c r="E390" i="41"/>
  <c r="E392" i="41"/>
  <c r="F390" i="41"/>
  <c r="F392" i="41"/>
  <c r="J393" i="41" l="1"/>
  <c r="D85" i="41"/>
  <c r="E184" i="43" l="1"/>
  <c r="F185" i="43"/>
  <c r="H186" i="43"/>
  <c r="I186" i="43" s="1"/>
  <c r="E185" i="43" l="1"/>
  <c r="H185" i="43"/>
  <c r="I185" i="43" s="1"/>
  <c r="H184" i="43"/>
  <c r="I184" i="43" s="1"/>
  <c r="F186" i="43"/>
  <c r="F184" i="43"/>
  <c r="E186" i="43"/>
  <c r="I183" i="43" l="1"/>
  <c r="E93" i="41"/>
  <c r="H92" i="41"/>
  <c r="E91" i="41"/>
  <c r="H90" i="41"/>
  <c r="E90" i="41" l="1"/>
  <c r="F91" i="41"/>
  <c r="H91" i="41"/>
  <c r="E92" i="41"/>
  <c r="F93" i="41"/>
  <c r="H93" i="41"/>
  <c r="F90" i="41"/>
  <c r="F92" i="41"/>
  <c r="H188" i="41" l="1"/>
  <c r="F188" i="41"/>
  <c r="E188" i="41"/>
  <c r="J93" i="41"/>
  <c r="H184" i="41" l="1"/>
  <c r="C80" i="41"/>
  <c r="C85" i="41"/>
  <c r="H85" i="41" s="1"/>
  <c r="C84" i="41"/>
  <c r="C83" i="41"/>
  <c r="C82" i="41"/>
  <c r="C74" i="41"/>
  <c r="E85" i="41" l="1"/>
  <c r="F85" i="41"/>
  <c r="J188" i="41" l="1"/>
  <c r="H647" i="43" l="1"/>
  <c r="F647" i="43"/>
  <c r="E647" i="43"/>
  <c r="I647" i="43" l="1"/>
  <c r="I646" i="43" s="1"/>
  <c r="F516" i="43" l="1"/>
  <c r="E516" i="43"/>
  <c r="F515" i="43"/>
  <c r="E515" i="43"/>
  <c r="I516" i="43" l="1"/>
  <c r="F403" i="43"/>
  <c r="E403" i="43"/>
  <c r="H403" i="43"/>
  <c r="I403" i="43" s="1"/>
  <c r="I515" i="43"/>
  <c r="E402" i="43"/>
  <c r="F401" i="43"/>
  <c r="E398" i="43"/>
  <c r="H397" i="43"/>
  <c r="E396" i="43"/>
  <c r="E393" i="43"/>
  <c r="E387" i="43"/>
  <c r="E386" i="43"/>
  <c r="I385" i="43"/>
  <c r="H381" i="43"/>
  <c r="I380" i="43"/>
  <c r="E379" i="43"/>
  <c r="I514" i="43" l="1"/>
  <c r="E397" i="43"/>
  <c r="E391" i="43"/>
  <c r="E401" i="43"/>
  <c r="E392" i="43"/>
  <c r="H401" i="43"/>
  <c r="I401" i="43" s="1"/>
  <c r="F402" i="43"/>
  <c r="F379" i="43"/>
  <c r="F381" i="43"/>
  <c r="I381" i="43"/>
  <c r="F386" i="43"/>
  <c r="E381" i="43"/>
  <c r="F387" i="43"/>
  <c r="F391" i="43"/>
  <c r="I391" i="43"/>
  <c r="F392" i="43"/>
  <c r="I392" i="43"/>
  <c r="F393" i="43"/>
  <c r="F397" i="43"/>
  <c r="I397" i="43"/>
  <c r="F398" i="43"/>
  <c r="F396" i="43"/>
  <c r="I376" i="43"/>
  <c r="E375" i="43"/>
  <c r="F374" i="43"/>
  <c r="I371" i="43"/>
  <c r="H370" i="43"/>
  <c r="F369" i="43"/>
  <c r="H365" i="43"/>
  <c r="E364" i="43"/>
  <c r="E365" i="43" l="1"/>
  <c r="E370" i="43"/>
  <c r="E374" i="43"/>
  <c r="H369" i="43"/>
  <c r="I369" i="43" s="1"/>
  <c r="E369" i="43"/>
  <c r="H374" i="43"/>
  <c r="I374" i="43" s="1"/>
  <c r="H361" i="43"/>
  <c r="F361" i="43" s="1"/>
  <c r="F364" i="43"/>
  <c r="E361" i="43"/>
  <c r="F365" i="43"/>
  <c r="I365" i="43"/>
  <c r="F370" i="43"/>
  <c r="I370" i="43"/>
  <c r="F375" i="43"/>
  <c r="F360" i="43"/>
  <c r="H551" i="43"/>
  <c r="F551" i="43"/>
  <c r="E551" i="43"/>
  <c r="H548" i="43"/>
  <c r="F548" i="43"/>
  <c r="E548" i="43"/>
  <c r="H547" i="43"/>
  <c r="F547" i="43"/>
  <c r="E547" i="43"/>
  <c r="H545" i="43"/>
  <c r="F545" i="43"/>
  <c r="E545" i="43"/>
  <c r="H542" i="43"/>
  <c r="F542" i="43"/>
  <c r="E542" i="43"/>
  <c r="H540" i="43"/>
  <c r="F540" i="43"/>
  <c r="E540" i="43"/>
  <c r="H539" i="43"/>
  <c r="F539" i="43"/>
  <c r="E539" i="43"/>
  <c r="H538" i="43"/>
  <c r="F538" i="43"/>
  <c r="E538" i="43"/>
  <c r="H537" i="43"/>
  <c r="F537" i="43"/>
  <c r="E537" i="43"/>
  <c r="H535" i="43"/>
  <c r="F535" i="43"/>
  <c r="E535" i="43"/>
  <c r="H534" i="43"/>
  <c r="F534" i="43"/>
  <c r="E534" i="43"/>
  <c r="H533" i="43"/>
  <c r="F533" i="43"/>
  <c r="E533" i="43"/>
  <c r="H532" i="43"/>
  <c r="F532" i="43"/>
  <c r="E532" i="43"/>
  <c r="H531" i="43"/>
  <c r="F531" i="43"/>
  <c r="E531" i="43"/>
  <c r="H530" i="43"/>
  <c r="F530" i="43"/>
  <c r="E530" i="43"/>
  <c r="F526" i="43"/>
  <c r="E526" i="43"/>
  <c r="I525" i="43"/>
  <c r="F525" i="43"/>
  <c r="E525" i="43"/>
  <c r="F524" i="43"/>
  <c r="E524" i="43"/>
  <c r="F523" i="43"/>
  <c r="E523" i="43"/>
  <c r="F522" i="43"/>
  <c r="E522" i="43"/>
  <c r="I523" i="43" l="1"/>
  <c r="I533" i="43"/>
  <c r="I539" i="43"/>
  <c r="I524" i="43"/>
  <c r="I531" i="43"/>
  <c r="I540" i="43"/>
  <c r="I547" i="43"/>
  <c r="E360" i="43"/>
  <c r="I552" i="43"/>
  <c r="I537" i="43"/>
  <c r="I545" i="43"/>
  <c r="I522" i="43"/>
  <c r="I526" i="43"/>
  <c r="I530" i="43"/>
  <c r="I538" i="43"/>
  <c r="I551" i="43"/>
  <c r="I553" i="43"/>
  <c r="I368" i="43"/>
  <c r="H221" i="43"/>
  <c r="F221" i="43"/>
  <c r="E221" i="43"/>
  <c r="H220" i="43"/>
  <c r="F220" i="43"/>
  <c r="E220" i="43"/>
  <c r="H219" i="43"/>
  <c r="F219" i="43"/>
  <c r="E219" i="43"/>
  <c r="H218" i="43"/>
  <c r="F218" i="43"/>
  <c r="E218" i="43"/>
  <c r="H217" i="43"/>
  <c r="F217" i="43"/>
  <c r="E217" i="43"/>
  <c r="I550" i="43" l="1"/>
  <c r="I532" i="43"/>
  <c r="I535" i="43"/>
  <c r="I217" i="43"/>
  <c r="I219" i="43"/>
  <c r="I221" i="43"/>
  <c r="I218" i="43"/>
  <c r="I220" i="43"/>
  <c r="I534" i="43" l="1"/>
  <c r="I216" i="43"/>
  <c r="H179" i="43"/>
  <c r="F178" i="43"/>
  <c r="E179" i="43" l="1"/>
  <c r="H178" i="43"/>
  <c r="I178" i="43" s="1"/>
  <c r="E178" i="43"/>
  <c r="F179" i="43"/>
  <c r="I179" i="43"/>
  <c r="H174" i="43"/>
  <c r="F174" i="43"/>
  <c r="E174" i="43"/>
  <c r="I174" i="43" l="1"/>
  <c r="I177" i="43"/>
  <c r="F175" i="43"/>
  <c r="E175" i="43"/>
  <c r="H175" i="43"/>
  <c r="I175" i="43" s="1"/>
  <c r="H108" i="43"/>
  <c r="F108" i="43"/>
  <c r="E108" i="43"/>
  <c r="E98" i="43"/>
  <c r="E149" i="43"/>
  <c r="I108" i="43" l="1"/>
  <c r="I107" i="43" s="1"/>
  <c r="H98" i="43"/>
  <c r="I98" i="43" s="1"/>
  <c r="I173" i="43"/>
  <c r="E150" i="43"/>
  <c r="F98" i="43"/>
  <c r="E148" i="43"/>
  <c r="I97" i="43" l="1"/>
  <c r="H40" i="43"/>
  <c r="F40" i="43"/>
  <c r="E40" i="43"/>
  <c r="H39" i="43"/>
  <c r="F39" i="43"/>
  <c r="E39" i="43"/>
  <c r="H19" i="43"/>
  <c r="I19" i="43" s="1"/>
  <c r="F19" i="43"/>
  <c r="E19" i="43"/>
  <c r="H18" i="43"/>
  <c r="F18" i="43"/>
  <c r="E18" i="43"/>
  <c r="H17" i="43"/>
  <c r="F17" i="43"/>
  <c r="E17" i="43"/>
  <c r="H16" i="43"/>
  <c r="F16" i="43"/>
  <c r="E16" i="43"/>
  <c r="H15" i="43"/>
  <c r="F15" i="43"/>
  <c r="E15" i="43"/>
  <c r="H14" i="43"/>
  <c r="F14" i="43"/>
  <c r="E14" i="43"/>
  <c r="H13" i="43"/>
  <c r="F13" i="43"/>
  <c r="E13" i="43"/>
  <c r="I40" i="43" l="1"/>
  <c r="I14" i="43"/>
  <c r="I16" i="43"/>
  <c r="I18" i="43"/>
  <c r="I13" i="43"/>
  <c r="I15" i="43"/>
  <c r="I17" i="43"/>
  <c r="I39" i="43"/>
  <c r="B7" i="43"/>
  <c r="B5" i="43"/>
  <c r="B4" i="43"/>
  <c r="B3" i="43"/>
  <c r="H109" i="41" l="1"/>
  <c r="J109" i="41" s="1"/>
  <c r="J110" i="41" s="1"/>
  <c r="E109" i="41"/>
  <c r="F109" i="41"/>
  <c r="L512" i="44"/>
  <c r="L372" i="44"/>
  <c r="L368" i="44"/>
  <c r="E112" i="41"/>
  <c r="F112" i="41"/>
  <c r="H112" i="41"/>
  <c r="J112" i="41" s="1"/>
  <c r="J116" i="41" s="1"/>
  <c r="H168" i="41"/>
  <c r="E168" i="41"/>
  <c r="F168" i="41"/>
  <c r="I38" i="43"/>
  <c r="L1028" i="44"/>
  <c r="L723" i="44"/>
  <c r="I12" i="43"/>
  <c r="J117" i="41" l="1"/>
  <c r="D23" i="45"/>
  <c r="D27" i="45" s="1"/>
  <c r="D17" i="45"/>
  <c r="D9" i="45"/>
  <c r="B7" i="33" l="1"/>
  <c r="B6" i="33"/>
  <c r="B6" i="43" s="1"/>
  <c r="B5" i="33"/>
  <c r="B4" i="33"/>
  <c r="B3" i="33"/>
  <c r="E443" i="41" l="1"/>
  <c r="F446" i="41"/>
  <c r="H446" i="41"/>
  <c r="E449" i="41"/>
  <c r="E444" i="41"/>
  <c r="F440" i="41"/>
  <c r="F443" i="41"/>
  <c r="H450" i="41"/>
  <c r="H449" i="41"/>
  <c r="F449" i="41"/>
  <c r="F444" i="41"/>
  <c r="F450" i="41"/>
  <c r="E446" i="41"/>
  <c r="H443" i="41"/>
  <c r="E450" i="41"/>
  <c r="H440" i="41"/>
  <c r="E440" i="41"/>
  <c r="H444" i="41"/>
  <c r="F435" i="41"/>
  <c r="E435" i="41"/>
  <c r="F416" i="41"/>
  <c r="E418" i="41"/>
  <c r="F417" i="41"/>
  <c r="E415" i="41"/>
  <c r="H417" i="41"/>
  <c r="F418" i="41"/>
  <c r="E417" i="41"/>
  <c r="H418" i="41"/>
  <c r="E420" i="41"/>
  <c r="F420" i="41"/>
  <c r="H416" i="41"/>
  <c r="F415" i="41"/>
  <c r="F419" i="41"/>
  <c r="H420" i="41"/>
  <c r="H419" i="41"/>
  <c r="E419" i="41"/>
  <c r="H415" i="41"/>
  <c r="E416" i="41"/>
  <c r="F411" i="41"/>
  <c r="E411" i="41"/>
  <c r="E382" i="41"/>
  <c r="E381" i="41"/>
  <c r="E385" i="41"/>
  <c r="F382" i="41"/>
  <c r="H385" i="41"/>
  <c r="F381" i="41"/>
  <c r="F385" i="41"/>
  <c r="E383" i="41"/>
  <c r="H387" i="41"/>
  <c r="F383" i="41"/>
  <c r="H384" i="41"/>
  <c r="E384" i="41"/>
  <c r="F387" i="41"/>
  <c r="E387" i="41"/>
  <c r="F384" i="41"/>
  <c r="H360" i="41"/>
  <c r="F360" i="41"/>
  <c r="E361" i="41"/>
  <c r="H363" i="41"/>
  <c r="F363" i="41"/>
  <c r="F361" i="41"/>
  <c r="E363" i="41"/>
  <c r="E360" i="41"/>
  <c r="L950" i="44"/>
  <c r="L944" i="44"/>
  <c r="L951" i="44"/>
  <c r="L952" i="44"/>
  <c r="L954" i="44"/>
  <c r="L953" i="44"/>
  <c r="L949" i="44"/>
  <c r="L881" i="44"/>
  <c r="L915" i="44"/>
  <c r="L32" i="44"/>
  <c r="E18" i="41"/>
  <c r="H18" i="41"/>
  <c r="F18" i="41"/>
  <c r="E32" i="44"/>
  <c r="L985" i="44"/>
  <c r="L984" i="44"/>
  <c r="F477" i="41"/>
  <c r="E476" i="41"/>
  <c r="H475" i="41"/>
  <c r="E477" i="41"/>
  <c r="H477" i="41"/>
  <c r="F475" i="41"/>
  <c r="F476" i="41"/>
  <c r="H476" i="41"/>
  <c r="E475" i="41"/>
  <c r="H328" i="41"/>
  <c r="F328" i="41"/>
  <c r="E328" i="41"/>
  <c r="E320" i="41"/>
  <c r="E322" i="41"/>
  <c r="F320" i="41"/>
  <c r="H322" i="41"/>
  <c r="F322" i="41"/>
  <c r="H320" i="41"/>
  <c r="E300" i="41"/>
  <c r="F300" i="41"/>
  <c r="F303" i="41"/>
  <c r="E303" i="41"/>
  <c r="H303" i="41"/>
  <c r="H300" i="41"/>
  <c r="H252" i="41"/>
  <c r="F278" i="41"/>
  <c r="H265" i="41"/>
  <c r="J265" i="41" s="1"/>
  <c r="F252" i="41"/>
  <c r="E280" i="41"/>
  <c r="F266" i="41"/>
  <c r="E252" i="41"/>
  <c r="E266" i="41"/>
  <c r="H278" i="41"/>
  <c r="J278" i="41" s="1"/>
  <c r="H280" i="41"/>
  <c r="J280" i="41" s="1"/>
  <c r="E278" i="41"/>
  <c r="H266" i="41"/>
  <c r="J266" i="41" s="1"/>
  <c r="E265" i="41"/>
  <c r="F265" i="41"/>
  <c r="F280" i="41"/>
  <c r="F249" i="41"/>
  <c r="H249" i="41"/>
  <c r="J249" i="41" s="1"/>
  <c r="E249" i="41"/>
  <c r="E222" i="41"/>
  <c r="H221" i="41"/>
  <c r="J221" i="41" s="1"/>
  <c r="H222" i="41"/>
  <c r="J222" i="41" s="1"/>
  <c r="F218" i="41"/>
  <c r="F222" i="41"/>
  <c r="H218" i="41"/>
  <c r="J218" i="41" s="1"/>
  <c r="F221" i="41"/>
  <c r="E218" i="41"/>
  <c r="E221" i="41"/>
  <c r="F207" i="41"/>
  <c r="E207" i="41"/>
  <c r="F203" i="41"/>
  <c r="H207" i="41"/>
  <c r="E203" i="41"/>
  <c r="H203" i="41"/>
  <c r="J203" i="41" s="1"/>
  <c r="E199" i="41"/>
  <c r="F199" i="41"/>
  <c r="H199" i="41"/>
  <c r="F195" i="41"/>
  <c r="E195" i="41"/>
  <c r="H195" i="41"/>
  <c r="J195" i="41" s="1"/>
  <c r="E191" i="41"/>
  <c r="F191" i="41"/>
  <c r="H191" i="41"/>
  <c r="J191" i="41" s="1"/>
  <c r="H134" i="41"/>
  <c r="F136" i="41"/>
  <c r="E134" i="41"/>
  <c r="H136" i="41"/>
  <c r="E136" i="41"/>
  <c r="F134" i="41"/>
  <c r="E68" i="41"/>
  <c r="H68" i="41"/>
  <c r="F68" i="41"/>
  <c r="E69" i="41"/>
  <c r="F69" i="41"/>
  <c r="H69" i="41"/>
  <c r="H50" i="41"/>
  <c r="E50" i="41"/>
  <c r="F50" i="41"/>
  <c r="L1041" i="44"/>
  <c r="H49" i="41"/>
  <c r="F48" i="41"/>
  <c r="E48" i="41"/>
  <c r="F49" i="41"/>
  <c r="H48" i="41"/>
  <c r="E49" i="41"/>
  <c r="L827" i="44"/>
  <c r="L791" i="44"/>
  <c r="L823" i="44"/>
  <c r="L1039" i="44"/>
  <c r="L396" i="44"/>
  <c r="L785" i="44"/>
  <c r="L1037" i="44"/>
  <c r="E292" i="44"/>
  <c r="L290" i="44"/>
  <c r="L292" i="44"/>
  <c r="E290" i="44"/>
  <c r="E240" i="44"/>
  <c r="L240" i="44"/>
  <c r="L238" i="44"/>
  <c r="E238" i="44"/>
  <c r="L693" i="44"/>
  <c r="L236" i="44"/>
  <c r="E236" i="44"/>
  <c r="H467" i="41"/>
  <c r="J467" i="41" s="1"/>
  <c r="F468" i="41"/>
  <c r="F467" i="41"/>
  <c r="E467" i="41"/>
  <c r="H469" i="41"/>
  <c r="J469" i="41" s="1"/>
  <c r="E468" i="41"/>
  <c r="H468" i="41"/>
  <c r="J468" i="41" s="1"/>
  <c r="F469" i="41"/>
  <c r="E469" i="41"/>
  <c r="H454" i="41"/>
  <c r="J454" i="41" s="1"/>
  <c r="E455" i="41"/>
  <c r="H455" i="41"/>
  <c r="F455" i="41"/>
  <c r="F454" i="41"/>
  <c r="E454" i="41"/>
  <c r="E313" i="41"/>
  <c r="F313" i="41"/>
  <c r="H313" i="41"/>
  <c r="H279" i="41"/>
  <c r="F279" i="41"/>
  <c r="E286" i="41"/>
  <c r="H286" i="41"/>
  <c r="F286" i="41"/>
  <c r="E279" i="41"/>
  <c r="H271" i="41"/>
  <c r="E270" i="41"/>
  <c r="H262" i="41"/>
  <c r="E271" i="41"/>
  <c r="H260" i="41"/>
  <c r="E262" i="41"/>
  <c r="F271" i="41"/>
  <c r="F263" i="41"/>
  <c r="F270" i="41"/>
  <c r="E272" i="41"/>
  <c r="H272" i="41"/>
  <c r="E263" i="41"/>
  <c r="F262" i="41"/>
  <c r="H263" i="41"/>
  <c r="F260" i="41"/>
  <c r="H270" i="41"/>
  <c r="E260" i="41"/>
  <c r="F272" i="41"/>
  <c r="H251" i="41"/>
  <c r="E248" i="41"/>
  <c r="E251" i="41"/>
  <c r="F251" i="41"/>
  <c r="F248" i="41"/>
  <c r="H248" i="41"/>
  <c r="H236" i="41"/>
  <c r="J236" i="41" s="1"/>
  <c r="H234" i="41"/>
  <c r="J234" i="41" s="1"/>
  <c r="E234" i="41"/>
  <c r="F234" i="41"/>
  <c r="F236" i="41"/>
  <c r="E236" i="41"/>
  <c r="F220" i="41"/>
  <c r="F216" i="41"/>
  <c r="E216" i="41"/>
  <c r="H220" i="41"/>
  <c r="J220" i="41" s="1"/>
  <c r="H216" i="41"/>
  <c r="J216" i="41" s="1"/>
  <c r="E220" i="41"/>
  <c r="E180" i="41"/>
  <c r="F180" i="41"/>
  <c r="H180" i="41"/>
  <c r="H163" i="41"/>
  <c r="E165" i="41"/>
  <c r="F163" i="41"/>
  <c r="E163" i="41"/>
  <c r="F165" i="41"/>
  <c r="F161" i="41"/>
  <c r="E161" i="41"/>
  <c r="F405" i="41"/>
  <c r="L980" i="44"/>
  <c r="H405" i="41"/>
  <c r="E405" i="41"/>
  <c r="L979" i="44"/>
  <c r="L981" i="44"/>
  <c r="F400" i="41"/>
  <c r="E400" i="41"/>
  <c r="H400" i="41"/>
  <c r="L930" i="44"/>
  <c r="L936" i="44"/>
  <c r="L913" i="44"/>
  <c r="L912" i="44"/>
  <c r="L484" i="44"/>
  <c r="L496" i="44"/>
  <c r="L809" i="44"/>
  <c r="L1005" i="44"/>
  <c r="L1001" i="44"/>
  <c r="L999" i="44"/>
  <c r="F192" i="41"/>
  <c r="H192" i="41"/>
  <c r="E192" i="41"/>
  <c r="E190" i="41"/>
  <c r="H190" i="41"/>
  <c r="J190" i="41" s="1"/>
  <c r="F190" i="41"/>
  <c r="F160" i="41"/>
  <c r="E160" i="41"/>
  <c r="E162" i="41"/>
  <c r="F162" i="41"/>
  <c r="E159" i="41"/>
  <c r="F159" i="41"/>
  <c r="H159" i="41"/>
  <c r="H153" i="41"/>
  <c r="F153" i="41"/>
  <c r="E153" i="41"/>
  <c r="H124" i="41"/>
  <c r="J124" i="41" s="1"/>
  <c r="F124" i="41"/>
  <c r="E124" i="41"/>
  <c r="H45" i="41"/>
  <c r="E46" i="41"/>
  <c r="F45" i="41"/>
  <c r="F46" i="41"/>
  <c r="H47" i="41"/>
  <c r="H46" i="41"/>
  <c r="F47" i="41"/>
  <c r="E45" i="41"/>
  <c r="E47" i="41"/>
  <c r="L1026" i="44"/>
  <c r="F35" i="41"/>
  <c r="E35" i="41"/>
  <c r="H35" i="41"/>
  <c r="J35" i="41" s="1"/>
  <c r="L567" i="44"/>
  <c r="L418" i="44"/>
  <c r="L544" i="44"/>
  <c r="L612" i="44"/>
  <c r="L234" i="44"/>
  <c r="E234" i="44"/>
  <c r="E232" i="44"/>
  <c r="L232" i="44"/>
  <c r="L230" i="44"/>
  <c r="E230" i="44"/>
  <c r="L131" i="44"/>
  <c r="E131" i="44"/>
  <c r="L71" i="44"/>
  <c r="E71" i="44"/>
  <c r="L1024" i="44"/>
  <c r="L1022" i="44"/>
  <c r="L1013" i="44"/>
  <c r="L1015" i="44"/>
  <c r="L1017" i="44"/>
  <c r="L775" i="44"/>
  <c r="L745" i="44"/>
  <c r="L741" i="44"/>
  <c r="L743" i="44"/>
  <c r="L715" i="44"/>
  <c r="L717" i="44"/>
  <c r="L691" i="44"/>
  <c r="L625" i="44"/>
  <c r="L631" i="44"/>
  <c r="L492" i="44"/>
  <c r="L504" i="44"/>
  <c r="L575" i="44"/>
  <c r="L655" i="44"/>
  <c r="L608" i="44"/>
  <c r="L169" i="44"/>
  <c r="E23" i="44"/>
  <c r="E222" i="44"/>
  <c r="L458" i="44"/>
  <c r="L488" i="44"/>
  <c r="L430" i="44"/>
  <c r="L661" i="44"/>
  <c r="L222" i="44"/>
  <c r="L23" i="44"/>
  <c r="L591" i="44"/>
  <c r="L685" i="44"/>
  <c r="L600" i="44"/>
  <c r="L633" i="44"/>
  <c r="L394" i="44"/>
  <c r="L482" i="44"/>
  <c r="L657" i="44"/>
  <c r="E169" i="44"/>
  <c r="F38" i="41"/>
  <c r="E38" i="41"/>
  <c r="H38" i="41"/>
  <c r="F233" i="41"/>
  <c r="H233" i="41"/>
  <c r="E233" i="41"/>
  <c r="H219" i="41"/>
  <c r="F219" i="41"/>
  <c r="E219" i="41"/>
  <c r="L969" i="44"/>
  <c r="L1045" i="44"/>
  <c r="L997" i="44"/>
  <c r="L928" i="44"/>
  <c r="L909" i="44"/>
  <c r="L911" i="44"/>
  <c r="L1010" i="44"/>
  <c r="L978" i="44"/>
  <c r="L925" i="44"/>
  <c r="L977" i="44"/>
  <c r="L973" i="44"/>
  <c r="L993" i="44"/>
  <c r="L910" i="44"/>
  <c r="L991" i="44"/>
  <c r="L897" i="44"/>
  <c r="L974" i="44"/>
  <c r="L926" i="44"/>
  <c r="L878" i="44"/>
  <c r="L976" i="44"/>
  <c r="L975" i="44"/>
  <c r="L879" i="44"/>
  <c r="H438" i="41"/>
  <c r="E438" i="41"/>
  <c r="F438" i="41"/>
  <c r="E41" i="41"/>
  <c r="F41" i="41"/>
  <c r="H41" i="41"/>
  <c r="E398" i="41"/>
  <c r="E396" i="41"/>
  <c r="F396" i="41"/>
  <c r="E430" i="41"/>
  <c r="E403" i="41"/>
  <c r="H403" i="41"/>
  <c r="F403" i="41"/>
  <c r="F398" i="41"/>
  <c r="F430" i="41"/>
  <c r="E395" i="41"/>
  <c r="H430" i="41"/>
  <c r="F395" i="41"/>
  <c r="F225" i="41"/>
  <c r="H225" i="41"/>
  <c r="E225" i="41"/>
  <c r="E157" i="41"/>
  <c r="F169" i="41"/>
  <c r="H178" i="41"/>
  <c r="E158" i="41"/>
  <c r="F158" i="41"/>
  <c r="H170" i="41"/>
  <c r="E169" i="41"/>
  <c r="F178" i="41"/>
  <c r="H157" i="41"/>
  <c r="E178" i="41"/>
  <c r="E170" i="41"/>
  <c r="H158" i="41"/>
  <c r="F157" i="41"/>
  <c r="H169" i="41"/>
  <c r="F170" i="41"/>
  <c r="D480" i="41"/>
  <c r="C480" i="41"/>
  <c r="E479" i="41"/>
  <c r="H464" i="41"/>
  <c r="F463" i="41"/>
  <c r="I444" i="41" l="1"/>
  <c r="K444" i="41" s="1"/>
  <c r="J444" i="41"/>
  <c r="I440" i="41"/>
  <c r="K440" i="41" s="1"/>
  <c r="J440" i="41"/>
  <c r="J449" i="41"/>
  <c r="I449" i="41"/>
  <c r="K449" i="41" s="1"/>
  <c r="I446" i="41"/>
  <c r="K446" i="41" s="1"/>
  <c r="J446" i="41"/>
  <c r="I443" i="41"/>
  <c r="K443" i="41" s="1"/>
  <c r="J443" i="41"/>
  <c r="I450" i="41"/>
  <c r="K450" i="41" s="1"/>
  <c r="J450" i="41"/>
  <c r="I415" i="41"/>
  <c r="K415" i="41" s="1"/>
  <c r="J415" i="41"/>
  <c r="I416" i="41"/>
  <c r="K416" i="41" s="1"/>
  <c r="J416" i="41"/>
  <c r="I417" i="41"/>
  <c r="K417" i="41" s="1"/>
  <c r="J417" i="41"/>
  <c r="I419" i="41"/>
  <c r="K419" i="41" s="1"/>
  <c r="J419" i="41"/>
  <c r="I420" i="41"/>
  <c r="K420" i="41" s="1"/>
  <c r="J420" i="41"/>
  <c r="I418" i="41"/>
  <c r="K418" i="41" s="1"/>
  <c r="J418" i="41"/>
  <c r="J385" i="41"/>
  <c r="I385" i="41"/>
  <c r="K385" i="41" s="1"/>
  <c r="J387" i="41"/>
  <c r="I387" i="41"/>
  <c r="K387" i="41" s="1"/>
  <c r="I384" i="41"/>
  <c r="K384" i="41" s="1"/>
  <c r="J384" i="41"/>
  <c r="I363" i="41"/>
  <c r="K363" i="41" s="1"/>
  <c r="J363" i="41"/>
  <c r="I360" i="41"/>
  <c r="K360" i="41" s="1"/>
  <c r="J360" i="41"/>
  <c r="I18" i="41"/>
  <c r="K18" i="41" s="1"/>
  <c r="J18" i="41"/>
  <c r="C61" i="50"/>
  <c r="C61" i="33"/>
  <c r="I477" i="41"/>
  <c r="K477" i="41" s="1"/>
  <c r="J477" i="41"/>
  <c r="J475" i="41"/>
  <c r="I475" i="41"/>
  <c r="K475" i="41" s="1"/>
  <c r="I476" i="41"/>
  <c r="K476" i="41" s="1"/>
  <c r="J476" i="41"/>
  <c r="I328" i="41"/>
  <c r="K328" i="41" s="1"/>
  <c r="K333" i="41" s="1"/>
  <c r="J328" i="41"/>
  <c r="J333" i="41" s="1"/>
  <c r="I320" i="41"/>
  <c r="K320" i="41" s="1"/>
  <c r="J320" i="41"/>
  <c r="I322" i="41"/>
  <c r="K322" i="41" s="1"/>
  <c r="J322" i="41"/>
  <c r="I300" i="41"/>
  <c r="K300" i="41" s="1"/>
  <c r="J300" i="41"/>
  <c r="J303" i="41"/>
  <c r="I303" i="41"/>
  <c r="K303" i="41" s="1"/>
  <c r="I252" i="41"/>
  <c r="K252" i="41" s="1"/>
  <c r="J252" i="41"/>
  <c r="I207" i="41"/>
  <c r="K207" i="41" s="1"/>
  <c r="J207" i="41"/>
  <c r="J211" i="41" s="1"/>
  <c r="I199" i="41"/>
  <c r="K199" i="41" s="1"/>
  <c r="J199" i="41"/>
  <c r="J201" i="41" s="1"/>
  <c r="I136" i="41"/>
  <c r="K136" i="41" s="1"/>
  <c r="J136" i="41"/>
  <c r="J134" i="41"/>
  <c r="I134" i="41"/>
  <c r="K134" i="41" s="1"/>
  <c r="I69" i="41"/>
  <c r="K69" i="41" s="1"/>
  <c r="J69" i="41"/>
  <c r="J68" i="41"/>
  <c r="I68" i="41"/>
  <c r="K68" i="41" s="1"/>
  <c r="J50" i="41"/>
  <c r="I50" i="41"/>
  <c r="K50" i="41" s="1"/>
  <c r="J48" i="41"/>
  <c r="I48" i="41"/>
  <c r="K48" i="41" s="1"/>
  <c r="I49" i="41"/>
  <c r="K49" i="41" s="1"/>
  <c r="J49" i="41"/>
  <c r="J455" i="41"/>
  <c r="J456" i="41" s="1"/>
  <c r="J313" i="41"/>
  <c r="J286" i="41"/>
  <c r="J279" i="41"/>
  <c r="J270" i="41"/>
  <c r="J272" i="41"/>
  <c r="J262" i="41"/>
  <c r="J263" i="41"/>
  <c r="J260" i="41"/>
  <c r="J271" i="41"/>
  <c r="J248" i="41"/>
  <c r="J251" i="41"/>
  <c r="J180" i="41"/>
  <c r="J163" i="41"/>
  <c r="J405" i="41"/>
  <c r="J400" i="41"/>
  <c r="J192" i="41"/>
  <c r="J193" i="41" s="1"/>
  <c r="J153" i="41"/>
  <c r="J46" i="41"/>
  <c r="J47" i="41"/>
  <c r="J45" i="41"/>
  <c r="J38" i="41"/>
  <c r="J233" i="41"/>
  <c r="J219" i="41"/>
  <c r="J438" i="41"/>
  <c r="J41" i="41"/>
  <c r="J430" i="41"/>
  <c r="J403" i="41"/>
  <c r="J225" i="41"/>
  <c r="J169" i="41"/>
  <c r="J158" i="41"/>
  <c r="J157" i="41"/>
  <c r="J178" i="41"/>
  <c r="J170" i="41"/>
  <c r="F464" i="41"/>
  <c r="E463" i="41"/>
  <c r="H480" i="41"/>
  <c r="E480" i="41"/>
  <c r="F480" i="41"/>
  <c r="E464" i="41"/>
  <c r="J427" i="41" l="1"/>
  <c r="K427" i="41"/>
  <c r="J451" i="41"/>
  <c r="D43" i="50"/>
  <c r="D43" i="33"/>
  <c r="J406" i="41"/>
  <c r="J324" i="41"/>
  <c r="J304" i="41"/>
  <c r="J253" i="41"/>
  <c r="J212" i="41"/>
  <c r="K138" i="41"/>
  <c r="K150" i="41" s="1"/>
  <c r="J138" i="41"/>
  <c r="J150" i="41" s="1"/>
  <c r="J182" i="41"/>
  <c r="F44" i="33" l="1"/>
  <c r="G44" i="33"/>
  <c r="D27" i="50"/>
  <c r="D27" i="33"/>
  <c r="L44" i="33" l="1"/>
  <c r="F28" i="33"/>
  <c r="G28" i="33"/>
  <c r="D367" i="41"/>
  <c r="D347" i="41"/>
  <c r="D336" i="41"/>
  <c r="E334" i="41"/>
  <c r="L28" i="33" l="1"/>
  <c r="C45" i="50"/>
  <c r="C45" i="33"/>
  <c r="H460" i="41"/>
  <c r="E457" i="41"/>
  <c r="C55" i="50" l="1"/>
  <c r="C55" i="33"/>
  <c r="F460" i="41"/>
  <c r="E459" i="41"/>
  <c r="F459" i="41"/>
  <c r="E460" i="41"/>
  <c r="D74" i="41" l="1"/>
  <c r="E73" i="41"/>
  <c r="D71" i="41"/>
  <c r="D70" i="41"/>
  <c r="D67" i="41" l="1"/>
  <c r="D66" i="41"/>
  <c r="D64" i="41"/>
  <c r="D59" i="41"/>
  <c r="E57" i="41"/>
  <c r="C19" i="33" s="1"/>
  <c r="D55" i="41" l="1"/>
  <c r="E54" i="41" l="1"/>
  <c r="C17" i="33" s="1"/>
  <c r="D52" i="41" l="1"/>
  <c r="D51" i="41" l="1"/>
  <c r="D39" i="41" l="1"/>
  <c r="D24" i="41" l="1"/>
  <c r="D23" i="41"/>
  <c r="D22" i="41"/>
  <c r="D21" i="41"/>
  <c r="D17" i="41"/>
  <c r="D16" i="41"/>
  <c r="E15" i="41"/>
  <c r="C13" i="33" s="1"/>
  <c r="D13" i="41"/>
  <c r="D11" i="41"/>
  <c r="D10" i="41"/>
  <c r="E9" i="41"/>
  <c r="C11" i="33" s="1"/>
  <c r="C17" i="50" l="1"/>
  <c r="B11" i="50" l="1"/>
  <c r="B7" i="50"/>
  <c r="B6" i="50" l="1"/>
  <c r="B5" i="50"/>
  <c r="B4" i="50"/>
  <c r="B3" i="50"/>
  <c r="J480" i="41"/>
  <c r="J484" i="41" s="1"/>
  <c r="E1045" i="44"/>
  <c r="H473" i="41" l="1"/>
  <c r="F473" i="41"/>
  <c r="E473" i="41"/>
  <c r="F472" i="41" l="1"/>
  <c r="H472" i="41"/>
  <c r="E472" i="41"/>
  <c r="F471" i="41"/>
  <c r="H471" i="41"/>
  <c r="E471" i="41"/>
  <c r="J473" i="41"/>
  <c r="J472" i="41" l="1"/>
  <c r="J471" i="41"/>
  <c r="E470" i="41" l="1"/>
  <c r="H470" i="41"/>
  <c r="F470" i="41"/>
  <c r="J470" i="41" l="1"/>
  <c r="J478" i="41" s="1"/>
  <c r="E969" i="44" l="1"/>
  <c r="E968" i="44"/>
  <c r="E966" i="44"/>
  <c r="E965" i="44"/>
  <c r="E964" i="44"/>
  <c r="E934" i="44"/>
  <c r="E929" i="44"/>
  <c r="E928" i="44"/>
  <c r="E927" i="44"/>
  <c r="E926" i="44"/>
  <c r="E919" i="44"/>
  <c r="E910" i="44"/>
  <c r="E902" i="44"/>
  <c r="E895" i="44"/>
  <c r="F894" i="44"/>
  <c r="F893" i="44"/>
  <c r="F890" i="44"/>
  <c r="F889" i="44"/>
  <c r="F888" i="44"/>
  <c r="F887" i="44"/>
  <c r="C366" i="41"/>
  <c r="C347" i="41"/>
  <c r="C336" i="41"/>
  <c r="E911" i="44" l="1"/>
  <c r="E909" i="44"/>
  <c r="E898" i="44"/>
  <c r="E903" i="44"/>
  <c r="E904" i="44"/>
  <c r="E336" i="41"/>
  <c r="H336" i="41"/>
  <c r="F336" i="41"/>
  <c r="E347" i="41"/>
  <c r="H347" i="41"/>
  <c r="F347" i="41"/>
  <c r="E371" i="41"/>
  <c r="H371" i="41"/>
  <c r="F371" i="41"/>
  <c r="E366" i="41"/>
  <c r="H366" i="41"/>
  <c r="F366" i="41"/>
  <c r="C367" i="41"/>
  <c r="E896" i="44"/>
  <c r="E897" i="44"/>
  <c r="E905" i="44"/>
  <c r="E906" i="44"/>
  <c r="E920" i="44"/>
  <c r="E921" i="44"/>
  <c r="E1001" i="44"/>
  <c r="E999" i="44"/>
  <c r="J347" i="41" l="1"/>
  <c r="F458" i="41"/>
  <c r="E458" i="41"/>
  <c r="H374" i="41"/>
  <c r="F374" i="41"/>
  <c r="E374" i="41"/>
  <c r="E370" i="41"/>
  <c r="F370" i="41"/>
  <c r="E369" i="41"/>
  <c r="H369" i="41"/>
  <c r="F369" i="41"/>
  <c r="E367" i="41"/>
  <c r="H367" i="41"/>
  <c r="F367" i="41"/>
  <c r="E368" i="41"/>
  <c r="H368" i="41"/>
  <c r="F368" i="41"/>
  <c r="J371" i="41"/>
  <c r="E997" i="44"/>
  <c r="J374" i="41" l="1"/>
  <c r="J336" i="41"/>
  <c r="J345" i="41" s="1"/>
  <c r="H215" i="41" l="1"/>
  <c r="E215" i="41"/>
  <c r="F215" i="41"/>
  <c r="J215" i="41" l="1"/>
  <c r="J244" i="41" l="1"/>
  <c r="J325" i="41" s="1"/>
  <c r="H125" i="41"/>
  <c r="E125" i="41"/>
  <c r="F125" i="41"/>
  <c r="H152" i="41"/>
  <c r="E152" i="41"/>
  <c r="F152" i="41"/>
  <c r="E184" i="41"/>
  <c r="F184" i="41"/>
  <c r="C71" i="41"/>
  <c r="J159" i="41" l="1"/>
  <c r="J168" i="41"/>
  <c r="J176" i="41" s="1"/>
  <c r="F71" i="41"/>
  <c r="H71" i="41"/>
  <c r="E71" i="41"/>
  <c r="F82" i="41"/>
  <c r="H82" i="41"/>
  <c r="E82" i="41"/>
  <c r="F120" i="41"/>
  <c r="H120" i="41"/>
  <c r="E120" i="41"/>
  <c r="F74" i="41"/>
  <c r="H74" i="41"/>
  <c r="E74" i="41"/>
  <c r="H80" i="41"/>
  <c r="J80" i="41" s="1"/>
  <c r="E80" i="41"/>
  <c r="F80" i="41"/>
  <c r="F83" i="41"/>
  <c r="H83" i="41"/>
  <c r="E83" i="41"/>
  <c r="F84" i="41"/>
  <c r="H84" i="41"/>
  <c r="E84" i="41"/>
  <c r="F121" i="41"/>
  <c r="H121" i="41"/>
  <c r="E121" i="41"/>
  <c r="J152" i="41"/>
  <c r="J155" i="41" s="1"/>
  <c r="C67" i="41"/>
  <c r="H67" i="41" l="1"/>
  <c r="F67" i="41"/>
  <c r="E67" i="41"/>
  <c r="C70" i="41"/>
  <c r="J121" i="41"/>
  <c r="J120" i="41"/>
  <c r="C66" i="41"/>
  <c r="J122" i="41" l="1"/>
  <c r="J85" i="41"/>
  <c r="J74" i="41"/>
  <c r="E66" i="41"/>
  <c r="H66" i="41"/>
  <c r="F66" i="41"/>
  <c r="J184" i="41"/>
  <c r="J185" i="41" s="1"/>
  <c r="F70" i="41"/>
  <c r="E70" i="41"/>
  <c r="H70" i="41"/>
  <c r="C64" i="41"/>
  <c r="J90" i="41" l="1"/>
  <c r="F64" i="41"/>
  <c r="H64" i="41"/>
  <c r="E64" i="41"/>
  <c r="C59" i="41"/>
  <c r="E59" i="41" l="1"/>
  <c r="H59" i="41"/>
  <c r="F59" i="41"/>
  <c r="E62" i="41"/>
  <c r="H62" i="41"/>
  <c r="F62" i="41"/>
  <c r="H63" i="41"/>
  <c r="F63" i="41"/>
  <c r="E63" i="41"/>
  <c r="J59" i="41" l="1"/>
  <c r="C55" i="41"/>
  <c r="H55" i="41" l="1"/>
  <c r="E55" i="41"/>
  <c r="F55" i="41"/>
  <c r="J55" i="41" l="1"/>
  <c r="J91" i="41"/>
  <c r="J67" i="41" l="1"/>
  <c r="J92" i="41"/>
  <c r="C52" i="41"/>
  <c r="J95" i="41" l="1"/>
  <c r="J106" i="41" s="1"/>
  <c r="F52" i="41"/>
  <c r="H52" i="41"/>
  <c r="E52" i="41"/>
  <c r="C51" i="41"/>
  <c r="C39" i="41"/>
  <c r="H51" i="41" l="1"/>
  <c r="F51" i="41"/>
  <c r="E51" i="41"/>
  <c r="H37" i="41"/>
  <c r="F37" i="41"/>
  <c r="E37" i="41"/>
  <c r="H39" i="41"/>
  <c r="E39" i="41"/>
  <c r="F39" i="41"/>
  <c r="J56" i="41" l="1"/>
  <c r="J39" i="41"/>
  <c r="H36" i="41"/>
  <c r="F36" i="41"/>
  <c r="E36" i="41"/>
  <c r="H32" i="41"/>
  <c r="E32" i="41"/>
  <c r="F32" i="41"/>
  <c r="J37" i="41"/>
  <c r="J40" i="41" l="1"/>
  <c r="E30" i="41" l="1"/>
  <c r="H30" i="41"/>
  <c r="F30" i="41"/>
  <c r="H31" i="41"/>
  <c r="E31" i="41"/>
  <c r="F31" i="41"/>
  <c r="J32" i="41" l="1"/>
  <c r="J31" i="41"/>
  <c r="C24" i="41" l="1"/>
  <c r="H29" i="41" l="1"/>
  <c r="E29" i="41"/>
  <c r="F29" i="41"/>
  <c r="E24" i="41"/>
  <c r="H24" i="41"/>
  <c r="F24" i="41"/>
  <c r="H25" i="41"/>
  <c r="F25" i="41"/>
  <c r="E25" i="41"/>
  <c r="H27" i="41"/>
  <c r="F27" i="41"/>
  <c r="E27" i="41"/>
  <c r="H28" i="41"/>
  <c r="F28" i="41"/>
  <c r="E28" i="41"/>
  <c r="C23" i="41"/>
  <c r="C22" i="41"/>
  <c r="C21" i="41"/>
  <c r="C17" i="41"/>
  <c r="F17" i="41" s="1"/>
  <c r="C16" i="41"/>
  <c r="E16" i="44"/>
  <c r="C13" i="41"/>
  <c r="C11" i="41"/>
  <c r="C10" i="41"/>
  <c r="E8" i="44" l="1"/>
  <c r="L8" i="44"/>
  <c r="E12" i="44"/>
  <c r="H16" i="41"/>
  <c r="E16" i="41"/>
  <c r="F16" i="41"/>
  <c r="H17" i="41"/>
  <c r="E17" i="41"/>
  <c r="E23" i="41"/>
  <c r="H23" i="41"/>
  <c r="F23" i="41"/>
  <c r="F10" i="41"/>
  <c r="H10" i="41"/>
  <c r="E10" i="41"/>
  <c r="H11" i="41"/>
  <c r="E11" i="41"/>
  <c r="F11" i="41"/>
  <c r="H13" i="41"/>
  <c r="F13" i="41"/>
  <c r="E13" i="41"/>
  <c r="E21" i="41"/>
  <c r="H21" i="41"/>
  <c r="F21" i="41"/>
  <c r="H22" i="41"/>
  <c r="F22" i="41"/>
  <c r="E22" i="41"/>
  <c r="J28" i="41"/>
  <c r="H26" i="41"/>
  <c r="F26" i="41"/>
  <c r="E26" i="41"/>
  <c r="B3" i="44"/>
  <c r="B2" i="44"/>
  <c r="J21" i="41" l="1"/>
  <c r="J22" i="41"/>
  <c r="K16" i="44"/>
  <c r="J16" i="41" l="1"/>
  <c r="J10" i="41"/>
  <c r="J52" i="41" l="1"/>
  <c r="J51" i="41"/>
  <c r="C15" i="50"/>
  <c r="J13" i="41"/>
  <c r="J17" i="41"/>
  <c r="J19" i="41" s="1"/>
  <c r="J84" i="41"/>
  <c r="H119" i="43"/>
  <c r="I119" i="43" s="1"/>
  <c r="I118" i="43" s="1"/>
  <c r="H375" i="43"/>
  <c r="I375" i="43" s="1"/>
  <c r="I373" i="43" s="1"/>
  <c r="H361" i="41" s="1"/>
  <c r="H360" i="43"/>
  <c r="I360" i="43" s="1"/>
  <c r="I361" i="43"/>
  <c r="C13" i="50"/>
  <c r="C19" i="50"/>
  <c r="C11" i="50"/>
  <c r="H463" i="41"/>
  <c r="H149" i="43"/>
  <c r="I149" i="43" s="1"/>
  <c r="H148" i="43"/>
  <c r="I148" i="43" s="1"/>
  <c r="H150" i="43"/>
  <c r="I150" i="43" s="1"/>
  <c r="I152" i="43"/>
  <c r="I366" i="43"/>
  <c r="H402" i="43"/>
  <c r="I402" i="43" s="1"/>
  <c r="I400" i="43" s="1"/>
  <c r="H381" i="41" s="1"/>
  <c r="H398" i="43"/>
  <c r="I398" i="43" s="1"/>
  <c r="I393" i="43"/>
  <c r="I390" i="43" s="1"/>
  <c r="H383" i="41" s="1"/>
  <c r="H364" i="43"/>
  <c r="I364" i="43" s="1"/>
  <c r="H379" i="43"/>
  <c r="I379" i="43" s="1"/>
  <c r="I378" i="43" s="1"/>
  <c r="H396" i="43"/>
  <c r="I396" i="43" s="1"/>
  <c r="H387" i="43"/>
  <c r="I387" i="43" s="1"/>
  <c r="H386" i="43"/>
  <c r="I386" i="43" s="1"/>
  <c r="I383" i="41" l="1"/>
  <c r="K383" i="41" s="1"/>
  <c r="J383" i="41"/>
  <c r="J361" i="41"/>
  <c r="J364" i="41" s="1"/>
  <c r="I361" i="41"/>
  <c r="K361" i="41" s="1"/>
  <c r="I381" i="41"/>
  <c r="K381" i="41" s="1"/>
  <c r="J381" i="41"/>
  <c r="I147" i="43"/>
  <c r="I384" i="43"/>
  <c r="I359" i="43"/>
  <c r="H395" i="41"/>
  <c r="I395" i="43"/>
  <c r="H382" i="41" s="1"/>
  <c r="I363" i="43"/>
  <c r="H398" i="41" s="1"/>
  <c r="H396" i="41"/>
  <c r="H165" i="41"/>
  <c r="H161" i="41"/>
  <c r="J463" i="41"/>
  <c r="J382" i="41" l="1"/>
  <c r="J388" i="41" s="1"/>
  <c r="I382" i="41"/>
  <c r="K382" i="41" s="1"/>
  <c r="H435" i="41"/>
  <c r="H411" i="41"/>
  <c r="H370" i="41"/>
  <c r="J370" i="41" s="1"/>
  <c r="J165" i="41"/>
  <c r="J161" i="41"/>
  <c r="H160" i="41"/>
  <c r="H162" i="41"/>
  <c r="J398" i="41"/>
  <c r="J396" i="41"/>
  <c r="J395" i="41"/>
  <c r="I411" i="41" l="1"/>
  <c r="K411" i="41" s="1"/>
  <c r="K412" i="41" s="1"/>
  <c r="K428" i="41" s="1"/>
  <c r="J411" i="41"/>
  <c r="J412" i="41" s="1"/>
  <c r="J428" i="41" s="1"/>
  <c r="J435" i="41"/>
  <c r="J436" i="41" s="1"/>
  <c r="I435" i="41"/>
  <c r="K435" i="41" s="1"/>
  <c r="J401" i="41"/>
  <c r="J160" i="41"/>
  <c r="J162" i="41"/>
  <c r="I548" i="43"/>
  <c r="I544" i="43" s="1"/>
  <c r="H459" i="41" s="1"/>
  <c r="D47" i="50" l="1"/>
  <c r="D47" i="33"/>
  <c r="J166" i="41"/>
  <c r="I47" i="33" l="1"/>
  <c r="I542" i="43"/>
  <c r="I520" i="43" s="1"/>
  <c r="L47" i="33" l="1"/>
  <c r="I63" i="33"/>
  <c r="I48" i="33"/>
  <c r="L48" i="33" s="1"/>
  <c r="H458" i="41"/>
  <c r="J458" i="41" s="1"/>
  <c r="G887" i="44"/>
  <c r="G888" i="44"/>
  <c r="G889" i="44"/>
  <c r="G890" i="44"/>
  <c r="G893" i="44"/>
  <c r="G894" i="44"/>
  <c r="J887" i="44" l="1"/>
  <c r="K887" i="44"/>
  <c r="J893" i="44"/>
  <c r="K893" i="44"/>
  <c r="J890" i="44"/>
  <c r="K890" i="44"/>
  <c r="J889" i="44"/>
  <c r="K889" i="44"/>
  <c r="J894" i="44"/>
  <c r="K894" i="44"/>
  <c r="J888" i="44"/>
  <c r="K888" i="44"/>
  <c r="K891" i="44" l="1"/>
  <c r="K885" i="44"/>
  <c r="J367" i="41" l="1"/>
  <c r="J368" i="41"/>
  <c r="J369" i="41"/>
  <c r="J366" i="41"/>
  <c r="J71" i="41" l="1"/>
  <c r="D29" i="45" l="1"/>
  <c r="E29" i="45" s="1"/>
  <c r="J11" i="41"/>
  <c r="J14" i="41" s="1"/>
  <c r="J23" i="41"/>
  <c r="J24" i="41"/>
  <c r="J25" i="41"/>
  <c r="J26" i="41"/>
  <c r="J27" i="41"/>
  <c r="J29" i="41"/>
  <c r="J30" i="41"/>
  <c r="J36" i="41"/>
  <c r="J82" i="41"/>
  <c r="J83" i="41"/>
  <c r="J62" i="41"/>
  <c r="J63" i="41"/>
  <c r="J64" i="41"/>
  <c r="J66" i="41"/>
  <c r="J70" i="41"/>
  <c r="J125" i="41"/>
  <c r="J372" i="41"/>
  <c r="J459" i="41"/>
  <c r="J460" i="41"/>
  <c r="J464" i="41"/>
  <c r="J128" i="41" l="1"/>
  <c r="J129" i="41" s="1"/>
  <c r="I239" i="41"/>
  <c r="K239" i="41" s="1"/>
  <c r="I277" i="41"/>
  <c r="K277" i="41" s="1"/>
  <c r="I261" i="41"/>
  <c r="K261" i="41" s="1"/>
  <c r="I238" i="41"/>
  <c r="K238" i="41" s="1"/>
  <c r="I243" i="41"/>
  <c r="K243" i="41" s="1"/>
  <c r="I290" i="41"/>
  <c r="K290" i="41" s="1"/>
  <c r="I266" i="41"/>
  <c r="K266" i="41" s="1"/>
  <c r="I288" i="41"/>
  <c r="K288" i="41" s="1"/>
  <c r="I256" i="41"/>
  <c r="K256" i="41" s="1"/>
  <c r="I267" i="41"/>
  <c r="K267" i="41" s="1"/>
  <c r="I310" i="41"/>
  <c r="K310" i="41" s="1"/>
  <c r="I240" i="41"/>
  <c r="K240" i="41" s="1"/>
  <c r="I280" i="41"/>
  <c r="K280" i="41" s="1"/>
  <c r="I268" i="41"/>
  <c r="K268" i="41" s="1"/>
  <c r="I126" i="41"/>
  <c r="K126" i="41" s="1"/>
  <c r="I314" i="41"/>
  <c r="K314" i="41" s="1"/>
  <c r="I316" i="41"/>
  <c r="K316" i="41" s="1"/>
  <c r="I258" i="41"/>
  <c r="K258" i="41" s="1"/>
  <c r="I317" i="41"/>
  <c r="K317" i="41" s="1"/>
  <c r="I259" i="41"/>
  <c r="K259" i="41" s="1"/>
  <c r="I276" i="41"/>
  <c r="K276" i="41" s="1"/>
  <c r="I164" i="41"/>
  <c r="K164" i="41" s="1"/>
  <c r="I309" i="41"/>
  <c r="K309" i="41" s="1"/>
  <c r="I264" i="41"/>
  <c r="K264" i="41" s="1"/>
  <c r="I287" i="41"/>
  <c r="K287" i="41" s="1"/>
  <c r="I249" i="41"/>
  <c r="K249" i="41" s="1"/>
  <c r="I257" i="41"/>
  <c r="K257" i="41" s="1"/>
  <c r="I250" i="41"/>
  <c r="K250" i="41" s="1"/>
  <c r="I289" i="41"/>
  <c r="K289" i="41" s="1"/>
  <c r="I181" i="41"/>
  <c r="K181" i="41" s="1"/>
  <c r="I127" i="41"/>
  <c r="K127" i="41" s="1"/>
  <c r="I241" i="41"/>
  <c r="K241" i="41" s="1"/>
  <c r="I282" i="41"/>
  <c r="K282" i="41" s="1"/>
  <c r="I312" i="41"/>
  <c r="K312" i="41" s="1"/>
  <c r="I246" i="41"/>
  <c r="K246" i="41" s="1"/>
  <c r="I284" i="41"/>
  <c r="K284" i="41" s="1"/>
  <c r="I222" i="41"/>
  <c r="K222" i="41" s="1"/>
  <c r="I278" i="41"/>
  <c r="K278" i="41" s="1"/>
  <c r="I281" i="41"/>
  <c r="K281" i="41" s="1"/>
  <c r="I307" i="41"/>
  <c r="K307" i="41" s="1"/>
  <c r="I273" i="41"/>
  <c r="K273" i="41" s="1"/>
  <c r="I285" i="41"/>
  <c r="K285" i="41" s="1"/>
  <c r="I311" i="41"/>
  <c r="K311" i="41" s="1"/>
  <c r="I275" i="41"/>
  <c r="K275" i="41" s="1"/>
  <c r="I283" i="41"/>
  <c r="K283" i="41" s="1"/>
  <c r="I306" i="41"/>
  <c r="K306" i="41" s="1"/>
  <c r="I265" i="41"/>
  <c r="K265" i="41" s="1"/>
  <c r="I274" i="41"/>
  <c r="K274" i="41" s="1"/>
  <c r="I237" i="41"/>
  <c r="K237" i="41" s="1"/>
  <c r="I308" i="41"/>
  <c r="K308" i="41" s="1"/>
  <c r="I242" i="41"/>
  <c r="K242" i="41" s="1"/>
  <c r="I247" i="41"/>
  <c r="K247" i="41" s="1"/>
  <c r="I269" i="41"/>
  <c r="K269" i="41" s="1"/>
  <c r="I255" i="41"/>
  <c r="K255" i="41" s="1"/>
  <c r="I315" i="41"/>
  <c r="K315" i="41" s="1"/>
  <c r="I404" i="41"/>
  <c r="K404" i="41" s="1"/>
  <c r="I179" i="41"/>
  <c r="K179" i="41" s="1"/>
  <c r="I172" i="41"/>
  <c r="K172" i="41" s="1"/>
  <c r="I109" i="41"/>
  <c r="K109" i="41" s="1"/>
  <c r="K110" i="41" s="1"/>
  <c r="I43" i="41"/>
  <c r="K43" i="41" s="1"/>
  <c r="I195" i="41"/>
  <c r="K195" i="41" s="1"/>
  <c r="K201" i="41" s="1"/>
  <c r="I42" i="41"/>
  <c r="K42" i="41" s="1"/>
  <c r="I173" i="41"/>
  <c r="K173" i="41" s="1"/>
  <c r="I44" i="41"/>
  <c r="K44" i="41" s="1"/>
  <c r="I174" i="41"/>
  <c r="K174" i="41" s="1"/>
  <c r="I154" i="41"/>
  <c r="K154" i="41" s="1"/>
  <c r="I203" i="41"/>
  <c r="K203" i="41" s="1"/>
  <c r="K211" i="41" s="1"/>
  <c r="I191" i="41"/>
  <c r="K191" i="41" s="1"/>
  <c r="I455" i="41"/>
  <c r="K455" i="41" s="1"/>
  <c r="I286" i="41"/>
  <c r="K286" i="41" s="1"/>
  <c r="I270" i="41"/>
  <c r="K270" i="41" s="1"/>
  <c r="I262" i="41"/>
  <c r="K262" i="41" s="1"/>
  <c r="I248" i="41"/>
  <c r="K248" i="41" s="1"/>
  <c r="I180" i="41"/>
  <c r="K180" i="41" s="1"/>
  <c r="I405" i="41"/>
  <c r="K405" i="41" s="1"/>
  <c r="I192" i="41"/>
  <c r="K192" i="41" s="1"/>
  <c r="I46" i="41"/>
  <c r="K46" i="41" s="1"/>
  <c r="I45" i="41"/>
  <c r="K45" i="41" s="1"/>
  <c r="I260" i="41"/>
  <c r="K260" i="41" s="1"/>
  <c r="I313" i="41"/>
  <c r="K313" i="41" s="1"/>
  <c r="I272" i="41"/>
  <c r="K272" i="41" s="1"/>
  <c r="I263" i="41"/>
  <c r="K263" i="41" s="1"/>
  <c r="I271" i="41"/>
  <c r="K271" i="41" s="1"/>
  <c r="I251" i="41"/>
  <c r="K251" i="41" s="1"/>
  <c r="I163" i="41"/>
  <c r="K163" i="41" s="1"/>
  <c r="I400" i="41"/>
  <c r="K400" i="41" s="1"/>
  <c r="I153" i="41"/>
  <c r="K153" i="41" s="1"/>
  <c r="I279" i="41"/>
  <c r="K279" i="41" s="1"/>
  <c r="I47" i="41"/>
  <c r="K47" i="41" s="1"/>
  <c r="I165" i="41"/>
  <c r="K165" i="41" s="1"/>
  <c r="I161" i="41"/>
  <c r="K161" i="41" s="1"/>
  <c r="I160" i="41"/>
  <c r="K160" i="41" s="1"/>
  <c r="I162" i="41"/>
  <c r="K162" i="41" s="1"/>
  <c r="J86" i="41"/>
  <c r="J72" i="41"/>
  <c r="I34" i="41"/>
  <c r="K34" i="41" s="1"/>
  <c r="I114" i="41"/>
  <c r="K114" i="41" s="1"/>
  <c r="I12" i="41"/>
  <c r="K12" i="41" s="1"/>
  <c r="I115" i="41"/>
  <c r="K115" i="41" s="1"/>
  <c r="I112" i="41"/>
  <c r="K112" i="41" s="1"/>
  <c r="I35" i="41"/>
  <c r="K35" i="41" s="1"/>
  <c r="I97" i="41"/>
  <c r="K97" i="41" s="1"/>
  <c r="K105" i="41" s="1"/>
  <c r="I113" i="41"/>
  <c r="K113" i="41" s="1"/>
  <c r="I229" i="41"/>
  <c r="K229" i="41" s="1"/>
  <c r="I236" i="41"/>
  <c r="K236" i="41" s="1"/>
  <c r="I216" i="41"/>
  <c r="K216" i="41" s="1"/>
  <c r="I235" i="41"/>
  <c r="K235" i="41" s="1"/>
  <c r="I220" i="41"/>
  <c r="K220" i="41" s="1"/>
  <c r="I231" i="41"/>
  <c r="K231" i="41" s="1"/>
  <c r="I230" i="41"/>
  <c r="K230" i="41" s="1"/>
  <c r="I221" i="41"/>
  <c r="K221" i="41" s="1"/>
  <c r="I227" i="41"/>
  <c r="K227" i="41" s="1"/>
  <c r="I218" i="41"/>
  <c r="K218" i="41" s="1"/>
  <c r="I232" i="41"/>
  <c r="K232" i="41" s="1"/>
  <c r="I226" i="41"/>
  <c r="K226" i="41" s="1"/>
  <c r="I234" i="41"/>
  <c r="K234" i="41" s="1"/>
  <c r="I228" i="41"/>
  <c r="K228" i="41" s="1"/>
  <c r="I217" i="41"/>
  <c r="K217" i="41" s="1"/>
  <c r="I40" i="41"/>
  <c r="K40" i="41" s="1"/>
  <c r="I190" i="41"/>
  <c r="K190" i="41" s="1"/>
  <c r="I189" i="41"/>
  <c r="K189" i="41" s="1"/>
  <c r="I79" i="41"/>
  <c r="K79" i="41" s="1"/>
  <c r="I75" i="41"/>
  <c r="K75" i="41" s="1"/>
  <c r="I61" i="41"/>
  <c r="K61" i="41" s="1"/>
  <c r="I77" i="41"/>
  <c r="K77" i="41" s="1"/>
  <c r="I76" i="41"/>
  <c r="K76" i="41" s="1"/>
  <c r="I38" i="41"/>
  <c r="K38" i="41" s="1"/>
  <c r="I233" i="41"/>
  <c r="K233" i="41" s="1"/>
  <c r="I219" i="41"/>
  <c r="K219" i="41" s="1"/>
  <c r="I215" i="41"/>
  <c r="K215" i="41" s="1"/>
  <c r="I369" i="41"/>
  <c r="K369" i="41" s="1"/>
  <c r="I391" i="41"/>
  <c r="K391" i="41" s="1"/>
  <c r="I397" i="41"/>
  <c r="K397" i="41" s="1"/>
  <c r="I430" i="41"/>
  <c r="K430" i="41" s="1"/>
  <c r="K436" i="41" s="1"/>
  <c r="I460" i="41"/>
  <c r="K460" i="41" s="1"/>
  <c r="I483" i="41"/>
  <c r="K483" i="41" s="1"/>
  <c r="I24" i="41"/>
  <c r="K24" i="41" s="1"/>
  <c r="I28" i="41"/>
  <c r="K28" i="41" s="1"/>
  <c r="I31" i="41"/>
  <c r="K31" i="41" s="1"/>
  <c r="I39" i="41"/>
  <c r="K39" i="41" s="1"/>
  <c r="I55" i="41"/>
  <c r="K55" i="41" s="1"/>
  <c r="K56" i="41" s="1"/>
  <c r="D17" i="33" s="1"/>
  <c r="I83" i="41"/>
  <c r="K83" i="41" s="1"/>
  <c r="I62" i="41"/>
  <c r="K62" i="41" s="1"/>
  <c r="I66" i="41"/>
  <c r="K66" i="41" s="1"/>
  <c r="I93" i="41"/>
  <c r="K93" i="41" s="1"/>
  <c r="I470" i="41"/>
  <c r="K470" i="41" s="1"/>
  <c r="I125" i="41"/>
  <c r="K125" i="41" s="1"/>
  <c r="I170" i="41"/>
  <c r="K170" i="41" s="1"/>
  <c r="I184" i="41"/>
  <c r="K184" i="41" s="1"/>
  <c r="K185" i="41" s="1"/>
  <c r="I453" i="41"/>
  <c r="K453" i="41" s="1"/>
  <c r="I469" i="41"/>
  <c r="K469" i="41" s="1"/>
  <c r="I225" i="41"/>
  <c r="K225" i="41" s="1"/>
  <c r="I347" i="41"/>
  <c r="K347" i="41" s="1"/>
  <c r="K364" i="41" s="1"/>
  <c r="I366" i="41"/>
  <c r="K366" i="41" s="1"/>
  <c r="I370" i="41"/>
  <c r="K370" i="41" s="1"/>
  <c r="I392" i="41"/>
  <c r="K392" i="41" s="1"/>
  <c r="I398" i="41"/>
  <c r="K398" i="41" s="1"/>
  <c r="I438" i="41"/>
  <c r="K438" i="41" s="1"/>
  <c r="I463" i="41"/>
  <c r="K463" i="41" s="1"/>
  <c r="I480" i="41"/>
  <c r="K480" i="41" s="1"/>
  <c r="I21" i="41"/>
  <c r="K21" i="41" s="1"/>
  <c r="I25" i="41"/>
  <c r="K25" i="41" s="1"/>
  <c r="I32" i="41"/>
  <c r="K32" i="41" s="1"/>
  <c r="I41" i="41"/>
  <c r="K41" i="41" s="1"/>
  <c r="I74" i="41"/>
  <c r="K74" i="41" s="1"/>
  <c r="I84" i="41"/>
  <c r="K84" i="41" s="1"/>
  <c r="I63" i="41"/>
  <c r="K63" i="41" s="1"/>
  <c r="I67" i="41"/>
  <c r="K67" i="41" s="1"/>
  <c r="I90" i="41"/>
  <c r="K90" i="41" s="1"/>
  <c r="I471" i="41"/>
  <c r="K471" i="41" s="1"/>
  <c r="I152" i="41"/>
  <c r="K152" i="41" s="1"/>
  <c r="I120" i="41"/>
  <c r="K120" i="41" s="1"/>
  <c r="I159" i="41"/>
  <c r="K159" i="41" s="1"/>
  <c r="I178" i="41"/>
  <c r="K178" i="41" s="1"/>
  <c r="I188" i="41"/>
  <c r="K188" i="41" s="1"/>
  <c r="I10" i="41"/>
  <c r="K10" i="41" s="1"/>
  <c r="I454" i="41"/>
  <c r="K454" i="41" s="1"/>
  <c r="I16" i="41"/>
  <c r="K16" i="41" s="1"/>
  <c r="I367" i="41"/>
  <c r="K367" i="41" s="1"/>
  <c r="I371" i="41"/>
  <c r="K371" i="41" s="1"/>
  <c r="I374" i="41"/>
  <c r="K374" i="41" s="1"/>
  <c r="K388" i="41" s="1"/>
  <c r="I395" i="41"/>
  <c r="K395" i="41" s="1"/>
  <c r="I399" i="41"/>
  <c r="K399" i="41" s="1"/>
  <c r="I458" i="41"/>
  <c r="K458" i="41" s="1"/>
  <c r="I464" i="41"/>
  <c r="K464" i="41" s="1"/>
  <c r="I481" i="41"/>
  <c r="K481" i="41" s="1"/>
  <c r="I22" i="41"/>
  <c r="K22" i="41" s="1"/>
  <c r="I26" i="41"/>
  <c r="K26" i="41" s="1"/>
  <c r="I29" i="41"/>
  <c r="K29" i="41" s="1"/>
  <c r="I36" i="41"/>
  <c r="K36" i="41" s="1"/>
  <c r="I51" i="41"/>
  <c r="K51" i="41" s="1"/>
  <c r="I80" i="41"/>
  <c r="K80" i="41" s="1"/>
  <c r="I85" i="41"/>
  <c r="K85" i="41" s="1"/>
  <c r="I70" i="41"/>
  <c r="K70" i="41" s="1"/>
  <c r="I91" i="41"/>
  <c r="K91" i="41" s="1"/>
  <c r="I472" i="41"/>
  <c r="K472" i="41" s="1"/>
  <c r="I121" i="41"/>
  <c r="K121" i="41" s="1"/>
  <c r="I157" i="41"/>
  <c r="K157" i="41" s="1"/>
  <c r="I168" i="41"/>
  <c r="K168" i="41" s="1"/>
  <c r="I11" i="41"/>
  <c r="K11" i="41" s="1"/>
  <c r="I467" i="41"/>
  <c r="K467" i="41" s="1"/>
  <c r="I17" i="41"/>
  <c r="K17" i="41" s="1"/>
  <c r="I336" i="41"/>
  <c r="K336" i="41" s="1"/>
  <c r="K345" i="41" s="1"/>
  <c r="I368" i="41"/>
  <c r="K368" i="41" s="1"/>
  <c r="I390" i="41"/>
  <c r="K390" i="41" s="1"/>
  <c r="I396" i="41"/>
  <c r="K396" i="41" s="1"/>
  <c r="I403" i="41"/>
  <c r="K403" i="41" s="1"/>
  <c r="I459" i="41"/>
  <c r="K459" i="41" s="1"/>
  <c r="I482" i="41"/>
  <c r="K482" i="41" s="1"/>
  <c r="I23" i="41"/>
  <c r="K23" i="41" s="1"/>
  <c r="I27" i="41"/>
  <c r="K27" i="41" s="1"/>
  <c r="I30" i="41"/>
  <c r="K30" i="41" s="1"/>
  <c r="I37" i="41"/>
  <c r="K37" i="41" s="1"/>
  <c r="I52" i="41"/>
  <c r="K52" i="41" s="1"/>
  <c r="I82" i="41"/>
  <c r="K82" i="41" s="1"/>
  <c r="I59" i="41"/>
  <c r="K59" i="41" s="1"/>
  <c r="I64" i="41"/>
  <c r="K64" i="41" s="1"/>
  <c r="I71" i="41"/>
  <c r="K71" i="41" s="1"/>
  <c r="I92" i="41"/>
  <c r="K92" i="41" s="1"/>
  <c r="I473" i="41"/>
  <c r="K473" i="41" s="1"/>
  <c r="I124" i="41"/>
  <c r="K124" i="41" s="1"/>
  <c r="I158" i="41"/>
  <c r="K158" i="41" s="1"/>
  <c r="I169" i="41"/>
  <c r="K169" i="41" s="1"/>
  <c r="I13" i="41"/>
  <c r="K13" i="41" s="1"/>
  <c r="I468" i="41"/>
  <c r="K468" i="41" s="1"/>
  <c r="J465" i="41"/>
  <c r="J461" i="41"/>
  <c r="J53" i="41"/>
  <c r="K176" i="41" l="1"/>
  <c r="K19" i="41"/>
  <c r="D13" i="33" s="1"/>
  <c r="K451" i="41"/>
  <c r="K393" i="41"/>
  <c r="D37" i="50"/>
  <c r="D37" i="33"/>
  <c r="K406" i="41"/>
  <c r="K372" i="41"/>
  <c r="K401" i="41"/>
  <c r="K456" i="41"/>
  <c r="K193" i="41"/>
  <c r="K212" i="41" s="1"/>
  <c r="K478" i="41"/>
  <c r="K324" i="41"/>
  <c r="K304" i="41"/>
  <c r="K253" i="41"/>
  <c r="K244" i="41"/>
  <c r="K128" i="41"/>
  <c r="K122" i="41"/>
  <c r="K95" i="41"/>
  <c r="K106" i="41" s="1"/>
  <c r="K182" i="41"/>
  <c r="K155" i="41"/>
  <c r="J407" i="41"/>
  <c r="K166" i="41"/>
  <c r="J87" i="41"/>
  <c r="K116" i="41"/>
  <c r="K117" i="41" s="1"/>
  <c r="K86" i="41"/>
  <c r="K72" i="41"/>
  <c r="K53" i="41"/>
  <c r="D15" i="33" s="1"/>
  <c r="K14" i="41"/>
  <c r="K461" i="41"/>
  <c r="D55" i="33" s="1"/>
  <c r="K465" i="41"/>
  <c r="D57" i="33" s="1"/>
  <c r="K58" i="33" s="1"/>
  <c r="K484" i="41"/>
  <c r="D17" i="50"/>
  <c r="G18" i="33"/>
  <c r="L18" i="33" s="1"/>
  <c r="J486" i="41" l="1"/>
  <c r="D11" i="33"/>
  <c r="M11" i="33"/>
  <c r="K12" i="33"/>
  <c r="H56" i="33"/>
  <c r="G56" i="33"/>
  <c r="L13" i="33"/>
  <c r="M17" i="33"/>
  <c r="D13" i="50"/>
  <c r="D51" i="50"/>
  <c r="D51" i="33"/>
  <c r="J51" i="33" s="1"/>
  <c r="J63" i="33" s="1"/>
  <c r="D23" i="50"/>
  <c r="D23" i="33"/>
  <c r="D29" i="50"/>
  <c r="D29" i="33"/>
  <c r="J30" i="33" s="1"/>
  <c r="D49" i="50"/>
  <c r="D49" i="33"/>
  <c r="D31" i="50"/>
  <c r="D31" i="33"/>
  <c r="D21" i="50"/>
  <c r="D21" i="33"/>
  <c r="D35" i="50"/>
  <c r="D35" i="33"/>
  <c r="D33" i="50"/>
  <c r="D33" i="33"/>
  <c r="G34" i="33" s="1"/>
  <c r="L34" i="33" s="1"/>
  <c r="D59" i="50"/>
  <c r="D59" i="33"/>
  <c r="K60" i="33" s="1"/>
  <c r="D53" i="50"/>
  <c r="D53" i="33"/>
  <c r="K54" i="33" s="1"/>
  <c r="L58" i="33"/>
  <c r="L57" i="33"/>
  <c r="D61" i="50"/>
  <c r="D61" i="33"/>
  <c r="K62" i="33" s="1"/>
  <c r="D39" i="50"/>
  <c r="D39" i="33"/>
  <c r="K40" i="33" s="1"/>
  <c r="D57" i="50"/>
  <c r="D55" i="50"/>
  <c r="K325" i="41"/>
  <c r="K129" i="41"/>
  <c r="G12" i="33"/>
  <c r="K407" i="41"/>
  <c r="K87" i="41"/>
  <c r="D15" i="50"/>
  <c r="D11" i="50"/>
  <c r="M27" i="33"/>
  <c r="G16" i="33"/>
  <c r="F16" i="33"/>
  <c r="F49" i="33" l="1"/>
  <c r="K487" i="41"/>
  <c r="L56" i="33"/>
  <c r="H36" i="33"/>
  <c r="I36" i="33"/>
  <c r="L55" i="33"/>
  <c r="M55" i="33" s="1"/>
  <c r="L16" i="33"/>
  <c r="H32" i="33"/>
  <c r="G32" i="33"/>
  <c r="H24" i="33"/>
  <c r="L24" i="33" s="1"/>
  <c r="M23" i="33"/>
  <c r="M15" i="33"/>
  <c r="M57" i="33"/>
  <c r="M33" i="33"/>
  <c r="D19" i="50"/>
  <c r="D19" i="33"/>
  <c r="L62" i="33"/>
  <c r="L61" i="33"/>
  <c r="D41" i="50"/>
  <c r="D41" i="33"/>
  <c r="D45" i="50"/>
  <c r="D45" i="33"/>
  <c r="F46" i="33" s="1"/>
  <c r="D25" i="50"/>
  <c r="D25" i="33"/>
  <c r="J60" i="33"/>
  <c r="L60" i="33" s="1"/>
  <c r="L59" i="33"/>
  <c r="H12" i="33"/>
  <c r="F12" i="33"/>
  <c r="I12" i="33"/>
  <c r="J12" i="33"/>
  <c r="J52" i="33"/>
  <c r="L52" i="33" s="1"/>
  <c r="F14" i="33"/>
  <c r="L14" i="33" s="1"/>
  <c r="J40" i="33"/>
  <c r="L40" i="33" s="1"/>
  <c r="L54" i="33"/>
  <c r="H22" i="33"/>
  <c r="G22" i="33"/>
  <c r="M21" i="33"/>
  <c r="I38" i="33"/>
  <c r="M29" i="33"/>
  <c r="I30" i="33"/>
  <c r="L30" i="33" s="1"/>
  <c r="F63" i="33" l="1"/>
  <c r="L49" i="33"/>
  <c r="M49" i="33" s="1"/>
  <c r="F50" i="33"/>
  <c r="L50" i="33" s="1"/>
  <c r="L36" i="33"/>
  <c r="L22" i="33"/>
  <c r="L32" i="33"/>
  <c r="J46" i="33"/>
  <c r="K46" i="33"/>
  <c r="M41" i="33"/>
  <c r="G42" i="33"/>
  <c r="F42" i="33"/>
  <c r="L35" i="33"/>
  <c r="M35" i="33" s="1"/>
  <c r="L38" i="33"/>
  <c r="L53" i="33"/>
  <c r="M53" i="33" s="1"/>
  <c r="L51" i="33"/>
  <c r="M51" i="33" s="1"/>
  <c r="L37" i="33"/>
  <c r="M37" i="33" s="1"/>
  <c r="L43" i="33"/>
  <c r="M43" i="33" s="1"/>
  <c r="L12" i="33"/>
  <c r="H26" i="33"/>
  <c r="L26" i="33" s="1"/>
  <c r="M25" i="33"/>
  <c r="M59" i="33"/>
  <c r="M61" i="33"/>
  <c r="M13" i="33"/>
  <c r="G20" i="33"/>
  <c r="M19" i="33"/>
  <c r="D63" i="50"/>
  <c r="E47" i="50" s="1"/>
  <c r="F20" i="33"/>
  <c r="D65" i="33"/>
  <c r="H20" i="33"/>
  <c r="L39" i="33"/>
  <c r="E47" i="33" l="1"/>
  <c r="L63" i="33"/>
  <c r="M63" i="33" s="1"/>
  <c r="F65" i="33"/>
  <c r="E61" i="50"/>
  <c r="L46" i="33"/>
  <c r="L42" i="33"/>
  <c r="L45" i="33"/>
  <c r="M45" i="33" s="1"/>
  <c r="L20" i="33"/>
  <c r="E57" i="33"/>
  <c r="K64" i="33"/>
  <c r="M39" i="33"/>
  <c r="E33" i="50"/>
  <c r="E11" i="33"/>
  <c r="E31" i="33"/>
  <c r="E37" i="33"/>
  <c r="E43" i="33"/>
  <c r="E35" i="33"/>
  <c r="E29" i="33"/>
  <c r="E51" i="33"/>
  <c r="E39" i="33"/>
  <c r="E17" i="33"/>
  <c r="E49" i="50"/>
  <c r="E41" i="33"/>
  <c r="E49" i="33"/>
  <c r="F64" i="33"/>
  <c r="E21" i="50"/>
  <c r="E41" i="50"/>
  <c r="E45" i="50"/>
  <c r="E17" i="50"/>
  <c r="E13" i="50"/>
  <c r="E31" i="50"/>
  <c r="E29" i="50"/>
  <c r="E51" i="50"/>
  <c r="E33" i="33"/>
  <c r="E45" i="33"/>
  <c r="E53" i="50"/>
  <c r="E39" i="50"/>
  <c r="I64" i="33"/>
  <c r="J64" i="33"/>
  <c r="E37" i="50"/>
  <c r="E43" i="50"/>
  <c r="E15" i="50"/>
  <c r="E11" i="50"/>
  <c r="E35" i="50"/>
  <c r="E23" i="50"/>
  <c r="E27" i="50"/>
  <c r="E55" i="50"/>
  <c r="E57" i="50"/>
  <c r="E21" i="33"/>
  <c r="E13" i="33"/>
  <c r="E23" i="33"/>
  <c r="E19" i="50"/>
  <c r="E61" i="33"/>
  <c r="E53" i="33"/>
  <c r="E27" i="33"/>
  <c r="E15" i="33"/>
  <c r="E19" i="33"/>
  <c r="E59" i="50"/>
  <c r="E55" i="33"/>
  <c r="E59" i="33"/>
  <c r="H64" i="33"/>
  <c r="E25" i="50" l="1"/>
  <c r="E63" i="50" s="1"/>
  <c r="E25" i="33" l="1"/>
  <c r="E65" i="33" s="1"/>
  <c r="M31" i="33"/>
  <c r="L65" i="33" l="1"/>
  <c r="L64" i="33"/>
  <c r="G64" i="33"/>
  <c r="G65" i="33"/>
  <c r="H65" i="33" s="1"/>
  <c r="I65" i="33" s="1"/>
  <c r="J65" i="33" s="1"/>
  <c r="K65" i="33" s="1"/>
</calcChain>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<sst xmlns="http://schemas.openxmlformats.org/spreadsheetml/2006/main" count="52494" uniqueCount="14757">
  <si>
    <t>FONTE</t>
  </si>
  <si>
    <t>ITEM</t>
  </si>
  <si>
    <t>CÓDIGO</t>
  </si>
  <si>
    <t>ESPECIFICAÇÃO</t>
  </si>
  <si>
    <t>UNID.</t>
  </si>
  <si>
    <t>QUANT.</t>
  </si>
  <si>
    <t>SINAPI</t>
  </si>
  <si>
    <t>TOTAL</t>
  </si>
  <si>
    <t>DESCRIÇÃO / ETAPA</t>
  </si>
  <si>
    <t>PERÍODO DE EXECUÇÃO DA OBRA</t>
  </si>
  <si>
    <t>VALOR (R$)</t>
  </si>
  <si>
    <t>(%)</t>
  </si>
  <si>
    <t>mês 01</t>
  </si>
  <si>
    <t>mês 02</t>
  </si>
  <si>
    <t>M</t>
  </si>
  <si>
    <t>TOTAL ACUMULADO MENSAL</t>
  </si>
  <si>
    <t>KG</t>
  </si>
  <si>
    <t>VALOR TOTAL ACUMULADO SEM BDI</t>
  </si>
  <si>
    <t>DESCRIÇÃO</t>
  </si>
  <si>
    <t>H</t>
  </si>
  <si>
    <t>AZULEJISTA OU LADRILHISTA COM ENCARGOS COMPLEMENTARES</t>
  </si>
  <si>
    <t>SERVENTE COM ENCARGOS COMPLEMENTARES</t>
  </si>
  <si>
    <t>M3</t>
  </si>
  <si>
    <t>APLICAÇÃO MANUAL DE PINTURA COM TINTA LÁTEX ACRÍLICA EM PAREDES, DUAS DEMÃOS. AF_06/2014</t>
  </si>
  <si>
    <t>UN</t>
  </si>
  <si>
    <t>CRONOGRAMA FÍSICO-FINANCEIRO</t>
  </si>
  <si>
    <t>APLICAÇÃO DE FUNDO SELADOR ACRÍLICO EM PAREDES, UMA DEMÃO. AF_06/2014</t>
  </si>
  <si>
    <t>SERVIÇOS DIVERSOS</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</si>
  <si>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</si>
  <si>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</si>
  <si>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</si>
  <si>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</si>
  <si>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</si>
  <si>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</si>
  <si>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</si>
  <si>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ELETRICISTA COM ENCARGOS COMPLEMENTARES</t>
  </si>
  <si>
    <t>CARPINTEIRO DE ESQUADRIA COM ENCARGOS COMPLEMENTARES</t>
  </si>
  <si>
    <t>AUXILIAR DE ELETRICISTA COM ENCARGOS COMPLEMENTARES</t>
  </si>
  <si>
    <t>TOMADA ALTA DE EMBUTIR (1 MÓDULO), 2P+T 10 A, SEM SUPORTE E SEM PLACA - FORNECIMENTO E INSTALAÇÃO. AF_12/2015</t>
  </si>
  <si>
    <t>L</t>
  </si>
  <si>
    <t>T</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</si>
  <si>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</si>
  <si>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</si>
  <si>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</si>
  <si>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</si>
  <si>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</si>
  <si>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</si>
  <si>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</si>
  <si>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</si>
  <si>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</si>
  <si>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</si>
  <si>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</si>
  <si>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</si>
  <si>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</si>
  <si>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</si>
  <si>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</si>
  <si>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</si>
  <si>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</si>
  <si>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</si>
  <si>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</si>
  <si>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</si>
  <si>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</si>
  <si>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</si>
  <si>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</si>
  <si>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</si>
  <si>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</si>
  <si>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</si>
  <si>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</si>
  <si>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</si>
  <si>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</si>
  <si>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</si>
  <si>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</si>
  <si>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</si>
  <si>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LIMPEZA FINAL DA OBRA</t>
  </si>
  <si>
    <t>MES</t>
  </si>
  <si>
    <t>SC25KG</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</si>
  <si>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</si>
  <si>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</si>
  <si>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</si>
  <si>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TXKM</t>
  </si>
  <si>
    <t>M3XKM</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</si>
  <si>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</si>
  <si>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</si>
  <si>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</si>
  <si>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</si>
  <si>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</si>
  <si>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</si>
  <si>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</si>
  <si>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</si>
  <si>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</si>
  <si>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</si>
  <si>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</si>
  <si>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</si>
  <si>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</si>
  <si>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</si>
  <si>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</si>
  <si>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</si>
  <si>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</si>
  <si>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</si>
  <si>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</si>
  <si>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</si>
  <si>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</si>
  <si>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</si>
  <si>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</si>
  <si>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</si>
  <si>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</si>
  <si>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</si>
  <si>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</si>
  <si>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</si>
  <si>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</si>
  <si>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</si>
  <si>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</si>
  <si>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</si>
  <si>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</si>
  <si>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</si>
  <si>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</si>
  <si>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</si>
  <si>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</si>
  <si>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</si>
  <si>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</si>
  <si>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</si>
  <si>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CALCETEIRO COM ENCARGOS COMPLEMENTARES</t>
  </si>
  <si>
    <t>ELETRICISTA INDUSTRIAL COM ENCARGOS COMPLEMENTARES</t>
  </si>
  <si>
    <t>ELETROTÉCNICO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</si>
  <si>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</si>
  <si>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</si>
  <si>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</si>
  <si>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</si>
  <si>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</si>
  <si>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</si>
  <si>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</si>
  <si>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</si>
  <si>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</si>
  <si>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</si>
  <si>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</si>
  <si>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</si>
  <si>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</si>
  <si>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</si>
  <si>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</si>
  <si>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</si>
  <si>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</si>
  <si>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</si>
  <si>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</si>
  <si>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</si>
  <si>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</si>
  <si>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</si>
  <si>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</si>
  <si>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</si>
  <si>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</si>
  <si>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</si>
  <si>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</si>
  <si>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</si>
  <si>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</si>
  <si>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</si>
  <si>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</si>
  <si>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</si>
  <si>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</si>
  <si>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</si>
  <si>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</si>
  <si>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</si>
  <si>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</si>
  <si>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</si>
  <si>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</si>
  <si>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</si>
  <si>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</si>
  <si>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</si>
  <si>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</si>
  <si>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</si>
  <si>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</si>
  <si>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</si>
  <si>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</si>
  <si>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</si>
  <si>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</si>
  <si>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</si>
  <si>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</si>
  <si>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</si>
  <si>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</si>
  <si>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</si>
  <si>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</si>
  <si>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</si>
  <si>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APLICAÇÃO DE FUNDO SELADOR ACRÍLICO EM TETO, UMA DEMÃO. AF_06/2014</t>
  </si>
  <si>
    <t>APLICAÇÃO E LIXAMENTO DE MASSA LÁTEX EM TETO, UMA DEMÃO. AF_06/2014</t>
  </si>
  <si>
    <t>APLICAÇÃO E LIXAMENTO DE MASSA LÁTEX EM PAREDES, UMA DEMÃO. AF_06/2014</t>
  </si>
  <si>
    <t>APLICAÇÃO E LIXAMENTO DE MASSA LÁTEX EM TETO, DUAS DEMÃOS.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</si>
  <si>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</si>
  <si>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</si>
  <si>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</si>
  <si>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</si>
  <si>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</si>
  <si>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</si>
  <si>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</si>
  <si>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</si>
  <si>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</si>
  <si>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</si>
  <si>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</si>
  <si>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</si>
  <si>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</si>
  <si>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</si>
  <si>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</si>
  <si>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</si>
  <si>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</si>
  <si>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</si>
  <si>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</si>
  <si>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</si>
  <si>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</si>
  <si>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</si>
  <si>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</si>
  <si>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</si>
  <si>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</si>
  <si>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</si>
  <si>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</si>
  <si>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</si>
  <si>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</si>
  <si>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</si>
  <si>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</si>
  <si>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</si>
  <si>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</si>
  <si>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</si>
  <si>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</si>
  <si>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</si>
  <si>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</si>
  <si>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</si>
  <si>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</si>
  <si>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</si>
  <si>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</si>
  <si>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</si>
  <si>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</si>
  <si>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</si>
  <si>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</si>
  <si>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</si>
  <si>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</si>
  <si>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</si>
  <si>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</si>
  <si>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</si>
  <si>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</si>
  <si>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</si>
  <si>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</si>
  <si>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</si>
  <si>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</si>
  <si>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</si>
  <si>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</si>
  <si>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</si>
  <si>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</si>
  <si>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</si>
  <si>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</si>
  <si>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</si>
  <si>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</si>
  <si>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</si>
  <si>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</si>
  <si>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</si>
  <si>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</si>
  <si>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</si>
  <si>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</si>
  <si>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</si>
  <si>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</si>
  <si>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</si>
  <si>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</si>
  <si>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</si>
  <si>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</si>
  <si>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</si>
  <si>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</si>
  <si>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</si>
  <si>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</si>
  <si>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</si>
  <si>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</si>
  <si>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</si>
  <si>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</si>
  <si>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</si>
  <si>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</si>
  <si>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</si>
  <si>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</si>
  <si>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</si>
  <si>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</si>
  <si>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</si>
  <si>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</si>
  <si>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</si>
  <si>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</si>
  <si>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</si>
  <si>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</si>
  <si>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</si>
  <si>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</si>
  <si>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</si>
  <si>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</si>
  <si>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</si>
  <si>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</si>
  <si>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</si>
  <si>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</si>
  <si>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</si>
  <si>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</si>
  <si>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</si>
  <si>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</si>
  <si>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</si>
  <si>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</si>
  <si>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</si>
  <si>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</si>
  <si>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</si>
  <si>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</si>
  <si>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</si>
  <si>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</si>
  <si>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</si>
  <si>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</si>
  <si>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</si>
  <si>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</si>
  <si>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</si>
  <si>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</si>
  <si>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</si>
  <si>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</si>
  <si>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</si>
  <si>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</si>
  <si>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</si>
  <si>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</si>
  <si>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</si>
  <si>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</si>
  <si>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</si>
  <si>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</si>
  <si>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</si>
  <si>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</si>
  <si>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</si>
  <si>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</si>
  <si>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</si>
  <si>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</si>
  <si>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</si>
  <si>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</si>
  <si>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</si>
  <si>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</si>
  <si>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</si>
  <si>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</si>
  <si>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</si>
  <si>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</si>
  <si>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</si>
  <si>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</si>
  <si>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</si>
  <si>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</si>
  <si>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</si>
  <si>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</si>
  <si>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</si>
  <si>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</si>
  <si>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</si>
  <si>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</si>
  <si>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</si>
  <si>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</si>
  <si>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</si>
  <si>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</si>
  <si>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</si>
  <si>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</si>
  <si>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</si>
  <si>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</si>
  <si>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</si>
  <si>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</si>
  <si>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</si>
  <si>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</si>
  <si>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</si>
  <si>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</si>
  <si>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</si>
  <si>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</si>
  <si>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</si>
  <si>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</si>
  <si>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</si>
  <si>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</si>
  <si>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</si>
  <si>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</si>
  <si>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</si>
  <si>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</si>
  <si>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</si>
  <si>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</si>
  <si>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</si>
  <si>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</si>
  <si>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</si>
  <si>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</si>
  <si>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</si>
  <si>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</si>
  <si>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</si>
  <si>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</si>
  <si>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</si>
  <si>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</si>
  <si>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</si>
  <si>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</si>
  <si>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</si>
  <si>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</si>
  <si>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</si>
  <si>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</si>
  <si>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</si>
  <si>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</si>
  <si>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</si>
  <si>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</si>
  <si>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</si>
  <si>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</si>
  <si>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</si>
  <si>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</si>
  <si>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</si>
  <si>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</si>
  <si>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</si>
  <si>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</si>
  <si>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</si>
  <si>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</si>
  <si>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</si>
  <si>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</si>
  <si>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</si>
  <si>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</si>
  <si>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</si>
  <si>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</si>
  <si>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</si>
  <si>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</si>
  <si>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</si>
  <si>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</si>
  <si>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</si>
  <si>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</si>
  <si>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</si>
  <si>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</si>
  <si>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</si>
  <si>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</si>
  <si>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</si>
  <si>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</si>
  <si>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</si>
  <si>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</si>
  <si>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</si>
  <si>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</si>
  <si>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</si>
  <si>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</si>
  <si>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</si>
  <si>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</si>
  <si>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</si>
  <si>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</si>
  <si>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</si>
  <si>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</si>
  <si>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</si>
  <si>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</si>
  <si>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</si>
  <si>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</si>
  <si>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</si>
  <si>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</si>
  <si>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</si>
  <si>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</si>
  <si>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</si>
  <si>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</si>
  <si>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</si>
  <si>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</si>
  <si>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</si>
  <si>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</si>
  <si>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</si>
  <si>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</si>
  <si>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</si>
  <si>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</si>
  <si>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</si>
  <si>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</si>
  <si>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</si>
  <si>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</si>
  <si>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</si>
  <si>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</si>
  <si>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</si>
  <si>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</si>
  <si>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</si>
  <si>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</si>
  <si>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</si>
  <si>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</si>
  <si>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</si>
  <si>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</si>
  <si>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</si>
  <si>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</si>
  <si>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</si>
  <si>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</si>
  <si>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</si>
  <si>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</si>
  <si>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</si>
  <si>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</si>
  <si>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</si>
  <si>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(COMPOSIÇÃO REPRESENTATIVA) FABRICAÇÃO E INSTALAÇÃO DE TESOURA INTEIRA EM AÇO, PARA VÃOS DE 3 A 12 M E PARA QUALQUER TIPO DE TELHA, INCLUSO IÇAMENTO.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</si>
  <si>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</si>
  <si>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</si>
  <si>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</si>
  <si>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</si>
  <si>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MARTELO PERFURADOR PNEUMÁTICO MANUAL, HASTE 25 X 75 MM, 21 KG - JUROS. AF_12/2015</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</si>
  <si>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</si>
  <si>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</si>
  <si>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</si>
  <si>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</si>
  <si>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</si>
  <si>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</si>
  <si>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</si>
  <si>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</si>
  <si>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</si>
  <si>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</si>
  <si>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</si>
  <si>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</si>
  <si>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</si>
  <si>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</si>
  <si>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</si>
  <si>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</si>
  <si>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</si>
  <si>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</si>
  <si>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</si>
  <si>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</si>
  <si>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</si>
  <si>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</si>
  <si>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</si>
  <si>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</si>
  <si>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</si>
  <si>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</si>
  <si>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</si>
  <si>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</si>
  <si>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</si>
  <si>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</si>
  <si>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</si>
  <si>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</si>
  <si>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</si>
  <si>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</si>
  <si>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</si>
  <si>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</si>
  <si>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</si>
  <si>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</si>
  <si>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</si>
  <si>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</si>
  <si>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</si>
  <si>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</si>
  <si>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</si>
  <si>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</si>
  <si>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</si>
  <si>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</si>
  <si>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</si>
  <si>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</si>
  <si>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</si>
  <si>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</si>
  <si>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</si>
  <si>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</si>
  <si>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</si>
  <si>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</si>
  <si>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</si>
  <si>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</si>
  <si>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</si>
  <si>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</si>
  <si>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</si>
  <si>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UNI</t>
  </si>
  <si>
    <t>quant</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</si>
  <si>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</si>
  <si>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</si>
  <si>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</si>
  <si>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</si>
  <si>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</si>
  <si>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</si>
  <si>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</si>
  <si>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</si>
  <si>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</si>
  <si>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</si>
  <si>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</si>
  <si>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</si>
  <si>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</si>
  <si>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INSUMO</t>
  </si>
  <si>
    <t>MERCADO</t>
  </si>
  <si>
    <t>COMPOSIÇÃO</t>
  </si>
  <si>
    <t xml:space="preserve">INSUMO </t>
  </si>
  <si>
    <t>P. UNIT. SEM BDI (R$)</t>
  </si>
  <si>
    <t>P. TOTAL SEM BDI (R$)</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</si>
  <si>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</si>
  <si>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</si>
  <si>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</si>
  <si>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</si>
  <si>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</si>
  <si>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</si>
  <si>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</si>
  <si>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</si>
  <si>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</si>
  <si>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</si>
  <si>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8.0</t>
  </si>
  <si>
    <t>COMPOSICAO</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</si>
  <si>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</si>
  <si>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</si>
  <si>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</si>
  <si>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</si>
  <si>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</si>
  <si>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</si>
  <si>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</si>
  <si>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</si>
  <si>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</si>
  <si>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</si>
  <si>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</si>
  <si>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</si>
  <si>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</si>
  <si>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</si>
  <si>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</si>
  <si>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</si>
  <si>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</si>
  <si>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</si>
  <si>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</si>
  <si>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</si>
  <si>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</si>
  <si>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</si>
  <si>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</si>
  <si>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</si>
  <si>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</si>
  <si>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</si>
  <si>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</si>
  <si>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</si>
  <si>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</si>
  <si>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</si>
  <si>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</si>
  <si>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</si>
  <si>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</si>
  <si>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P.UNI.COM BDI(R$)</t>
  </si>
  <si>
    <t>P. TOTAL COM BDI (R$)</t>
  </si>
  <si>
    <t>larg (m)</t>
  </si>
  <si>
    <t>comp (m)</t>
  </si>
  <si>
    <t xml:space="preserve">REFERENCIA </t>
  </si>
  <si>
    <t>quant(uni)</t>
  </si>
  <si>
    <t xml:space="preserve">ETAPA CONSTRUTIVA </t>
  </si>
  <si>
    <t>INFORMAÇÕES/INDICAÇÕES</t>
  </si>
  <si>
    <t>GUINDAUTO HIDRÁULICO, CAPACIDADE MÁXIMA DE CARGA 3300 KG, MOMENTO MÁXIMO DE CARGA 5,8 TM, ALCANCE MÁXIMO HORIZONTAL 7,60 M, INCLUSIVE CAMINHÃO TOCO PBT 16.000 KG, POTÊNCIA DE 189 CV - CHP DIURNO. AF_03/2016</t>
  </si>
  <si>
    <t>período de execução (meses)</t>
  </si>
  <si>
    <t>quant/obra</t>
  </si>
  <si>
    <t>horas trabalhadas por mês (h)</t>
  </si>
  <si>
    <t>periodo de trabalho por noite (h)</t>
  </si>
  <si>
    <t>dias trabalhados por mês (dias)</t>
  </si>
  <si>
    <t xml:space="preserve">TERRAPLENAGEM </t>
  </si>
  <si>
    <t>larg(m)</t>
  </si>
  <si>
    <t>comp(m)</t>
  </si>
  <si>
    <t xml:space="preserve">quant ou repetições </t>
  </si>
  <si>
    <t>alt(m)</t>
  </si>
  <si>
    <t>quant ou repetições</t>
  </si>
  <si>
    <t>altura(m)</t>
  </si>
  <si>
    <t xml:space="preserve">volume total da carga (m3) </t>
  </si>
  <si>
    <t>DMT 5-10 (km)</t>
  </si>
  <si>
    <t>esp (m)</t>
  </si>
  <si>
    <t>alt (m)</t>
  </si>
  <si>
    <t>empol</t>
  </si>
  <si>
    <t>INSTALAÇÕES DE CANTEIRO E SERVIÇOS PRELIMINARES</t>
  </si>
  <si>
    <t xml:space="preserve">SUPERESTRUTURA </t>
  </si>
  <si>
    <t xml:space="preserve">LIMPEZA DE OBRA </t>
  </si>
  <si>
    <t>CÓDIGO/SINAPI</t>
  </si>
  <si>
    <t xml:space="preserve">FORROS </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</si>
  <si>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</si>
  <si>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</si>
  <si>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</si>
  <si>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</si>
  <si>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</si>
  <si>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</si>
  <si>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</si>
  <si>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</si>
  <si>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</si>
  <si>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</si>
  <si>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</si>
  <si>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</si>
  <si>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</si>
  <si>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PROPRIA</t>
  </si>
  <si>
    <t>QT.DE.PROJ OU VARI.</t>
  </si>
  <si>
    <t>QUANT</t>
  </si>
  <si>
    <t>larg(m) ou área (m2)</t>
  </si>
  <si>
    <t>comp(m) ou uni</t>
  </si>
  <si>
    <t>comp(m) ou perimetro (m)</t>
  </si>
  <si>
    <t>larg(m) ou altura (m)</t>
  </si>
  <si>
    <t>C7</t>
  </si>
  <si>
    <t>CPRB</t>
  </si>
  <si>
    <r>
      <t xml:space="preserve">ISS - </t>
    </r>
    <r>
      <rPr>
        <sz val="12"/>
        <color rgb="FF000000"/>
        <rFont val="Arial Narrow"/>
        <family val="2"/>
      </rPr>
      <t>(ISS% CONSIDERANDO 40% DE MATRIAL) - LEI do Múnicipio da Execução da Obra</t>
    </r>
  </si>
  <si>
    <t>horas por mês</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</si>
  <si>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</si>
  <si>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</si>
  <si>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</si>
  <si>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</si>
  <si>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</si>
  <si>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</si>
  <si>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</si>
  <si>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</si>
  <si>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</si>
  <si>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</si>
  <si>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T     </t>
  </si>
  <si>
    <t xml:space="preserve">CJ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</si>
  <si>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</si>
  <si>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</si>
  <si>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</si>
  <si>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</si>
  <si>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</si>
  <si>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</si>
  <si>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</si>
  <si>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</si>
  <si>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</si>
  <si>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</si>
  <si>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</si>
  <si>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</si>
  <si>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</si>
  <si>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</si>
  <si>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</si>
  <si>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</si>
  <si>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</si>
  <si>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</si>
  <si>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</si>
  <si>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</si>
  <si>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</si>
  <si>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</si>
  <si>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</si>
  <si>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</si>
  <si>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</si>
  <si>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</si>
  <si>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</si>
  <si>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</si>
  <si>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</si>
  <si>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</si>
  <si>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</si>
  <si>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</si>
  <si>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</si>
  <si>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</si>
  <si>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</si>
  <si>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</si>
  <si>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</si>
  <si>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</si>
  <si>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</si>
  <si>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</si>
  <si>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</si>
  <si>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</si>
  <si>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</si>
  <si>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</si>
  <si>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</si>
  <si>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</si>
  <si>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</si>
  <si>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</si>
  <si>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</si>
  <si>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</si>
  <si>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</si>
  <si>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</si>
  <si>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</si>
  <si>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</si>
  <si>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</si>
  <si>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</si>
  <si>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</si>
  <si>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</si>
  <si>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</si>
  <si>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</si>
  <si>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</si>
  <si>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</si>
  <si>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</si>
  <si>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</si>
  <si>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</si>
  <si>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</si>
  <si>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</si>
  <si>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</si>
  <si>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</si>
  <si>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</si>
  <si>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</si>
  <si>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</si>
  <si>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</si>
  <si>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</si>
  <si>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</si>
  <si>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</si>
  <si>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</si>
  <si>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</si>
  <si>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</si>
  <si>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</si>
  <si>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</si>
  <si>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</si>
  <si>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</si>
  <si>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</si>
  <si>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</si>
  <si>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</si>
  <si>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</si>
  <si>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</si>
  <si>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</si>
  <si>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</si>
  <si>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</si>
  <si>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</si>
  <si>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</si>
  <si>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</si>
  <si>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</si>
  <si>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</si>
  <si>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</si>
  <si>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</si>
  <si>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</si>
  <si>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</si>
  <si>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</si>
  <si>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</si>
  <si>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</si>
  <si>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</si>
  <si>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</si>
  <si>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</si>
  <si>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</si>
  <si>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</si>
  <si>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 xml:space="preserve">MES   </t>
  </si>
  <si>
    <t xml:space="preserve">CENTO </t>
  </si>
  <si>
    <t xml:space="preserve">100M  </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</si>
  <si>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</si>
  <si>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</si>
  <si>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</si>
  <si>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</si>
  <si>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</si>
  <si>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</si>
  <si>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</si>
  <si>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</si>
  <si>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</si>
  <si>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</si>
  <si>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</si>
  <si>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</si>
  <si>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</si>
  <si>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</si>
  <si>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</si>
  <si>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</si>
  <si>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</si>
  <si>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</si>
  <si>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</si>
  <si>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</si>
  <si>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</si>
  <si>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</si>
  <si>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</si>
  <si>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</si>
  <si>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</si>
  <si>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</si>
  <si>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</si>
  <si>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</si>
  <si>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</si>
  <si>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</si>
  <si>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</si>
  <si>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</si>
  <si>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</si>
  <si>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</si>
  <si>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</si>
  <si>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</si>
  <si>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</si>
  <si>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</si>
  <si>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</si>
  <si>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</si>
  <si>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</si>
  <si>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</si>
  <si>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</si>
  <si>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</si>
  <si>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</si>
  <si>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</si>
  <si>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</si>
  <si>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</si>
  <si>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</si>
  <si>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</si>
  <si>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</si>
  <si>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</si>
  <si>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</si>
  <si>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</si>
  <si>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</si>
  <si>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</si>
  <si>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</si>
  <si>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</si>
  <si>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</si>
  <si>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</si>
  <si>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</si>
  <si>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</si>
  <si>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</si>
  <si>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</si>
  <si>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</si>
  <si>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</si>
  <si>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</si>
  <si>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</si>
  <si>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</si>
  <si>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</si>
  <si>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</si>
  <si>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</si>
  <si>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</si>
  <si>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</si>
  <si>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</si>
  <si>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</si>
  <si>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</si>
  <si>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</si>
  <si>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</si>
  <si>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</si>
  <si>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</si>
  <si>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</si>
  <si>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</si>
  <si>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</si>
  <si>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</si>
  <si>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</si>
  <si>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</si>
  <si>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</si>
  <si>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</si>
  <si>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</si>
  <si>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</si>
  <si>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</si>
  <si>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</si>
  <si>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</si>
  <si>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</si>
  <si>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</si>
  <si>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</si>
  <si>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</si>
  <si>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</si>
  <si>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</si>
  <si>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</si>
  <si>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</si>
  <si>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</si>
  <si>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</si>
  <si>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</si>
  <si>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</si>
  <si>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</si>
  <si>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</si>
  <si>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</si>
  <si>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</si>
  <si>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</si>
  <si>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</si>
  <si>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</si>
  <si>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</si>
  <si>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</si>
  <si>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</si>
  <si>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</si>
  <si>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</si>
  <si>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</si>
  <si>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</si>
  <si>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</si>
  <si>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</si>
  <si>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</si>
  <si>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</si>
  <si>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</si>
  <si>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</si>
  <si>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</si>
  <si>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</si>
  <si>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</si>
  <si>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</si>
  <si>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</si>
  <si>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</si>
  <si>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</si>
  <si>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</si>
  <si>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</si>
  <si>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</si>
  <si>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</si>
  <si>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</si>
  <si>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</si>
  <si>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</si>
  <si>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</si>
  <si>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</si>
  <si>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</si>
  <si>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</si>
  <si>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</si>
  <si>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</si>
  <si>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</si>
  <si>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</si>
  <si>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</si>
  <si>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</si>
  <si>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</si>
  <si>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</si>
  <si>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</si>
  <si>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</si>
  <si>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</si>
  <si>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</si>
  <si>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</si>
  <si>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</si>
  <si>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</si>
  <si>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</si>
  <si>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</si>
  <si>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</si>
  <si>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</si>
  <si>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</si>
  <si>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</si>
  <si>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</si>
  <si>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</si>
  <si>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</si>
  <si>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</si>
  <si>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</si>
  <si>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</si>
  <si>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</si>
  <si>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</si>
  <si>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</si>
  <si>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</si>
  <si>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</si>
  <si>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</si>
  <si>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</si>
  <si>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</si>
  <si>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</si>
  <si>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</si>
  <si>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</si>
  <si>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</si>
  <si>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</si>
  <si>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</si>
  <si>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</si>
  <si>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</si>
  <si>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</si>
  <si>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</si>
  <si>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</si>
  <si>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</si>
  <si>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</si>
  <si>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</si>
  <si>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</si>
  <si>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</si>
  <si>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</si>
  <si>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</si>
  <si>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</si>
  <si>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</si>
  <si>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</si>
  <si>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</si>
  <si>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</si>
  <si>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</si>
  <si>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</si>
  <si>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</si>
  <si>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</si>
  <si>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</si>
  <si>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</si>
  <si>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</si>
  <si>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</si>
  <si>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</si>
  <si>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</si>
  <si>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</si>
  <si>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</si>
  <si>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</si>
  <si>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</si>
  <si>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</si>
  <si>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</si>
  <si>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</si>
  <si>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</si>
  <si>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</si>
  <si>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</si>
  <si>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</si>
  <si>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</si>
  <si>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</si>
  <si>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</si>
  <si>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</si>
  <si>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</si>
  <si>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</si>
  <si>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</si>
  <si>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</si>
  <si>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</si>
  <si>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</si>
  <si>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</si>
  <si>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</si>
  <si>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</si>
  <si>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</si>
  <si>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</si>
  <si>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</si>
  <si>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</si>
  <si>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</si>
  <si>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</si>
  <si>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</si>
  <si>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</si>
  <si>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</si>
  <si>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</si>
  <si>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</si>
  <si>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</si>
  <si>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</si>
  <si>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</si>
  <si>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</si>
  <si>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</si>
  <si>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ACRÍLICA EM TETO, DUAS DEMÃOS. AF_06/2014</t>
  </si>
  <si>
    <t>APLICAÇÃO E LIXAMENTO DE MASSA LÁTEX EM PAREDES, DUAS DEMÃOS. AF_06/2014</t>
  </si>
  <si>
    <t>ARGAMASSA TRAÇO 1:4 (CIMENTO E AREIA MÉDIA), PREPARO MECÂNICO COM BETONEIRA 400 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</si>
  <si>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</si>
  <si>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</si>
  <si>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</si>
  <si>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</si>
  <si>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</si>
  <si>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</si>
  <si>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</si>
  <si>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</si>
  <si>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</si>
  <si>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</si>
  <si>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</si>
  <si>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</si>
  <si>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</si>
  <si>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</si>
  <si>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</si>
  <si>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</si>
  <si>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</si>
  <si>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</si>
  <si>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</si>
  <si>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</si>
  <si>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</si>
  <si>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</si>
  <si>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</si>
  <si>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</si>
  <si>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</si>
  <si>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</si>
  <si>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</si>
  <si>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</si>
  <si>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</si>
  <si>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</si>
  <si>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</si>
  <si>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</si>
  <si>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</si>
  <si>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</si>
  <si>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</si>
  <si>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</si>
  <si>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</si>
  <si>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</si>
  <si>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</si>
  <si>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</si>
  <si>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</si>
  <si>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</si>
  <si>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</si>
  <si>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</si>
  <si>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</si>
  <si>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</si>
  <si>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</si>
  <si>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</si>
  <si>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</si>
  <si>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</si>
  <si>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</si>
  <si>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</si>
  <si>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</si>
  <si>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</si>
  <si>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</si>
  <si>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</si>
  <si>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</si>
  <si>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</si>
  <si>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</si>
  <si>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</si>
  <si>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</si>
  <si>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</si>
  <si>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</si>
  <si>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</si>
  <si>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</si>
  <si>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EMBOÇO/MASSA ÚNICA, APLICADO MANUALMENTE, TRAÇO 1:2:8, EM BETONEIRA DE 400L, PAREDES INTERNAS, COM EXECUÇÃO DE TALISCAS, EDIFICAÇÃO HABITACIONAL UNIFAMILIAR (CASAS) E EDIFICAÇÃO PÚBLICA PADRÃO. AF_12/2014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</si>
  <si>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</si>
  <si>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</si>
  <si>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</si>
  <si>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</si>
  <si>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</si>
  <si>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</si>
  <si>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</si>
  <si>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</si>
  <si>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</si>
  <si>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</si>
  <si>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</si>
  <si>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</si>
  <si>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</si>
  <si>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</si>
  <si>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</si>
  <si>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</si>
  <si>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</si>
  <si>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</si>
  <si>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</si>
  <si>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</si>
  <si>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</si>
  <si>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</si>
  <si>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</si>
  <si>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</si>
  <si>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</si>
  <si>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</si>
  <si>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</si>
  <si>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</si>
  <si>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</si>
  <si>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</si>
  <si>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</si>
  <si>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</si>
  <si>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</si>
  <si>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</si>
  <si>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</si>
  <si>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</si>
  <si>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</si>
  <si>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</si>
  <si>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</si>
  <si>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</si>
  <si>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</si>
  <si>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</si>
  <si>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</si>
  <si>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</si>
  <si>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</si>
  <si>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</si>
  <si>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</si>
  <si>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</si>
  <si>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</si>
  <si>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</si>
  <si>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</si>
  <si>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</si>
  <si>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</si>
  <si>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</si>
  <si>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</si>
  <si>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</si>
  <si>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</si>
  <si>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</si>
  <si>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</si>
  <si>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</si>
  <si>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</si>
  <si>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</si>
  <si>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</si>
  <si>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</si>
  <si>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</si>
  <si>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</si>
  <si>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</si>
  <si>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</si>
  <si>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</si>
  <si>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</si>
  <si>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</si>
  <si>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</si>
  <si>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</si>
  <si>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</si>
  <si>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</si>
  <si>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</si>
  <si>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</si>
  <si>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</si>
  <si>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</si>
  <si>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</si>
  <si>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</si>
  <si>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</si>
  <si>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</si>
  <si>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</si>
  <si>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</si>
  <si>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</si>
  <si>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</si>
  <si>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</si>
  <si>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</si>
  <si>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</si>
  <si>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</si>
  <si>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</si>
  <si>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</si>
  <si>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</si>
  <si>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</si>
  <si>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</si>
  <si>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</si>
  <si>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</si>
  <si>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</si>
  <si>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</si>
  <si>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</si>
  <si>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</si>
  <si>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</si>
  <si>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</si>
  <si>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</si>
  <si>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</si>
  <si>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</si>
  <si>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</si>
  <si>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</si>
  <si>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</si>
  <si>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</si>
  <si>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</si>
  <si>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</si>
  <si>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</si>
  <si>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</si>
  <si>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</si>
  <si>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</si>
  <si>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</si>
  <si>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</si>
  <si>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</si>
  <si>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</si>
  <si>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</si>
  <si>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</si>
  <si>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</si>
  <si>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</si>
  <si>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</si>
  <si>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</si>
  <si>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</si>
  <si>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</si>
  <si>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</si>
  <si>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</si>
  <si>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</si>
  <si>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</si>
  <si>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</si>
  <si>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</si>
  <si>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</si>
  <si>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</si>
  <si>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</si>
  <si>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</si>
  <si>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</si>
  <si>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</si>
  <si>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</si>
  <si>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</si>
  <si>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</si>
  <si>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</si>
  <si>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</si>
  <si>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</si>
  <si>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</si>
  <si>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</si>
  <si>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</si>
  <si>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</si>
  <si>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</si>
  <si>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</si>
  <si>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</si>
  <si>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</si>
  <si>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</si>
  <si>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</si>
  <si>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</si>
  <si>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</si>
  <si>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</si>
  <si>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</si>
  <si>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</si>
  <si>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</si>
  <si>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</si>
  <si>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</si>
  <si>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</si>
  <si>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</si>
  <si>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</si>
  <si>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</si>
  <si>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</si>
  <si>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</si>
  <si>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</si>
  <si>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</si>
  <si>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</si>
  <si>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</si>
  <si>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</si>
  <si>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</si>
  <si>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</si>
  <si>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</si>
  <si>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</si>
  <si>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</si>
  <si>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</si>
  <si>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</si>
  <si>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</si>
  <si>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</si>
  <si>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</si>
  <si>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</si>
  <si>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</si>
  <si>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</si>
  <si>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</si>
  <si>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</si>
  <si>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</si>
  <si>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</si>
  <si>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</si>
  <si>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</si>
  <si>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</si>
  <si>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</si>
  <si>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</si>
  <si>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</si>
  <si>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</si>
  <si>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</si>
  <si>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</si>
  <si>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</si>
  <si>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</si>
  <si>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</si>
  <si>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</si>
  <si>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</si>
  <si>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</si>
  <si>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</si>
  <si>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</si>
  <si>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</si>
  <si>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</si>
  <si>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</si>
  <si>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</si>
  <si>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</si>
  <si>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</si>
  <si>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</si>
  <si>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</si>
  <si>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</si>
  <si>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</si>
  <si>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</si>
  <si>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</si>
  <si>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</si>
  <si>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</si>
  <si>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</si>
  <si>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</si>
  <si>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</si>
  <si>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</si>
  <si>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</si>
  <si>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</si>
  <si>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</si>
  <si>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</si>
  <si>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</si>
  <si>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</si>
  <si>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</si>
  <si>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</si>
  <si>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</si>
  <si>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</si>
  <si>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</si>
  <si>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</si>
  <si>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</si>
  <si>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</si>
  <si>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</si>
  <si>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</si>
  <si>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</si>
  <si>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</si>
  <si>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</si>
  <si>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</si>
  <si>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</si>
  <si>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</si>
  <si>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</si>
  <si>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</si>
  <si>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</si>
  <si>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</si>
  <si>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</si>
  <si>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</si>
  <si>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</si>
  <si>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</si>
  <si>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</si>
  <si>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</si>
  <si>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</si>
  <si>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</si>
  <si>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</si>
  <si>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</si>
  <si>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</si>
  <si>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</si>
  <si>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</si>
  <si>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</si>
  <si>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</si>
  <si>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</si>
  <si>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</si>
  <si>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</si>
  <si>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</si>
  <si>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</si>
  <si>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</si>
  <si>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</si>
  <si>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</si>
  <si>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</si>
  <si>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</si>
  <si>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</si>
  <si>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</si>
  <si>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</si>
  <si>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</si>
  <si>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</si>
  <si>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</si>
  <si>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</si>
  <si>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</si>
  <si>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</si>
  <si>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</si>
  <si>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</si>
  <si>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</si>
  <si>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</si>
  <si>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</si>
  <si>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</si>
  <si>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</si>
  <si>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</si>
  <si>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</si>
  <si>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</si>
  <si>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</si>
  <si>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</si>
  <si>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</si>
  <si>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</si>
  <si>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</si>
  <si>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</si>
  <si>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</si>
  <si>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</si>
  <si>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</si>
  <si>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</si>
  <si>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</si>
  <si>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</si>
  <si>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</si>
  <si>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</si>
  <si>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</si>
  <si>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</si>
  <si>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</si>
  <si>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</si>
  <si>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</si>
  <si>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</si>
  <si>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</si>
  <si>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</si>
  <si>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</si>
  <si>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</si>
  <si>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</si>
  <si>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</si>
  <si>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</si>
  <si>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</si>
  <si>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</si>
  <si>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</si>
  <si>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</si>
  <si>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</si>
  <si>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</si>
  <si>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</si>
  <si>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</si>
  <si>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</si>
  <si>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</si>
  <si>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</si>
  <si>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</si>
  <si>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</si>
  <si>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</si>
  <si>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</si>
  <si>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</si>
  <si>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</si>
  <si>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</si>
  <si>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</si>
  <si>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</si>
  <si>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</si>
  <si>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</si>
  <si>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</si>
  <si>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</si>
  <si>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</si>
  <si>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</si>
  <si>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</si>
  <si>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</si>
  <si>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</si>
  <si>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</si>
  <si>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</si>
  <si>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</si>
  <si>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</si>
  <si>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</si>
  <si>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</si>
  <si>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</si>
  <si>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</si>
  <si>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</si>
  <si>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</si>
  <si>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</si>
  <si>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</si>
  <si>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</si>
  <si>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</si>
  <si>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</si>
  <si>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</si>
  <si>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</si>
  <si>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</si>
  <si>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</si>
  <si>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</si>
  <si>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</si>
  <si>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</si>
  <si>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</si>
  <si>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</si>
  <si>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</si>
  <si>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</si>
  <si>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</si>
  <si>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</si>
  <si>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</si>
  <si>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</si>
  <si>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</si>
  <si>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</si>
  <si>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</si>
  <si>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</si>
  <si>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</si>
  <si>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</si>
  <si>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</si>
  <si>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</si>
  <si>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</si>
  <si>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</si>
  <si>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</si>
  <si>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</si>
  <si>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</si>
  <si>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</si>
  <si>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</si>
  <si>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</si>
  <si>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</si>
  <si>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</si>
  <si>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</si>
  <si>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</si>
  <si>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</si>
  <si>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</si>
  <si>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</si>
  <si>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</si>
  <si>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</si>
  <si>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</si>
  <si>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</si>
  <si>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</si>
  <si>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</si>
  <si>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</si>
  <si>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</si>
  <si>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</si>
  <si>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</si>
  <si>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</si>
  <si>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</si>
  <si>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</si>
  <si>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</si>
  <si>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</si>
  <si>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</si>
  <si>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</si>
  <si>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</si>
  <si>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</si>
  <si>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</si>
  <si>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</si>
  <si>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</si>
  <si>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</si>
  <si>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</si>
  <si>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</si>
  <si>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</si>
  <si>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</si>
  <si>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</si>
  <si>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</si>
  <si>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</si>
  <si>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</si>
  <si>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</si>
  <si>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</si>
  <si>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</si>
  <si>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</si>
  <si>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</si>
  <si>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</si>
  <si>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</si>
  <si>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</si>
  <si>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</si>
  <si>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</si>
  <si>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</si>
  <si>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</si>
  <si>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</si>
  <si>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</si>
  <si>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</si>
  <si>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</si>
  <si>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</si>
  <si>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</si>
  <si>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</si>
  <si>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</si>
  <si>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</si>
  <si>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</si>
  <si>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</si>
  <si>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</si>
  <si>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</si>
  <si>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</si>
  <si>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</si>
  <si>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</si>
  <si>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</si>
  <si>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</si>
  <si>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</si>
  <si>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</si>
  <si>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</si>
  <si>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</si>
  <si>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</si>
  <si>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</si>
  <si>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</si>
  <si>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</si>
  <si>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</si>
  <si>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</si>
  <si>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</si>
  <si>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</si>
  <si>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</si>
  <si>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</si>
  <si>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</si>
  <si>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</si>
  <si>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</si>
  <si>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</si>
  <si>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</si>
  <si>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</si>
  <si>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</si>
  <si>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</si>
  <si>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</si>
  <si>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</si>
  <si>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</si>
  <si>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</si>
  <si>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</si>
  <si>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</si>
  <si>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</si>
  <si>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</si>
  <si>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</si>
  <si>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</si>
  <si>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</si>
  <si>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</si>
  <si>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</si>
  <si>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</si>
  <si>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</si>
  <si>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</si>
  <si>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</si>
  <si>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</si>
  <si>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</si>
  <si>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</si>
  <si>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</si>
  <si>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</si>
  <si>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</si>
  <si>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</si>
  <si>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</si>
  <si>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</si>
  <si>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</si>
  <si>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</si>
  <si>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</si>
  <si>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</si>
  <si>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</si>
  <si>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</si>
  <si>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</si>
  <si>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</si>
  <si>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</si>
  <si>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</si>
  <si>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</si>
  <si>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</si>
  <si>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</si>
  <si>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</si>
  <si>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</si>
  <si>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</si>
  <si>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</si>
  <si>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</si>
  <si>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</si>
  <si>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</si>
  <si>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</si>
  <si>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</si>
  <si>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</si>
  <si>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</si>
  <si>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</si>
  <si>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</si>
  <si>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</si>
  <si>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</si>
  <si>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</si>
  <si>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</si>
  <si>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</si>
  <si>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</si>
  <si>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</si>
  <si>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</si>
  <si>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</si>
  <si>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</si>
  <si>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</si>
  <si>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</si>
  <si>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</si>
  <si>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</si>
  <si>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</si>
  <si>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</si>
  <si>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</si>
  <si>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</si>
  <si>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</si>
  <si>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</si>
  <si>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</si>
  <si>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</si>
  <si>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</si>
  <si>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</si>
  <si>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</si>
  <si>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</si>
  <si>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</si>
  <si>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</si>
  <si>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</si>
  <si>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</si>
  <si>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</si>
  <si>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</si>
  <si>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</si>
  <si>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</si>
  <si>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</si>
  <si>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</si>
  <si>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</si>
  <si>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</si>
  <si>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</si>
  <si>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</si>
  <si>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</si>
  <si>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</si>
  <si>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</si>
  <si>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</si>
  <si>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</si>
  <si>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</si>
  <si>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</si>
  <si>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</si>
  <si>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</si>
  <si>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</si>
  <si>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</si>
  <si>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</si>
  <si>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</si>
  <si>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</si>
  <si>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</si>
  <si>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</si>
  <si>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</si>
  <si>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</si>
  <si>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</si>
  <si>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</si>
  <si>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</si>
  <si>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</si>
  <si>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</si>
  <si>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</si>
  <si>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</si>
  <si>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</si>
  <si>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</si>
  <si>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</si>
  <si>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</si>
  <si>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</si>
  <si>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</si>
  <si>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</si>
  <si>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</si>
  <si>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</si>
  <si>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</si>
  <si>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</si>
  <si>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</si>
  <si>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</si>
  <si>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</si>
  <si>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</si>
  <si>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</si>
  <si>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</si>
  <si>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</si>
  <si>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</si>
  <si>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</si>
  <si>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</si>
  <si>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</si>
  <si>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</si>
  <si>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</si>
  <si>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</si>
  <si>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</si>
  <si>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</si>
  <si>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</si>
  <si>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</si>
  <si>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</si>
  <si>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</si>
  <si>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</si>
  <si>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</si>
  <si>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</si>
  <si>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</si>
  <si>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</si>
  <si>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</si>
  <si>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</si>
  <si>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</si>
  <si>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</si>
  <si>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</si>
  <si>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</si>
  <si>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</si>
  <si>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</si>
  <si>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</si>
  <si>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</si>
  <si>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</si>
  <si>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</si>
  <si>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</si>
  <si>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</si>
  <si>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</si>
  <si>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</si>
  <si>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</si>
  <si>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</si>
  <si>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</si>
  <si>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</si>
  <si>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</si>
  <si>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</si>
  <si>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</si>
  <si>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</si>
  <si>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</si>
  <si>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</si>
  <si>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</si>
  <si>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</si>
  <si>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</si>
  <si>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</si>
  <si>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</si>
  <si>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</si>
  <si>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</si>
  <si>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</si>
  <si>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</si>
  <si>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</si>
  <si>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</si>
  <si>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</si>
  <si>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</si>
  <si>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</si>
  <si>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</si>
  <si>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</si>
  <si>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</si>
  <si>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</si>
  <si>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</si>
  <si>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</si>
  <si>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</si>
  <si>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</si>
  <si>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</si>
  <si>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</si>
  <si>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</si>
  <si>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</si>
  <si>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</si>
  <si>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</si>
  <si>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</si>
  <si>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</si>
  <si>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</si>
  <si>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</si>
  <si>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</si>
  <si>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</si>
  <si>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</si>
  <si>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</si>
  <si>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</si>
  <si>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</si>
  <si>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</si>
  <si>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</si>
  <si>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</si>
  <si>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</si>
  <si>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</si>
  <si>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</si>
  <si>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</si>
  <si>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</si>
  <si>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</si>
  <si>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</si>
  <si>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</si>
  <si>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</si>
  <si>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</si>
  <si>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</si>
  <si>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</si>
  <si>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</si>
  <si>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</si>
  <si>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</si>
  <si>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</si>
  <si>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</si>
  <si>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</si>
  <si>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</si>
  <si>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</si>
  <si>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</si>
  <si>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</si>
  <si>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</si>
  <si>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</si>
  <si>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</si>
  <si>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</si>
  <si>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</si>
  <si>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</si>
  <si>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</si>
  <si>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</si>
  <si>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</si>
  <si>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</si>
  <si>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</si>
  <si>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</si>
  <si>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</si>
  <si>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</si>
  <si>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</si>
  <si>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</si>
  <si>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</si>
  <si>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</si>
  <si>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</si>
  <si>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</si>
  <si>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</si>
  <si>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</si>
  <si>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</si>
  <si>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</si>
  <si>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</si>
  <si>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</si>
  <si>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</si>
  <si>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</si>
  <si>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</si>
  <si>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</si>
  <si>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</si>
  <si>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</si>
  <si>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</si>
  <si>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</si>
  <si>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</si>
  <si>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</si>
  <si>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</si>
  <si>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</si>
  <si>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</si>
  <si>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</si>
  <si>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</si>
  <si>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</si>
  <si>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</si>
  <si>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</si>
  <si>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</si>
  <si>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</si>
  <si>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</si>
  <si>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</si>
  <si>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</si>
  <si>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</si>
  <si>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</si>
  <si>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</si>
  <si>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</si>
  <si>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</si>
  <si>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</si>
  <si>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</si>
  <si>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</si>
  <si>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</si>
  <si>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</si>
  <si>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</si>
  <si>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</si>
  <si>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</si>
  <si>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</si>
  <si>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</si>
  <si>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</si>
  <si>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</si>
  <si>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</si>
  <si>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</si>
  <si>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</si>
  <si>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</si>
  <si>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</si>
  <si>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</si>
  <si>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</si>
  <si>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</si>
  <si>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</si>
  <si>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</si>
  <si>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</si>
  <si>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</si>
  <si>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</si>
  <si>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</si>
  <si>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</si>
  <si>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</si>
  <si>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</si>
  <si>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</si>
  <si>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</si>
  <si>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</si>
  <si>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</si>
  <si>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</si>
  <si>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</si>
  <si>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</si>
  <si>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</si>
  <si>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</si>
  <si>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</si>
  <si>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</si>
  <si>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</si>
  <si>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</si>
  <si>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</si>
  <si>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</si>
  <si>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</si>
  <si>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</si>
  <si>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</si>
  <si>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</si>
  <si>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</si>
  <si>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</si>
  <si>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</si>
  <si>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</si>
  <si>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</si>
  <si>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</si>
  <si>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</si>
  <si>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</si>
  <si>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</si>
  <si>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</si>
  <si>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</si>
  <si>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</si>
  <si>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</si>
  <si>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</si>
  <si>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</si>
  <si>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</si>
  <si>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</si>
  <si>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</si>
  <si>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</si>
  <si>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</si>
  <si>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</si>
  <si>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</si>
  <si>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</si>
  <si>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</si>
  <si>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</si>
  <si>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</si>
  <si>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</si>
  <si>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</si>
  <si>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</si>
  <si>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</si>
  <si>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</si>
  <si>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</si>
  <si>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</si>
  <si>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</si>
  <si>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</si>
  <si>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</si>
  <si>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</si>
  <si>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</si>
  <si>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</si>
  <si>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</si>
  <si>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</si>
  <si>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</si>
  <si>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</si>
  <si>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</si>
  <si>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</si>
  <si>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</si>
  <si>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</si>
  <si>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</si>
  <si>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VIGA, ESCORAMENTO METÁLICO, PÉ-DIREITO DUPLO, EM CHAPA DE MADEIRA RESINADA, 6 UTILIZAÇÕES.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</si>
  <si>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</si>
  <si>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</si>
  <si>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</si>
  <si>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</si>
  <si>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</si>
  <si>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</si>
  <si>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</si>
  <si>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</si>
  <si>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</si>
  <si>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</si>
  <si>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</si>
  <si>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</si>
  <si>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</si>
  <si>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</si>
  <si>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</si>
  <si>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</si>
  <si>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</si>
  <si>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</si>
  <si>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</si>
  <si>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</si>
  <si>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</si>
  <si>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</si>
  <si>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</si>
  <si>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</si>
  <si>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</si>
  <si>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</si>
  <si>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</si>
  <si>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</si>
  <si>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</si>
  <si>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</si>
  <si>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</si>
  <si>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</si>
  <si>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</si>
  <si>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</si>
  <si>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</si>
  <si>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</si>
  <si>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</si>
  <si>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</si>
  <si>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</si>
  <si>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</si>
  <si>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</si>
  <si>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</si>
  <si>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</si>
  <si>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</si>
  <si>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</si>
  <si>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</si>
  <si>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</si>
  <si>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</si>
  <si>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</si>
  <si>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</si>
  <si>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</si>
  <si>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</si>
  <si>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</si>
  <si>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</si>
  <si>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</si>
  <si>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</si>
  <si>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</si>
  <si>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</si>
  <si>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</si>
  <si>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</si>
  <si>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</si>
  <si>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</si>
  <si>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</si>
  <si>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</si>
  <si>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</si>
  <si>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</si>
  <si>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</si>
  <si>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</si>
  <si>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</si>
  <si>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</si>
  <si>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</si>
  <si>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</si>
  <si>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</si>
  <si>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</si>
  <si>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</si>
  <si>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</si>
  <si>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</si>
  <si>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</si>
  <si>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</si>
  <si>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</si>
  <si>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</si>
  <si>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</si>
  <si>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</si>
  <si>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</si>
  <si>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</si>
  <si>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</si>
  <si>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</si>
  <si>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</si>
  <si>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</si>
  <si>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</si>
  <si>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</si>
  <si>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</si>
  <si>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</si>
  <si>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</si>
  <si>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</si>
  <si>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</si>
  <si>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</si>
  <si>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</si>
  <si>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</si>
  <si>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</si>
  <si>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</si>
  <si>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</si>
  <si>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</si>
  <si>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</si>
  <si>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</si>
  <si>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</si>
  <si>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</si>
  <si>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</si>
  <si>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</si>
  <si>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</si>
  <si>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</si>
  <si>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</si>
  <si>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</si>
  <si>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</si>
  <si>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</si>
  <si>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</si>
  <si>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</si>
  <si>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</si>
  <si>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</si>
  <si>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</si>
  <si>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</si>
  <si>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</si>
  <si>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</si>
  <si>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</si>
  <si>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</si>
  <si>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</si>
  <si>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</si>
  <si>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</si>
  <si>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</si>
  <si>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</si>
  <si>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</si>
  <si>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</si>
  <si>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</si>
  <si>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</si>
  <si>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</si>
  <si>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</si>
  <si>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</si>
  <si>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</si>
  <si>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</si>
  <si>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</si>
  <si>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</si>
  <si>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</si>
  <si>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</si>
  <si>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</si>
  <si>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</si>
  <si>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</si>
  <si>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</si>
  <si>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</si>
  <si>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</si>
  <si>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</si>
  <si>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</si>
  <si>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</si>
  <si>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</si>
  <si>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</si>
  <si>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</si>
  <si>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</si>
  <si>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</si>
  <si>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</si>
  <si>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</si>
  <si>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</si>
  <si>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</si>
  <si>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</si>
  <si>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</si>
  <si>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</si>
  <si>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</si>
  <si>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</si>
  <si>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</si>
  <si>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</si>
  <si>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</si>
  <si>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</si>
  <si>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</si>
  <si>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</si>
  <si>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</si>
  <si>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</si>
  <si>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</si>
  <si>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</si>
  <si>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</si>
  <si>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</si>
  <si>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</si>
  <si>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</si>
  <si>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</si>
  <si>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</si>
  <si>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</si>
  <si>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</si>
  <si>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</si>
  <si>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</si>
  <si>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</si>
  <si>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</si>
  <si>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</si>
  <si>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</si>
  <si>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</si>
  <si>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</si>
  <si>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</si>
  <si>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</si>
  <si>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</si>
  <si>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</si>
  <si>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</si>
  <si>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</si>
  <si>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</si>
  <si>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</si>
  <si>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</si>
  <si>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</si>
  <si>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</si>
  <si>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</si>
  <si>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</si>
  <si>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</si>
  <si>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</si>
  <si>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</si>
  <si>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</si>
  <si>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</si>
  <si>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</si>
  <si>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</si>
  <si>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</si>
  <si>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</si>
  <si>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</si>
  <si>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</si>
  <si>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</si>
  <si>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</si>
  <si>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</si>
  <si>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</si>
  <si>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</si>
  <si>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</si>
  <si>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</si>
  <si>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</si>
  <si>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</si>
  <si>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</si>
  <si>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</si>
  <si>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</si>
  <si>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</si>
  <si>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</si>
  <si>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</si>
  <si>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</si>
  <si>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</si>
  <si>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</si>
  <si>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</si>
  <si>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</si>
  <si>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</si>
  <si>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</si>
  <si>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</si>
  <si>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</si>
  <si>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</si>
  <si>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</si>
  <si>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</si>
  <si>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</si>
  <si>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</si>
  <si>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</si>
  <si>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</si>
  <si>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</si>
  <si>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</si>
  <si>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</si>
  <si>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</si>
  <si>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</si>
  <si>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</si>
  <si>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</si>
  <si>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</si>
  <si>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</si>
  <si>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</si>
  <si>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</si>
  <si>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</si>
  <si>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</si>
  <si>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</si>
  <si>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</si>
  <si>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</si>
  <si>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</si>
  <si>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</si>
  <si>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</si>
  <si>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</si>
  <si>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</si>
  <si>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</si>
  <si>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</si>
  <si>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</si>
  <si>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</si>
  <si>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</si>
  <si>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</si>
  <si>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</si>
  <si>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</si>
  <si>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</si>
  <si>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</si>
  <si>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</si>
  <si>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</si>
  <si>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</si>
  <si>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</si>
  <si>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</si>
  <si>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</si>
  <si>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</si>
  <si>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</si>
  <si>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</si>
  <si>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</si>
  <si>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</si>
  <si>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</si>
  <si>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</si>
  <si>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</si>
  <si>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</si>
  <si>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</si>
  <si>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</si>
  <si>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</si>
  <si>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</si>
  <si>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</si>
  <si>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</si>
  <si>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</si>
  <si>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</si>
  <si>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</si>
  <si>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</si>
  <si>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</si>
  <si>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</si>
  <si>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</si>
  <si>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</si>
  <si>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</si>
  <si>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</si>
  <si>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</si>
  <si>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</si>
  <si>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</si>
  <si>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</si>
  <si>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</si>
  <si>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</si>
  <si>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</si>
  <si>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</si>
  <si>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</si>
  <si>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</si>
  <si>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</si>
  <si>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</si>
  <si>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</si>
  <si>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</si>
  <si>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</si>
  <si>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</si>
  <si>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</si>
  <si>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</si>
  <si>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</si>
  <si>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</si>
  <si>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</si>
  <si>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</si>
  <si>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</si>
  <si>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</si>
  <si>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</si>
  <si>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</si>
  <si>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</si>
  <si>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</si>
  <si>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</si>
  <si>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</si>
  <si>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</si>
  <si>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</si>
  <si>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</si>
  <si>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</si>
  <si>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</si>
  <si>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</si>
  <si>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</si>
  <si>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</si>
  <si>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</si>
  <si>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</si>
  <si>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</si>
  <si>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</si>
  <si>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</si>
  <si>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</si>
  <si>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</si>
  <si>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</si>
  <si>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</si>
  <si>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</si>
  <si>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</si>
  <si>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</si>
  <si>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</si>
  <si>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</si>
  <si>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</si>
  <si>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</si>
  <si>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</si>
  <si>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</si>
  <si>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</si>
  <si>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</si>
  <si>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</si>
  <si>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</si>
  <si>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</si>
  <si>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</si>
  <si>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</si>
  <si>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</si>
  <si>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</si>
  <si>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</si>
  <si>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</si>
  <si>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</si>
  <si>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</si>
  <si>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</si>
  <si>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</si>
  <si>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</si>
  <si>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</si>
  <si>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</si>
  <si>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</si>
  <si>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</si>
  <si>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</si>
  <si>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</si>
  <si>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</si>
  <si>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</si>
  <si>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</si>
  <si>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</si>
  <si>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</si>
  <si>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</si>
  <si>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</si>
  <si>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</si>
  <si>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</si>
  <si>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</si>
  <si>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</si>
  <si>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</si>
  <si>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</si>
  <si>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</si>
  <si>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</si>
  <si>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</si>
  <si>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</si>
  <si>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</si>
  <si>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</si>
  <si>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</si>
  <si>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</si>
  <si>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</si>
  <si>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</si>
  <si>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</si>
  <si>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</si>
  <si>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</si>
  <si>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</si>
  <si>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</si>
  <si>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</si>
  <si>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</si>
  <si>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</si>
  <si>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</si>
  <si>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</si>
  <si>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</si>
  <si>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</si>
  <si>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</si>
  <si>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</si>
  <si>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</si>
  <si>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</si>
  <si>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</si>
  <si>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</si>
  <si>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</si>
  <si>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</si>
  <si>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</si>
  <si>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</si>
  <si>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</si>
  <si>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</si>
  <si>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</si>
  <si>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</si>
  <si>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</si>
  <si>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</si>
  <si>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</si>
  <si>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</si>
  <si>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</si>
  <si>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</si>
  <si>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</si>
  <si>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</si>
  <si>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</si>
  <si>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</si>
  <si>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</si>
  <si>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</si>
  <si>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</si>
  <si>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</si>
  <si>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</si>
  <si>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</si>
  <si>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</si>
  <si>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</si>
  <si>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</si>
  <si>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</si>
  <si>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</si>
  <si>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</si>
  <si>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</si>
  <si>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</si>
  <si>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</si>
  <si>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</si>
  <si>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</si>
  <si>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</si>
  <si>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</si>
  <si>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</si>
  <si>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</si>
  <si>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</si>
  <si>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</si>
  <si>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</si>
  <si>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</si>
  <si>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</si>
  <si>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</si>
  <si>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</si>
  <si>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</si>
  <si>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</si>
  <si>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</si>
  <si>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</si>
  <si>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</si>
  <si>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</si>
  <si>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</si>
  <si>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</si>
  <si>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</si>
  <si>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</si>
  <si>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</si>
  <si>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</si>
  <si>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</si>
  <si>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</si>
  <si>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</si>
  <si>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</si>
  <si>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</si>
  <si>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</si>
  <si>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</si>
  <si>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</si>
  <si>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</si>
  <si>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</si>
  <si>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</si>
  <si>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</si>
  <si>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</si>
  <si>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MATERIAIS NA OPERAÇÃO. AF_08/2016</t>
  </si>
  <si>
    <t>LUVA COM BUCHA DE LATÃO, PVC, SOLDÁVEL, DN 32MM X 1 , INSTALADO EM RAMAL DE DISTRIBUIÇÃO DE ÁGUA   FORNECIMENTO E INSTALAÇÃO. AF_12/2014</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</si>
  <si>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</si>
  <si>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</si>
  <si>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</si>
  <si>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</si>
  <si>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</si>
  <si>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</si>
  <si>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</si>
  <si>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</si>
  <si>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</si>
  <si>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</si>
  <si>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</si>
  <si>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</si>
  <si>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</si>
  <si>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</si>
  <si>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</si>
  <si>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</si>
  <si>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</si>
  <si>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</si>
  <si>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</si>
  <si>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</si>
  <si>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</si>
  <si>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</si>
  <si>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</si>
  <si>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</si>
  <si>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</si>
  <si>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</si>
  <si>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</si>
  <si>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</si>
  <si>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</si>
  <si>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</si>
  <si>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</si>
  <si>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</si>
  <si>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</si>
  <si>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</si>
  <si>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</si>
  <si>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</si>
  <si>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</si>
  <si>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</si>
  <si>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</si>
  <si>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</si>
  <si>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</si>
  <si>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</si>
  <si>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</si>
  <si>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</si>
  <si>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</si>
  <si>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</si>
  <si>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</si>
  <si>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</si>
  <si>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</si>
  <si>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</si>
  <si>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</si>
  <si>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</si>
  <si>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</si>
  <si>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</si>
  <si>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</si>
  <si>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</si>
  <si>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</si>
  <si>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</si>
  <si>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</si>
  <si>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</si>
  <si>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</si>
  <si>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</si>
  <si>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</si>
  <si>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</si>
  <si>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</si>
  <si>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</si>
  <si>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</si>
  <si>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</si>
  <si>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</si>
  <si>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</si>
  <si>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</si>
  <si>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</si>
  <si>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</si>
  <si>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</si>
  <si>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</si>
  <si>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</si>
  <si>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</si>
  <si>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</si>
  <si>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</si>
  <si>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</si>
  <si>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</si>
  <si>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</si>
  <si>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</si>
  <si>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</si>
  <si>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</si>
  <si>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</si>
  <si>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</si>
  <si>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</si>
  <si>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</si>
  <si>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</si>
  <si>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</si>
  <si>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</si>
  <si>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</si>
  <si>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</si>
  <si>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</si>
  <si>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</si>
  <si>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</si>
  <si>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</si>
  <si>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</si>
  <si>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</si>
  <si>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</si>
  <si>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</si>
  <si>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</si>
  <si>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</si>
  <si>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</si>
  <si>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</si>
  <si>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</si>
  <si>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</si>
  <si>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</si>
  <si>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</si>
  <si>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</si>
  <si>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</si>
  <si>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</si>
  <si>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</si>
  <si>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</si>
  <si>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</si>
  <si>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</si>
  <si>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</si>
  <si>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</si>
  <si>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</si>
  <si>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</si>
  <si>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</si>
  <si>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</si>
  <si>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</si>
  <si>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</si>
  <si>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</si>
  <si>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</si>
  <si>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</si>
  <si>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</si>
  <si>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</si>
  <si>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VASO SANITARIO SIFONADO CONVENCIONAL COM LOUÇA BRANCA, INCLUSO CONJUNTO DE LIGAÇÃO PARA BACIA SANITÁRIA AJUSTÁVEL - FORNECIMENTO E INSTALAÇÃO. AF_10/2016</t>
  </si>
  <si>
    <t>FIXAÇÃO UTILIZANDO PARAFUSO E BUCHA DE NYLON, SOMENTE MÃO DE OBRA. AF_10/2016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</si>
  <si>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</si>
  <si>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</si>
  <si>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</si>
  <si>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</si>
  <si>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</si>
  <si>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</si>
  <si>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</si>
  <si>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</si>
  <si>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UMIDIFICAÇÃO DE MATERIAL PARA VALAS COM CAMINHÃO PIPA 10000L.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</si>
  <si>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</si>
  <si>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</si>
  <si>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</si>
  <si>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</si>
  <si>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</si>
  <si>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</si>
  <si>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</si>
  <si>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</si>
  <si>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</si>
  <si>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</si>
  <si>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</si>
  <si>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</si>
  <si>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</si>
  <si>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</si>
  <si>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</si>
  <si>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</si>
  <si>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</si>
  <si>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</si>
  <si>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</si>
  <si>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</si>
  <si>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</si>
  <si>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</si>
  <si>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</si>
  <si>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</si>
  <si>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</si>
  <si>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</si>
  <si>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</si>
  <si>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</si>
  <si>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</si>
  <si>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</si>
  <si>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</si>
  <si>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</si>
  <si>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</si>
  <si>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</si>
  <si>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</si>
  <si>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</si>
  <si>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</si>
  <si>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</si>
  <si>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</si>
  <si>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</si>
  <si>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</si>
  <si>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</si>
  <si>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</si>
  <si>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</si>
  <si>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</si>
  <si>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</si>
  <si>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</si>
  <si>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</si>
  <si>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</si>
  <si>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</si>
  <si>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</si>
  <si>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</si>
  <si>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</si>
  <si>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</si>
  <si>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</si>
  <si>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</si>
  <si>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</si>
  <si>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</si>
  <si>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</si>
  <si>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</si>
  <si>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</si>
  <si>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</si>
  <si>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</si>
  <si>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</si>
  <si>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</si>
  <si>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</si>
  <si>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</si>
  <si>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</si>
  <si>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</si>
  <si>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</si>
  <si>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</si>
  <si>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</si>
  <si>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</si>
  <si>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</si>
  <si>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</si>
  <si>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</si>
  <si>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</si>
  <si>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</si>
  <si>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</si>
  <si>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</si>
  <si>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</si>
  <si>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</si>
  <si>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</si>
  <si>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</si>
  <si>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</si>
  <si>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</si>
  <si>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</si>
  <si>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</si>
  <si>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</si>
  <si>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</si>
  <si>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</si>
  <si>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</si>
  <si>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</si>
  <si>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</si>
  <si>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</si>
  <si>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</si>
  <si>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</si>
  <si>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</si>
  <si>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</si>
  <si>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</si>
  <si>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</si>
  <si>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</si>
  <si>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</si>
  <si>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</si>
  <si>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</si>
  <si>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</si>
  <si>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</si>
  <si>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</si>
  <si>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</si>
  <si>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</si>
  <si>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</si>
  <si>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</si>
  <si>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</si>
  <si>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</si>
  <si>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</si>
  <si>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</si>
  <si>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</si>
  <si>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</si>
  <si>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</si>
  <si>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</si>
  <si>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</si>
  <si>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</si>
  <si>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</si>
  <si>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</si>
  <si>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</si>
  <si>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</si>
  <si>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</si>
  <si>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</si>
  <si>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</si>
  <si>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</si>
  <si>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</si>
  <si>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</si>
  <si>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</si>
  <si>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</si>
  <si>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</si>
  <si>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</si>
  <si>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</si>
  <si>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</si>
  <si>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</si>
  <si>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</si>
  <si>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</si>
  <si>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</si>
  <si>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</si>
  <si>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</si>
  <si>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</si>
  <si>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</si>
  <si>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</si>
  <si>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</si>
  <si>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</si>
  <si>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</si>
  <si>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</si>
  <si>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</si>
  <si>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</si>
  <si>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</si>
  <si>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</si>
  <si>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</si>
  <si>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</si>
  <si>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</si>
  <si>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</si>
  <si>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</si>
  <si>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</si>
  <si>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</si>
  <si>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</si>
  <si>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</si>
  <si>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</si>
  <si>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</si>
  <si>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</si>
  <si>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MATERIAIS NA OPERAÇÃO.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</si>
  <si>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</si>
  <si>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</si>
  <si>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</si>
  <si>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</si>
  <si>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</si>
  <si>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</si>
  <si>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</si>
  <si>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</si>
  <si>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</si>
  <si>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</si>
  <si>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</si>
  <si>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</si>
  <si>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</si>
  <si>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</si>
  <si>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</si>
  <si>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</si>
  <si>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</si>
  <si>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</si>
  <si>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</si>
  <si>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</si>
  <si>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</si>
  <si>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</si>
  <si>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</si>
  <si>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</si>
  <si>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</si>
  <si>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</si>
  <si>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</si>
  <si>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</si>
  <si>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</si>
  <si>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</si>
  <si>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</si>
  <si>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</si>
  <si>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</si>
  <si>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</si>
  <si>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</si>
  <si>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</si>
  <si>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</si>
  <si>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</si>
  <si>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</si>
  <si>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</si>
  <si>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</si>
  <si>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</si>
  <si>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</si>
  <si>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</si>
  <si>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</si>
  <si>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</si>
  <si>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</si>
  <si>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</si>
  <si>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</si>
  <si>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</si>
  <si>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</si>
  <si>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</si>
  <si>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</si>
  <si>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</si>
  <si>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</si>
  <si>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</si>
  <si>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</si>
  <si>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</si>
  <si>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</si>
  <si>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</si>
  <si>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</si>
  <si>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</si>
  <si>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</si>
  <si>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</si>
  <si>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</si>
  <si>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</si>
  <si>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</si>
  <si>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</si>
  <si>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</si>
  <si>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</si>
  <si>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</si>
  <si>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</si>
  <si>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</si>
  <si>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</si>
  <si>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</si>
  <si>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</si>
  <si>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</si>
  <si>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</si>
  <si>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</si>
  <si>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</si>
  <si>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</si>
  <si>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</si>
  <si>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</si>
  <si>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</si>
  <si>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</si>
  <si>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</si>
  <si>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</si>
  <si>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</si>
  <si>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</si>
  <si>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</si>
  <si>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</si>
  <si>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</si>
  <si>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</si>
  <si>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</si>
  <si>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</si>
  <si>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</si>
  <si>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</si>
  <si>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</si>
  <si>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</si>
  <si>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</si>
  <si>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</si>
  <si>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</si>
  <si>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</si>
  <si>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</si>
  <si>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</si>
  <si>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</si>
  <si>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</si>
  <si>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</si>
  <si>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</si>
  <si>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</si>
  <si>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</si>
  <si>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</si>
  <si>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</si>
  <si>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</si>
  <si>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</si>
  <si>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</si>
  <si>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</si>
  <si>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</si>
  <si>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</si>
  <si>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</si>
  <si>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</si>
  <si>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</si>
  <si>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</si>
  <si>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</si>
  <si>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</si>
  <si>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</si>
  <si>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</si>
  <si>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</si>
  <si>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</si>
  <si>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</si>
  <si>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</si>
  <si>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</si>
  <si>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</si>
  <si>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</si>
  <si>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</si>
  <si>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</si>
  <si>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</si>
  <si>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</si>
  <si>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</si>
  <si>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</si>
  <si>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</si>
  <si>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</si>
  <si>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</si>
  <si>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</si>
  <si>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</si>
  <si>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</si>
  <si>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</si>
  <si>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</si>
  <si>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</si>
  <si>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</si>
  <si>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</si>
  <si>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</si>
  <si>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</si>
  <si>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</si>
  <si>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</si>
  <si>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</si>
  <si>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</si>
  <si>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</si>
  <si>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</si>
  <si>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</si>
  <si>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</si>
  <si>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</si>
  <si>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</si>
  <si>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</si>
  <si>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</si>
  <si>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</si>
  <si>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</si>
  <si>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</si>
  <si>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</si>
  <si>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</si>
  <si>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</si>
  <si>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</si>
  <si>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</si>
  <si>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</si>
  <si>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</si>
  <si>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</si>
  <si>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</si>
  <si>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</si>
  <si>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</si>
  <si>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</si>
  <si>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</si>
  <si>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</si>
  <si>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</si>
  <si>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</si>
  <si>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</si>
  <si>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</si>
  <si>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</si>
  <si>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</si>
  <si>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</si>
  <si>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</si>
  <si>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</si>
  <si>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</si>
  <si>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</si>
  <si>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</si>
  <si>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</si>
  <si>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</si>
  <si>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</si>
  <si>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</si>
  <si>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</si>
  <si>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</si>
  <si>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</si>
  <si>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</si>
  <si>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</si>
  <si>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</si>
  <si>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</si>
  <si>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</si>
  <si>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</si>
  <si>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</si>
  <si>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</si>
  <si>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</si>
  <si>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</si>
  <si>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</si>
  <si>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</si>
  <si>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</si>
  <si>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</si>
  <si>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</si>
  <si>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</si>
  <si>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</si>
  <si>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</si>
  <si>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</si>
  <si>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</si>
  <si>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</si>
  <si>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</si>
  <si>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</si>
  <si>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</si>
  <si>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</si>
  <si>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</si>
  <si>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</si>
  <si>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</si>
  <si>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</si>
  <si>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</si>
  <si>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</si>
  <si>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</si>
  <si>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</si>
  <si>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</si>
  <si>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</si>
  <si>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</si>
  <si>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</si>
  <si>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</si>
  <si>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</si>
  <si>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</si>
  <si>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</si>
  <si>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</si>
  <si>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</si>
  <si>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</si>
  <si>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</si>
  <si>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</si>
  <si>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</si>
  <si>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</si>
  <si>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</si>
  <si>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</si>
  <si>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</si>
  <si>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</si>
  <si>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</si>
  <si>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</si>
  <si>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</si>
  <si>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</si>
  <si>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</si>
  <si>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</si>
  <si>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</si>
  <si>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</si>
  <si>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</si>
  <si>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</si>
  <si>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</si>
  <si>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</si>
  <si>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</si>
  <si>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</si>
  <si>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</si>
  <si>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</si>
  <si>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</si>
  <si>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</si>
  <si>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</si>
  <si>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</si>
  <si>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</si>
  <si>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</si>
  <si>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 xml:space="preserve">REVESTIMENTOS INTERNOS E EXTERNOS </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</si>
  <si>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</si>
  <si>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</si>
  <si>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</si>
  <si>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</si>
  <si>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</si>
  <si>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</si>
  <si>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</si>
  <si>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</si>
  <si>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</si>
  <si>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</si>
  <si>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</si>
  <si>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</si>
  <si>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</si>
  <si>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</si>
  <si>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</si>
  <si>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</si>
  <si>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</si>
  <si>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</si>
  <si>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</si>
  <si>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</si>
  <si>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 xml:space="preserve">FORNECIMENTO E INSTALAÇÃO DE BANCADAS EM GRANITO POLIDO ESP =2,5CM A 3,0CM </t>
  </si>
  <si>
    <t xml:space="preserve">ESQUADRIAS </t>
  </si>
  <si>
    <t>FORNECIMENTO E INSTALAÇÃO DE CASA DE GÁS MODELO PADRÃO DE 2,00X1,00</t>
  </si>
  <si>
    <t xml:space="preserve">INSTALAÇÕES ELÉTRICAS </t>
  </si>
  <si>
    <t xml:space="preserve">COBERTURA </t>
  </si>
  <si>
    <t>PORCENTAGEM PREVISTA</t>
  </si>
  <si>
    <t>altura pé direito (m)</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</si>
  <si>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</si>
  <si>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</si>
  <si>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</si>
  <si>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</si>
  <si>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</si>
  <si>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</si>
  <si>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</si>
  <si>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</si>
  <si>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</si>
  <si>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</si>
  <si>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</si>
  <si>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</si>
  <si>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</si>
  <si>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</si>
  <si>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</si>
  <si>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</si>
  <si>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</si>
  <si>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</si>
  <si>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</si>
  <si>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</si>
  <si>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</si>
  <si>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</si>
  <si>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</si>
  <si>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</si>
  <si>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</si>
  <si>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</si>
  <si>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</si>
  <si>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</si>
  <si>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</si>
  <si>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</si>
  <si>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</si>
  <si>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</si>
  <si>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</si>
  <si>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</si>
  <si>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</si>
  <si>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</si>
  <si>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</si>
  <si>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</si>
  <si>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</si>
  <si>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</si>
  <si>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</si>
  <si>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</si>
  <si>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</si>
  <si>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</si>
  <si>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</si>
  <si>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</si>
  <si>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</si>
  <si>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</si>
  <si>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</si>
  <si>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</si>
  <si>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</si>
  <si>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</si>
  <si>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</si>
  <si>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</si>
  <si>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</si>
  <si>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</si>
  <si>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</si>
  <si>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</si>
  <si>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</si>
  <si>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</si>
  <si>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</si>
  <si>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</si>
  <si>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</si>
  <si>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</si>
  <si>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</si>
  <si>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</si>
  <si>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</si>
  <si>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</si>
  <si>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</si>
  <si>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</si>
  <si>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</si>
  <si>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</si>
  <si>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</si>
  <si>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</si>
  <si>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</si>
  <si>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</si>
  <si>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</si>
  <si>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</si>
  <si>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</si>
  <si>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</si>
  <si>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</si>
  <si>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</si>
  <si>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</si>
  <si>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</si>
  <si>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</si>
  <si>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</si>
  <si>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</si>
  <si>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</si>
  <si>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</si>
  <si>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</si>
  <si>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</si>
  <si>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</si>
  <si>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</si>
  <si>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</si>
  <si>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</si>
  <si>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</si>
  <si>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</si>
  <si>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</si>
  <si>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</si>
  <si>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</si>
  <si>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</si>
  <si>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</si>
  <si>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</si>
  <si>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</si>
  <si>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</si>
  <si>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</si>
  <si>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</si>
  <si>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</si>
  <si>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</si>
  <si>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</si>
  <si>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</si>
  <si>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</si>
  <si>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</si>
  <si>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</si>
  <si>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</si>
  <si>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</si>
  <si>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</si>
  <si>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</si>
  <si>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</si>
  <si>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</si>
  <si>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</si>
  <si>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</si>
  <si>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</si>
  <si>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</si>
  <si>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</si>
  <si>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</si>
  <si>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</si>
  <si>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</si>
  <si>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</si>
  <si>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</si>
  <si>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</si>
  <si>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</si>
  <si>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</si>
  <si>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</si>
  <si>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</si>
  <si>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</si>
  <si>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</si>
  <si>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</si>
  <si>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</si>
  <si>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</si>
  <si>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</si>
  <si>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</si>
  <si>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</si>
  <si>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</si>
  <si>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</si>
  <si>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</si>
  <si>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</si>
  <si>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</si>
  <si>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</si>
  <si>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</si>
  <si>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</si>
  <si>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</si>
  <si>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</si>
  <si>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</si>
  <si>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</si>
  <si>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</si>
  <si>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</si>
  <si>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</si>
  <si>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 xml:space="preserve">PINTURA INTERNA E EXTERNA </t>
  </si>
  <si>
    <t>MONTAGEM E DESMONTAGEM DE FÔRMA DE PILARES CIRCULARES, COM ÁREA MÉDIA DAS SEÇÕES MAIOR QUE 0,28 M², PÉ-DIREITO DUPLO, EM MADEIRA, 2 UTILIZAÇÕES.  AF_06/2017</t>
  </si>
  <si>
    <t>CP-GAS-1</t>
  </si>
  <si>
    <t>CP-GAS-2</t>
  </si>
  <si>
    <t>CP-GAS-3</t>
  </si>
  <si>
    <t>altura (m)</t>
  </si>
  <si>
    <t>PINTURA ANTICORROSIVA DE DUTO METÁLICO. AF_04/2018</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</si>
  <si>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</si>
  <si>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</si>
  <si>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</si>
  <si>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</si>
  <si>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</si>
  <si>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</si>
  <si>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</si>
  <si>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</si>
  <si>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</si>
  <si>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</si>
  <si>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</si>
  <si>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</si>
  <si>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</si>
  <si>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</si>
  <si>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</si>
  <si>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</si>
  <si>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</si>
  <si>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</si>
  <si>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</si>
  <si>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</si>
  <si>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</si>
  <si>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</si>
  <si>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</si>
  <si>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</si>
  <si>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</si>
  <si>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</si>
  <si>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</si>
  <si>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</si>
  <si>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</si>
  <si>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</si>
  <si>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</si>
  <si>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</si>
  <si>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</si>
  <si>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</si>
  <si>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</si>
  <si>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</si>
  <si>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</si>
  <si>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</si>
  <si>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</si>
  <si>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</si>
  <si>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</si>
  <si>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</si>
  <si>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</si>
  <si>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</si>
  <si>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</si>
  <si>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</si>
  <si>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</si>
  <si>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</si>
  <si>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</si>
  <si>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</si>
  <si>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</si>
  <si>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</si>
  <si>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</si>
  <si>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</si>
  <si>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</si>
  <si>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</si>
  <si>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</si>
  <si>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</si>
  <si>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</si>
  <si>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</si>
  <si>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</si>
  <si>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</si>
  <si>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</si>
  <si>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</si>
  <si>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</si>
  <si>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</si>
  <si>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</si>
  <si>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</si>
  <si>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</si>
  <si>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</si>
  <si>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</si>
  <si>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</si>
  <si>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</si>
  <si>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</si>
  <si>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</si>
  <si>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</si>
  <si>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</si>
  <si>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</si>
  <si>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</si>
  <si>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</si>
  <si>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</si>
  <si>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</si>
  <si>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</si>
  <si>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</si>
  <si>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</si>
  <si>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</si>
  <si>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</si>
  <si>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</si>
  <si>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</si>
  <si>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</si>
  <si>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</si>
  <si>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</si>
  <si>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</si>
  <si>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</si>
  <si>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</si>
  <si>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</si>
  <si>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</si>
  <si>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</si>
  <si>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</si>
  <si>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</si>
  <si>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</si>
  <si>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</si>
  <si>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</si>
  <si>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</si>
  <si>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</si>
  <si>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</si>
  <si>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</si>
  <si>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</si>
  <si>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</si>
  <si>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</si>
  <si>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</si>
  <si>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</si>
  <si>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</si>
  <si>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</si>
  <si>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</si>
  <si>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</si>
  <si>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</si>
  <si>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</si>
  <si>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</si>
  <si>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</si>
  <si>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</si>
  <si>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</si>
  <si>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</si>
  <si>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</si>
  <si>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</si>
  <si>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</si>
  <si>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</si>
  <si>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</si>
  <si>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</si>
  <si>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</si>
  <si>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</si>
  <si>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</si>
  <si>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</si>
  <si>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</si>
  <si>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</si>
  <si>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</si>
  <si>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</si>
  <si>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</si>
  <si>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</si>
  <si>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</si>
  <si>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</si>
  <si>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</si>
  <si>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</si>
  <si>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</si>
  <si>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</si>
  <si>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</si>
  <si>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</si>
  <si>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</si>
  <si>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</si>
  <si>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</si>
  <si>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</si>
  <si>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</si>
  <si>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</si>
  <si>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</si>
  <si>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</si>
  <si>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</si>
  <si>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</si>
  <si>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</si>
  <si>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</si>
  <si>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</si>
  <si>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</si>
  <si>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</si>
  <si>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</si>
  <si>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</si>
  <si>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</si>
  <si>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</si>
  <si>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</si>
  <si>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</si>
  <si>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</si>
  <si>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</si>
  <si>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</si>
  <si>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</si>
  <si>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</si>
  <si>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</si>
  <si>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</si>
  <si>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</si>
  <si>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</si>
  <si>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</si>
  <si>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</si>
  <si>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</si>
  <si>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</si>
  <si>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</si>
  <si>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</si>
  <si>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</si>
  <si>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</si>
  <si>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</si>
  <si>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</si>
  <si>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</si>
  <si>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</si>
  <si>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</si>
  <si>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</si>
  <si>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</si>
  <si>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</si>
  <si>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</si>
  <si>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</si>
  <si>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</si>
  <si>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</si>
  <si>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</si>
  <si>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</si>
  <si>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</si>
  <si>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</si>
  <si>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</si>
  <si>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</si>
  <si>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</si>
  <si>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</si>
  <si>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</si>
  <si>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</si>
  <si>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</si>
  <si>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</si>
  <si>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</si>
  <si>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</si>
  <si>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</si>
  <si>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</si>
  <si>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</si>
  <si>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</si>
  <si>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</si>
  <si>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</si>
  <si>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</si>
  <si>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</si>
  <si>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</si>
  <si>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</si>
  <si>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</si>
  <si>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</si>
  <si>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</si>
  <si>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</si>
  <si>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</si>
  <si>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</si>
  <si>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</si>
  <si>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</si>
  <si>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</si>
  <si>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</si>
  <si>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</si>
  <si>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</si>
  <si>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</si>
  <si>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</si>
  <si>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</si>
  <si>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</si>
  <si>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</si>
  <si>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</si>
  <si>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</si>
  <si>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</si>
  <si>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</si>
  <si>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</si>
  <si>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</si>
  <si>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</si>
  <si>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</si>
  <si>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</si>
  <si>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</si>
  <si>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</si>
  <si>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</si>
  <si>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</si>
  <si>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</si>
  <si>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</si>
  <si>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</si>
  <si>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</si>
  <si>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</si>
  <si>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</si>
  <si>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</si>
  <si>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</si>
  <si>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</si>
  <si>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</si>
  <si>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</si>
  <si>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</si>
  <si>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</si>
  <si>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</si>
  <si>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</si>
  <si>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</si>
  <si>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</si>
  <si>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</si>
  <si>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</si>
  <si>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</si>
  <si>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</si>
  <si>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</si>
  <si>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</si>
  <si>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</si>
  <si>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</si>
  <si>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</si>
  <si>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</si>
  <si>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</si>
  <si>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</si>
  <si>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</si>
  <si>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</si>
  <si>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</si>
  <si>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</si>
  <si>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</si>
  <si>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</si>
  <si>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</si>
  <si>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</si>
  <si>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</si>
  <si>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</si>
  <si>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</si>
  <si>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</si>
  <si>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</si>
  <si>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</si>
  <si>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</si>
  <si>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</si>
  <si>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</si>
  <si>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</si>
  <si>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</si>
  <si>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</si>
  <si>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</si>
  <si>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</si>
  <si>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</si>
  <si>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</si>
  <si>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</si>
  <si>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</si>
  <si>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</si>
  <si>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</si>
  <si>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</si>
  <si>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</si>
  <si>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</si>
  <si>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</si>
  <si>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</si>
  <si>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</si>
  <si>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</si>
  <si>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</si>
  <si>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</si>
  <si>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</si>
  <si>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</si>
  <si>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ACABAMENTOS PARA FORRO (SANCA DE GESSO MONTADA NA OBRA). AF_05/2017_P</t>
  </si>
  <si>
    <t>COBERTURA PARA PROTEÇÃO DE PEDESTRES SOBRE ESTRUTURA DE ANDAIME, INCLUSIVE MONTAGEM E DESMONTAGEM. AF_11/2017</t>
  </si>
  <si>
    <t>MURO</t>
  </si>
  <si>
    <t>9.0</t>
  </si>
  <si>
    <t>10.0</t>
  </si>
  <si>
    <t>11.0</t>
  </si>
  <si>
    <t>12.0</t>
  </si>
  <si>
    <t>13.0</t>
  </si>
  <si>
    <t>RESUMO</t>
  </si>
  <si>
    <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</si>
  <si>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</si>
  <si>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</si>
  <si>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CAMINHÃO PARA EQUIPAMENTO DE LIMPEZA A SUCÇÃO COM CAMINHÃO TRUCADO DE PESO BRUTO TOTAL 23000 KG, CARGA ÚTIL MÁX. 15935 KG, DISTÂNCIA ENTRE EIXOS 4,80 M, POTÊNCIA 230 CV, INCLUSIVE LIMPADORA A SUCÇÃO, TANQUE 12000 L - MATERIAIS NA OPERAÇÃO. AF_11/2015</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</si>
  <si>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</si>
  <si>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</si>
  <si>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</si>
  <si>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</si>
  <si>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</si>
  <si>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</si>
  <si>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</si>
  <si>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</si>
  <si>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</si>
  <si>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</si>
  <si>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</si>
  <si>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</si>
  <si>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</si>
  <si>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</si>
  <si>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</si>
  <si>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</si>
  <si>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</si>
  <si>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</si>
  <si>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</si>
  <si>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</si>
  <si>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</si>
  <si>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</si>
  <si>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</si>
  <si>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</si>
  <si>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</si>
  <si>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</si>
  <si>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</si>
  <si>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</si>
  <si>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</si>
  <si>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</si>
  <si>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</si>
  <si>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</si>
  <si>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</si>
  <si>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</si>
  <si>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</si>
  <si>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</si>
  <si>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</si>
  <si>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</si>
  <si>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</si>
  <si>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</si>
  <si>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</si>
  <si>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</si>
  <si>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</si>
  <si>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</si>
  <si>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</si>
  <si>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</si>
  <si>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</si>
  <si>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</si>
  <si>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</si>
  <si>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</si>
  <si>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</si>
  <si>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</si>
  <si>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</si>
  <si>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</si>
  <si>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</si>
  <si>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</si>
  <si>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</si>
  <si>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</si>
  <si>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</si>
  <si>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</si>
  <si>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</si>
  <si>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</si>
  <si>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</si>
  <si>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</si>
  <si>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</si>
  <si>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</si>
  <si>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</si>
  <si>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</si>
  <si>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</si>
  <si>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</si>
  <si>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</si>
  <si>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</si>
  <si>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</si>
  <si>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</si>
  <si>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</si>
  <si>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</si>
  <si>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</si>
  <si>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</si>
  <si>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</si>
  <si>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</si>
  <si>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</si>
  <si>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</si>
  <si>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</si>
  <si>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</si>
  <si>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</si>
  <si>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</si>
  <si>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</si>
  <si>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</si>
  <si>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</si>
  <si>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</si>
  <si>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</si>
  <si>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</si>
  <si>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</si>
  <si>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</si>
  <si>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</si>
  <si>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</si>
  <si>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</si>
  <si>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</si>
  <si>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</si>
  <si>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</si>
  <si>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</si>
  <si>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</si>
  <si>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</si>
  <si>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</si>
  <si>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</si>
  <si>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</si>
  <si>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</si>
  <si>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</si>
  <si>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</si>
  <si>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</si>
  <si>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</si>
  <si>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</si>
  <si>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</si>
  <si>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</si>
  <si>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</si>
  <si>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</si>
  <si>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</si>
  <si>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</si>
  <si>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</si>
  <si>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</si>
  <si>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</si>
  <si>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</si>
  <si>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</si>
  <si>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</si>
  <si>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</si>
  <si>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</si>
  <si>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</si>
  <si>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</si>
  <si>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</si>
  <si>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</si>
  <si>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</si>
  <si>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</si>
  <si>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</si>
  <si>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</si>
  <si>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</si>
  <si>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</si>
  <si>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</si>
  <si>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</si>
  <si>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</si>
  <si>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</si>
  <si>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</si>
  <si>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</si>
  <si>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</si>
  <si>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</si>
  <si>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</si>
  <si>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</si>
  <si>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</si>
  <si>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</si>
  <si>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</si>
  <si>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</si>
  <si>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</si>
  <si>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</si>
  <si>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</si>
  <si>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</si>
  <si>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</si>
  <si>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</si>
  <si>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</si>
  <si>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</si>
  <si>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</si>
  <si>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</si>
  <si>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</si>
  <si>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</si>
  <si>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</si>
  <si>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</si>
  <si>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</si>
  <si>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</si>
  <si>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</si>
  <si>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</si>
  <si>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</si>
  <si>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</si>
  <si>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</si>
  <si>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</si>
  <si>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</si>
  <si>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</si>
  <si>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</si>
  <si>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</si>
  <si>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</si>
  <si>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</si>
  <si>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</si>
  <si>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</si>
  <si>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</si>
  <si>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</si>
  <si>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</si>
  <si>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</si>
  <si>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</si>
  <si>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</si>
  <si>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</si>
  <si>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</si>
  <si>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</si>
  <si>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</si>
  <si>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</si>
  <si>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</si>
  <si>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</si>
  <si>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</si>
  <si>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</si>
  <si>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</si>
  <si>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</si>
  <si>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</si>
  <si>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</si>
  <si>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</si>
  <si>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</si>
  <si>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</si>
  <si>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</si>
  <si>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</si>
  <si>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</si>
  <si>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</si>
  <si>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</si>
  <si>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</si>
  <si>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</si>
  <si>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</si>
  <si>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</si>
  <si>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</si>
  <si>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</si>
  <si>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</si>
  <si>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</si>
  <si>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</si>
  <si>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</si>
  <si>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</si>
  <si>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</si>
  <si>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</si>
  <si>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</si>
  <si>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</si>
  <si>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</si>
  <si>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</si>
  <si>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</si>
  <si>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</si>
  <si>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</si>
  <si>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</si>
  <si>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</si>
  <si>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</si>
  <si>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</si>
  <si>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</si>
  <si>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</si>
  <si>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</si>
  <si>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</si>
  <si>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</si>
  <si>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</si>
  <si>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</si>
  <si>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</si>
  <si>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</si>
  <si>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</si>
  <si>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</si>
  <si>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</si>
  <si>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</si>
  <si>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</si>
  <si>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</si>
  <si>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</si>
  <si>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</si>
  <si>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</si>
  <si>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</si>
  <si>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</si>
  <si>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</si>
  <si>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</si>
  <si>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</si>
  <si>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</si>
  <si>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</si>
  <si>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</si>
  <si>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</si>
  <si>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</si>
  <si>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</si>
  <si>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</si>
  <si>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</si>
  <si>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</si>
  <si>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</si>
  <si>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</si>
  <si>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</si>
  <si>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</si>
  <si>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</si>
  <si>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</si>
  <si>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</si>
  <si>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</si>
  <si>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</si>
  <si>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</si>
  <si>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</si>
  <si>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</si>
  <si>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</si>
  <si>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</si>
  <si>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</si>
  <si>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</si>
  <si>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</si>
  <si>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</si>
  <si>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</si>
  <si>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</si>
  <si>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</si>
  <si>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</si>
  <si>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</si>
  <si>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</si>
  <si>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</si>
  <si>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</si>
  <si>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</si>
  <si>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</si>
  <si>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</si>
  <si>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</si>
  <si>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</si>
  <si>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</si>
  <si>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</si>
  <si>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</si>
  <si>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</si>
  <si>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</si>
  <si>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</si>
  <si>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</si>
  <si>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</si>
  <si>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</si>
  <si>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</si>
  <si>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</si>
  <si>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</si>
  <si>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</si>
  <si>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</si>
  <si>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</si>
  <si>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</si>
  <si>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</si>
  <si>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</si>
  <si>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</si>
  <si>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</si>
  <si>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</si>
  <si>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</si>
  <si>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</si>
  <si>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</si>
  <si>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</si>
  <si>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</si>
  <si>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</si>
  <si>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</si>
  <si>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</si>
  <si>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</si>
  <si>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</si>
  <si>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</si>
  <si>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</si>
  <si>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</si>
  <si>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</si>
  <si>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</si>
  <si>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</si>
  <si>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</si>
  <si>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</si>
  <si>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</si>
  <si>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</si>
  <si>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</si>
  <si>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</si>
  <si>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</si>
  <si>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</si>
  <si>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</si>
  <si>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</si>
  <si>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</si>
  <si>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</si>
  <si>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</si>
  <si>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</si>
  <si>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</si>
  <si>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</si>
  <si>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</si>
  <si>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</si>
  <si>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</si>
  <si>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</si>
  <si>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</si>
  <si>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</si>
  <si>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</si>
  <si>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</si>
  <si>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</si>
  <si>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</si>
  <si>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</si>
  <si>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</si>
  <si>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</si>
  <si>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</si>
  <si>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</si>
  <si>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</si>
  <si>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</si>
  <si>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</si>
  <si>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</si>
  <si>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</si>
  <si>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</si>
  <si>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</si>
  <si>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</si>
  <si>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</si>
  <si>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</si>
  <si>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</si>
  <si>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</si>
  <si>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</si>
  <si>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</si>
  <si>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</si>
  <si>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</si>
  <si>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</si>
  <si>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</si>
  <si>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</si>
  <si>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</si>
  <si>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</si>
  <si>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</si>
  <si>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</si>
  <si>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</si>
  <si>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</si>
  <si>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</si>
  <si>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</si>
  <si>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</si>
  <si>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</si>
  <si>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</si>
  <si>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</si>
  <si>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</si>
  <si>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</si>
  <si>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</si>
  <si>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</si>
  <si>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</si>
  <si>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</si>
  <si>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</si>
  <si>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</si>
  <si>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</si>
  <si>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</si>
  <si>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</si>
  <si>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</si>
  <si>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</si>
  <si>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</si>
  <si>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</si>
  <si>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</si>
  <si>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</si>
  <si>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</si>
  <si>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</si>
  <si>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</si>
  <si>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</si>
  <si>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</si>
  <si>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</si>
  <si>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</si>
  <si>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</si>
  <si>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</si>
  <si>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</si>
  <si>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</si>
  <si>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</si>
  <si>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</si>
  <si>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</si>
  <si>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</si>
  <si>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</si>
  <si>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</si>
  <si>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</si>
  <si>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</si>
  <si>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</si>
  <si>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</si>
  <si>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</si>
  <si>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</si>
  <si>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</si>
  <si>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</si>
  <si>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</si>
  <si>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</si>
  <si>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</si>
  <si>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</si>
  <si>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</si>
  <si>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</si>
  <si>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</si>
  <si>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</si>
  <si>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</si>
  <si>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</si>
  <si>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</si>
  <si>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</si>
  <si>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</si>
  <si>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</si>
  <si>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</si>
  <si>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</si>
  <si>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</si>
  <si>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</si>
  <si>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</si>
  <si>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</si>
  <si>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</si>
  <si>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</si>
  <si>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</si>
  <si>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</si>
  <si>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</si>
  <si>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</si>
  <si>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</si>
  <si>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</si>
  <si>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</si>
  <si>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</si>
  <si>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</si>
  <si>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</si>
  <si>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</si>
  <si>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</si>
  <si>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</si>
  <si>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</si>
  <si>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</si>
  <si>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</si>
  <si>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</si>
  <si>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</si>
  <si>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</si>
  <si>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</si>
  <si>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</si>
  <si>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</si>
  <si>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</si>
  <si>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</si>
  <si>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</si>
  <si>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</si>
  <si>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</si>
  <si>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</si>
  <si>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</si>
  <si>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</si>
  <si>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</si>
  <si>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</si>
  <si>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</si>
  <si>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EM LAJE PÓS-DESFÔRMA, PARA ESTRUTURAS EM CONCRETO, COM ESCORAS DE MADEIRA ESTRONCADAS NA ESTRUTURA, TRAVESSÕES DE MADEIRA PREGADOS E FECHAMENTO EM TELA DE POLIPROPILENO PARA EDIFICAÇÕES ACIMA DE 4 PAV. (2 MONTAGENS POR OBRA). AF_11/2017</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</si>
  <si>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</si>
  <si>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</si>
  <si>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</si>
  <si>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</si>
  <si>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</si>
  <si>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</si>
  <si>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</si>
  <si>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</si>
  <si>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</si>
  <si>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</si>
  <si>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</si>
  <si>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</si>
  <si>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</si>
  <si>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</si>
  <si>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</si>
  <si>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</si>
  <si>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</si>
  <si>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</si>
  <si>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</si>
  <si>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</si>
  <si>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</si>
  <si>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</si>
  <si>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</si>
  <si>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</si>
  <si>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</si>
  <si>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</si>
  <si>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</si>
  <si>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</si>
  <si>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</si>
  <si>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</si>
  <si>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</si>
  <si>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</si>
  <si>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</si>
  <si>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</si>
  <si>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</si>
  <si>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</si>
  <si>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</si>
  <si>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M2XMES</t>
  </si>
  <si>
    <t xml:space="preserve">MXMES </t>
  </si>
  <si>
    <t>CP-LP-01</t>
  </si>
  <si>
    <t>LIXAMENTO MANUAL DE ALVENARIA</t>
  </si>
  <si>
    <t>espessura</t>
  </si>
  <si>
    <t>LOUÇAS E METAIS</t>
  </si>
  <si>
    <t>BANHEIROS</t>
  </si>
  <si>
    <t>14.0</t>
  </si>
  <si>
    <t>15.0</t>
  </si>
  <si>
    <t>16.0</t>
  </si>
  <si>
    <t>17.0</t>
  </si>
  <si>
    <t>18.0</t>
  </si>
  <si>
    <t>19.0</t>
  </si>
  <si>
    <t>CP-CBI-01</t>
  </si>
  <si>
    <t>PLACA DE SINALIZACAO DE SEGURANCA CONTRA INCENDIO, FOTOLUMINESCENTE, RETANGULAR, *13 X 26* CM, EM PVC *2* MM ANTI-CHAMAS (SIMBOLOS, CORES E PICTOGRAMAS CONFORME NBR 13434) - FORNECIMENTO E INSTALAÇÃO</t>
  </si>
  <si>
    <t>CP-COB-01</t>
  </si>
  <si>
    <t xml:space="preserve">COMPOSIÇÕES PROPRIAS </t>
  </si>
  <si>
    <t>mês 03</t>
  </si>
  <si>
    <t>mês 04</t>
  </si>
  <si>
    <t>mês 05</t>
  </si>
  <si>
    <t>MÁQUINA JATO DE PRESSAO PORTÁTIL, CAMARA DE 1 SAIDA, CAPACIDADE 280 L, DIAMETRO 670 MM, BICO DE JATO CURTO VENTURI DE 5/16'' , MANGUEIRA DE 1'' COM COMPRESSOR DE AR REBOCÁVEL 189 PCM E MOTOR DIESEL 63 CV - CHP DIURNO. AF_03/2016</t>
  </si>
  <si>
    <t>USINA DE MISTURA ASFÁLTICA À QUENTE, TIPO CONTRA FLUXO, PROD 100 A 140 TON/HORA - CHP DIURNO. AF_12/2019</t>
  </si>
  <si>
    <t>USINA DE ASFALTO, TIPO GRAVIMÉTRICA, PROD 150 TON/HORA - CHP DIURNO. AF_12/2019</t>
  </si>
  <si>
    <t>MÁQUINA JATO DE PRESSAO PORTÁTIL, CAMARA DE 1 SAIDA, CAPACIDADE 280 L, DIAMETRO 670 MM, BICO DE JATO CURTO VENTURI DE 5/16'' , MANGUEIRA DE 1'' COM COMPRESSOR DE AR REBOCÁVEL 189 PCM E MOTOR DIESEL 63 CV - CHI DIURNO. AF_03/2016</t>
  </si>
  <si>
    <t>USINA DE MISTURA ASFÁLTICA À QUENTE, TIPO CONTRA FLUXO, PROD 100 A 140 TON/HORA - CHI DIURNO. AF_12/2019</t>
  </si>
  <si>
    <t>USINA DE ASFALTO, TIPO GRAVIMÉTRICA, PROD 150 TON/HORA - CHI DIURNO. AF_12/2019</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</si>
  <si>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</si>
  <si>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</si>
  <si>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</si>
  <si>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</si>
  <si>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</si>
  <si>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</si>
  <si>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</si>
  <si>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</si>
  <si>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</si>
  <si>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</si>
  <si>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</si>
  <si>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</si>
  <si>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</si>
  <si>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</si>
  <si>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</si>
  <si>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</si>
  <si>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</si>
  <si>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</si>
  <si>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</si>
  <si>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</si>
  <si>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</si>
  <si>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</si>
  <si>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</si>
  <si>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</si>
  <si>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</si>
  <si>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</si>
  <si>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</si>
  <si>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</si>
  <si>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</si>
  <si>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</si>
  <si>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</si>
  <si>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</si>
  <si>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</si>
  <si>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</si>
  <si>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</si>
  <si>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</si>
  <si>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</si>
  <si>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</si>
  <si>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</si>
  <si>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</si>
  <si>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</si>
  <si>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</si>
  <si>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</si>
  <si>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</si>
  <si>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</si>
  <si>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</si>
  <si>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</si>
  <si>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</si>
  <si>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</si>
  <si>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</si>
  <si>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</si>
  <si>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</si>
  <si>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</si>
  <si>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</si>
  <si>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</si>
  <si>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</si>
  <si>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</si>
  <si>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</si>
  <si>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</si>
  <si>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</si>
  <si>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</si>
  <si>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</si>
  <si>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</si>
  <si>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</si>
  <si>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</si>
  <si>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</si>
  <si>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</si>
  <si>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</si>
  <si>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</si>
  <si>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</si>
  <si>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</si>
  <si>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</si>
  <si>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</si>
  <si>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</si>
  <si>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</si>
  <si>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</si>
  <si>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</si>
  <si>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</si>
  <si>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</si>
  <si>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</si>
  <si>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</si>
  <si>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</si>
  <si>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</si>
  <si>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</si>
  <si>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</si>
  <si>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</si>
  <si>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</si>
  <si>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</si>
  <si>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</si>
  <si>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</si>
  <si>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</si>
  <si>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</si>
  <si>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</si>
  <si>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</si>
  <si>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</si>
  <si>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</si>
  <si>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</si>
  <si>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</si>
  <si>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</si>
  <si>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</si>
  <si>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</si>
  <si>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</si>
  <si>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</si>
  <si>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</si>
  <si>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</si>
  <si>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</si>
  <si>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</si>
  <si>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</si>
  <si>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</si>
  <si>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</si>
  <si>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</si>
  <si>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</si>
  <si>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</si>
  <si>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</si>
  <si>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</si>
  <si>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</si>
  <si>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</si>
  <si>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</si>
  <si>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</si>
  <si>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</si>
  <si>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</si>
  <si>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</si>
  <si>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</si>
  <si>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</si>
  <si>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</si>
  <si>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</si>
  <si>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</si>
  <si>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</si>
  <si>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</si>
  <si>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</si>
  <si>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</si>
  <si>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</si>
  <si>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</si>
  <si>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</si>
  <si>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</si>
  <si>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</si>
  <si>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</si>
  <si>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</si>
  <si>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</si>
  <si>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</si>
  <si>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</si>
  <si>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</si>
  <si>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</si>
  <si>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</si>
  <si>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</si>
  <si>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</si>
  <si>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</si>
  <si>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</si>
  <si>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</si>
  <si>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</si>
  <si>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</si>
  <si>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</si>
  <si>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</si>
  <si>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</si>
  <si>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</si>
  <si>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</si>
  <si>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</si>
  <si>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</si>
  <si>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</si>
  <si>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</si>
  <si>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</si>
  <si>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</si>
  <si>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</si>
  <si>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</si>
  <si>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</si>
  <si>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</si>
  <si>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</si>
  <si>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</si>
  <si>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</si>
  <si>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</si>
  <si>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</si>
  <si>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</si>
  <si>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</si>
  <si>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</si>
  <si>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</si>
  <si>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</si>
  <si>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</si>
  <si>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</si>
  <si>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</si>
  <si>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</si>
  <si>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</si>
  <si>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</si>
  <si>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</si>
  <si>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</si>
  <si>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</si>
  <si>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</si>
  <si>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</si>
  <si>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</si>
  <si>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</si>
  <si>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</si>
  <si>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</si>
  <si>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</si>
  <si>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</si>
  <si>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</si>
  <si>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</si>
  <si>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</si>
  <si>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</si>
  <si>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</si>
  <si>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</si>
  <si>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</si>
  <si>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</si>
  <si>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</si>
  <si>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</si>
  <si>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</si>
  <si>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</si>
  <si>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</si>
  <si>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</si>
  <si>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</si>
  <si>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</si>
  <si>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</si>
  <si>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</si>
  <si>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</si>
  <si>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</si>
  <si>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</si>
  <si>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</si>
  <si>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</si>
  <si>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</si>
  <si>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</si>
  <si>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</si>
  <si>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</si>
  <si>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</si>
  <si>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</si>
  <si>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</si>
  <si>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</si>
  <si>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</si>
  <si>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</si>
  <si>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</si>
  <si>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</si>
  <si>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</si>
  <si>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</si>
  <si>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</si>
  <si>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</si>
  <si>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</si>
  <si>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</si>
  <si>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</si>
  <si>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</si>
  <si>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</si>
  <si>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</si>
  <si>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</si>
  <si>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</si>
  <si>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</si>
  <si>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</si>
  <si>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</si>
  <si>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</si>
  <si>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</si>
  <si>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</si>
  <si>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</si>
  <si>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</si>
  <si>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</si>
  <si>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</si>
  <si>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</si>
  <si>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</si>
  <si>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</si>
  <si>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</si>
  <si>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</si>
  <si>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</si>
  <si>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</si>
  <si>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</si>
  <si>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</si>
  <si>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</si>
  <si>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</si>
  <si>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</si>
  <si>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</si>
  <si>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</si>
  <si>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</si>
  <si>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</si>
  <si>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</si>
  <si>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</si>
  <si>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</si>
  <si>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</si>
  <si>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</si>
  <si>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</si>
  <si>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</si>
  <si>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</si>
  <si>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</si>
  <si>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</si>
  <si>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</si>
  <si>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</si>
  <si>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</si>
  <si>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</si>
  <si>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</si>
  <si>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</si>
  <si>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</si>
  <si>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</si>
  <si>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</si>
  <si>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</si>
  <si>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</si>
  <si>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</si>
  <si>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</si>
  <si>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</si>
  <si>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</si>
  <si>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</si>
  <si>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</si>
  <si>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</si>
  <si>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</si>
  <si>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</si>
  <si>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</si>
  <si>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</si>
  <si>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</si>
  <si>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</si>
  <si>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</si>
  <si>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</si>
  <si>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</si>
  <si>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</si>
  <si>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</si>
  <si>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</si>
  <si>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</si>
  <si>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</si>
  <si>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</si>
  <si>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</si>
  <si>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</si>
  <si>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</si>
  <si>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</si>
  <si>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</si>
  <si>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</si>
  <si>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</si>
  <si>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</si>
  <si>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</si>
  <si>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</si>
  <si>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</si>
  <si>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</si>
  <si>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</si>
  <si>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</si>
  <si>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</si>
  <si>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</si>
  <si>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</si>
  <si>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</si>
  <si>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</si>
  <si>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</si>
  <si>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</si>
  <si>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</si>
  <si>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</si>
  <si>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</si>
  <si>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</si>
  <si>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</si>
  <si>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</si>
  <si>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</si>
  <si>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</si>
  <si>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</si>
  <si>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</si>
  <si>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</si>
  <si>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</si>
  <si>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</si>
  <si>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</si>
  <si>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</si>
  <si>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</si>
  <si>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</si>
  <si>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</si>
  <si>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</si>
  <si>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</si>
  <si>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</si>
  <si>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</si>
  <si>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</si>
  <si>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</si>
  <si>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</si>
  <si>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</si>
  <si>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</si>
  <si>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</si>
  <si>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</si>
  <si>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</si>
  <si>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</si>
  <si>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</si>
  <si>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</si>
  <si>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</si>
  <si>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</si>
  <si>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</si>
  <si>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</si>
  <si>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</si>
  <si>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</si>
  <si>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</si>
  <si>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</si>
  <si>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</si>
  <si>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</si>
  <si>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</si>
  <si>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</si>
  <si>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</si>
  <si>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</si>
  <si>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</si>
  <si>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</si>
  <si>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</si>
  <si>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</si>
  <si>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</si>
  <si>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</si>
  <si>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</si>
  <si>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</si>
  <si>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</si>
  <si>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</si>
  <si>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</si>
  <si>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</si>
  <si>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</si>
  <si>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</si>
  <si>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</si>
  <si>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</si>
  <si>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</si>
  <si>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</si>
  <si>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</si>
  <si>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</si>
  <si>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</si>
  <si>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</si>
  <si>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</si>
  <si>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</si>
  <si>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</si>
  <si>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</si>
  <si>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</si>
  <si>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</si>
  <si>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</si>
  <si>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</si>
  <si>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</si>
  <si>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</si>
  <si>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</si>
  <si>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</si>
  <si>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</si>
  <si>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</si>
  <si>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</si>
  <si>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</si>
  <si>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</si>
  <si>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</si>
  <si>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</si>
  <si>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</si>
  <si>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 xml:space="preserve">DISPOSITIVO DE PROTEÇÃO CONTRA SURTO - 175V - 40KA </t>
  </si>
  <si>
    <t xml:space="preserve">COMPOSIÇÃO </t>
  </si>
  <si>
    <t>CABO DE COBRE NU 50 MM2 MEIO-DURO</t>
  </si>
  <si>
    <t xml:space="preserve">ADMINISTRAÇÃO DE OBRA </t>
  </si>
  <si>
    <t>ABRACADEIRA EM ACO PARA AMARRACAO DE ELETRODUTOS, TIPO D, COM 1/2" E PARAFUSO DE FIXACAO</t>
  </si>
  <si>
    <t>ACO CA-25, 6,3 MM OU 8,0 MM, VERGALHAO</t>
  </si>
  <si>
    <t>ACO CA-50, 10,0 MM, VERGALHAO</t>
  </si>
  <si>
    <t>ACO CA-50, 12,5 MM OU 16,0 MM, VERGALHAO</t>
  </si>
  <si>
    <t>ACO CA-50, 20,0 MM OU 25,0 MM, VERGALHAO</t>
  </si>
  <si>
    <t>ACO CA-50, 8,0 MM, VERGALHAO</t>
  </si>
  <si>
    <t>ACO CA-60, 4,2 MM, OU 5,0 MM, OU 6,0 MM, OU 7,0 MM, VERGALHAO</t>
  </si>
  <si>
    <t>ADAPTADOR PVC SOLDAVEL CURTO COM BOLSA E ROSCA, 25 MM X 3/4", PARA AGUA FRIA</t>
  </si>
  <si>
    <t>ADAPTADOR PVC SOLDAVEL CURTO COM BOLSA E ROSCA, 50 MM X1 1/2", PARA AGUA FRIA</t>
  </si>
  <si>
    <t>ADAPTADOR PVC SOLDAVEL CURTO COM BOLSA E ROSCA, 60 MM X 2", PARA AGUA FRIA</t>
  </si>
  <si>
    <t>ADESIVO PLASTICO PARA PVC, FRASCO COM 175 GR</t>
  </si>
  <si>
    <t>ADITIVO ADESIVO LIQUIDO PARA ARGAMASSAS DE REVESTIMENTOS CIMENTICIOS</t>
  </si>
  <si>
    <t>ADITIVO IMPERMEABILIZANTE DE PEGA NORMAL PARA ARGAMASSAS E CONCRETOS SEM ARMACAO, LIQUIDO E ISENTO DE CLORETOS</t>
  </si>
  <si>
    <t>AJUDANTE DE ELETRICISTA</t>
  </si>
  <si>
    <t>AJUDANTE ESPECIALIZADO</t>
  </si>
  <si>
    <t>ALIMENTACAO - HORISTA (COLETADO CAIXA)</t>
  </si>
  <si>
    <t>ALISADORA DE CONCRETO COM MOTOR A GASOLINA DE 5,5 HP, PESO COM MOTOR DE 78 KG, 4 PAS</t>
  </si>
  <si>
    <t>ANEL BORRACHA PARA TUBO ESGOTO PREDIAL, DN 100 MM (NBR 5688)</t>
  </si>
  <si>
    <t>ANEL BORRACHA, DN 50 MM, PARA TUBO SERIE REFORCADA ESGOTO PREDIAL</t>
  </si>
  <si>
    <t>APARELHO CORTE OXI-ACETILENO PARA SOLDA E CORTE CONTENDO MACARICO SOLDA, BICO DE CORTE, CILINDROS, REGULADORES, MANGUEIRAS E CARRINHO</t>
  </si>
  <si>
    <t>ARAME GALVANIZADO 6 BWG, D = 5,16 MM (0,157 KG/M), OU 8 BWG, D = 4,19 MM (0,101 KG/M), OU 10 BWG, D = 3,40 MM (0,0713 KG/M)</t>
  </si>
  <si>
    <t>AREIA GROSSA - POSTO JAZIDA/FORNECEDOR (RETIRADO NA JAZIDA, SEM TRANSPORTE)</t>
  </si>
  <si>
    <t>AREIA MEDIA - POSTO JAZIDA/FORNECEDOR (RETIRADO NA JAZIDA, SEM TRANSPORTE)</t>
  </si>
  <si>
    <t>ARGAMASSA COLANTE AC I PARA CERAMICAS</t>
  </si>
  <si>
    <t>ARGAMASSA INDUSTRIALIZADA MULTIUSO, PARA REVESTIMENTO INTERNO E EXTERNO E ASSENTAMENTO DE BLOCOS DIVERSOS</t>
  </si>
  <si>
    <t>ARGAMASSA INDUSTRIALIZADA PARA CHAPISCO ROLADO</t>
  </si>
  <si>
    <t>ARGAMASSA PRONTA PARA CONTRAPISO</t>
  </si>
  <si>
    <t>ARGILA, ARGILA VERMELHA OU ARGILA ARENOSA (RETIRADA NA JAZIDA, SEM TRANSPORTE)</t>
  </si>
  <si>
    <t>AUXILIAR DE SERVICOS GERAIS</t>
  </si>
  <si>
    <t>BARRA DE APOIO RETA, EM ACO INOX POLIDO, COMPRIMENTO 60CM, DIAMETRO MINIMO 3 CM</t>
  </si>
  <si>
    <t>BARRA DE APOIO RETA, EM ACO INOX POLIDO, COMPRIMENTO 90 CM, DIAMETRO MINIMO 3 CM</t>
  </si>
  <si>
    <t>BETONEIRA CAPACIDADE NOMINAL 400 L, CAPACIDADE DE MISTURA  280 L, MOTOR ELETRICO TRIFASICO 220/380 V POTENCIA 2 CV, SEM CARREGADOR</t>
  </si>
  <si>
    <t>BETONEIRA, CAPACIDADE NOMINAL 600 L, CAPACIDADE DE MISTURA  360L, MOTOR ELETRICO TRIFASICO 220/380V, POTENCIA 4CV, EXCLUSO CARREGADOR</t>
  </si>
  <si>
    <t>BLOCO ESTRUTURAL CERAMICO 14 X 19 X 29 CM, 6,0 MPA (NBR 15270)</t>
  </si>
  <si>
    <t>BUCHA DE NYLON SEM ABA S10, COM PARAFUSO DE 6,10 X 65 MM EM ACO ZINCADO COM ROSCA SOBERBA, CABECA CHATA E FENDA PHILLIPS</t>
  </si>
  <si>
    <t>BUCHA DE NYLON, DIAMETRO DO FURO 8 MM, COMPRIMENTO 40 MM, COM PARAFUSO DE ROSCA SOBERBA, CABECA CHATA, FENDA SIMPLES, 4,8 X 50 MM</t>
  </si>
  <si>
    <t>CABO DE ACO GALVANIZADO, DIAMETRO 9,53 MM (3/8"), COM ALMA DE FIBRA 6 X 25 F</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</si>
  <si>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</si>
  <si>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</si>
  <si>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</si>
  <si>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50 MM2</t>
  </si>
  <si>
    <t>CABO DE COBRE, FLEXIVEL, CLASSE 4 OU 5, ISOLACAO EM PVC/A, ANTICHAMA BWF-B, 1 CONDUTOR, 450/750 V, SECAO NOMINAL 2,5 MM2</t>
  </si>
  <si>
    <t>CABO DE COBRE, FLEXIVEL, CLASSE 4 OU 5, ISOLACAO EM PVC/A, ANTICHAMA BWF-B, 1 CONDUTOR, 450/750 V, SECAO NOMINAL 4 MM2</t>
  </si>
  <si>
    <t>CACAMBA METALICA BASCULANTE COM CAPACIDADE DE 6 M3 (INCLUI MONTAGEM, NAO INCLUI CAMINHAO)</t>
  </si>
  <si>
    <t>CAIXA DE LUZ "4 X 2" EM ACO ESMALTADA</t>
  </si>
  <si>
    <t>CAIXA DE PASSAGEM, EM PVC, DE 4" X 2", PARA ELETRODUTO FLEXIVEL CORRUGADO</t>
  </si>
  <si>
    <t>CAIXA OCTOGONAL DE FUNDO MOVEL, EM PVC, DE 3" X 3", PARA ELETRODUTO FLEXIVEL CORRUGADO</t>
  </si>
  <si>
    <t>CAL HIDRATADA CH-I PARA ARGAMASSAS</t>
  </si>
  <si>
    <t>CALHA QUADRADA DE CHAPA DE ACO GALVANIZADA NUM 24, CORTE 50 CM</t>
  </si>
  <si>
    <t>CAMINHAO TOCO, PESO BRUTO TOTAL 16000 KG, CARGA UTIL MAXIMA 11130 KG, DISTANCIA ENTRE EIXOS 5,36 M, POTENCIA 185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</si>
  <si>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</si>
  <si>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15935 KG, DISTANCIA ENTRE EIXOS 4,80 M, POTENCIA 230 CV (INCLUI CABINE E CHASSI, NAO INCLUI CARROCERIA)</t>
  </si>
  <si>
    <t>CANALETA ESTRUTURAL CERAMICA, 14 X 19 X 29 CM, 6,0 MPA (NBR 15270)</t>
  </si>
  <si>
    <t>CANTONEIRA ACO ABAS IGUAIS (QUALQUER BITOLA), ESPESSURA ENTRE 1/8" E 1/4"</t>
  </si>
  <si>
    <t>CHUVEIRO COMUM EM PLASTICO BRANCO, COM CANO, 3 TEMPERATURAS, 5500 W (110/220 V)</t>
  </si>
  <si>
    <t>CIMENTO BRANCO</t>
  </si>
  <si>
    <t>CIMENTO PORTLAND COMPOSTO CP II-32</t>
  </si>
  <si>
    <t>COMPACTADOR DE SOLO TIPO PLACA VIBRATORIA REVERSIVEL, A GASOLINA, 4 TEMPOS, PESO DE 125 A 150 KG, FORCA CENTRIFUGA DE 2500 A 2800 KGF, LARG. TRABALHO DE 400 A 450 MM, FREQ VIBRACAO DE 4300 A 4500 RPM, VELOC. TRABALHO DE 15 A 20 M/MIN, POT. DE 5,5 A 6,0 HP</t>
  </si>
  <si>
    <t>COMPACTADOR DE SOLOS DE PERCURSAO (SOQUETE) COM MOTOR A GASOLINA 4 TEMPOS DE 4 HP (4 CV)</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</si>
  <si>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</si>
  <si>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</si>
  <si>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</si>
  <si>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</si>
  <si>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C30, COM BRITA 0 E 1, SLUMP = 100 +/- 20 MM, INCLUI SERVICO DE BOMBEAMENTO (NBR 8953)</t>
  </si>
  <si>
    <t>CONJUNTO ARRUELAS DE VEDACAO 5/16" PARA TELHA FIBROCIMENTO (UMA ARRUELA METALICA E UMA ARRUELA PVC - CONICAS)</t>
  </si>
  <si>
    <t>CONJUNTO DE LIGACAO PARA BACIA SANITARIA AJUSTAVEL, EM PLASTICO BRANCO, COM TUBO, CANOPLA E ESPUDE</t>
  </si>
  <si>
    <t>COTOVELO 90 GRAUS DE FERRO GALVANIZADO, COM ROSCA BSP, DE 3/4"</t>
  </si>
  <si>
    <t>CUMEEIRA UNIVERSAL PARA TELHA ONDULADA DE FIBROCIMENTO, E = 6 MM, ABA 210 MM, COMPRIMENTO 1100 MM (SEM AMIANTO)</t>
  </si>
  <si>
    <t>CURVA DE PVC 90 GRAUS, SOLDAVEL, 60 MM, PARA AGUA FRIA PREDIAL (NBR 5648)</t>
  </si>
  <si>
    <t>CURVA PVC CURTA 90 GRAUS, DN 40 MM, PARA ESGOTO PREDIAL</t>
  </si>
  <si>
    <t>DESMOLDANTE PROTETOR PARA FORMAS DE MADEIRA, DE BASE OLEOSA EMULSIONADA EM AGUA</t>
  </si>
  <si>
    <t>DISJUNTOR TIPO DIN/IEC, BIPOLAR DE 6 ATE 32A</t>
  </si>
  <si>
    <t>DISJUNTOR TIPO DIN/IEC, MONOPOLAR DE 6  ATE  32A</t>
  </si>
  <si>
    <t>DISJUNTOR TIPO DIN/IEC, TRIPOLAR DE 10 ATE 50A</t>
  </si>
  <si>
    <t>ELETRICISTA</t>
  </si>
  <si>
    <t>ELETRODO REVESTIDO AWS - E7018, DIAMETRO IGUAL A 4,00 MM</t>
  </si>
  <si>
    <t>ELETRODUTO DE PVC RIGIDO SOLDAVEL, CLASSE B, DE 40 MM</t>
  </si>
  <si>
    <t>ELETRODUTO PVC FLEXIVEL CORRUGADO, COR AMARELA, DE 25 MM</t>
  </si>
  <si>
    <t>ELETRODUTO PVC FLEXIVEL CORRUGADO, COR AMARELA, DE 32 MM</t>
  </si>
  <si>
    <t>ELETRODUTO/DUTO PEAD FLEXIVEL PAREDE SIMPLES, CORRUGACAO HELICOIDAL, COR PRETA, SEM ROSCA, DE 3",  PARA CABEAMENTO SUBTERRANEO (NBR 15715)</t>
  </si>
  <si>
    <t>ENCARREGADO GERAL DE OBRAS</t>
  </si>
  <si>
    <t>ENERGIA ELETRICA ATE 2000 KWH INDUSTRIAL, SEM DEMANDA</t>
  </si>
  <si>
    <t>ENGATE / RABICHO FLEXIVEL INOX 1/2 " X 30 CM</t>
  </si>
  <si>
    <t>ENGENHEIRO CIVIL DE OBRA JUNIOR</t>
  </si>
  <si>
    <t>ENGENHEIRO CIVIL DE OBRA PLENO</t>
  </si>
  <si>
    <t>EPI - FAMILIA CARPINTEIRO DE FORMAS - HORISTA (ENCARGOS COMPLEMENTARES - COLETADO CAIXA)</t>
  </si>
  <si>
    <t>EPI - FAMILIA ELETRICISTA - HORISTA (ENCARGOS COMPLEMENTARES - COLETADO CAIXA)</t>
  </si>
  <si>
    <t>EPI - FAMILIA ENCANADOR - HORISTA (ENCARGOS COMPLEMENTARES - COLETADO CAIXA)</t>
  </si>
  <si>
    <t>EPI - FAMILIA ENCARREGADO GERAL - HORISTA (ENCARGOS COMPLEMENTARES - COLETADO CAIXA)</t>
  </si>
  <si>
    <t>EPI - FAMILIA ENGENHEIRO CIVIL - HORISTA (ENCARGOS COMPLEMENTARES - COLETADO CAIXA)</t>
  </si>
  <si>
    <t>EPI - FAMILIA OPERADOR ESCAVADEIRA - HORISTA (ENCARGOS COMPLEMENTARES - COLETADO CAIXA)</t>
  </si>
  <si>
    <t>EPI - FAMILIA PEDREIRO - HORISTA (ENCARGOS COMPLEMENTARES - COLETADO CAIXA)</t>
  </si>
  <si>
    <t>EPI - FAMILIA PINTOR - HORISTA (ENCARGOS COMPLEMENTARES - COLETADO CAIXA)</t>
  </si>
  <si>
    <t>EPI - FAMILIA SERVENTE - HORISTA (ENCARGOS COMPLEMENTARES - COLETADO CAIXA)</t>
  </si>
  <si>
    <t>EPI - FAMILIA SOLDADOR - HORISTA (ENCARGOS COMPLEMENTARES - COLETADO CAIXA)</t>
  </si>
  <si>
    <t>EPI - FAMILIA TOPOGRAFO - HORISTA (ENCARGOS COMPLEMENTARES - COLETADO CAIXA)</t>
  </si>
  <si>
    <t>ESCAVADEIRA HIDRAULICA SOBRE ESTEIRAS, CACAMBA 0,80M3, PESO OPERACIONAL 17T, POTENCIA BRUTA 111HP</t>
  </si>
  <si>
    <t>ESPACADOR / DISTANCIADOR CIRCULAR COM ENTRADA LATERAL, EM PLASTICO, PARA VERGALHAO *4,2 A 12,5* MM, COBRIMENTO 20 MM</t>
  </si>
  <si>
    <t>ESPELHO / PLACA DE 3 POSTOS 4" X 2", PARA INSTALACAO DE TOMADAS E INTERRUPTORES</t>
  </si>
  <si>
    <t>EXAMES - HORISTA (COLETADO CAIXA)</t>
  </si>
  <si>
    <t>EXTINTOR DE INCENDIO PORTATIL COM CARGA DE AGUA PRESSURIZADA DE 10 L, CLASSE A</t>
  </si>
  <si>
    <t>FERRAMENTAS - FAMILIA CARPINTEIRO DE FORMAS - HORISTA (ENCARGOS COMPLEMENTARES - COLETADO CAIXA)</t>
  </si>
  <si>
    <t>FERRAMENTAS - FAMILIA ELETRICISTA - HORISTA (ENCARGOS COMPLEMENTARES - COLETADO CAIXA)</t>
  </si>
  <si>
    <t>FERRAMENTAS - FAMILIA ENCANADOR - HORISTA (ENCARGOS COMPLEMENTARES - COLETADO CAIXA)</t>
  </si>
  <si>
    <t>FERRAMENTAS - FAMILIA ENCARREGADO GERAL - HORISTA (ENCARGOS COMPLEMENTARES - COLETADO CAIXA)</t>
  </si>
  <si>
    <t>FERRAMENTAS - FAMILIA ENGENHEIRO CIVIL - HORISTA (ENCARGOS COMPLEMENTARES - COLETADO CAIXA)</t>
  </si>
  <si>
    <t>FERRAMENTAS - FAMILIA OPERADOR ESCAVADEIRA - HORISTA (ENCARGOS COMPLEMENTARES - COLETADO CAIXA)</t>
  </si>
  <si>
    <t>FERRAMENTAS - FAMILIA PEDREIRO - HORISTA (ENCARGOS COMPLEMENTARES - COLETADO CAIXA)</t>
  </si>
  <si>
    <t>FERRAMENTAS - FAMILIA PINTOR - HORISTA (ENCARGOS COMPLEMENTARES - COLETADO CAIXA)</t>
  </si>
  <si>
    <t>FERRAMENTAS - FAMILIA SERVENTE - HORISTA (ENCARGOS COMPLEMENTARES - COLETADO CAIXA)</t>
  </si>
  <si>
    <t>FERRAMENTAS - FAMILIA SOLDADOR - HORISTA (ENCARGOS COMPLEMENTARES - COLETADO CAIXA)</t>
  </si>
  <si>
    <t>FERRAMENTAS - FAMILIA TOPOGRAFO - HORISTA (ENCARGOS COMPLEMENTARES - COLETADO CAIXA)</t>
  </si>
  <si>
    <t>FIBRA DE ACO PARA REFORCO DO CONCRETO, SOLTA, TIPO A-I, FATOR DE FORMA *50* L / D, COMPRIMENTO DE *30* MM E RESISTENCIA A TRACAO DO ACO MAIOR 1000 MPA</t>
  </si>
  <si>
    <t>FITA CREPE ROLO DE 25 MM X 50 M</t>
  </si>
  <si>
    <t>FITA ISOLANTE ADESIVA ANTICHAMA, USO ATE 750 V, EM ROLO DE 19 MM X 5 M</t>
  </si>
  <si>
    <t>FITA VEDA ROSCA EM ROLOS DE 18 MM X 10 M (L X C)</t>
  </si>
  <si>
    <t>FITA VEDA ROSCA EM ROLOS DE 18 MM X 50 M (L X C)</t>
  </si>
  <si>
    <t>FORRO DE PVC LISO, BRANCO, REGUA DE 20 CM, ESPESSURA DE 8 MM A 10 MM, COMPRIMENTO 6 M (SEM COLOCACAO)</t>
  </si>
  <si>
    <t>FUNDO ANTICORROSIVO PARA METAIS FERROSOS (ZARCAO)</t>
  </si>
  <si>
    <t>GASOLINA COMUM</t>
  </si>
  <si>
    <t>GRANILHA/ GRANA/ PEDRISCO OU AGREGADO EM MARMORE/ GRANITO/ QUARTZO E CALCARIO, PRETO, CINZA, PALHA OU BRANCO</t>
  </si>
  <si>
    <t>GUINCHO ELETRICO DE COLUNA, CAPACIDADE 400 KG, COM MOTO FREIO, MOTOR TRIFASICO DE 1,25 CV</t>
  </si>
  <si>
    <t>INTERRUPTOR SIMPLES 10A, 250V (APENAS MODULO)</t>
  </si>
  <si>
    <t>JANELA BASCULANTE, ACO, COM BATENTE/REQUADRO, 60 X 60 CM (SEM VIDROS)</t>
  </si>
  <si>
    <t>JOELHO PVC,  SOLDAVEL COM ROSCA, 90 GRAUS, 25 MM X 3/4", PARA AGUA FRIA PREDIAL</t>
  </si>
  <si>
    <t>JOELHO PVC, SOLDAVEL, BB, 45 GRAUS, DN 40 MM, PARA ESGOTO PREDIAL</t>
  </si>
  <si>
    <t>JOELHO PVC, SOLDAVEL, COM BUCHA DE LATAO, 90 GRAUS, 25 MM X 1/2", PARA AGUA FRIA PREDIAL</t>
  </si>
  <si>
    <t>JOELHO PVC, SOLDAVEL, PB, 45 GRAUS, DN 100 MM, PARA ESGOTO PREDIAL</t>
  </si>
  <si>
    <t>JOELHO PVC, SOLDAVEL, PB, 45 GRAUS, DN 50 MM, PARA ESGOTO PREDIAL</t>
  </si>
  <si>
    <t>JOELHO PVC, SOLDAVEL, PB, 45 GRAUS, DN 75 MM, PARA ESGOTO PREDIAL</t>
  </si>
  <si>
    <t>JOELHO PVC, SOLDAVEL, PB, 90 GRAUS, DN 100 MM, PARA ESGOTO PREDIAL</t>
  </si>
  <si>
    <t>JOELHO PVC, SOLDAVEL, PB, 90 GRAUS, DN 50 MM, PARA ESGOTO PREDIAL</t>
  </si>
  <si>
    <t>JOELHO PVC, SOLDAVEL, 90 GRAUS, 25 MM, PARA AGUA FRIA PREDIAL</t>
  </si>
  <si>
    <t>JOELHO PVC, SOLDAVEL, 90 GRAUS, 50 MM, PARA AGUA FRIA PREDIAL</t>
  </si>
  <si>
    <t>JOELHO PVC, SOLDAVEL, 90 GRAUS, 60 MM, PARA AGUA FRIA PREDIAL</t>
  </si>
  <si>
    <t>JOELHO 90 GRAUS, ROSCA FEMEA TERMINAL, METALICO, PARA CONEXAO COM ANEL DESLIZANTE EM TUBO PEX, DN 20 MM X 3/4"</t>
  </si>
  <si>
    <t>JOELHO, PVC SOLDAVEL, 45 GRAUS, 25 MM, PARA AGUA FRIA PREDIAL</t>
  </si>
  <si>
    <t>JOELHO, PVC SOLDAVEL, 45 GRAUS, 32 MM, PARA AGUA FRIA PREDIAL</t>
  </si>
  <si>
    <t>JUNCAO SIMPLES, PVC, DN 50 X 50 MM, SERIE NORMAL PARA ESGOTO PREDIAL</t>
  </si>
  <si>
    <t>JUNCAO SIMPLES, PVC, 45 GRAUS, DN 100 X 100 MM, SERIE NORMAL PARA ESGOTO PREDIAL</t>
  </si>
  <si>
    <t>LIXA D'AGUA EM FOLHA, GRAO 100</t>
  </si>
  <si>
    <t>LIXA EM FOLHA PARA FERRO, NUMERO 150</t>
  </si>
  <si>
    <t>LUMINARIA DE EMERGENCIA 30 LEDS, POTENCIA 2 W, BATERIA DE LITIO, AUTONOMIA DE 6 HORAS</t>
  </si>
  <si>
    <t>LUVA DE REDUCAO DE FERRO GALVANIZADO, COM ROSCA BSP, DE 3/4" X 1/2"</t>
  </si>
  <si>
    <t>LUVA SOLDAVEL COM ROSCA, PVC, 25 MM X 3/4", PARA AGUA FRIA PREDIAL</t>
  </si>
  <si>
    <t>MANTA LIQUIDA DE BASE ASFALTICA MODIFICADA COM A ADICAO DE ELASTOMEROS DILUIDOS EM SOLVENTE ORGANICO, APLICACAO A FRIO (MEMBRANA IMPERMEABILIZANTE ASFASTICA)</t>
  </si>
  <si>
    <t>MAQUINA EXTRUSORA DE CONCRETO PARA GUIAS E SARJETAS, COM MOTOR A DIESEL DE 14 CV</t>
  </si>
  <si>
    <t>MARTELO DEMOLIDOR PNEUMATICO MANUAL, PESO  DE 28 KG, COM SILENCIADOR</t>
  </si>
  <si>
    <t>MEIO BLOCO ESTRUTURAL CERAMICO 14 X 19 X 14 CM, 6,0 MPA (NBR 15270)</t>
  </si>
  <si>
    <t>MINIESCAVADEIRA SOBRE ESTEIRAS, POTENCIA LIQUIDA DE *30* HP, PESO OPERACIONAL DE *3.500* KG</t>
  </si>
  <si>
    <t>MISTURADOR DE ARGAMASSA, EIXO HORIZONTAL, CAPACIDADE DE MISTURA 300 KG, MOTOR ELETRICO TRIFASICO 220/380 V, POTENCIA 5 CV</t>
  </si>
  <si>
    <t>MONTADOR DE MAQUINAS</t>
  </si>
  <si>
    <t>MOTONIVELADORA POTENCIA BASICA LIQUIDA (PRIMEIRA MARCHA) 125 HP , PESO BRUTO 13843 KG, LARGURA DA LAMINA DE 3,7 M</t>
  </si>
  <si>
    <t>MOTORISTA DE CAMINHAO</t>
  </si>
  <si>
    <t>MOTORISTA DE CAMINHAO-BASCULANTE</t>
  </si>
  <si>
    <t>MOTORISTA OPERADOR DE CAMINHAO COM MUNCK</t>
  </si>
  <si>
    <t>NIPLE DE FERRO GALVANIZADO, COM ROSCA BSP, DE 1/2"</t>
  </si>
  <si>
    <t>NIPLE DE FERRO GALVANIZADO, COM ROSCA BSP, DE 3/4"</t>
  </si>
  <si>
    <t>NIVELADOR</t>
  </si>
  <si>
    <t>OLEO DIESEL COMBUSTIVEL COMUM</t>
  </si>
  <si>
    <t>OPERADOR DE BETONEIRA ESTACIONARIA / MISTURADOR</t>
  </si>
  <si>
    <t>OPERADOR DE ESCAVADEIRA</t>
  </si>
  <si>
    <t>OPERADOR DE GUINCHO OU GUINCHEIRO</t>
  </si>
  <si>
    <t>OPERADOR DE GUINDASTE</t>
  </si>
  <si>
    <t>OPERADOR DE MAQUINAS E TRATORES DIVERSOS (TERRAPLANAGEM)</t>
  </si>
  <si>
    <t>OPERADOR DE MARTELETE OU MARTELETEIRO</t>
  </si>
  <si>
    <t>OPERADOR DE MOTONIVELADORA</t>
  </si>
  <si>
    <t>OPERADOR DE PA CARREGADEIRA</t>
  </si>
  <si>
    <t>OPERADOR DE ROLO COMPACTADOR</t>
  </si>
  <si>
    <t>OPERADOR DE TRATOR - EXCLUSIVE AGROPECUARIA</t>
  </si>
  <si>
    <t>OXIGENIO, RECARGA PARA CILINDRO DE CONJUNTO OXICORTE GRANDE</t>
  </si>
  <si>
    <t>PA CARREGADEIRA SOBRE RODAS, POTENCIA LIQUIDA 128 HP, CAPACIDADE DA CACAMBA DE 1,7 A 2,8 M3, PESO OPERACIONAL MAXIMO DE 11632 KG</t>
  </si>
  <si>
    <t>PARA-RAIOS TIPO FRANKLIN 350 MM, EM LATAO CROMADO, DUAS DESCIDAS, PARA PROTECAO DE EDIFICACOES CONTRA DESCARGAS ATMOSFERICAS</t>
  </si>
  <si>
    <t>PARAFUSO DE ACO TIPO CHUMBADOR PARABOLT, DIAMETRO 3/8", COMPRIMENTO 75 MM</t>
  </si>
  <si>
    <t>PARAFUSO DE ACO ZINCADO COM ROSCA SOBERBA, CABECA CHATA E FENDA SIMPLES, DIAMETRO 4,2 MM, COMPRIMENTO * 32 * MM</t>
  </si>
  <si>
    <t>PARAFUSO DE ACO ZINCADO COM ROSCA SOBERBA, CABECA CHATA E FENDA SIMPLES, DIAMETRO 4,8 MM, COMPRIMENTO 45 MM</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</si>
  <si>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</si>
  <si>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</si>
  <si>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ZINCADO ROSCA SOBERBA, CABECA SEXTAVADA, 5/16 " X 250 MM, PARA FIXACAO DE TELHA EM MADEIRA</t>
  </si>
  <si>
    <t>PARAFUSO ZINCADO, AUTOBROCANTE, FLANGEADO, 4,2 MM X 19 MM</t>
  </si>
  <si>
    <t>PARAFUSO, AUTO ATARRACHANTE, CABECA CHATA, FENDA SIMPLES, 1/4 (6,35 MM) X 25 MM</t>
  </si>
  <si>
    <t>PARAFUSO, COMUM, ASTM A307, SEXTAVADO, DIAMETRO 1/2" (12,7 MM), COMPRIMENTO 1" (25,4 MM)</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</si>
  <si>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</si>
  <si>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</si>
  <si>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</si>
  <si>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</si>
  <si>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PENDURAL OU PRESILHA REGULADORA, EM ACO GALVANIZADO, COM CORPO, MOLA E REBITE, PARA PERFIL TIPO CANALETA DE ESTRUTURA EM FORROS DRYWALL</t>
  </si>
  <si>
    <t>PERFIL "U" ENRIJECIDO DE ACO GALVANIZADO, DOBRADO, 150 X 60 X 20 MM, E = 3,00 MM OU 200 X 75 X 25 MM, E = 3,75 MM</t>
  </si>
  <si>
    <t>PERFIL CANALETA, FORMATO C, EM ACO ZINCADO, PARA ESTRUTURA FORRO DRYWALL, E = 0,5 MM, *46 X 18* (L X H), COMPRIMENTO 3 M</t>
  </si>
  <si>
    <t>PERFIL UDC ("U" DOBRADO DE CHAPA) SIMPLES DE ACO LAMINADO, GALVANIZADO, ASTM A36, 127 X 50 MM, E= 3 MM</t>
  </si>
  <si>
    <t>PERFURATRIZ HIDRAULICA COM TRADO CURTO ACOPLADO, PROFUNDIDADE MAXIMA DE 20 M, DIAMETRO MAXIMO DE 1500 MM, POTENCIA INSTALADA DE 137 HP, MESA ROTATIVA COM TORQUE MAXIMO DE 30 KNM (INCLUI MONTAGEM, NAO INCLUI CAMINHAO)</t>
  </si>
  <si>
    <t>PINO DE ACO COM FURO, HASTE = 27 MM (ACAO DIRETA)</t>
  </si>
  <si>
    <t>PISO TATIL DE ALERTA OU DIRECIONAL, DE BORRACHA, COLORIDO, 25 X 25 CM, E = 12 MM, PARA ARGAMASSA</t>
  </si>
  <si>
    <t>PREGO DE ACO POLIDO COM CABECA DUPLA 17 X 27 (2 1/2 X 11)</t>
  </si>
  <si>
    <t>PREGO DE ACO POLIDO COM CABECA 15 X 15 (1 1/4 X 13)</t>
  </si>
  <si>
    <t>PREGO DE ACO POLIDO COM CABECA 15 X 18 (1 1/2 X 13)</t>
  </si>
  <si>
    <t>PREGO DE ACO POLIDO COM CABECA 17 X 21 (2 X 11)</t>
  </si>
  <si>
    <t>PREGO DE ACO POLIDO COM CABECA 17 X 24 (2 1/4 X 11)</t>
  </si>
  <si>
    <t>PREGO DE ACO POLIDO COM CABECA 18 X 27 (2 1/2 X 10)</t>
  </si>
  <si>
    <t>PROJETOR DE ARGAMASSA, CAPACIDADE DE PROJECAO 1,5 M3/H, ALCANCE DA PROJECAO 30 ATE 60 M, MOTOR ELETRICO TRIFASICO</t>
  </si>
  <si>
    <t>QUADRO DE DISTRIBUICAO COM BARRAMENTO TRIFASICO, DE EMBUTIR, EM CHAPA DE ACO GALVANIZADO, PARA 12 DISJUNTORES DIN, 100 A</t>
  </si>
  <si>
    <t>REBITE DE ALUMINIO VAZADO DE REPUXO, 3,2 X 8 MM (1KG = 1025 UNIDADES)</t>
  </si>
  <si>
    <t>REGISTRO GAVETA BRUTO EM LATAO FORJADO, BITOLA 1 1/2 " (REF 1509)</t>
  </si>
  <si>
    <t>REGISTRO GAVETA BRUTO EM LATAO FORJADO, BITOLA 2 " (REF 1509)</t>
  </si>
  <si>
    <t>REGISTRO GAVETA BRUTO EM LATAO FORJADO, BITOLA 3 " (REF 1509)</t>
  </si>
  <si>
    <t>REGISTRO GAVETA BRUTO EM LATAO FORJADO, BITOLA 3/4 " (REF 1509)</t>
  </si>
  <si>
    <t>REGISTRO GAVETA COM ACABAMENTO E CANOPLA CROMADOS, SIMPLES, BITOLA 3/4 " (REF 1509)</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</si>
  <si>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</si>
  <si>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88 HP, PESO OPERACIONAL MINIMO DE 6674 KG, CAPACIDADE DA CARREGADEIRA DE 1,00 M3 E DA  RETROESCAVADEIRA MINIMA DE 0,26 M3, PROFUNDIDADE DE ESCAVACAO MAXIMA DE 4,37 M</t>
  </si>
  <si>
    <t>REVESTIMENTO EM CERAMICA ESMALTADA EXTRA, PEI MENOR OU IGUAL A 3, FORMATO MENOR OU IGUAL A 2025 CM2</t>
  </si>
  <si>
    <t>RODAPE DE BORRACHA LISO, H = 70 MM, E = *2* MM, PARA ARGAMASSA, PRETO</t>
  </si>
  <si>
    <t>ROLO COMPACTADOR PE DE CARNEIRO VIBRATORIO, POTENCIA 80 HP, PESO OPERACIONAL SEM/COM LASTRO 7,4/8,8 T, LARGURA DE TRABALHO 1,68 M</t>
  </si>
  <si>
    <t>RUFO EXTERNO/INTERNO DE CHAPA DE ACO GALVANIZADA NUM 26, CORTE 33 CM</t>
  </si>
  <si>
    <t>SEGURO - HORISTA (COLETADO CAIXA)</t>
  </si>
  <si>
    <t>SELANTE ELASTICO MONOCOMPONENTE A BASE DE POLIURETANO (PU) PARA JUNTAS DIVERSAS</t>
  </si>
  <si>
    <t>SERRA CIRCULAR DE BANCADA COM MOTOR ELETRICO, POTENCIA DE *1600* W, PARA DISCO DE DIAMETRO DE 10" (250 MM)</t>
  </si>
  <si>
    <t>SERVENTE DE OBRAS</t>
  </si>
  <si>
    <t>SIFAO PLASTICO FLEXIVEL SAIDA VERTICAL PARA COLUNA LAVATORIO, 1 X 1.1/2 "</t>
  </si>
  <si>
    <t>SIFAO PLASTICO TIPO COPO PARA TANQUE, 1.1/4 X 1.1/2 "</t>
  </si>
  <si>
    <t>SILICONE ACETICO USO GERAL INCOLOR 280 G</t>
  </si>
  <si>
    <t>SOLDA EM BARRA DE ESTANHO-CHUMBO 50/50</t>
  </si>
  <si>
    <t>SOLDADOR</t>
  </si>
  <si>
    <t>SOLDADOR ELETRICO (PARA SOLDA A SER TESTADA COM RAIOS "X")</t>
  </si>
  <si>
    <t>SUPORTE DE FIXACAO PARA ESPELHO / PLACA 4" X 2", PARA 3 MODULOS, PARA INSTALACAO DE TOMADAS E INTERRUPTORES (SOMENTE SUPORTE)</t>
  </si>
  <si>
    <t>SUPORTE ISOLADOR REFORCADO DIAMETRO NOMINAL 5/16", COM ROSCA SOBERBA E BUCHA</t>
  </si>
  <si>
    <t>SUPORTE MAO-FRANCESA EM ACO, ABAS IGUAIS 40 CM, CAPACIDADE MINIMA 70 KG, BRANCO</t>
  </si>
  <si>
    <t>TANQUE DE ACO CARBONO NAO REVESTIDO, PARA TRANSPORTE DE AGUA COM CAPACIDADE DE 10 M3, COM BOMBA CENTRIFUGA POR TOMADA DE FORCA, VAZAO MAXIMA *75* M3/H (INCLUI MONTAGEM, NAO INCLUI CAMINHAO)</t>
  </si>
  <si>
    <t>TE DE REDUCAO, PVC, SOLDAVEL, 90 GRAUS, 32 MM X 25 MM, PARA AGUA FRIA PREDIAL</t>
  </si>
  <si>
    <t>TE DE REDUCAO, PVC, SOLDAVEL, 90 GRAUS, 75 MM X 50 MM, PARA AGUA FRIA PREDIAL</t>
  </si>
  <si>
    <t>TE SOLDAVEL, PVC, 90 GRAUS, 25 MM, PARA AGUA FRIA PREDIAL (NBR 5648)</t>
  </si>
  <si>
    <t>TE SOLDAVEL, PVC, 90 GRAUS,50 MM, PARA AGUA FRIA PREDIAL (NBR 5648)</t>
  </si>
  <si>
    <t>TELA DE ACO SOLDADA GALVANIZADA/ZINCADA PARA ALVENARIA, FIO  D = *1,20 A 1,70* MM, MALHA 15 X 15 MM, (C X L) *50 X 12* CM</t>
  </si>
  <si>
    <t>TELA DE ACO SOLDADA GALVANIZADA/ZINCADA PARA ALVENARIA, FIO D = *1,20 A 1,70* MM, MALHA 15 X 15 MM, (C X L) *50 X 7,5* CM</t>
  </si>
  <si>
    <t>TELA DE ACO SOLDADA NERVURADA, CA-60, Q-196, (3,11 KG/M2), DIAMETRO DO FIO = 5,0 MM, LARGURA = 2,45 M, ESPACAMENTO DA MALHA = 10 X 10 CM</t>
  </si>
  <si>
    <t>TELHA DE FIBROCIMENTO ONDULADA E = 6 MM, DE 2,44 X 1,10 M (SEM AMIANTO)</t>
  </si>
  <si>
    <t>TELHA TRAPEZOIDAL EM ACO ZINCADO, SEM PINTURA, ALTURA DE APROXIMADAMENTE 40 MM, ESPESSURA DE 0,50 MM E LARGURA UTIL DE 980 MM</t>
  </si>
  <si>
    <t>TERMINAL A COMPRESSAO EM COBRE ESTANHADO PARA CABO 2,5 MM2, 1 FURO E 1 COMPRESSAO, PARA PARAFUSO DE FIXACAO M5</t>
  </si>
  <si>
    <t>TERMINAL A COMPRESSAO EM COBRE ESTANHADO PARA CABO 4 MM2, 1 FURO E 1 COMPRESSAO, PARA PARAFUSO DE FIXACAO M5</t>
  </si>
  <si>
    <t>TINTA ACRILICA PREMIUM PARA PISO</t>
  </si>
  <si>
    <t>TINTA ESMALTE SINTETICO PREMIUM ACETINADO</t>
  </si>
  <si>
    <t>TOMADA 2P+T 10A, 250V  (APENAS MODULO)</t>
  </si>
  <si>
    <t>TOMADA 2P+T 20A, 250V  (APENAS MODULO)</t>
  </si>
  <si>
    <t>TRANSPORTE - HORISTA (COLETADO CAIXA)</t>
  </si>
  <si>
    <t>TRATOR DE ESTEIRAS, POTENCIA DE 100 HP, PESO OPERACIONAL DE 9,4 T, COM LAMINA COM CAPACIDADE DE 2,19 M3</t>
  </si>
  <si>
    <t>TUBO ACO GALVANIZADO COM COSTURA, CLASSE MEDIA, DN 3/4", E = *2,65* MM, PESO *1,58* KG/M (NBR 5580)</t>
  </si>
  <si>
    <t>TUBO PVC  SERIE NORMAL, DN 100 MM, PARA ESGOTO  PREDIAL (NBR 5688)</t>
  </si>
  <si>
    <t>TUBO PVC  SERIE NORMAL, DN 40 MM, PARA ESGOTO  PREDIAL (NBR 5688)</t>
  </si>
  <si>
    <t>TUBO PVC SERIE NORMAL, DN 50 MM, PARA ESGOTO PREDIAL (NBR 5688)</t>
  </si>
  <si>
    <t>TUBO PVC SERIE NORMAL, DN 75 MM, PARA ESGOTO PREDIAL (NBR 5688)</t>
  </si>
  <si>
    <t>TUBO PVC, SOLDAVEL, DN 25 MM, AGUA FRIA (NBR-5648)</t>
  </si>
  <si>
    <t>UNIAO DE FERRO GALVANIZADO, COM ROSCA BSP, COM ASSENTO PLANO, DE 3/4"</t>
  </si>
  <si>
    <t>VALVULA DE DESCARGA METALICA, BASE 1 1/2 " E ACABAMENTO METALICO CROMADO</t>
  </si>
  <si>
    <t>VALVULA EM PLASTICO BRANCO PARA TANQUE OU LAVATORIO 1 ", SEM UNHO E SEM LADRAO</t>
  </si>
  <si>
    <t>VALVULA EM PLASTICO CROMADO TIPO AMERICANA PARA PIA DE COZINHA 3.1/2 " X 1.1/2 ", SEM ADAPTADOR</t>
  </si>
  <si>
    <t>VIBRADOR DE IMERSAO, DIAMETRO DA PONTEIRA DE *45* MM, COM MOTOR ELETRICO TRIFASICO DE 2 HP (2 CV)</t>
  </si>
  <si>
    <t>VIGIA NOTURNO, HORA EFETIVAMENTE TRABALHADA DE 22 H AS 5 H (COM ADICIONAL NOTURNO)</t>
  </si>
  <si>
    <t>CORTE E DOBRA DE AÇO CA-50, DIÂMERO DE 32 MM, UTILIZADO EM ESTRUTURAS DIVERSAS, EXCETO LAJE. AF_10/2016</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</si>
  <si>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</si>
  <si>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</si>
  <si>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</si>
  <si>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</si>
  <si>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</si>
  <si>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</si>
  <si>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</si>
  <si>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</si>
  <si>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</si>
  <si>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</si>
  <si>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</si>
  <si>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</si>
  <si>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</si>
  <si>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</si>
  <si>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</si>
  <si>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</si>
  <si>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</si>
  <si>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</si>
  <si>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</si>
  <si>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</si>
  <si>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</si>
  <si>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</si>
  <si>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</si>
  <si>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</si>
  <si>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</si>
  <si>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</si>
  <si>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</si>
  <si>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</si>
  <si>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</si>
  <si>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</si>
  <si>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</si>
  <si>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</si>
  <si>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</si>
  <si>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</si>
  <si>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</si>
  <si>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</si>
  <si>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</si>
  <si>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</si>
  <si>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</si>
  <si>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</si>
  <si>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</si>
  <si>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</si>
  <si>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PLACA DE OBRA EM CHAPA DE AÇO GALVANIZADO</t>
  </si>
  <si>
    <t>CP-IP-01</t>
  </si>
  <si>
    <t>Total</t>
  </si>
  <si>
    <t>IMPERMEABILIZAÇÃO DE SUPERFÍCIE COM MEMBRANA À BASE DE POLIURETANO, 2 DEMÃOS. AF_06/2018</t>
  </si>
  <si>
    <t>IMPERMEABILIZAÇÃO DE SUPERFÍCIE COM MEMBRANA À BASE DE RESINA ACRÍLICA, 3 DEMÃOS. AF_06/2018</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</si>
  <si>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</si>
  <si>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</si>
  <si>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</si>
  <si>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</si>
  <si>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</si>
  <si>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</si>
  <si>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</si>
  <si>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</si>
  <si>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USINAGEM DE BRITA GRADUADA SIMPLES. AF_03/2020</t>
  </si>
  <si>
    <t>USINAGEM DE BRITA GRADUADA TRATADA COM CIMENTO. AF_03/2020</t>
  </si>
  <si>
    <t>USINAGEM DE CONCRETO PARA COMPACTAÇÃO COM ROLO. AF_03/2020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</si>
  <si>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</si>
  <si>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</si>
  <si>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</si>
  <si>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</si>
  <si>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</si>
  <si>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</si>
  <si>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</si>
  <si>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</si>
  <si>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ARGAMASSA TRAÇO 1:1,93 (EM VOLUME DE CIMENTO E AREIA MÉDIA ÚMIDA), FCK 20 MPA, PREPARO MECÂNICO COM MISTURADOR DUPLO HORIZONTAL DE ALTA TURBULÊNCIA. AF_03/2020</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</si>
  <si>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</si>
  <si>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</si>
  <si>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</si>
  <si>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</si>
  <si>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</si>
  <si>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</si>
  <si>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</si>
  <si>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</si>
  <si>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</si>
  <si>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</si>
  <si>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</si>
  <si>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</si>
  <si>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</si>
  <si>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</si>
  <si>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</si>
  <si>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</si>
  <si>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</si>
  <si>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</si>
  <si>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</si>
  <si>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</si>
  <si>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</si>
  <si>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</si>
  <si>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</si>
  <si>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</si>
  <si>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</si>
  <si>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</si>
  <si>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</si>
  <si>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</si>
  <si>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</si>
  <si>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</si>
  <si>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</si>
  <si>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</si>
  <si>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</si>
  <si>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</si>
  <si>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</si>
  <si>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</si>
  <si>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</si>
  <si>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</si>
  <si>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</si>
  <si>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</si>
  <si>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</si>
  <si>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</si>
  <si>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</si>
  <si>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</si>
  <si>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</si>
  <si>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</si>
  <si>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</si>
  <si>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</si>
  <si>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</si>
  <si>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</si>
  <si>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</si>
  <si>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</si>
  <si>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</si>
  <si>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</si>
  <si>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</si>
  <si>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</si>
  <si>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</si>
  <si>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</si>
  <si>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</si>
  <si>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</si>
  <si>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</si>
  <si>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</si>
  <si>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</si>
  <si>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</si>
  <si>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</si>
  <si>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</si>
  <si>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</si>
  <si>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</si>
  <si>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</si>
  <si>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</si>
  <si>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</si>
  <si>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</si>
  <si>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</si>
  <si>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</si>
  <si>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</si>
  <si>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</si>
  <si>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</si>
  <si>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</si>
  <si>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</si>
  <si>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</si>
  <si>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</si>
  <si>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</si>
  <si>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</si>
  <si>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</si>
  <si>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</si>
  <si>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</si>
  <si>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</si>
  <si>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</si>
  <si>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</si>
  <si>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</si>
  <si>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</si>
  <si>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</si>
  <si>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</si>
  <si>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</si>
  <si>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</si>
  <si>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</si>
  <si>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</si>
  <si>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</si>
  <si>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</si>
  <si>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</si>
  <si>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</si>
  <si>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</si>
  <si>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</si>
  <si>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</si>
  <si>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</si>
  <si>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</si>
  <si>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</si>
  <si>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</si>
  <si>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</si>
  <si>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</si>
  <si>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</si>
  <si>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</si>
  <si>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</si>
  <si>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</si>
  <si>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</si>
  <si>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</si>
  <si>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</si>
  <si>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</si>
  <si>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</si>
  <si>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</si>
  <si>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</si>
  <si>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</si>
  <si>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LOCAÇÃO COM CAVALETE COM ALTURA DE 1,00 M - 2 UTILIZAÇÕES. AF_10/2018</t>
  </si>
  <si>
    <t>LOCAÇÃO COM CAVALETE COM ALTURA DE 0,50 M - 2 UTILIZAÇÕES. AF_10/2018</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</si>
  <si>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</si>
  <si>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</si>
  <si>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</si>
  <si>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</si>
  <si>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</si>
  <si>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</si>
  <si>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</si>
  <si>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</si>
  <si>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</si>
  <si>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</si>
  <si>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</si>
  <si>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</si>
  <si>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</si>
  <si>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</si>
  <si>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</si>
  <si>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</si>
  <si>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VALOR TOTAL COM BDI</t>
  </si>
  <si>
    <t>ESTRUTURA DE MADEIRA PROVISÓRIA PARA SUPORTE DE CAIXA D ÁGUA ELEVADA DE 1000 LITROS. AF_05/2018_P</t>
  </si>
  <si>
    <t>ESTRUTURA DE MADEIRA PROVISÓRIA PARA SUPORTE DE CAIXA D ÁGUA ELEVADA DE 3000 LITROS. AF_05/2018_P</t>
  </si>
  <si>
    <t>EXECUÇÃO DE PAVIMENTO COM APLICAÇÃO DE PRÉ-MISTURADO A FRIO, CAMADA DE ROLAMENTO - EXCLUSIVE CARGA E TRANSPORTE. AF_11/2019</t>
  </si>
  <si>
    <t>EXECUÇÃO DE PAVIMENTO COM APLICAÇÃO DE PRÉ-MISTURADO A FRIO, CAMADA DE BINDER - EXCLUSIVE CARGA E TRANSPORTE. AF_11/2019</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</si>
  <si>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</si>
  <si>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</si>
  <si>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</si>
  <si>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</si>
  <si>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</si>
  <si>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</si>
  <si>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</si>
  <si>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</si>
  <si>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</si>
  <si>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</si>
  <si>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</si>
  <si>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</si>
  <si>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</si>
  <si>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</si>
  <si>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</si>
  <si>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</si>
  <si>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</si>
  <si>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</si>
  <si>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</si>
  <si>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</si>
  <si>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</si>
  <si>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</si>
  <si>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</si>
  <si>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</si>
  <si>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</si>
  <si>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</si>
  <si>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</si>
  <si>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</si>
  <si>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</si>
  <si>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</si>
  <si>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</si>
  <si>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</si>
  <si>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</si>
  <si>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</si>
  <si>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</si>
  <si>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</si>
  <si>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</si>
  <si>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</si>
  <si>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</si>
  <si>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</si>
  <si>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</si>
  <si>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</si>
  <si>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</si>
  <si>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</si>
  <si>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</si>
  <si>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</si>
  <si>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</si>
  <si>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</si>
  <si>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</si>
  <si>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</si>
  <si>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</si>
  <si>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</si>
  <si>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</si>
  <si>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</si>
  <si>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</si>
  <si>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</si>
  <si>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</si>
  <si>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</si>
  <si>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</si>
  <si>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</si>
  <si>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</si>
  <si>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</si>
  <si>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</si>
  <si>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</si>
  <si>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</si>
  <si>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</si>
  <si>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</si>
  <si>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</si>
  <si>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</si>
  <si>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</si>
  <si>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</si>
  <si>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</si>
  <si>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</si>
  <si>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</si>
  <si>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</si>
  <si>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</si>
  <si>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</si>
  <si>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</si>
  <si>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</si>
  <si>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</si>
  <si>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</si>
  <si>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</si>
  <si>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</si>
  <si>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</si>
  <si>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</si>
  <si>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</si>
  <si>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</si>
  <si>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</si>
  <si>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</si>
  <si>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</si>
  <si>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</si>
  <si>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</si>
  <si>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</si>
  <si>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</si>
  <si>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</si>
  <si>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</si>
  <si>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</si>
  <si>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</si>
  <si>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</si>
  <si>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</si>
  <si>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</si>
  <si>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</si>
  <si>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</si>
  <si>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</si>
  <si>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</si>
  <si>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</si>
  <si>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</si>
  <si>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</si>
  <si>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</si>
  <si>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</si>
  <si>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</si>
  <si>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</si>
  <si>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</si>
  <si>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</si>
  <si>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</si>
  <si>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</si>
  <si>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</si>
  <si>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</si>
  <si>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</si>
  <si>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</si>
  <si>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</si>
  <si>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</si>
  <si>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</si>
  <si>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</si>
  <si>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</si>
  <si>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</si>
  <si>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</si>
  <si>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</si>
  <si>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</si>
  <si>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</si>
  <si>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</si>
  <si>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ARAME RECOZIDO 16 BWG, D = 1,65 MM (0,016 KG/M) OU 18 BWG, D = 1,25 MM (0,01 KG/M)</t>
  </si>
  <si>
    <t>ARGAMASSA COLANTE TIPO AC III</t>
  </si>
  <si>
    <t>BLOCO DE VEDACAO DE CONCRETO 14 X 19 X 39 CM (CLASSE C - NBR 6136)</t>
  </si>
  <si>
    <t>BLOCO DE VEDACAO DE CONCRETO, 9 X 19 X 39 CM (CLASSE C - NBR 6136)</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</si>
  <si>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</si>
  <si>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</si>
  <si>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</si>
  <si>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</si>
  <si>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</si>
  <si>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</si>
  <si>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</si>
  <si>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</si>
  <si>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</si>
  <si>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</si>
  <si>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</si>
  <si>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</si>
  <si>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</si>
  <si>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</si>
  <si>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</si>
  <si>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</si>
  <si>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</si>
  <si>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</si>
  <si>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</si>
  <si>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</si>
  <si>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</si>
  <si>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</si>
  <si>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</si>
  <si>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</si>
  <si>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</si>
  <si>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</si>
  <si>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</si>
  <si>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</si>
  <si>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</si>
  <si>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</si>
  <si>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</si>
  <si>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</si>
  <si>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</si>
  <si>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</si>
  <si>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</si>
  <si>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</si>
  <si>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</si>
  <si>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</si>
  <si>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</si>
  <si>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</si>
  <si>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</si>
  <si>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</si>
  <si>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</si>
  <si>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</si>
  <si>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</si>
  <si>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</si>
  <si>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</si>
  <si>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</si>
  <si>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</si>
  <si>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</si>
  <si>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</si>
  <si>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</si>
  <si>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</si>
  <si>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</si>
  <si>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</si>
  <si>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</si>
  <si>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</si>
  <si>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</si>
  <si>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</si>
  <si>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</si>
  <si>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</si>
  <si>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</si>
  <si>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</si>
  <si>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</si>
  <si>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</si>
  <si>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</si>
  <si>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</si>
  <si>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</si>
  <si>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</si>
  <si>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</si>
  <si>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</si>
  <si>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</si>
  <si>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</si>
  <si>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</si>
  <si>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</si>
  <si>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</si>
  <si>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</si>
  <si>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</si>
  <si>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</si>
  <si>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</si>
  <si>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</si>
  <si>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</si>
  <si>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</si>
  <si>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</si>
  <si>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</si>
  <si>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</si>
  <si>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</si>
  <si>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</si>
  <si>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</si>
  <si>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INSTALAÇÃO DE SINALIZADOR NOTURNO LED. AF_11/2017</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</si>
  <si>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</si>
  <si>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</si>
  <si>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</si>
  <si>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</si>
  <si>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</si>
  <si>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</si>
  <si>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</si>
  <si>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</si>
  <si>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</si>
  <si>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</si>
  <si>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</si>
  <si>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</si>
  <si>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</si>
  <si>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</si>
  <si>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</si>
  <si>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</si>
  <si>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</si>
  <si>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</si>
  <si>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</si>
  <si>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</si>
  <si>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</si>
  <si>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</si>
  <si>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</si>
  <si>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</si>
  <si>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</si>
  <si>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</si>
  <si>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</si>
  <si>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</si>
  <si>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</si>
  <si>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</si>
  <si>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</si>
  <si>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</si>
  <si>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</si>
  <si>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</si>
  <si>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</si>
  <si>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</si>
  <si>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</si>
  <si>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</si>
  <si>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</si>
  <si>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</si>
  <si>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</si>
  <si>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</si>
  <si>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</si>
  <si>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</si>
  <si>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</si>
  <si>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</si>
  <si>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</si>
  <si>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</si>
  <si>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</si>
  <si>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</si>
  <si>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</si>
  <si>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</si>
  <si>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</si>
  <si>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</si>
  <si>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</si>
  <si>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</si>
  <si>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</si>
  <si>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</si>
  <si>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</si>
  <si>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</si>
  <si>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</si>
  <si>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</si>
  <si>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</si>
  <si>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</si>
  <si>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</si>
  <si>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</si>
  <si>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</si>
  <si>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</si>
  <si>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</si>
  <si>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</si>
  <si>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</si>
  <si>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</si>
  <si>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</si>
  <si>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</si>
  <si>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</si>
  <si>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</si>
  <si>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</si>
  <si>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</si>
  <si>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</si>
  <si>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</si>
  <si>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</si>
  <si>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</si>
  <si>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</si>
  <si>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</si>
  <si>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</si>
  <si>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</si>
  <si>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</si>
  <si>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</si>
  <si>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</si>
  <si>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</si>
  <si>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</si>
  <si>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</si>
  <si>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</si>
  <si>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</si>
  <si>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</si>
  <si>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</si>
  <si>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</si>
  <si>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</si>
  <si>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</si>
  <si>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</si>
  <si>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</si>
  <si>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</si>
  <si>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</si>
  <si>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</si>
  <si>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</si>
  <si>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</si>
  <si>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</si>
  <si>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</si>
  <si>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</si>
  <si>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</si>
  <si>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</si>
  <si>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</si>
  <si>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</si>
  <si>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</si>
  <si>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</si>
  <si>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</si>
  <si>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</si>
  <si>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</si>
  <si>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</si>
  <si>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</si>
  <si>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</si>
  <si>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</si>
  <si>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</si>
  <si>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</si>
  <si>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</si>
  <si>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</si>
  <si>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</si>
  <si>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</si>
  <si>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</si>
  <si>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</si>
  <si>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</si>
  <si>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</si>
  <si>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</si>
  <si>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</si>
  <si>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REJUNTE CIMENTICIO, QUALQUER COR</t>
  </si>
  <si>
    <t>REJUNTE EPOXI, QUALQUER COR</t>
  </si>
  <si>
    <t>TIJOLO CERAMICO MACICO COMUM *5 X 10 X 20* CM (L X A X C)</t>
  </si>
  <si>
    <t>ACABAMENTO DE BEIRAL METÁLICO HORIZONTAL L=20CM, COM PINTURA, FORNECIMENTO E INSTALAÇÃO</t>
  </si>
  <si>
    <t>CP-ESQ-04</t>
  </si>
  <si>
    <t>PORTA DE FERRO, DE ABRIR, TIPO CHAPA CORRUGADA, COM GUARNICOES E FECHADURA, FORNECIMENTO E INSTALAÇÃO (0,80 X 2,10)M</t>
  </si>
  <si>
    <t>PORTA DE FERRO, DE ABRIR, TIPO CHAPA CORRUGADA, COM GUARNICOES E FECHADURA - 0,80 X 2,10 M</t>
  </si>
  <si>
    <t>CP-REV-01</t>
  </si>
  <si>
    <t>CP-PIN-01</t>
  </si>
  <si>
    <t>CP-PIN-02</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</si>
  <si>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</si>
  <si>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</si>
  <si>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</si>
  <si>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</si>
  <si>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</si>
  <si>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</si>
  <si>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</si>
  <si>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</si>
  <si>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</si>
  <si>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</si>
  <si>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</si>
  <si>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</si>
  <si>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</si>
  <si>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</si>
  <si>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</si>
  <si>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</si>
  <si>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</si>
  <si>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</si>
  <si>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</si>
  <si>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</si>
  <si>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</si>
  <si>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</si>
  <si>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</si>
  <si>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</si>
  <si>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</si>
  <si>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</si>
  <si>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</si>
  <si>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</si>
  <si>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</si>
  <si>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</si>
  <si>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</si>
  <si>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</si>
  <si>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</si>
  <si>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</si>
  <si>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</si>
  <si>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</si>
  <si>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</si>
  <si>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</si>
  <si>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</si>
  <si>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</si>
  <si>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EXECUÇÃO DE PAVIMENTO EM PEDRAS POLIÉDRICAS, REJUNTAMENTO COM PEDRISCO E EMULSÃO ASFÁLTICA. AF_05/2020_P</t>
  </si>
  <si>
    <t>J1</t>
  </si>
  <si>
    <t>J2</t>
  </si>
  <si>
    <t>J5</t>
  </si>
  <si>
    <t>J3</t>
  </si>
  <si>
    <t>J4</t>
  </si>
  <si>
    <t>J6</t>
  </si>
  <si>
    <t>ESQUADRIAS</t>
  </si>
  <si>
    <t>CP-ESQ-01</t>
  </si>
  <si>
    <t>CP-ESQ-02</t>
  </si>
  <si>
    <t>PORTA DE FERRO, DE ABRIR, TIPO CHAPA CORRUGADA, COM GUARNICOES E FECHADURA, FORNECIMENTO E INSTALAÇÃO (0,60 X 2,10)M</t>
  </si>
  <si>
    <t>!EM PROCESSO DE DESATIVACAO! HASTE DE ATERRAMENTO EM ACO COM 3,00 M DE COMPRIMENTO E DN = 5/8", REVESTIDA COM BAIXA CAMADA DE COBRE, SEM CONECTOR</t>
  </si>
  <si>
    <t>P1</t>
  </si>
  <si>
    <t>P2</t>
  </si>
  <si>
    <t>P3</t>
  </si>
  <si>
    <t>Muro - Vista 1</t>
  </si>
  <si>
    <t>Muro - Vista 2</t>
  </si>
  <si>
    <t>Sala  04</t>
  </si>
  <si>
    <t>Sala  08</t>
  </si>
  <si>
    <t>Sala  09</t>
  </si>
  <si>
    <t>Circulação 01</t>
  </si>
  <si>
    <t>Circulação 02</t>
  </si>
  <si>
    <t>Diretoria</t>
  </si>
  <si>
    <t>Salas a serem demolidas (Gesso acartonado)</t>
  </si>
  <si>
    <t>J1 - (Correr 04 folhas)</t>
  </si>
  <si>
    <t>J2- (Correr 04 folhas)</t>
  </si>
  <si>
    <t xml:space="preserve">Vasos Banheiros Fem. Masc. </t>
  </si>
  <si>
    <t>Cubas Pia</t>
  </si>
  <si>
    <t>Pia da Cozinha</t>
  </si>
  <si>
    <t>P1 - (Madeira)</t>
  </si>
  <si>
    <t>P2 - (Madeira)</t>
  </si>
  <si>
    <t>P3 - (Madeira)</t>
  </si>
  <si>
    <t>P4 - (Ferro)</t>
  </si>
  <si>
    <t>P5 - (Ferro)</t>
  </si>
  <si>
    <t>Paredes Sala Menor (perto posto de transfomação)</t>
  </si>
  <si>
    <t xml:space="preserve">Paredes Banheiros Masc. Fem. </t>
  </si>
  <si>
    <t>Cobogó frente da Escola</t>
  </si>
  <si>
    <t>Cobogó da Sala dos Professores</t>
  </si>
  <si>
    <t>Depósito externo próx. Cozinha</t>
  </si>
  <si>
    <t>desct. vãos</t>
  </si>
  <si>
    <t>Lateral onde serão demolida as salas</t>
  </si>
  <si>
    <t>Lateral entrada do portão de acesso</t>
  </si>
  <si>
    <t>área (m2)</t>
  </si>
  <si>
    <t>CP-ELE-02</t>
  </si>
  <si>
    <t>CP-ELE-03</t>
  </si>
  <si>
    <t>CP-ELE-REP-01</t>
  </si>
  <si>
    <t>QUEBRA E RASGO EM ALVENARIA, VALAS, CARGA E TRANSPORTE DE ENTULHO</t>
  </si>
  <si>
    <t>DISJUNTORES</t>
  </si>
  <si>
    <t>ELETRODUTO PVC FLEXÍVEL</t>
  </si>
  <si>
    <t>LUMINÁRIAS E ACESSÓRIOS</t>
  </si>
  <si>
    <t>CP-ELE-05</t>
  </si>
  <si>
    <t>CP-ELE-04</t>
  </si>
  <si>
    <t>CP-ELE-01</t>
  </si>
  <si>
    <t>QUADROS DE DISTRIBUIÇÃO</t>
  </si>
  <si>
    <t>DRENO-AR</t>
  </si>
  <si>
    <t>Rasgo para conectar caixa 4x2 Alta (2,20m)</t>
  </si>
  <si>
    <t>Rasgo para conectar caixa 4x2 Media (1,20m)</t>
  </si>
  <si>
    <t>Rasgo para conectar caixa 4x2 Baixa (0,30m)</t>
  </si>
  <si>
    <t>Rasgo dos Quadros de Ditribuição para o forro (3,00m)</t>
  </si>
  <si>
    <t>Quantidade</t>
  </si>
  <si>
    <t>Distancia</t>
  </si>
  <si>
    <t>Total (M)</t>
  </si>
  <si>
    <t>Largura (M)</t>
  </si>
  <si>
    <t>Profundidade (M)</t>
  </si>
  <si>
    <t>Total (M³)</t>
  </si>
  <si>
    <t>Rasgo para alimentação QD1</t>
  </si>
  <si>
    <t>Rasgo para alimentação QD2</t>
  </si>
  <si>
    <t>REPARO EM RASGO DE PAREDE</t>
  </si>
  <si>
    <t>REFLETOR LED 50 W - FORNECIMENTO E INSTALAÇÃO</t>
  </si>
  <si>
    <t>VENTILADOR DE PAREDE 50 cm - FORNECIMENTO E INSTALAÇÃO</t>
  </si>
  <si>
    <t>VENTILADOR DE PAREDE 50 cm</t>
  </si>
  <si>
    <t>VENTILADOR DE TETO 98 cm - FORNECIMENTO E INSTALAÇÃO</t>
  </si>
  <si>
    <t>LUMINARIA Á PROVA DE EXPLOSÃO LED 20 W (INCLUI LAMPADA) - FORNECIMENTO E INSTALAÇÃO</t>
  </si>
  <si>
    <t>LUMINARIA Á PROVA DE EXPLOSÃO</t>
  </si>
  <si>
    <t>DISJUNTOR TERMOMAGNETICO TRIPOLAR DIN 150A</t>
  </si>
  <si>
    <t>CP-ELE-06</t>
  </si>
  <si>
    <t>CP-ELE-07</t>
  </si>
  <si>
    <t>CP-ELE-08</t>
  </si>
  <si>
    <t xml:space="preserve">Para cada bacia sanitária considerou uma descida de 2,8m, para cada lavatório uma descida de 2,4m e para chuveiro um percurso de 3,2m </t>
  </si>
  <si>
    <t>coef.</t>
  </si>
  <si>
    <t>repet.</t>
  </si>
  <si>
    <t>Pastilhas parede (interior) Sala de aula 01</t>
  </si>
  <si>
    <t>Pastilhas parede (interior) Sala de aula 02</t>
  </si>
  <si>
    <t>Pastilhas parede (interior) Sala de aula 03</t>
  </si>
  <si>
    <t>Pastilhas parede (interior) Sala de aula 04</t>
  </si>
  <si>
    <t>Pastilhas parede (interior) Sala de aula 05</t>
  </si>
  <si>
    <t>Pastilhas parede (interior) Sala de aula 06</t>
  </si>
  <si>
    <t>Pastilhas parede (interior) Sala de aula 07</t>
  </si>
  <si>
    <t>Pastilhas parede (interior) Sala de aula 08</t>
  </si>
  <si>
    <t>Pastilhas parede (interior) Sala de aula 09</t>
  </si>
  <si>
    <t>Parede Bebedouros</t>
  </si>
  <si>
    <t>Muro</t>
  </si>
  <si>
    <t>Mesa de concreto no corredor</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</si>
  <si>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</si>
  <si>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</si>
  <si>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</si>
  <si>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</si>
  <si>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</si>
  <si>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</si>
  <si>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</si>
  <si>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</si>
  <si>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</si>
  <si>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</si>
  <si>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</si>
  <si>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</si>
  <si>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</si>
  <si>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</si>
  <si>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</si>
  <si>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</si>
  <si>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</si>
  <si>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</si>
  <si>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</si>
  <si>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</si>
  <si>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</si>
  <si>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</si>
  <si>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</si>
  <si>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</si>
  <si>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</si>
  <si>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</si>
  <si>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</si>
  <si>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</si>
  <si>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</si>
  <si>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</si>
  <si>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</si>
  <si>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</si>
  <si>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</si>
  <si>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</si>
  <si>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</si>
  <si>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</si>
  <si>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</si>
  <si>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</si>
  <si>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</si>
  <si>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</si>
  <si>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</si>
  <si>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</si>
  <si>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</si>
  <si>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</si>
  <si>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</si>
  <si>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</si>
  <si>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</si>
  <si>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</si>
  <si>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</si>
  <si>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</si>
  <si>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</si>
  <si>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</si>
  <si>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</si>
  <si>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</si>
  <si>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</si>
  <si>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</si>
  <si>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</si>
  <si>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</si>
  <si>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</si>
  <si>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</si>
  <si>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</si>
  <si>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</si>
  <si>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</si>
  <si>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</si>
  <si>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</si>
  <si>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</si>
  <si>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</si>
  <si>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</si>
  <si>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</si>
  <si>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</si>
  <si>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</si>
  <si>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</si>
  <si>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</si>
  <si>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</si>
  <si>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</si>
  <si>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</si>
  <si>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</si>
  <si>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</si>
  <si>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</si>
  <si>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</si>
  <si>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</si>
  <si>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</si>
  <si>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</si>
  <si>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</si>
  <si>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</si>
  <si>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</si>
  <si>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</si>
  <si>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</si>
  <si>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</si>
  <si>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</si>
  <si>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</si>
  <si>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</si>
  <si>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</si>
  <si>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</si>
  <si>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</si>
  <si>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</si>
  <si>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</si>
  <si>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</si>
  <si>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</si>
  <si>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</si>
  <si>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</si>
  <si>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</si>
  <si>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</si>
  <si>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</si>
  <si>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</si>
  <si>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</si>
  <si>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</si>
  <si>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</si>
  <si>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</si>
  <si>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</si>
  <si>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</si>
  <si>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</si>
  <si>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</si>
  <si>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</si>
  <si>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</si>
  <si>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</si>
  <si>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</si>
  <si>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</si>
  <si>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</si>
  <si>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</si>
  <si>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</si>
  <si>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</si>
  <si>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</si>
  <si>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</si>
  <si>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</si>
  <si>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</si>
  <si>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</si>
  <si>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</si>
  <si>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</si>
  <si>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</si>
  <si>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</si>
  <si>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</si>
  <si>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</si>
  <si>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</si>
  <si>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</si>
  <si>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</si>
  <si>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</si>
  <si>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</si>
  <si>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</si>
  <si>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</si>
  <si>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</si>
  <si>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</si>
  <si>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</si>
  <si>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</si>
  <si>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</si>
  <si>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</si>
  <si>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</si>
  <si>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</si>
  <si>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</si>
  <si>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</si>
  <si>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</si>
  <si>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</si>
  <si>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</si>
  <si>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</si>
  <si>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</si>
  <si>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</si>
  <si>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</si>
  <si>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</si>
  <si>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</si>
  <si>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</si>
  <si>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</si>
  <si>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</si>
  <si>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</si>
  <si>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</si>
  <si>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</si>
  <si>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</si>
  <si>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</si>
  <si>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</si>
  <si>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</si>
  <si>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</si>
  <si>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</si>
  <si>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</si>
  <si>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</si>
  <si>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</si>
  <si>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</si>
  <si>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</si>
  <si>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</si>
  <si>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</si>
  <si>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</si>
  <si>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</si>
  <si>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</si>
  <si>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</si>
  <si>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</si>
  <si>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</si>
  <si>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</si>
  <si>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</si>
  <si>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</si>
  <si>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</si>
  <si>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</si>
  <si>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</si>
  <si>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</si>
  <si>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</si>
  <si>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</si>
  <si>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</si>
  <si>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</si>
  <si>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</si>
  <si>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</si>
  <si>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</si>
  <si>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</si>
  <si>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</si>
  <si>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</si>
  <si>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</si>
  <si>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</si>
  <si>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</si>
  <si>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</si>
  <si>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</si>
  <si>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</si>
  <si>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</si>
  <si>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PISO TÊXTIL (CARPETE) EM PLACA. AF_09/2020</t>
  </si>
  <si>
    <t>PISO TÊXTIL (CARPETE) EM MANTA (ROLO) E = 6 A 7 MM. AF_09/2020</t>
  </si>
  <si>
    <t>PISO TÊXTIL (CARPETE) EM MANTA (ROLO) E = 9 A 10 MM. AF_09/2020</t>
  </si>
  <si>
    <t>RODAPÉ BORRACHA LISO, ALTURA = 7CM, ESPESSURA = 2 MM, PARA ARGAMASSA. AF_09/2020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</si>
  <si>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</si>
  <si>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</si>
  <si>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</si>
  <si>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</si>
  <si>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</si>
  <si>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</si>
  <si>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</si>
  <si>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</si>
  <si>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QUADRA</t>
  </si>
  <si>
    <t>área concretada</t>
  </si>
  <si>
    <t>área escavada</t>
  </si>
  <si>
    <t>BASE PARA POÇO DE VISITA CIRCULAR PARA DRENAGEM, EM CONCRETO PRÉ-MOLDADO, DIÂMETRO INTERNO = 1 M, PROFUNDIDADE = 1,45 M, EXCLUINDO TAMPÃO. AF_05/2018</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</si>
  <si>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</si>
  <si>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</si>
  <si>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</si>
  <si>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</si>
  <si>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</si>
  <si>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</si>
  <si>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</si>
  <si>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</si>
  <si>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</si>
  <si>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</si>
  <si>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</si>
  <si>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</si>
  <si>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</si>
  <si>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</si>
  <si>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</si>
  <si>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</si>
  <si>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</si>
  <si>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</si>
  <si>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</si>
  <si>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</si>
  <si>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</si>
  <si>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</si>
  <si>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</si>
  <si>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</si>
  <si>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</si>
  <si>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</si>
  <si>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</si>
  <si>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</si>
  <si>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</si>
  <si>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</si>
  <si>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</si>
  <si>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</si>
  <si>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</si>
  <si>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</si>
  <si>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</si>
  <si>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</si>
  <si>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</si>
  <si>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</si>
  <si>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</si>
  <si>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</si>
  <si>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</si>
  <si>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</si>
  <si>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</si>
  <si>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</si>
  <si>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</si>
  <si>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</si>
  <si>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</si>
  <si>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</si>
  <si>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</si>
  <si>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</si>
  <si>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</si>
  <si>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</si>
  <si>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</si>
  <si>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</si>
  <si>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</si>
  <si>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</si>
  <si>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</si>
  <si>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</si>
  <si>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</si>
  <si>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</si>
  <si>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</si>
  <si>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</si>
  <si>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</si>
  <si>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</si>
  <si>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</si>
  <si>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</si>
  <si>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</si>
  <si>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</si>
  <si>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</si>
  <si>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</si>
  <si>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</si>
  <si>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</si>
  <si>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</si>
  <si>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</si>
  <si>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</si>
  <si>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</si>
  <si>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</si>
  <si>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</si>
  <si>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</si>
  <si>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</si>
  <si>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</si>
  <si>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</si>
  <si>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</si>
  <si>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</si>
  <si>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</si>
  <si>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</si>
  <si>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</si>
  <si>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</si>
  <si>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</si>
  <si>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</si>
  <si>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</si>
  <si>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</si>
  <si>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</si>
  <si>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</si>
  <si>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</si>
  <si>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</si>
  <si>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</si>
  <si>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</si>
  <si>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</si>
  <si>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</si>
  <si>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</si>
  <si>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</si>
  <si>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</si>
  <si>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</si>
  <si>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</si>
  <si>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</si>
  <si>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</si>
  <si>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</si>
  <si>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</si>
  <si>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</si>
  <si>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</si>
  <si>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</si>
  <si>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</si>
  <si>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</si>
  <si>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</si>
  <si>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</si>
  <si>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</si>
  <si>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</si>
  <si>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</si>
  <si>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</si>
  <si>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</si>
  <si>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</si>
  <si>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</si>
  <si>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</si>
  <si>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</si>
  <si>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</si>
  <si>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</si>
  <si>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</si>
  <si>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</si>
  <si>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</si>
  <si>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</si>
  <si>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</si>
  <si>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</si>
  <si>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</si>
  <si>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</si>
  <si>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</si>
  <si>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</si>
  <si>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</si>
  <si>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</si>
  <si>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</si>
  <si>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</si>
  <si>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</si>
  <si>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</si>
  <si>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</si>
  <si>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</si>
  <si>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</si>
  <si>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</si>
  <si>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</si>
  <si>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</si>
  <si>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</si>
  <si>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</si>
  <si>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</si>
  <si>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</si>
  <si>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</si>
  <si>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</si>
  <si>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</si>
  <si>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</si>
  <si>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</si>
  <si>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</si>
  <si>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</si>
  <si>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</si>
  <si>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</si>
  <si>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</si>
  <si>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</si>
  <si>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</si>
  <si>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</si>
  <si>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</si>
  <si>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</si>
  <si>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</si>
  <si>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</si>
  <si>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</si>
  <si>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</si>
  <si>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</si>
  <si>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</si>
  <si>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</si>
  <si>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</si>
  <si>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</si>
  <si>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</si>
  <si>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</si>
  <si>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</si>
  <si>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</si>
  <si>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</si>
  <si>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</si>
  <si>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</si>
  <si>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</si>
  <si>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</si>
  <si>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</si>
  <si>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</si>
  <si>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</si>
  <si>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</si>
  <si>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</si>
  <si>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</si>
  <si>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</si>
  <si>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</si>
  <si>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</si>
  <si>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</si>
  <si>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</si>
  <si>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</si>
  <si>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</si>
  <si>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</si>
  <si>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</si>
  <si>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</si>
  <si>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</si>
  <si>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</si>
  <si>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</si>
  <si>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</si>
  <si>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</si>
  <si>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</si>
  <si>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</si>
  <si>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</si>
  <si>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</si>
  <si>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</si>
  <si>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</si>
  <si>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</si>
  <si>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</si>
  <si>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</si>
  <si>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</si>
  <si>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</si>
  <si>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</si>
  <si>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</si>
  <si>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</si>
  <si>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</si>
  <si>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</si>
  <si>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</si>
  <si>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</si>
  <si>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</si>
  <si>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</si>
  <si>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</si>
  <si>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</si>
  <si>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</si>
  <si>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</si>
  <si>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</si>
  <si>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</si>
  <si>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</si>
  <si>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</si>
  <si>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</si>
  <si>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</si>
  <si>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</si>
  <si>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</si>
  <si>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</si>
  <si>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</si>
  <si>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</si>
  <si>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</si>
  <si>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</si>
  <si>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</si>
  <si>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</si>
  <si>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</si>
  <si>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</si>
  <si>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</si>
  <si>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</si>
  <si>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</si>
  <si>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</si>
  <si>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</si>
  <si>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</si>
  <si>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</si>
  <si>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</si>
  <si>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</si>
  <si>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</si>
  <si>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</si>
  <si>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</si>
  <si>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</si>
  <si>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</si>
  <si>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</si>
  <si>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</si>
  <si>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</si>
  <si>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</si>
  <si>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</si>
  <si>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</si>
  <si>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</si>
  <si>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</si>
  <si>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</si>
  <si>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</si>
  <si>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</si>
  <si>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</si>
  <si>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</si>
  <si>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</si>
  <si>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</si>
  <si>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</si>
  <si>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</si>
  <si>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</si>
  <si>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</si>
  <si>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</si>
  <si>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</si>
  <si>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</si>
  <si>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</si>
  <si>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</si>
  <si>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</si>
  <si>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</si>
  <si>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</si>
  <si>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</si>
  <si>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</si>
  <si>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</si>
  <si>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</si>
  <si>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</si>
  <si>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</si>
  <si>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</si>
  <si>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</si>
  <si>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</si>
  <si>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</si>
  <si>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</si>
  <si>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</si>
  <si>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</si>
  <si>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</si>
  <si>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</si>
  <si>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</si>
  <si>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</si>
  <si>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</si>
  <si>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</si>
  <si>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</si>
  <si>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</si>
  <si>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</si>
  <si>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</si>
  <si>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</si>
  <si>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</si>
  <si>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</si>
  <si>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</si>
  <si>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</si>
  <si>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</si>
  <si>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</si>
  <si>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</si>
  <si>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</si>
  <si>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</si>
  <si>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</si>
  <si>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</si>
  <si>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</si>
  <si>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</si>
  <si>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</si>
  <si>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</si>
  <si>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</si>
  <si>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</si>
  <si>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</si>
  <si>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</si>
  <si>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</si>
  <si>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</si>
  <si>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</si>
  <si>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</si>
  <si>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</si>
  <si>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</si>
  <si>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</si>
  <si>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</si>
  <si>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</si>
  <si>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</si>
  <si>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</si>
  <si>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</si>
  <si>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</si>
  <si>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</si>
  <si>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</si>
  <si>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</si>
  <si>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</si>
  <si>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</si>
  <si>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</si>
  <si>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</si>
  <si>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</si>
  <si>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</si>
  <si>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</si>
  <si>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</si>
  <si>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</si>
  <si>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</si>
  <si>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</si>
  <si>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</si>
  <si>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</si>
  <si>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</si>
  <si>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</si>
  <si>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</si>
  <si>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</si>
  <si>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</si>
  <si>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</si>
  <si>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</si>
  <si>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</si>
  <si>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</si>
  <si>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</si>
  <si>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</si>
  <si>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</si>
  <si>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</si>
  <si>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</si>
  <si>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AMBIENTES DE ÁREAS MOLHADAS, MEIA PAREDE OU PAREDE INTEIRA, COM PLACAS TIPO ESMALTADA EXTRA, DIMENSÕES 20X20 CM, PARA EDIFICAÇÃO HABITACIONAL MULTIFAMILIAR (PRÉDIO). AF_11/2014</t>
  </si>
  <si>
    <t>LONA PLASTICA PESADA PRETA, E = 150 MICRA</t>
  </si>
  <si>
    <t>PONTALETE *7,5 X 7,5* CM EM PINUS, MISTA OU EQUIVALENTE DA REGIAO - BRUTA</t>
  </si>
  <si>
    <t>SARRAFO *2,5 X 7,5* CM EM PINUS, MISTA OU EQUIVALENTE DA REGIAO - BRUTA</t>
  </si>
  <si>
    <t xml:space="preserve">área escavada </t>
  </si>
  <si>
    <t xml:space="preserve">Considerado sua classificação de acordo com a amplitude e complexidade da obra </t>
  </si>
  <si>
    <t xml:space="preserve">Deve ser considerado sempre pois a obra não pode estar sem as condções minimas de proteção </t>
  </si>
  <si>
    <t xml:space="preserve">Todas as noites </t>
  </si>
  <si>
    <t>Todos os FDS</t>
  </si>
  <si>
    <t>ESCOLA</t>
  </si>
  <si>
    <t>INTALAÇÕES HIDROSSANITÁRIAS</t>
  </si>
  <si>
    <t>Refletor Led 50w Smd Bivolt Prova D`água Branco Frio</t>
  </si>
  <si>
    <t>20.0</t>
  </si>
  <si>
    <t>CONJUNTO DE MASTRO PARA TRÊS BANDEIRAS E PEDESTAL - FORNECIMENTO E INSTALAÇÃO</t>
  </si>
  <si>
    <t>ESGOTAMENTO, DEMOLIÇÃO E RETIRADA DE FOSSA</t>
  </si>
  <si>
    <t>SPDA</t>
  </si>
  <si>
    <t>CP-SPDA-01</t>
  </si>
  <si>
    <t>CAIXA DE INSPEÇÃO, PVC DE 12'', COM TAMPA DE FERRO FUNDIDO, CONFORME DETALHE NO PROJETO, FORNECIMENTO E INSTALAÇÃO</t>
  </si>
  <si>
    <t>CAIXA DE INSPEÇÃO, PVC DE 12'', COM TAMPA DE FERRO FUNDIDO, CONFORME DETALHE NO PROJETO</t>
  </si>
  <si>
    <t>CP-SPDA-02</t>
  </si>
  <si>
    <t>GRAMPO CONECTOR GTDU PARA HASTE DE ATERRAMENTO DUPLO 5/8'' - 50MM² - FORNECIMENTO E INSTALAÇÃO</t>
  </si>
  <si>
    <t>GRAMPO CONECTOR GTDU PARA HASTE DE ATERRAMENTO DUPLO 5/8'' - 50MM²</t>
  </si>
  <si>
    <t>CP-SPDA-03</t>
  </si>
  <si>
    <t>GRAMPO CONECTOR MINI-BAR EM BRONZE ESTANHADO TEL-583 - FORNECIMENTO E INSTALAÇÃO</t>
  </si>
  <si>
    <t>GRAMPO CONECTOR MINI-BAR EM BRONZE ESTANHADO TEL-583</t>
  </si>
  <si>
    <t>CP-SPDA-04</t>
  </si>
  <si>
    <t>TERMINAL AÉREO - DN 100MM - ALTURA 600MM - FORNECIMENTO E INSTALAÇÃO</t>
  </si>
  <si>
    <t>TERMINAL AÉREO - DN 100MM - ALTURA 600MM, COM ROSCA SOBERBA E BUCHA</t>
  </si>
  <si>
    <t>CP-SPDA-05</t>
  </si>
  <si>
    <t xml:space="preserve">CORDOALHA DE COBRE NU 35 MM², NÃO ENTERRADA, SEM ISOLADOR - FORNECIMENTO E INSTALAÇÃO. </t>
  </si>
  <si>
    <t>CP-SPDA-06</t>
  </si>
  <si>
    <t>CAIXA DE EQUALIZAÇÃO DE POTÊNCIAS 200X200MM EM AÇO COM BARRAMENTO, EXPESSURA 9MM - FORNECIMENTO E INSTALAÇÃO</t>
  </si>
  <si>
    <t>CAIXA DE EQUALIZAÇÃO DE POTENCIAS - 200X200MM - EM AÇO COM BARRAMENTO E TERMINAIS DE PRESSÃO PARA CABO DE COBRE 50 E 16 MM²</t>
  </si>
  <si>
    <t>21.0</t>
  </si>
  <si>
    <t>empoloamento (30%)</t>
  </si>
  <si>
    <t>ok</t>
  </si>
  <si>
    <t>PRÓPRIA</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</si>
  <si>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</si>
  <si>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</si>
  <si>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</si>
  <si>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</si>
  <si>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</si>
  <si>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</si>
  <si>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</si>
  <si>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</si>
  <si>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</si>
  <si>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</si>
  <si>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</si>
  <si>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</si>
  <si>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</si>
  <si>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</si>
  <si>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</si>
  <si>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</si>
  <si>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</si>
  <si>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</si>
  <si>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</si>
  <si>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</si>
  <si>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</si>
  <si>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</si>
  <si>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</si>
  <si>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</si>
  <si>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</si>
  <si>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</si>
  <si>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</si>
  <si>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</si>
  <si>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</si>
  <si>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</si>
  <si>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</si>
  <si>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</si>
  <si>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</si>
  <si>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</si>
  <si>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</si>
  <si>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</si>
  <si>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</si>
  <si>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</si>
  <si>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</si>
  <si>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</si>
  <si>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</si>
  <si>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</si>
  <si>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</si>
  <si>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</si>
  <si>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</si>
  <si>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</si>
  <si>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</si>
  <si>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</si>
  <si>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</si>
  <si>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</si>
  <si>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</si>
  <si>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</si>
  <si>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</si>
  <si>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</si>
  <si>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</si>
  <si>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</si>
  <si>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</si>
  <si>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</si>
  <si>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</si>
  <si>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</si>
  <si>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</si>
  <si>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</si>
  <si>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TELHAMENTO COM TELHA ESTRUTURAL DE FIBROCIMENTO E= 8 MM, COM ATÉ 2 ÁGUAS, INCLUSO IÇAMENTO. AF_07/2019_P</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</si>
  <si>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</si>
  <si>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</si>
  <si>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</si>
  <si>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</si>
  <si>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</si>
  <si>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</si>
  <si>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</si>
  <si>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</si>
  <si>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</si>
  <si>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</si>
  <si>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</si>
  <si>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</si>
  <si>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</si>
  <si>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</si>
  <si>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</si>
  <si>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</si>
  <si>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</si>
  <si>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</si>
  <si>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</si>
  <si>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</si>
  <si>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</si>
  <si>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</si>
  <si>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</si>
  <si>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</si>
  <si>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</si>
  <si>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</si>
  <si>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</si>
  <si>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</si>
  <si>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</si>
  <si>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</si>
  <si>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</si>
  <si>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</si>
  <si>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</si>
  <si>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</si>
  <si>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</si>
  <si>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</si>
  <si>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</si>
  <si>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</si>
  <si>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</si>
  <si>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</si>
  <si>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</si>
  <si>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</si>
  <si>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</si>
  <si>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</si>
  <si>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</si>
  <si>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</si>
  <si>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</si>
  <si>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</si>
  <si>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</si>
  <si>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</si>
  <si>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</si>
  <si>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</si>
  <si>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</si>
  <si>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</si>
  <si>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</si>
  <si>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</si>
  <si>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</si>
  <si>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</si>
  <si>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</si>
  <si>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</si>
  <si>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</si>
  <si>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</si>
  <si>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</si>
  <si>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</si>
  <si>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</si>
  <si>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</si>
  <si>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</si>
  <si>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</si>
  <si>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</si>
  <si>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</si>
  <si>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</si>
  <si>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</si>
  <si>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</si>
  <si>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</si>
  <si>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</si>
  <si>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</si>
  <si>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</si>
  <si>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</si>
  <si>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</si>
  <si>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</si>
  <si>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</si>
  <si>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</si>
  <si>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</si>
  <si>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</si>
  <si>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</si>
  <si>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</si>
  <si>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</si>
  <si>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</si>
  <si>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</si>
  <si>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</si>
  <si>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</si>
  <si>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</si>
  <si>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</si>
  <si>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</si>
  <si>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</si>
  <si>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</si>
  <si>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</si>
  <si>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</si>
  <si>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</si>
  <si>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</si>
  <si>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</si>
  <si>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</si>
  <si>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</si>
  <si>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</si>
  <si>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</si>
  <si>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</si>
  <si>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</si>
  <si>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</si>
  <si>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</si>
  <si>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</si>
  <si>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</si>
  <si>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</si>
  <si>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</si>
  <si>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</si>
  <si>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</si>
  <si>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</si>
  <si>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</si>
  <si>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</si>
  <si>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</si>
  <si>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</si>
  <si>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</si>
  <si>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</si>
  <si>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</si>
  <si>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</si>
  <si>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</si>
  <si>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</si>
  <si>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</si>
  <si>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</si>
  <si>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</si>
  <si>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</si>
  <si>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</si>
  <si>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</si>
  <si>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</si>
  <si>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</si>
  <si>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</si>
  <si>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</si>
  <si>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</si>
  <si>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</si>
  <si>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</si>
  <si>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</si>
  <si>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</si>
  <si>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</si>
  <si>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</si>
  <si>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</si>
  <si>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</si>
  <si>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</si>
  <si>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</si>
  <si>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</si>
  <si>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</si>
  <si>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</si>
  <si>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</si>
  <si>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</si>
  <si>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</si>
  <si>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</si>
  <si>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</si>
  <si>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</si>
  <si>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</si>
  <si>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</si>
  <si>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</si>
  <si>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</si>
  <si>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</si>
  <si>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</si>
  <si>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</si>
  <si>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</si>
  <si>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</si>
  <si>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</si>
  <si>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</si>
  <si>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</si>
  <si>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</si>
  <si>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</si>
  <si>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</si>
  <si>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</si>
  <si>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</si>
  <si>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</si>
  <si>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</si>
  <si>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</si>
  <si>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</si>
  <si>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BASE PARA POÇO DE VISITA CIRCULAR PARA DRENAGEM, EM CONCRETO PRÉ-MOLDADO, DIÂMETRO INTERNO = 1,2 M, PROFUNDIDADE = 1,45 M, EXCLUINDO TAMPÃO. AF_05/2021</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</si>
  <si>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</si>
  <si>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</si>
  <si>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</si>
  <si>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</si>
  <si>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</si>
  <si>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</si>
  <si>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</si>
  <si>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</si>
  <si>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</si>
  <si>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</si>
  <si>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</si>
  <si>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</si>
  <si>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</si>
  <si>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</si>
  <si>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</si>
  <si>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</si>
  <si>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</si>
  <si>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</si>
  <si>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</si>
  <si>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</si>
  <si>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</si>
  <si>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</si>
  <si>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</si>
  <si>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</si>
  <si>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</si>
  <si>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</si>
  <si>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</si>
  <si>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</si>
  <si>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</si>
  <si>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</si>
  <si>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</si>
  <si>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</si>
  <si>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</si>
  <si>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</si>
  <si>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</si>
  <si>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</si>
  <si>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</si>
  <si>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</si>
  <si>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</si>
  <si>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</si>
  <si>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</si>
  <si>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</si>
  <si>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</si>
  <si>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</si>
  <si>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</si>
  <si>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</si>
  <si>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</si>
  <si>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</si>
  <si>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</si>
  <si>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</si>
  <si>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</si>
  <si>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</si>
  <si>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</si>
  <si>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</si>
  <si>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</si>
  <si>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</si>
  <si>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</si>
  <si>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</si>
  <si>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</si>
  <si>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</si>
  <si>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</si>
  <si>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</si>
  <si>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</si>
  <si>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</si>
  <si>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</si>
  <si>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</si>
  <si>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</si>
  <si>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</si>
  <si>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</si>
  <si>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</si>
  <si>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</si>
  <si>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</si>
  <si>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</si>
  <si>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</si>
  <si>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</si>
  <si>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</si>
  <si>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</si>
  <si>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</si>
  <si>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</si>
  <si>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</si>
  <si>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</si>
  <si>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</si>
  <si>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</si>
  <si>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</si>
  <si>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</si>
  <si>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</si>
  <si>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</si>
  <si>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</si>
  <si>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</si>
  <si>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</si>
  <si>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</si>
  <si>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</si>
  <si>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</si>
  <si>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</si>
  <si>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</si>
  <si>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</si>
  <si>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</si>
  <si>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</si>
  <si>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</si>
  <si>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</si>
  <si>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</si>
  <si>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</si>
  <si>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</si>
  <si>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</si>
  <si>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</si>
  <si>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</si>
  <si>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</si>
  <si>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</si>
  <si>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</si>
  <si>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</si>
  <si>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</si>
  <si>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</si>
  <si>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</si>
  <si>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</si>
  <si>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</si>
  <si>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</si>
  <si>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</si>
  <si>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</si>
  <si>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</si>
  <si>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</si>
  <si>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</si>
  <si>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</si>
  <si>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</si>
  <si>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</si>
  <si>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</si>
  <si>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</si>
  <si>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</si>
  <si>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</si>
  <si>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</si>
  <si>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</si>
  <si>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</si>
  <si>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</si>
  <si>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</si>
  <si>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</si>
  <si>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</si>
  <si>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</si>
  <si>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</si>
  <si>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</si>
  <si>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</si>
  <si>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</si>
  <si>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</si>
  <si>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</si>
  <si>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</si>
  <si>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</si>
  <si>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</si>
  <si>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</si>
  <si>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</si>
  <si>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</si>
  <si>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</si>
  <si>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</si>
  <si>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</si>
  <si>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</si>
  <si>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</si>
  <si>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</si>
  <si>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</si>
  <si>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</si>
  <si>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</si>
  <si>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</si>
  <si>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</si>
  <si>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DO SISTEMA DE PAREDES DE CONCRETO, EXECUTADA COMO ARMADURA POSITIVA DE LAJES, TELA Q-159.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</si>
  <si>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</si>
  <si>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</si>
  <si>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</si>
  <si>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</si>
  <si>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</si>
  <si>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</si>
  <si>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</si>
  <si>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</si>
  <si>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</si>
  <si>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</si>
  <si>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</si>
  <si>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</si>
  <si>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</si>
  <si>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</si>
  <si>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</si>
  <si>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</si>
  <si>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</si>
  <si>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</si>
  <si>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</si>
  <si>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</si>
  <si>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</si>
  <si>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</si>
  <si>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</si>
  <si>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</si>
  <si>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</si>
  <si>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</si>
  <si>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</si>
  <si>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</si>
  <si>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</si>
  <si>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</si>
  <si>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</si>
  <si>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</si>
  <si>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</si>
  <si>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</si>
  <si>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</si>
  <si>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</si>
  <si>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</si>
  <si>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</si>
  <si>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</si>
  <si>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</si>
  <si>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</si>
  <si>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</si>
  <si>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</si>
  <si>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</si>
  <si>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</si>
  <si>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</si>
  <si>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</si>
  <si>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</si>
  <si>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</si>
  <si>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</si>
  <si>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</si>
  <si>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</si>
  <si>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</si>
  <si>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</si>
  <si>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</si>
  <si>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</si>
  <si>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</si>
  <si>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</si>
  <si>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</si>
  <si>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</si>
  <si>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</si>
  <si>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</si>
  <si>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</si>
  <si>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</si>
  <si>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TUBO DE AÇO PRETO SEM COSTURA, CLASSE MÉDIA, CONEXÃO SOLDADA, DN 25 (1"), INSTALADO EM RAMAIS  E SUB-RAMAIS DE GÁS - FORNECIMENTO E INSTALAÇÃO. AF_10/2020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</si>
  <si>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</si>
  <si>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</si>
  <si>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</si>
  <si>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</si>
  <si>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</si>
  <si>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</si>
  <si>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</si>
  <si>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</si>
  <si>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</si>
  <si>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</si>
  <si>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TÊ DE INSPEÇÃO, PVC, SERIE R, ÁGUA PLUVIAL, DN 150 X 100 MM, JUNTA ELÁSTICA, FORNECIDO E INSTALADO EM CONDUTORES VERTICAIS DE ÁGUAS PLUVIAIS. AF_12/2014</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</si>
  <si>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</si>
  <si>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</si>
  <si>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</si>
  <si>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</si>
  <si>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</si>
  <si>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</si>
  <si>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</si>
  <si>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</si>
  <si>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</si>
  <si>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</si>
  <si>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</si>
  <si>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</si>
  <si>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</si>
  <si>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</si>
  <si>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</si>
  <si>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</si>
  <si>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</si>
  <si>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</si>
  <si>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</si>
  <si>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</si>
  <si>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</si>
  <si>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</si>
  <si>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</si>
  <si>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</si>
  <si>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</si>
  <si>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</si>
  <si>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</si>
  <si>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</si>
  <si>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</si>
  <si>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</si>
  <si>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</si>
  <si>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</si>
  <si>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</si>
  <si>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</si>
  <si>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</si>
  <si>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</si>
  <si>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</si>
  <si>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</si>
  <si>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</si>
  <si>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</si>
  <si>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</si>
  <si>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</si>
  <si>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</si>
  <si>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</si>
  <si>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</si>
  <si>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</si>
  <si>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</si>
  <si>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</si>
  <si>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</si>
  <si>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</si>
  <si>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</si>
  <si>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</si>
  <si>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</si>
  <si>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</si>
  <si>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</si>
  <si>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</si>
  <si>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</si>
  <si>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</si>
  <si>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</si>
  <si>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</si>
  <si>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</si>
  <si>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</si>
  <si>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</si>
  <si>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</si>
  <si>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</si>
  <si>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</si>
  <si>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</si>
  <si>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</si>
  <si>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</si>
  <si>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</si>
  <si>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</si>
  <si>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</si>
  <si>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</si>
  <si>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</si>
  <si>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</si>
  <si>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</si>
  <si>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</si>
  <si>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</si>
  <si>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</si>
  <si>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</si>
  <si>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</si>
  <si>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</si>
  <si>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</si>
  <si>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</si>
  <si>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</si>
  <si>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</si>
  <si>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</si>
  <si>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</si>
  <si>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</si>
  <si>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</si>
  <si>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</si>
  <si>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</si>
  <si>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</si>
  <si>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</si>
  <si>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</si>
  <si>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</si>
  <si>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</si>
  <si>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</si>
  <si>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</si>
  <si>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</si>
  <si>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</si>
  <si>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</si>
  <si>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</si>
  <si>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</si>
  <si>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</si>
  <si>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</si>
  <si>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</si>
  <si>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</si>
  <si>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</si>
  <si>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</si>
  <si>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</si>
  <si>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KIT CAVALETE PARA MEDIÇÃO DE ÁGUA - ENTRADA PRINCIPAL, EM AÇO GALVANIZADO DN 25 (1 )   FORNECIMENTO E INSTALAÇÃO (EXCLUSIVE HIDRÔMETRO). AF_11/2016</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</si>
  <si>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</si>
  <si>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</si>
  <si>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</si>
  <si>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</si>
  <si>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</si>
  <si>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</si>
  <si>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</si>
  <si>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</si>
  <si>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</si>
  <si>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</si>
  <si>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</si>
  <si>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</si>
  <si>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</si>
  <si>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</si>
  <si>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</si>
  <si>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</si>
  <si>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</si>
  <si>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</si>
  <si>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</si>
  <si>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</si>
  <si>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</si>
  <si>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</si>
  <si>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</si>
  <si>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MANUAL DE VALA COM PROFUNDIDADE MENOR OU IGUAL A 1,30 M. AF_02/2021</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</si>
  <si>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</si>
  <si>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</si>
  <si>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</si>
  <si>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</si>
  <si>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</si>
  <si>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</si>
  <si>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</si>
  <si>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</si>
  <si>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</si>
  <si>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</si>
  <si>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</si>
  <si>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</si>
  <si>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</si>
  <si>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</si>
  <si>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</si>
  <si>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</si>
  <si>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</si>
  <si>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</si>
  <si>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</si>
  <si>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</si>
  <si>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</si>
  <si>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</si>
  <si>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</si>
  <si>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</si>
  <si>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</si>
  <si>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</si>
  <si>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</si>
  <si>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</si>
  <si>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</si>
  <si>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</si>
  <si>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</si>
  <si>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</si>
  <si>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</si>
  <si>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</si>
  <si>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</si>
  <si>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</si>
  <si>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</si>
  <si>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</si>
  <si>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</si>
  <si>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</si>
  <si>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</si>
  <si>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</si>
  <si>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</si>
  <si>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</si>
  <si>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</si>
  <si>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</si>
  <si>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</si>
  <si>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</si>
  <si>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</si>
  <si>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</si>
  <si>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</si>
  <si>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</si>
  <si>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</si>
  <si>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</si>
  <si>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</si>
  <si>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</si>
  <si>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</si>
  <si>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</si>
  <si>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</si>
  <si>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</si>
  <si>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</si>
  <si>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EXECUÇÃO DE TAPA BURACO COM APLICAÇÃO DE CONCRETO ASFÁLTICO (AQUISIÇÃO EM USINA) E PINTURA DE LIGAÇÃO. AF_12/2020</t>
  </si>
  <si>
    <t>RECOMPOSIÇÃO DE REVESTIMENTO EM CONCRETO ASFÁLTICO (AQUISIÇÃO EM USINA), PARA O FECHAMENTO DE VALAS - INCLUSO DEMOLIÇÃO DO PAVIMENTO. AF_12/2020</t>
  </si>
  <si>
    <t>EXECUÇÃO DE PINTURA DE LIGAÇÃO COM EMULSÃO ASFÁLTICA RR-2C, PARA O FECHAMENTO DE VALAS. AF_12/2020</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</si>
  <si>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</si>
  <si>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</si>
  <si>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</si>
  <si>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</si>
  <si>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</si>
  <si>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</si>
  <si>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</si>
  <si>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</si>
  <si>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</si>
  <si>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</si>
  <si>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</si>
  <si>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</si>
  <si>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</si>
  <si>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</si>
  <si>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</si>
  <si>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</si>
  <si>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</si>
  <si>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</si>
  <si>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</si>
  <si>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</si>
  <si>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</si>
  <si>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</si>
  <si>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</si>
  <si>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</si>
  <si>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</si>
  <si>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</si>
  <si>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</si>
  <si>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</si>
  <si>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</si>
  <si>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</si>
  <si>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</si>
  <si>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</si>
  <si>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</si>
  <si>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</si>
  <si>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</si>
  <si>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</si>
  <si>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</si>
  <si>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</si>
  <si>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</si>
  <si>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</si>
  <si>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</si>
  <si>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</si>
  <si>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</si>
  <si>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</si>
  <si>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</si>
  <si>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</si>
  <si>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</si>
  <si>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</si>
  <si>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</si>
  <si>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</si>
  <si>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</si>
  <si>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</si>
  <si>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</si>
  <si>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</si>
  <si>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</si>
  <si>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</si>
  <si>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</si>
  <si>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</si>
  <si>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</si>
  <si>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</si>
  <si>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</si>
  <si>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</si>
  <si>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</si>
  <si>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</si>
  <si>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</si>
  <si>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</si>
  <si>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</si>
  <si>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</si>
  <si>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</si>
  <si>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</si>
  <si>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</si>
  <si>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</si>
  <si>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</si>
  <si>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</si>
  <si>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</si>
  <si>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</si>
  <si>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</si>
  <si>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</si>
  <si>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</si>
  <si>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</si>
  <si>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</si>
  <si>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</si>
  <si>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</si>
  <si>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</si>
  <si>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CARGA, MANOBRA E DESCARGA MANUAL DE TUBOS PLÁSTICOS, DN 150 MM, EM CAMINHÃO CARROCERIA 9T. AF_06/2021</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</si>
  <si>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</si>
  <si>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</si>
  <si>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</si>
  <si>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CP-DEM-01</t>
  </si>
  <si>
    <t>CP-DEM-02</t>
  </si>
  <si>
    <t>comp(m) ou area (m2)</t>
  </si>
  <si>
    <t>PORTA DE FERRO, DE ABRIR, TIPO CHAPA CORRUGADA, COM GUARNICOES E FECHADURA - 0,90 X 2,10 M</t>
  </si>
  <si>
    <t>PORTA DE FERRO, DE ABRIR, TIPO CHAPA CORRUGADA, COM GUARNICOES E FECHADURA, FORNECIMENTO E INSTALAÇÃO (0,90 X 2,10)M</t>
  </si>
  <si>
    <t>CP-ESQ-03</t>
  </si>
  <si>
    <t>PORTAO DE ABRIR EM CHAPA TIPO PAINEL LAMBRIL QUADRADO MEIA ALTURA, COM GRADE SUPERIOR, COMPLETA COM REQUADRO, ACABAMENTO NATURAL, COM FEICHOS E TRINCOS FORNECIMENTO E INSTALAÇÃO.</t>
  </si>
  <si>
    <t>PORTÃO DE ENTRADA</t>
  </si>
  <si>
    <t>DIVISORIAS, BANCADAS E PEITORIS</t>
  </si>
  <si>
    <t>CP-BAN-01</t>
  </si>
  <si>
    <t>PINTURA DE TODA ESTRUTURA METÁLICA</t>
  </si>
  <si>
    <t>Area telhado (m2) ou Quantidade de tesouras</t>
  </si>
  <si>
    <t>area chapa (m2)</t>
  </si>
  <si>
    <t>peso total (conforme composição) verificar coef.</t>
  </si>
  <si>
    <t>coef (kg/m)</t>
  </si>
  <si>
    <t>Perfil U enrijecido 200x75x25 e=3,75</t>
  </si>
  <si>
    <t>(TESOURA) PERFIL U SIMPLES 127X50</t>
  </si>
  <si>
    <t>(TESOURA) CANTONEIRA ABAS IGUAIS BITOLA 1/8 E 1/2</t>
  </si>
  <si>
    <t>PINTURA TINTA DE ACABAMENTO (PIGMENTADA) ESMALTE BRILHANTE BASE B2, 2 DEMÃOS.</t>
  </si>
  <si>
    <t>CIRCULAÇÃO E PILARES</t>
  </si>
  <si>
    <t>VÃOS</t>
  </si>
  <si>
    <t>PALCO</t>
  </si>
  <si>
    <t>LOGOMARCA DA PREFEITURA E NOMENCLATURA</t>
  </si>
  <si>
    <t>PINTURA PAREDE ATRAS DO GOL (OBS: AS PAREDES DO MURO JÁ ESTÃO QUATIFICADAS NA PINTURA DO PRÓPRIO MURO</t>
  </si>
  <si>
    <t>PINTURA DE TODA ESTRUTURA METALICA (TESOURAS E PILARES) E TELHA METALICA</t>
  </si>
  <si>
    <t>CP-PIS-01</t>
  </si>
  <si>
    <t>PISOS INTERNO E EXTERNO</t>
  </si>
  <si>
    <t>TODO PISO EXISTENTE  ANTIGO</t>
  </si>
  <si>
    <t>PISO DA QUADRA</t>
  </si>
  <si>
    <t>RAMPA</t>
  </si>
  <si>
    <t>TODO AMBIENTE LIXADO PARA RECEBER PINTURA</t>
  </si>
  <si>
    <t>SALAS DE AULA, SECRETARIA, DIRETORIA, DML, PAREDE EXTERNA DA COZINHA NOVA E RAMPA DE ACESSO</t>
  </si>
  <si>
    <t>PISO FULGET (GRANITO LAVADO) MOLDADO IN LOCO FORNECIMENTO E INSTALAÇÃO.</t>
  </si>
  <si>
    <t>RAMPA DE ACESSIBILIDADE INTERNA E ESCADA</t>
  </si>
  <si>
    <t>TODO PISO EXISTENTE  ANTIGO/NOVO, RODAPÉ, RAMPA E ESCADA</t>
  </si>
  <si>
    <t>CALÇADA</t>
  </si>
  <si>
    <t>1.1</t>
  </si>
  <si>
    <t>1.0</t>
  </si>
  <si>
    <t>1.2</t>
  </si>
  <si>
    <t>3.2</t>
  </si>
  <si>
    <t>2.1</t>
  </si>
  <si>
    <t>1.3</t>
  </si>
  <si>
    <t>1.4</t>
  </si>
  <si>
    <t>2.0</t>
  </si>
  <si>
    <t>2.2</t>
  </si>
  <si>
    <t>3.0</t>
  </si>
  <si>
    <t>3.1</t>
  </si>
  <si>
    <t>4.0</t>
  </si>
  <si>
    <t>3.12</t>
  </si>
  <si>
    <t>3.6</t>
  </si>
  <si>
    <t>3.3</t>
  </si>
  <si>
    <t>3.4</t>
  </si>
  <si>
    <t>3.5</t>
  </si>
  <si>
    <t>3.7</t>
  </si>
  <si>
    <t>3.8</t>
  </si>
  <si>
    <t>3.9</t>
  </si>
  <si>
    <t>3.10</t>
  </si>
  <si>
    <t>3.11</t>
  </si>
  <si>
    <t>3.13</t>
  </si>
  <si>
    <t>3.14</t>
  </si>
  <si>
    <t>3.15</t>
  </si>
  <si>
    <t>3.16</t>
  </si>
  <si>
    <t>3.17</t>
  </si>
  <si>
    <t>3.18</t>
  </si>
  <si>
    <t>3.19</t>
  </si>
  <si>
    <t>3.20</t>
  </si>
  <si>
    <t>3.21</t>
  </si>
  <si>
    <t>3.22</t>
  </si>
  <si>
    <t>3.23</t>
  </si>
  <si>
    <t>4.1</t>
  </si>
  <si>
    <t>INFRAESTRUTURA</t>
  </si>
  <si>
    <t>5.0</t>
  </si>
  <si>
    <t>5.1</t>
  </si>
  <si>
    <t>5.1.1</t>
  </si>
  <si>
    <t>5.1.2</t>
  </si>
  <si>
    <t>CP-HIDR-1</t>
  </si>
  <si>
    <t>CAIXA SIFONADA PVC, 150X150X50 MM, COM GRELHA QUADRADA BRANCA - NBR 5688 - FORNECIMENTO E INSTALAÇÃO</t>
  </si>
  <si>
    <t>CP-HIDR-2</t>
  </si>
  <si>
    <t>SIFÃO DE COPO PARA PIA E LAVATORIO 1" - 1/.1/2"  - FORNECIMENTO E INSTALAÇÃO</t>
  </si>
  <si>
    <t>CP-HIDR-3</t>
  </si>
  <si>
    <t>SIFÃO DE COPO PARA PIA E LAVATORIO 1" - 2"  - FORNECIMENTO E INSTALAÇÃO</t>
  </si>
  <si>
    <t>CP-HIDR-4</t>
  </si>
  <si>
    <t>CP-HIDR-5</t>
  </si>
  <si>
    <t>JUNCAO SIMPLES, PVC, DN 100 X 50 MM, SERIE NORMAL PARA ESGOTO PREDIAL -  FORNECIMENTO E INSTALAÇÃO</t>
  </si>
  <si>
    <t>JUNCAO SIMPLES, PVC, DN 75 X 50 MM, SERIE NORMAL PARA ESGOTO PREDIAL -  FORNECIMENTO E INSTALAÇÃO</t>
  </si>
  <si>
    <t>CP-HIDR-6</t>
  </si>
  <si>
    <t>CP-HIDR-7</t>
  </si>
  <si>
    <t>JUNCAO SIMPLES, PVC, DN 100 X 75 MM, SERIE NORMAL PARA ESGOTO PREDIAL -  FORNECIMENTO E INSTALAÇÃO</t>
  </si>
  <si>
    <t>CP-HIDR-8</t>
  </si>
  <si>
    <t>TE, PVC, SERIE NORMAL, ESGOTO PREDIAL, DN 75 X 50 MM, JUNTA ELÁSTICA, FORNECIDO E INSTALADO VENTILAÇÃO</t>
  </si>
  <si>
    <t>CP-HIDR-10</t>
  </si>
  <si>
    <t>TUBO DE DESCARGA VDE 38 MM. FORNECIMENTO E INSTALAÇÃO</t>
  </si>
  <si>
    <t>TUBO DE DESCARGA VDE 38 MM</t>
  </si>
  <si>
    <t>CP-HIDR-11</t>
  </si>
  <si>
    <t>TUBO DE LIGAÇÃO LATÃO CROMADO C/ CANOPLA CROMADA P/ VASO SANITARIO 38 MM. FORNECIMENTO E INSTALAÇÃO.</t>
  </si>
  <si>
    <t>TUBO DE LIGAÇÃO LATÃO CROMADO C/ CANOPLA CROMADA P/ VASO SANITARIO 38 MM.</t>
  </si>
  <si>
    <t>CP-HIDR-12</t>
  </si>
  <si>
    <t>BUCHA DE REDUCAO DE PVC, SOLDAVEL, CURTA, COM 60 X 50 MM, PARA AGUA FRIA PREDIAL -  FORNECIMENTO E INSTALAÇÃO</t>
  </si>
  <si>
    <t>CP-HIDR-13</t>
  </si>
  <si>
    <t>BUCHA DE REDUCAO DE PVC, SOLDAVEL, LONGA, COM 60 X 25 MM, PARA AGUA FRIA PREDIAL-  FORNECIMENTO E INSTALAÇÃO</t>
  </si>
  <si>
    <t>CP-HIDR-14</t>
  </si>
  <si>
    <t>CP-HIDR-15</t>
  </si>
  <si>
    <t>CP-HIDR-16</t>
  </si>
  <si>
    <t>TE DE REDUCAO, PVC, SOLDAVEL, 90 GRAUS, 50 MM X 25 MM, PARA AGUA FRIA PREDIAL. FORNECIMENTO E INSTALAÇÃO</t>
  </si>
  <si>
    <t>CP-HIDR-17</t>
  </si>
  <si>
    <t>FORNECIMENTO E MONTAGEM DE RESERVATÓRIO COLUNA CILÍNDRICA TIPO TUBULAR DE CAP.15.000L, COM AS SEGUINTES DIMENSÕES: -COLUNA SECA: Ø 1,27 X 2,80M; -RESERVA: Ø 2,00M x 7,20M; -ALTURA TOTAL: 10,00M; INCLUSO ESCADA TIPO MARINHEIRO COM PROTEÇÃO NA PARTE EXTERNA, GUARDA CORPO PARTE EXTERNA NO TOPO, TAMPA SUPERIOR, DEGRAUS NA PARTE INTERNA, CHUMBADORES TIPO "J" COM ROSCAS, PINTURA EPÓXI DUAS DEMÃOS COM FUNDO ANTICORROSIVO, INCLUSO BLOCO SOBRE ESTACA DE CONCRETO E SPDA</t>
  </si>
  <si>
    <t>SITEMA DE PROTEÇÃO (SPDA)</t>
  </si>
  <si>
    <t xml:space="preserve">FUNDAÇÃO E BASE DE CONCRETO PARA FIXAÇÃO DE RESERVATORIO METÁLICO DE 15000 LITROS DE ÁGUA. </t>
  </si>
  <si>
    <t xml:space="preserve">SISTEMA DE PROTEÇÃO CONTRA INCÊNDIO </t>
  </si>
  <si>
    <t>INSTALAÇÃO DE SISTEMA DE GAS/GLP</t>
  </si>
  <si>
    <t>PAISAGISMO</t>
  </si>
  <si>
    <t>PREGO 18X27 (2 1/2 X 10)</t>
  </si>
  <si>
    <t>SARRAFO DE 1"X4"</t>
  </si>
  <si>
    <t>ESPELHO CRISTAL E = 4 MM COM REQUADRO DE ALUMINIO FORNECIMENTO E INSTALAÇÃO</t>
  </si>
  <si>
    <t>TELA DE PROTEÇÃO PARA JANELA COM REQUADRO EM ALUMINIO - FORNECIMENTO E INSTALAÇÃO</t>
  </si>
  <si>
    <t>CP-SD-01</t>
  </si>
  <si>
    <t>CP-SD-02</t>
  </si>
  <si>
    <t>CP-SD-03</t>
  </si>
  <si>
    <t>CP-SD-04</t>
  </si>
  <si>
    <t>MOLA AEREA - FORNECIMENTO E INSTALAÇÃO</t>
  </si>
  <si>
    <t>LOUSA DE VIDRO BRANCA 4 X1,20 (FORNECIMENTO E INSTALAÇÃO)</t>
  </si>
  <si>
    <t>CP-SD-05</t>
  </si>
  <si>
    <t>LOUSA DE VIDRO BRANCA 4 X1,20 COM CANTONEIRA</t>
  </si>
  <si>
    <t>J4 - (Basculante)</t>
  </si>
  <si>
    <t>J3 (Janela de correr)</t>
  </si>
  <si>
    <t>COZINHA</t>
  </si>
  <si>
    <t>6.0</t>
  </si>
  <si>
    <t>6.1</t>
  </si>
  <si>
    <t>6.1.1</t>
  </si>
  <si>
    <t>6.2.1</t>
  </si>
  <si>
    <t>Cantina</t>
  </si>
  <si>
    <t xml:space="preserve">Qd. De Energia </t>
  </si>
  <si>
    <t>REMOÇÃO DE FORRO DE PVC E MADEIRA</t>
  </si>
  <si>
    <t>Cozinha e depensa</t>
  </si>
  <si>
    <t>Circulação das salas que seram demolidas</t>
  </si>
  <si>
    <t>WC Fem.</t>
  </si>
  <si>
    <t xml:space="preserve">WC Masc. </t>
  </si>
  <si>
    <t>Hal dos banheiros</t>
  </si>
  <si>
    <t>Beiral</t>
  </si>
  <si>
    <t>J5 - (Janela passa prato)</t>
  </si>
  <si>
    <t>CP-DEM-03</t>
  </si>
  <si>
    <t>REMOÇÃO DE CHAPAS E PERFIS DE DRYWALL, DE FORMA MANUAL, SEM REAPROVEITAMENTO</t>
  </si>
  <si>
    <t>Frente da Escola</t>
  </si>
  <si>
    <t>Lateral da Escola</t>
  </si>
  <si>
    <t>Paredes Banheiros Sala da Secretaria</t>
  </si>
  <si>
    <t>Parede da Sala dos Professores</t>
  </si>
  <si>
    <t>Cozinha e Deposito</t>
  </si>
  <si>
    <t>Horta</t>
  </si>
  <si>
    <t>Pilar da Caixa D' Agua</t>
  </si>
  <si>
    <t>CP-DEM-04</t>
  </si>
  <si>
    <t>REMOÇÃO DAS DIVISÓRIAS DE PAREDES SEM REAPROVEITAMENTO</t>
  </si>
  <si>
    <t>CP-DEM-05</t>
  </si>
  <si>
    <t>REMOÇÃO DE BRINQUEDOS SEM REAPROVEITAMENTO</t>
  </si>
  <si>
    <t>CP-DEM-06</t>
  </si>
  <si>
    <t>REMOÇÃO DE CONJUNTO DE BANCOS E MESAS DE CONCRETO SEM REAPROVEITAMENTO</t>
  </si>
  <si>
    <t>CP-DEM-07</t>
  </si>
  <si>
    <t>REMOÇÃO DE TOLDO SEM REAPROVEITAMENTO</t>
  </si>
  <si>
    <t>Palco</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</si>
  <si>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</si>
  <si>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</si>
  <si>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</si>
  <si>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</si>
  <si>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</si>
  <si>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</si>
  <si>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</si>
  <si>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</si>
  <si>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</si>
  <si>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</si>
  <si>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</si>
  <si>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</si>
  <si>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</si>
  <si>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</si>
  <si>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</si>
  <si>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</si>
  <si>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</si>
  <si>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</si>
  <si>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</si>
  <si>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</si>
  <si>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</si>
  <si>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</si>
  <si>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</si>
  <si>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</si>
  <si>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</si>
  <si>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</si>
  <si>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</si>
  <si>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</si>
  <si>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</si>
  <si>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</si>
  <si>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</si>
  <si>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</si>
  <si>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</si>
  <si>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</si>
  <si>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</si>
  <si>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</si>
  <si>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</si>
  <si>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</si>
  <si>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</si>
  <si>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</si>
  <si>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</si>
  <si>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</si>
  <si>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</si>
  <si>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</si>
  <si>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</si>
  <si>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</si>
  <si>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</si>
  <si>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</si>
  <si>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</si>
  <si>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</si>
  <si>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</si>
  <si>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</si>
  <si>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</si>
  <si>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</si>
  <si>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</si>
  <si>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</si>
  <si>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</si>
  <si>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</si>
  <si>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</si>
  <si>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</si>
  <si>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</si>
  <si>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</si>
  <si>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</si>
  <si>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</si>
  <si>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</si>
  <si>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</si>
  <si>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</si>
  <si>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</si>
  <si>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</si>
  <si>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</si>
  <si>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</si>
  <si>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</si>
  <si>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</si>
  <si>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</si>
  <si>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</si>
  <si>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</si>
  <si>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</si>
  <si>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</si>
  <si>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</si>
  <si>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</si>
  <si>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</si>
  <si>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</si>
  <si>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</si>
  <si>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</si>
  <si>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</si>
  <si>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</si>
  <si>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</si>
  <si>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</si>
  <si>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</si>
  <si>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</si>
  <si>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</si>
  <si>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</si>
  <si>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</si>
  <si>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</si>
  <si>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</si>
  <si>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</si>
  <si>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</si>
  <si>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</si>
  <si>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</si>
  <si>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</si>
  <si>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</si>
  <si>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</si>
  <si>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</si>
  <si>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</si>
  <si>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</si>
  <si>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</si>
  <si>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</si>
  <si>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</si>
  <si>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</si>
  <si>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</si>
  <si>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</si>
  <si>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</si>
  <si>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</si>
  <si>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</si>
  <si>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MICTÓRIO SIFONADO LOUÇA BRANCA PARA ENTRADA DE ÁGUA EMBUTIDA  PADRÃO ALTO  FORNECIMENTO E INSTALAÇÃO. AF_01/2020</t>
  </si>
  <si>
    <t>VASO SANITÁRIO SIFONADO COM CAIXA ACOPLADA, LOUÇA BRANCA - PADRÃO ALTO - FORNECIMENTO E INSTALAÇÃO. AF_01/2020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</si>
  <si>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</si>
  <si>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</si>
  <si>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</si>
  <si>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</si>
  <si>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</si>
  <si>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</si>
  <si>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</si>
  <si>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</si>
  <si>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</si>
  <si>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</si>
  <si>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</si>
  <si>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</si>
  <si>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</si>
  <si>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</si>
  <si>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</si>
  <si>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</si>
  <si>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</si>
  <si>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</si>
  <si>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</si>
  <si>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</si>
  <si>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</si>
  <si>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</si>
  <si>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</si>
  <si>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</si>
  <si>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</si>
  <si>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</si>
  <si>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</si>
  <si>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</si>
  <si>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</si>
  <si>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</si>
  <si>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</si>
  <si>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</si>
  <si>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</si>
  <si>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</si>
  <si>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</si>
  <si>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</si>
  <si>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</si>
  <si>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</si>
  <si>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</si>
  <si>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</si>
  <si>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</si>
  <si>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</si>
  <si>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</si>
  <si>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</si>
  <si>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</si>
  <si>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</si>
  <si>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</si>
  <si>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</si>
  <si>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</si>
  <si>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</si>
  <si>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</si>
  <si>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</si>
  <si>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</si>
  <si>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</si>
  <si>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</si>
  <si>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</si>
  <si>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</si>
  <si>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</si>
  <si>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perimetro (m)</t>
  </si>
  <si>
    <t>Oitão</t>
  </si>
  <si>
    <t>area(m²)</t>
  </si>
  <si>
    <t>Todo muro interno e muro da frente da escola</t>
  </si>
  <si>
    <t>Todo muro interno e muro frontal</t>
  </si>
  <si>
    <t>altura/pé direito (m)</t>
  </si>
  <si>
    <t xml:space="preserve"> muro frontal</t>
  </si>
  <si>
    <t>TODO AMBIENTE LIXADO PARA RECEBER PINTURA. APLICAÇÃO BARRODO</t>
  </si>
  <si>
    <t>BANHEIRO FEM. E MASC.</t>
  </si>
  <si>
    <t>BANHEIRO SALA DOS PROF.</t>
  </si>
  <si>
    <t>REFEITORIO</t>
  </si>
  <si>
    <t>DML E QD. ELETRICO</t>
  </si>
  <si>
    <t>CP-PIS-02</t>
  </si>
  <si>
    <t>PISO EM GRANILITE, MARMORITE OU GRANITINA EM AMBIENTES INTERNOS</t>
  </si>
  <si>
    <t>SALA DOS PROF.</t>
  </si>
  <si>
    <t>SALAS DE AULAS</t>
  </si>
  <si>
    <t>SECRETARIA</t>
  </si>
  <si>
    <t>DIRETORIA</t>
  </si>
  <si>
    <t>DML</t>
  </si>
  <si>
    <t>Q.D ELETRICO</t>
  </si>
  <si>
    <t>CORREDOR</t>
  </si>
  <si>
    <t>quant. repetições</t>
  </si>
  <si>
    <t>CALÇADA FRENTE DA ESCOLA</t>
  </si>
  <si>
    <t>area (m²)</t>
  </si>
  <si>
    <t>repetições</t>
  </si>
  <si>
    <t>J2 COZINHA</t>
  </si>
  <si>
    <t>J4 COZINHA</t>
  </si>
  <si>
    <t>CP-SD-06</t>
  </si>
  <si>
    <t xml:space="preserve">COIFA INDUSTRIAL EM INOX (1,30X2,75X0,5) COM EXAUSTORES, DUTOS, CURVAS E CHAPÉUS DE 300MM(30 CM) EM INOX CONFORME PROJETO - FORNECIMENTO E INSTALAÇÃO </t>
  </si>
  <si>
    <t>3.24</t>
  </si>
  <si>
    <t>3.25</t>
  </si>
  <si>
    <t>3.26</t>
  </si>
  <si>
    <t>3.27</t>
  </si>
  <si>
    <t>3.28</t>
  </si>
  <si>
    <t>7.0</t>
  </si>
  <si>
    <t>7.1</t>
  </si>
  <si>
    <t>7.1.1</t>
  </si>
  <si>
    <t>7.2</t>
  </si>
  <si>
    <t>7.2.1</t>
  </si>
  <si>
    <t>7.2.2</t>
  </si>
  <si>
    <t>7.2.3</t>
  </si>
  <si>
    <t>7.2.4</t>
  </si>
  <si>
    <t>8.1</t>
  </si>
  <si>
    <t>8.2</t>
  </si>
  <si>
    <t>9.1</t>
  </si>
  <si>
    <t>9.2</t>
  </si>
  <si>
    <t>9.3</t>
  </si>
  <si>
    <t>11.1</t>
  </si>
  <si>
    <t>11.2</t>
  </si>
  <si>
    <t>11.3</t>
  </si>
  <si>
    <t>11.4</t>
  </si>
  <si>
    <t>11.5</t>
  </si>
  <si>
    <t>11.6</t>
  </si>
  <si>
    <t>11.7</t>
  </si>
  <si>
    <t>11.8</t>
  </si>
  <si>
    <t>12.1</t>
  </si>
  <si>
    <t>13.1</t>
  </si>
  <si>
    <t>13.2</t>
  </si>
  <si>
    <t>13.3</t>
  </si>
  <si>
    <t>14.1</t>
  </si>
  <si>
    <t>LATERAL DE ESCOLA</t>
  </si>
  <si>
    <t>CP-PAI-01</t>
  </si>
  <si>
    <t>PEDRA BRITADA N. 1 (9,5 a 19 MM) POSTO PEDREIRA/FORNECEDOR - FORNECIMENTO E INSTALAÇÃO</t>
  </si>
  <si>
    <t>BANHEIRO PNE PARA PAREDES</t>
  </si>
  <si>
    <t>BANHEIRO PNE PARA PORTAS</t>
  </si>
  <si>
    <t>ASSENTO SANITÁRIO ELEVADO PARA PNE- FORNECIMENTO E INSTALAÇÃO</t>
  </si>
  <si>
    <t>ASSENTO ELEVADO PNE</t>
  </si>
  <si>
    <t>COBERTURA E PROJEÇÕES</t>
  </si>
  <si>
    <t>Cobogó Sala da Diretoria</t>
  </si>
  <si>
    <t>Rampa de acesso Escola</t>
  </si>
  <si>
    <t>Parede (Banheiro)</t>
  </si>
  <si>
    <t>Piso (Banheiro)</t>
  </si>
  <si>
    <t xml:space="preserve"> Piso (Salas a serem demolidas)</t>
  </si>
  <si>
    <t>Parede (Cozinha)</t>
  </si>
  <si>
    <t xml:space="preserve"> Piso (Cantina)</t>
  </si>
  <si>
    <t xml:space="preserve"> Parede (Cantina)</t>
  </si>
  <si>
    <t>Telha 1</t>
  </si>
  <si>
    <t>Telha 2</t>
  </si>
  <si>
    <t>Telha 3</t>
  </si>
  <si>
    <t>P6 - (Madeira)</t>
  </si>
  <si>
    <t>P7 - (Ferro)</t>
  </si>
  <si>
    <t>P8 - (Ferro)</t>
  </si>
  <si>
    <t>P10 - (Ferro)</t>
  </si>
  <si>
    <t>P9 - (Eucatex)</t>
  </si>
  <si>
    <t>Divisória Secretaria</t>
  </si>
  <si>
    <t>Divisória Diretoria</t>
  </si>
  <si>
    <t>Divisória Sala dos Professores</t>
  </si>
  <si>
    <t>Calçada da lateral</t>
  </si>
  <si>
    <t>PISO GRANILITE COZINHA</t>
  </si>
  <si>
    <t>CONTRA PISO SALAS EXTERNAS</t>
  </si>
  <si>
    <t>CONTRA PISO CORREDOR DAS SALAS EXTERNAS</t>
  </si>
  <si>
    <t>PISO GRANILITE DO REFEITORIO</t>
  </si>
  <si>
    <t>PISO GRANILITE DESPENSA DA COZINHA</t>
  </si>
  <si>
    <t>PISO GRANILITE BANCADA NA FRENTE COZINHA</t>
  </si>
  <si>
    <t>CONTRA PISO DEPOSITO EXTERNAS</t>
  </si>
  <si>
    <t>DEMOLIÇÃO DE CONCRETO SIMPLES/PISO GRANILITE/CONTRAPISO DE FORMA MECANIZADA SEM REAPROVEITAMENTO</t>
  </si>
  <si>
    <t>vão</t>
  </si>
  <si>
    <t>Parede Sala dos Professores</t>
  </si>
  <si>
    <t>Parede (bannheiro sala dos projessores)</t>
  </si>
  <si>
    <t>Parede (Banheiro da Secretaria)</t>
  </si>
  <si>
    <t>Paredes externas da Cantina</t>
  </si>
  <si>
    <t>Parede atras do Palco</t>
  </si>
  <si>
    <t>CP-REV-02</t>
  </si>
  <si>
    <t>J10</t>
  </si>
  <si>
    <t>J7 - PASSA PRATO</t>
  </si>
  <si>
    <t>J8 - PASSA PAPEL</t>
  </si>
  <si>
    <t>CP-ESQ-05</t>
  </si>
  <si>
    <t>JANELA DE VIDRO PASSA PAPEL, FORNECIMENTO E INSTALAÇÃO</t>
  </si>
  <si>
    <t>JANELA DE ALUMÍNIO DE CORRER, 2 FOLHAS, FIXAÇÃO COM ARGAMASSA, COM VIDROS, PADRONIZADA INCLUSO PEITORIL EM GRANILITE 60CM (ABERTURA NA VERTICAL "PASSA PRATO" - FORNECIMENTO E INSTALAÇÃO</t>
  </si>
  <si>
    <t>P4</t>
  </si>
  <si>
    <t>CP-ESQ-06</t>
  </si>
  <si>
    <t>PORTA DE FERRO, DE ABRIR, TIPO CHAPA CORRUGADA, COM GUARNICOES E FECHADURA - 0,60 X 2,10 M</t>
  </si>
  <si>
    <t>PO 1</t>
  </si>
  <si>
    <t>PO2</t>
  </si>
  <si>
    <t>PO3</t>
  </si>
  <si>
    <t>CP-ELE-10</t>
  </si>
  <si>
    <t>REFLETOR LED 100 W - FORNECIMENTO E INSTALAÇÃO</t>
  </si>
  <si>
    <t>CP-ELE-12</t>
  </si>
  <si>
    <t xml:space="preserve">DISPOSITIVO DR, 2 POLOS, SENSIBILIDADE DE 30 MA, CORRENTE DE 25 A   </t>
  </si>
  <si>
    <t>CP-ELE-11</t>
  </si>
  <si>
    <t>DISPOSITIVO DR, 2 POLOS, SENSIBILIDADE DE 30 MA, CORRENTE DE 40 A</t>
  </si>
  <si>
    <t>LUMINARIA DE TETO PLAFON/PLAFONIER EM PLASTICO COM BASE E27, POTENCIA 40 W (INCLUI LAMPADA LED) - FORNECIMENTO E INSTALAÇÃO</t>
  </si>
  <si>
    <t>LÂMPADA LED 40W</t>
  </si>
  <si>
    <t>CP-ELE-09</t>
  </si>
  <si>
    <t xml:space="preserve">QUADRO DE DISTRIBUICAO COM BARRAMENTO TRIFASICO, DE EMBUTIR, EM CHAPA DE ACO GALVANIZADO, PARA 48 DISJUNTORES DIN  </t>
  </si>
  <si>
    <t>11.9</t>
  </si>
  <si>
    <t>VENTILAÇÃO</t>
  </si>
  <si>
    <t>CABO UNIPOLAR (COBRE)</t>
  </si>
  <si>
    <t>EMBUTIDOS</t>
  </si>
  <si>
    <t>LOCAL: EMEB PROFESSORA LIBIA COSTA RONDON</t>
  </si>
  <si>
    <t xml:space="preserve">OBRA: REFORMA E AMPLIAÇÃO DA ESCOLA MUNICIPAL DE EDUCAÇÃO BASICA </t>
  </si>
  <si>
    <t>ENDEREÇO: AVENIDA PRINCIPAL, S/N, BAIRRO 24 DE DEZEMBRO</t>
  </si>
  <si>
    <r>
      <t>MUNICÍPIO:</t>
    </r>
    <r>
      <rPr>
        <sz val="12"/>
        <rFont val="Arial"/>
        <family val="2"/>
      </rPr>
      <t xml:space="preserve"> </t>
    </r>
    <r>
      <rPr>
        <b/>
        <sz val="12"/>
        <rFont val="Arial"/>
        <family val="2"/>
      </rPr>
      <t>VÁRZEA GRANDE - MT</t>
    </r>
  </si>
  <si>
    <t>Muro - Vista 3</t>
  </si>
  <si>
    <t>Muro - Vista 4</t>
  </si>
  <si>
    <t>P11 - (Ferro)</t>
  </si>
  <si>
    <t>Grade (salas que seram demolidas)</t>
  </si>
  <si>
    <t xml:space="preserve">Pilar dos muros </t>
  </si>
  <si>
    <t>PISO GRANILITE LATERAL DA COZINHA</t>
  </si>
  <si>
    <t>Piso (bannheiro sala dos projessores)</t>
  </si>
  <si>
    <t xml:space="preserve">Piso da Rampa da entrada </t>
  </si>
  <si>
    <t>Grade (casa de gás)</t>
  </si>
  <si>
    <t>Sifão</t>
  </si>
  <si>
    <t>Engate</t>
  </si>
  <si>
    <t>Viga da Caixa D' Agua</t>
  </si>
  <si>
    <t>REMOÇÃO DA CAIXA D'AGUA 5000L SEM REAPROVEITAMENTO</t>
  </si>
  <si>
    <t>BASE DA CAIXA D'ÁGUA</t>
  </si>
  <si>
    <t>CP-DEM-08</t>
  </si>
  <si>
    <t>CP-DEM-09</t>
  </si>
  <si>
    <t>REMOÇÃO DE PERGOLADO SEM REAPROVEITAMENTO</t>
  </si>
  <si>
    <t>CP-DEM-10</t>
  </si>
  <si>
    <t>REMOÇÃO DE ALAMBRADO SEM REAPROVEITAMENTO</t>
  </si>
  <si>
    <t>comp. (m)</t>
  </si>
  <si>
    <t>CP-SD-07</t>
  </si>
  <si>
    <t>RECUPERAÇÃO DO PERGOLADO SEM REAPROVEITAMENTO</t>
  </si>
  <si>
    <t>PERGOLADO DO PALCO</t>
  </si>
  <si>
    <t>REGULARIZAÇÃO DO PAVER EXISTENTE</t>
  </si>
  <si>
    <t>CURVA LONGA 45 GRAUS, PVC, SERIE NORMAL, ESGOTO PREDIAL, DN 50 MM, JUNTA ELÁSTICA, FORNECIDO E INSTALADO EM RAMAL DE DESCARGA OU RAMAL DE ESGOTO SANITÁRIO</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</si>
  <si>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</si>
  <si>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</si>
  <si>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</si>
  <si>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</si>
  <si>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</si>
  <si>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</si>
  <si>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</si>
  <si>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</si>
  <si>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</si>
  <si>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</si>
  <si>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</si>
  <si>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</si>
  <si>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</si>
  <si>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</si>
  <si>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</si>
  <si>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</si>
  <si>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</si>
  <si>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</si>
  <si>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</si>
  <si>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</si>
  <si>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</si>
  <si>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</si>
  <si>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</si>
  <si>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</si>
  <si>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</si>
  <si>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</si>
  <si>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</si>
  <si>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</si>
  <si>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</si>
  <si>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</si>
  <si>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</si>
  <si>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</si>
  <si>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</si>
  <si>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</si>
  <si>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</si>
  <si>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</si>
  <si>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</si>
  <si>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</si>
  <si>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</si>
  <si>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</si>
  <si>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</si>
  <si>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</si>
  <si>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</si>
  <si>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</si>
  <si>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</si>
  <si>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</si>
  <si>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</si>
  <si>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</si>
  <si>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</si>
  <si>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</si>
  <si>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</si>
  <si>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</si>
  <si>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</si>
  <si>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</si>
  <si>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</si>
  <si>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</si>
  <si>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</si>
  <si>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</si>
  <si>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</si>
  <si>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</si>
  <si>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</si>
  <si>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</si>
  <si>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</si>
  <si>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</si>
  <si>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</si>
  <si>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</si>
  <si>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</si>
  <si>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</si>
  <si>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</si>
  <si>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</si>
  <si>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</si>
  <si>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</si>
  <si>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</si>
  <si>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</si>
  <si>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</si>
  <si>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</si>
  <si>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</si>
  <si>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</si>
  <si>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</si>
  <si>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</si>
  <si>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</si>
  <si>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</si>
  <si>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</si>
  <si>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</si>
  <si>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</si>
  <si>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</si>
  <si>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</si>
  <si>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</si>
  <si>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</si>
  <si>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</si>
  <si>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</si>
  <si>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</si>
  <si>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</si>
  <si>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</si>
  <si>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</si>
  <si>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</si>
  <si>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</si>
  <si>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</si>
  <si>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</si>
  <si>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</si>
  <si>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</si>
  <si>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</si>
  <si>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</si>
  <si>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</si>
  <si>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</si>
  <si>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</si>
  <si>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</si>
  <si>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</si>
  <si>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</si>
  <si>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</si>
  <si>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</si>
  <si>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</si>
  <si>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CORTE E DOBRA DE AÇO CA-60, DIÂMETRO DE 5,0 MM, UTILIZADO EM ESTRIBO CONTÍNUO HELICOIDAL. AF_09/2021</t>
  </si>
  <si>
    <t>CORTE E DOBRA DE AÇO CA-50, DIÂMETRO DE 6,3 MM, UTILIZADO EM ESTRIBO CONTÍNUO HELICOIDAL. AF_09/2021</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</si>
  <si>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</si>
  <si>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</si>
  <si>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</si>
  <si>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</si>
  <si>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</si>
  <si>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</si>
  <si>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</si>
  <si>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</si>
  <si>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</si>
  <si>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</si>
  <si>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</si>
  <si>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</si>
  <si>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</si>
  <si>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</si>
  <si>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</si>
  <si>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</si>
  <si>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</si>
  <si>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</si>
  <si>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</si>
  <si>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</si>
  <si>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</si>
  <si>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</si>
  <si>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</si>
  <si>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</si>
  <si>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</si>
  <si>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</si>
  <si>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</si>
  <si>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TRATAMENTO DE JUNTA DE DILATAÇÃO, COM TARUGO DE POLIETILENO E SELANTE PU, INCLUSO PREENCHIMENTO COM ESPUMA EXPANSIVA PU. AF_06/2018</t>
  </si>
  <si>
    <t>TRATAMENTO DE JUNTA SERRADA, COM TARUGO DE POLIETILENO E SELANTE À BASE DE SILICONE. AF_06/2018</t>
  </si>
  <si>
    <t>TORNEIRA CROMADA DE MESA PARA LAVATORIO, TIPO MONOCOMANDO.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</si>
  <si>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</si>
  <si>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</si>
  <si>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</si>
  <si>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</si>
  <si>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</si>
  <si>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</si>
  <si>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</si>
  <si>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</si>
  <si>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</si>
  <si>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</si>
  <si>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</si>
  <si>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</si>
  <si>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</si>
  <si>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</si>
  <si>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</si>
  <si>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</si>
  <si>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</si>
  <si>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</si>
  <si>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</si>
  <si>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</si>
  <si>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</si>
  <si>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</si>
  <si>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</si>
  <si>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</si>
  <si>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</si>
  <si>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</si>
  <si>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</si>
  <si>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</si>
  <si>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</si>
  <si>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</si>
  <si>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</si>
  <si>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</si>
  <si>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</si>
  <si>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</si>
  <si>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</si>
  <si>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</si>
  <si>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</si>
  <si>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</si>
  <si>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</si>
  <si>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</si>
  <si>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</si>
  <si>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</si>
  <si>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</si>
  <si>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</si>
  <si>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</si>
  <si>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</si>
  <si>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</si>
  <si>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</si>
  <si>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</si>
  <si>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</si>
  <si>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</si>
  <si>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</si>
  <si>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</si>
  <si>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</si>
  <si>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</si>
  <si>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</si>
  <si>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</si>
  <si>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</si>
  <si>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</si>
  <si>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</si>
  <si>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</si>
  <si>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</si>
  <si>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</si>
  <si>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</si>
  <si>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</si>
  <si>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</si>
  <si>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</si>
  <si>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</si>
  <si>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</si>
  <si>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</si>
  <si>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</si>
  <si>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</si>
  <si>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</si>
  <si>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</si>
  <si>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</si>
  <si>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</si>
  <si>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</si>
  <si>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</si>
  <si>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</si>
  <si>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</si>
  <si>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</si>
  <si>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</si>
  <si>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</si>
  <si>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</si>
  <si>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SUPORTE PARA ELETROCALHA LISA OU PERFURADA EM AÇO GALVANIZADO, LARGURA 500 OU 800 MM E ALTURA 50 MM, ESPAÇADO A CADA 1,5 M, EM PERFILADO DE SEÇÃO 38X76 MM, POR METRO DE ELETROCALHA FIXADA. AF_07/2017</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</si>
  <si>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</si>
  <si>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</si>
  <si>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</si>
  <si>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</si>
  <si>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</si>
  <si>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</si>
  <si>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</si>
  <si>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</si>
  <si>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RECOMPOSIÇÃO DE PAVIMENTO EM PISO INTERTRAVADO, COM REAPROVEITAMENTO DOS BLOCOS INTERTRAVADOS, PARA FECHAMENTO DE VALAS - INCLUSO RETIRADA E COLOCAÇÃO DO MATERIAL. AF_12/2020</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</si>
  <si>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</si>
  <si>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</si>
  <si>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</si>
  <si>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</si>
  <si>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</si>
  <si>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</si>
  <si>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</si>
  <si>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</si>
  <si>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</si>
  <si>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</si>
  <si>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</si>
  <si>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</si>
  <si>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</si>
  <si>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</si>
  <si>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DE TUBOS PLÁSTICOS, DN 400 MM, EM CAMINHÃO CARROCERIA COM GUINDAUTO (MUNCK) 11,7 TM. AF_07/2020</t>
  </si>
  <si>
    <t>BUCHA DE REDUCAO DE PVC, SOLDAVEL, LONGA, COM 50 X 25 MM, PARA AGUA FRIA PREDIAL-  FORNECIMENTO E INSTALAÇÃO</t>
  </si>
  <si>
    <t>REGULADOR 1º ESTAGIO COM MANOMETRO - FORNECIMENTO E INSTALAÇÃO</t>
  </si>
  <si>
    <t>REGULADOR 2º ESTAGIO COM REGISTRO E MANGUEIRA FLEXÍVEL - FORNECIMENTO E INSTALAÇÃO</t>
  </si>
  <si>
    <t>INSTALAÇÃO DE GAS GLP TUBOS, CONEXÕES E ACESSÓRIOS - INCLUSO REGULADOR 1º E 2º ESTAGIO E MANÔMETRO</t>
  </si>
  <si>
    <t>Paredes das Salas que seraão Demolidas conforme projeto</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</si>
  <si>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</si>
  <si>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</si>
  <si>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</si>
  <si>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</si>
  <si>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</si>
  <si>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</si>
  <si>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</si>
  <si>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</si>
  <si>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</si>
  <si>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</si>
  <si>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</si>
  <si>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</si>
  <si>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</si>
  <si>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</si>
  <si>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</si>
  <si>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</si>
  <si>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</si>
  <si>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</si>
  <si>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</si>
  <si>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</si>
  <si>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</si>
  <si>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</si>
  <si>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</si>
  <si>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</si>
  <si>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</si>
  <si>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</si>
  <si>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</si>
  <si>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</si>
  <si>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</si>
  <si>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</si>
  <si>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</si>
  <si>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</si>
  <si>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</si>
  <si>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</si>
  <si>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</si>
  <si>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CONTRAMARCO DE ALUMÍNIO, FIXAÇÃO COM ARGAMASSA - FORNECIMENTO E INSTALAÇÃO. AF_12/2019</t>
  </si>
  <si>
    <t>CONTRAMARCO DE ALUMÍNIO, FIXAÇÃO COM PARAFUSO - FORNECIMENTO E INSTALAÇÃO. AF_12/2019</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</si>
  <si>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</si>
  <si>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</si>
  <si>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</si>
  <si>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</si>
  <si>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</si>
  <si>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</si>
  <si>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</si>
  <si>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</si>
  <si>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</si>
  <si>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</si>
  <si>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</si>
  <si>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</si>
  <si>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</si>
  <si>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</si>
  <si>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</si>
  <si>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</si>
  <si>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</si>
  <si>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</si>
  <si>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</si>
  <si>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</si>
  <si>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</si>
  <si>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</si>
  <si>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</si>
  <si>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</si>
  <si>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</si>
  <si>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</si>
  <si>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</si>
  <si>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</si>
  <si>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</si>
  <si>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</si>
  <si>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</si>
  <si>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</si>
  <si>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</si>
  <si>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</si>
  <si>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</si>
  <si>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</si>
  <si>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</si>
  <si>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</si>
  <si>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</si>
  <si>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</si>
  <si>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</si>
  <si>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</si>
  <si>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</si>
  <si>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</si>
  <si>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</si>
  <si>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</si>
  <si>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</si>
  <si>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</si>
  <si>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</si>
  <si>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</si>
  <si>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</si>
  <si>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</si>
  <si>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</si>
  <si>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</si>
  <si>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</si>
  <si>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</si>
  <si>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</si>
  <si>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</si>
  <si>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</si>
  <si>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</si>
  <si>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</si>
  <si>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</si>
  <si>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</si>
  <si>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</si>
  <si>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</si>
  <si>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</si>
  <si>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</si>
  <si>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</si>
  <si>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</si>
  <si>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</si>
  <si>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</si>
  <si>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</si>
  <si>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</si>
  <si>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</si>
  <si>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</si>
  <si>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</si>
  <si>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</si>
  <si>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</si>
  <si>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</si>
  <si>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</si>
  <si>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</si>
  <si>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</si>
  <si>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</si>
  <si>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</si>
  <si>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</si>
  <si>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</si>
  <si>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</si>
  <si>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</si>
  <si>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</si>
  <si>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</si>
  <si>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</si>
  <si>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</si>
  <si>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</si>
  <si>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</si>
  <si>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</si>
  <si>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</si>
  <si>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</si>
  <si>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</si>
  <si>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</si>
  <si>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</si>
  <si>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</si>
  <si>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</si>
  <si>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</si>
  <si>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</si>
  <si>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</si>
  <si>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</si>
  <si>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</si>
  <si>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</si>
  <si>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</si>
  <si>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</si>
  <si>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</si>
  <si>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</si>
  <si>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</si>
  <si>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</si>
  <si>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</si>
  <si>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</si>
  <si>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</si>
  <si>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</si>
  <si>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</si>
  <si>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</si>
  <si>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</si>
  <si>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</si>
  <si>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</si>
  <si>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</si>
  <si>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DE GESSO DE 7X50X66CM (ESPESSURA 7CM). AF_05/2020</t>
  </si>
  <si>
    <t>ALVENARIA DE VEDAÇÃO DE BLOCOS DE GESSO DE 10X50X66CM (ESPESSURA 10CM). AF_05/2020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</si>
  <si>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</si>
  <si>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</si>
  <si>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</si>
  <si>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</si>
  <si>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</si>
  <si>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</si>
  <si>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</si>
  <si>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</si>
  <si>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(COMPOSIÇÃO REPRESENTATIVA) DO SERVIÇO DE REVESTIMENTO CERÂMICO PARA PAREDES INTERNAS, MEIA OU PAREDE INTEIRA, PLACAS TIPO ESMALTADA EXTRA DE 20X20 CM, PARA EDIFICAÇÕES HABITACIONAIS UNIFAMILIAR (CASAS) E EDIFICAÇÕES PÚBLICAS PADRÃO. AF_11/2014</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</si>
  <si>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</si>
  <si>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</si>
  <si>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</si>
  <si>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</si>
  <si>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</si>
  <si>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</si>
  <si>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</si>
  <si>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</si>
  <si>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</si>
  <si>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</si>
  <si>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</si>
  <si>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</si>
  <si>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</si>
  <si>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</si>
  <si>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</si>
  <si>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</si>
  <si>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</si>
  <si>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</si>
  <si>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</si>
  <si>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</si>
  <si>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</si>
  <si>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</si>
  <si>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Sapatas 0,65M X 0,75M CENTRALIZADAS</t>
  </si>
  <si>
    <t>Sapatas 0,65M X 0,75M EXCÊNTRICAS</t>
  </si>
  <si>
    <t>INCLUSO PESCOÇO PILARES COZINHA</t>
  </si>
  <si>
    <t xml:space="preserve">Sapatas 0,65M X 0,75M </t>
  </si>
  <si>
    <t>ESTRUTURAL (INFRAESTRUTURA E SUPERESTRUTURA)</t>
  </si>
  <si>
    <t>CP-FUN-01</t>
  </si>
  <si>
    <t>ESTACA BROCA DE CONCRETO, DIÂMETRO DE 30CM, ESCAVAÇÃO MANUAL COM TRADO CONCHA, INTEIRAMENTE ARMADA.</t>
  </si>
  <si>
    <t>ESTACAS MURO ( VERIFICAR SESSÃO DO PILAR E VIGA PARA MONTAGEM DE ARMADURA DA ESTACA PARA JUNÇÃO DOS ARRANQUES)</t>
  </si>
  <si>
    <t>VIGA BALDRAME ( COZINHA E MURO)</t>
  </si>
  <si>
    <t>IMPERMEABILIZAÇÃO 3 FACES</t>
  </si>
  <si>
    <t>PILAR (COZINHA E MURO)</t>
  </si>
  <si>
    <t>SAPATA E ESTACA- (COZINHA, MURO E RAMPA)</t>
  </si>
  <si>
    <t>cinta de amarração para muro</t>
  </si>
  <si>
    <t>CP-FUN-02</t>
  </si>
  <si>
    <t>ESTACA BROCA DE CONCRETO, DIÂMETRO DE 20CM, ESCAVAÇÃO MANUAL COM TRADO CONCHA, INTEIRAMENTE ARMADA.</t>
  </si>
  <si>
    <t>VIGAS (COZINHA, MURO E RAMPA)</t>
  </si>
  <si>
    <t>cinta de amarração RAMPA DESDE O NIVEL 0 COM ALTURA FINAL DE 0,5</t>
  </si>
  <si>
    <t>FECHAMENTOS INTERNOS E EXTERNOS</t>
  </si>
  <si>
    <t xml:space="preserve">MURO </t>
  </si>
  <si>
    <t>INCLUSO REQUADROS VERGAS E CONTRA VERGAS</t>
  </si>
  <si>
    <t>PISOS INTERNOS E EXTERNOS</t>
  </si>
  <si>
    <t>LIXAMENTO DE ALVENARIA PARA REMOÇÃO DE TINTAS E OUTRAS IMPUREZAS (2 DEMÃO)</t>
  </si>
  <si>
    <t>APICOAMENTO MANUAL DE SUPERFICIE DE CONCRETO EXISTENTE</t>
  </si>
  <si>
    <t>TODA AREA ONDE FOI REMOVIDO OS REVESTIMENTOS DAS PAREDES</t>
  </si>
  <si>
    <t xml:space="preserve">LIXAMENTO DE TODA ALVENARIA PARA REMOÇÃO DE TINTA E IMPUREZAS </t>
  </si>
  <si>
    <t>Todas as janelas exeto as J7 e J8</t>
  </si>
  <si>
    <t>Area</t>
  </si>
  <si>
    <t>J7</t>
  </si>
  <si>
    <t>J8</t>
  </si>
  <si>
    <t>Bancadas (cozinha e banheiro)</t>
  </si>
  <si>
    <t>J9</t>
  </si>
  <si>
    <t>linear(m)</t>
  </si>
  <si>
    <t>RAMPA LATERAL</t>
  </si>
  <si>
    <t xml:space="preserve">SALA DOS PROF. </t>
  </si>
  <si>
    <t>CP-SD-08</t>
  </si>
  <si>
    <t>BEBEDOURO INDUSTRIAL SUSPENSO 200 LITROS INCLUSIVE CUBA DE INOX COM TORNEIRAS, ENGATE FLEXIVEL E SIFÃO - FORNECIMENTO E INSTALAÇÃO</t>
  </si>
  <si>
    <t>BEBEDOURO INDUSTRIAL SUSPENSO 200 LITROS INCLUSIVE CUBA DE INOX PARA 3 TORNEIRAS</t>
  </si>
  <si>
    <t>CUBA DA COZINHA</t>
  </si>
  <si>
    <t>CP-HIDR-18</t>
  </si>
  <si>
    <t>CUBA DE INOX PARA PIA (0,60X0,50X0,50) COM VALVULA EM METAL E SIFÃO EM METAL - FORNECIMENTO E INSTALAÇÃO</t>
  </si>
  <si>
    <t>CUBA DE INOX PARA PIA (0,60X0,50X0,50)</t>
  </si>
  <si>
    <t xml:space="preserve">CUBA DO BANHEIRO </t>
  </si>
  <si>
    <t>CUBA DO BANHEIRO PNE</t>
  </si>
  <si>
    <t>CP-HIDR-19</t>
  </si>
  <si>
    <t>LAVATÓRIO DE CANTO SUSPENSO PCD COM BARRA DE INOX - FORNECIMENTO E INSTALAÇÃO</t>
  </si>
  <si>
    <t>CP-HIDR-20</t>
  </si>
  <si>
    <t xml:space="preserve">JOELHO DE REDUÇÃO, PVC, ROSCAVEL,  90 GRAUS, 1/2'' - FORNECIMENTO E INSTALAÇÃO. </t>
  </si>
  <si>
    <t>RADIER - IMPERMEABILIZADO</t>
  </si>
  <si>
    <t>ALVENARIA</t>
  </si>
  <si>
    <t>LAJE - IMPERMEABILIZADA</t>
  </si>
  <si>
    <t>IMPERMEABILIZAÇÃO ATÉ 1,50M EM TODA ALVENARIA INCLUSIVE LAJE E RADIER</t>
  </si>
  <si>
    <t>CP-SD-09</t>
  </si>
  <si>
    <t>PLACA DE INAUGURACAO METALICA, *40* CM X *60* CM - FORNECIMENTO E INSTALAÇÃO</t>
  </si>
  <si>
    <t>MURO DA COZINHA COM REFEITORIO</t>
  </si>
  <si>
    <t>ENTRE O MURO EXISTENTE COM NOVO</t>
  </si>
  <si>
    <t>CALÇADAS LATERAIS DA ESCOLA</t>
  </si>
  <si>
    <t>RAMPA DE ACESSO LATERAL</t>
  </si>
  <si>
    <t>AGUAS PLUVIAIS</t>
  </si>
  <si>
    <t>PARA QUADRA</t>
  </si>
  <si>
    <t xml:space="preserve">TELHAMENTO </t>
  </si>
  <si>
    <t>AGUA FRIA</t>
  </si>
  <si>
    <t>3.29</t>
  </si>
  <si>
    <t>3.30</t>
  </si>
  <si>
    <t>3.31</t>
  </si>
  <si>
    <t>5.1.3</t>
  </si>
  <si>
    <t>5.1.4</t>
  </si>
  <si>
    <t>5.1.5</t>
  </si>
  <si>
    <t>5.1.6</t>
  </si>
  <si>
    <t>5.1.7</t>
  </si>
  <si>
    <t>5.1.8</t>
  </si>
  <si>
    <t>5.1.9</t>
  </si>
  <si>
    <t>5.1.10</t>
  </si>
  <si>
    <t>5.1.11</t>
  </si>
  <si>
    <t>5.1.12</t>
  </si>
  <si>
    <t>5.1.13</t>
  </si>
  <si>
    <t>5.2</t>
  </si>
  <si>
    <t>5.2.1</t>
  </si>
  <si>
    <t>5.2.2</t>
  </si>
  <si>
    <t>5.2.3</t>
  </si>
  <si>
    <t>5.2.4</t>
  </si>
  <si>
    <t>5.2.5</t>
  </si>
  <si>
    <t>5.2.6</t>
  </si>
  <si>
    <t>5.2.7</t>
  </si>
  <si>
    <t>5.2.8</t>
  </si>
  <si>
    <t>5.2.9</t>
  </si>
  <si>
    <t>5.2.10</t>
  </si>
  <si>
    <t>5.2.11</t>
  </si>
  <si>
    <t>5.2.12</t>
  </si>
  <si>
    <t>6.1.2</t>
  </si>
  <si>
    <t>6.1.3</t>
  </si>
  <si>
    <t>6.1.4</t>
  </si>
  <si>
    <t>6.1.5</t>
  </si>
  <si>
    <t>6.2</t>
  </si>
  <si>
    <t>6.2.2</t>
  </si>
  <si>
    <t>6.2.3</t>
  </si>
  <si>
    <t>6.2.4</t>
  </si>
  <si>
    <t>6.2.5</t>
  </si>
  <si>
    <t>6.2.6</t>
  </si>
  <si>
    <t>6.2.7</t>
  </si>
  <si>
    <t>6.2.8</t>
  </si>
  <si>
    <t>8.1.1</t>
  </si>
  <si>
    <t>8.2.1</t>
  </si>
  <si>
    <t>8.1.2</t>
  </si>
  <si>
    <t>8.2.2</t>
  </si>
  <si>
    <t>8.2.3</t>
  </si>
  <si>
    <t>8.2.4</t>
  </si>
  <si>
    <t>9.1.1</t>
  </si>
  <si>
    <t>9.1.2</t>
  </si>
  <si>
    <t>9.1.3</t>
  </si>
  <si>
    <t>9.1.4</t>
  </si>
  <si>
    <t>9.1.5</t>
  </si>
  <si>
    <t>9.1.6</t>
  </si>
  <si>
    <t>9.2.1</t>
  </si>
  <si>
    <t>9.2.2</t>
  </si>
  <si>
    <t>9.2.3</t>
  </si>
  <si>
    <t>9.2.4</t>
  </si>
  <si>
    <t>9.2.5</t>
  </si>
  <si>
    <t>9.3.1</t>
  </si>
  <si>
    <t>9.3.2</t>
  </si>
  <si>
    <t>12.2</t>
  </si>
  <si>
    <t>12.3</t>
  </si>
  <si>
    <t>12.4</t>
  </si>
  <si>
    <t>12.5</t>
  </si>
  <si>
    <t>12.6</t>
  </si>
  <si>
    <t>12.7</t>
  </si>
  <si>
    <t>13.4</t>
  </si>
  <si>
    <t>15.1</t>
  </si>
  <si>
    <t>15.1.1</t>
  </si>
  <si>
    <t>15.1.2</t>
  </si>
  <si>
    <t>15.1.3</t>
  </si>
  <si>
    <t>15.1.4</t>
  </si>
  <si>
    <t>15.1.5</t>
  </si>
  <si>
    <t>15.2</t>
  </si>
  <si>
    <t>15.2.1</t>
  </si>
  <si>
    <t>15.2.2</t>
  </si>
  <si>
    <t>15.2.3</t>
  </si>
  <si>
    <t>15.2.4</t>
  </si>
  <si>
    <t>15.2.5</t>
  </si>
  <si>
    <t>15.2.6</t>
  </si>
  <si>
    <t>15.3</t>
  </si>
  <si>
    <t>15.3.1</t>
  </si>
  <si>
    <t>15.3.2</t>
  </si>
  <si>
    <t>15.3.3</t>
  </si>
  <si>
    <t>15.3.4</t>
  </si>
  <si>
    <t>15.3.5</t>
  </si>
  <si>
    <t>15.3.6</t>
  </si>
  <si>
    <t>15.3.7</t>
  </si>
  <si>
    <t>15.3.8</t>
  </si>
  <si>
    <t>16.1</t>
  </si>
  <si>
    <t>16.2</t>
  </si>
  <si>
    <t>16.1.1</t>
  </si>
  <si>
    <t>16.1.2</t>
  </si>
  <si>
    <t>16.1.3</t>
  </si>
  <si>
    <t>16.1.4</t>
  </si>
  <si>
    <t>16.1.5</t>
  </si>
  <si>
    <t>16.1.6</t>
  </si>
  <si>
    <t>16.1.7</t>
  </si>
  <si>
    <t>16.1.8</t>
  </si>
  <si>
    <t>16.1.9</t>
  </si>
  <si>
    <t>16.1.10</t>
  </si>
  <si>
    <t>16.1.11</t>
  </si>
  <si>
    <t>16.1.12</t>
  </si>
  <si>
    <t>16.1.13</t>
  </si>
  <si>
    <t>16.1.14</t>
  </si>
  <si>
    <t>16.1.15</t>
  </si>
  <si>
    <t>16.1.16</t>
  </si>
  <si>
    <t>16.1.17</t>
  </si>
  <si>
    <t>16.1.18</t>
  </si>
  <si>
    <t>16.1.19</t>
  </si>
  <si>
    <t>16.1.20</t>
  </si>
  <si>
    <t>16.1.21</t>
  </si>
  <si>
    <t>16.1.22</t>
  </si>
  <si>
    <t>16.1.23</t>
  </si>
  <si>
    <t>16.1.24</t>
  </si>
  <si>
    <t>16.1.25</t>
  </si>
  <si>
    <t>16.1.26</t>
  </si>
  <si>
    <t>16.1.27</t>
  </si>
  <si>
    <t>16.1.28</t>
  </si>
  <si>
    <t>16.1.29</t>
  </si>
  <si>
    <t>16.3</t>
  </si>
  <si>
    <t>16.4</t>
  </si>
  <si>
    <t>16.2.1</t>
  </si>
  <si>
    <t>16.2.2</t>
  </si>
  <si>
    <t>16.2.3</t>
  </si>
  <si>
    <t>16.2.4</t>
  </si>
  <si>
    <t>16.2.5</t>
  </si>
  <si>
    <t>16.2.6</t>
  </si>
  <si>
    <t>16.2.7</t>
  </si>
  <si>
    <t>16.3.1</t>
  </si>
  <si>
    <t>16.3.2</t>
  </si>
  <si>
    <t>16.3.3</t>
  </si>
  <si>
    <t>16.3.4</t>
  </si>
  <si>
    <t>16.3.5</t>
  </si>
  <si>
    <t>16.3.6</t>
  </si>
  <si>
    <t>16.3.7</t>
  </si>
  <si>
    <t>16.3.8</t>
  </si>
  <si>
    <t>16.3.9</t>
  </si>
  <si>
    <t>16.3.10</t>
  </si>
  <si>
    <t>16.3.11</t>
  </si>
  <si>
    <t>16.3.12</t>
  </si>
  <si>
    <t>16.3.13</t>
  </si>
  <si>
    <t>16.3.14</t>
  </si>
  <si>
    <t>16.3.15</t>
  </si>
  <si>
    <t>16.3.16</t>
  </si>
  <si>
    <t>16.3.17</t>
  </si>
  <si>
    <t>16.3.18</t>
  </si>
  <si>
    <t>16.3.19</t>
  </si>
  <si>
    <t>16.3.20</t>
  </si>
  <si>
    <t>16.3.21</t>
  </si>
  <si>
    <t>16.3.22</t>
  </si>
  <si>
    <t>16.3.23</t>
  </si>
  <si>
    <t>16.3.24</t>
  </si>
  <si>
    <t>16.3.25</t>
  </si>
  <si>
    <t>16.3.26</t>
  </si>
  <si>
    <t>16.3.27</t>
  </si>
  <si>
    <t>16.3.28</t>
  </si>
  <si>
    <t>16.3.29</t>
  </si>
  <si>
    <t>16.3.30</t>
  </si>
  <si>
    <t>16.3.31</t>
  </si>
  <si>
    <t>16.3.32</t>
  </si>
  <si>
    <t>16.3.33</t>
  </si>
  <si>
    <t>16.3.34</t>
  </si>
  <si>
    <t>16.3.35</t>
  </si>
  <si>
    <t>16.3.36</t>
  </si>
  <si>
    <t>16.3.37</t>
  </si>
  <si>
    <t>16.3.38</t>
  </si>
  <si>
    <t>16.3.39</t>
  </si>
  <si>
    <t>16.3.40</t>
  </si>
  <si>
    <t>16.3.41</t>
  </si>
  <si>
    <t>16.3.42</t>
  </si>
  <si>
    <t>16.3.43</t>
  </si>
  <si>
    <t>16.3.44</t>
  </si>
  <si>
    <t>16.3.45</t>
  </si>
  <si>
    <t>16.3.46</t>
  </si>
  <si>
    <t>16.3.47</t>
  </si>
  <si>
    <t>16.3.48</t>
  </si>
  <si>
    <t>16.3.49</t>
  </si>
  <si>
    <t>16.4.1</t>
  </si>
  <si>
    <t>16.4.2</t>
  </si>
  <si>
    <t>16.4.3</t>
  </si>
  <si>
    <t>16.4.4</t>
  </si>
  <si>
    <t>16.4.5</t>
  </si>
  <si>
    <t>16.4.6</t>
  </si>
  <si>
    <t>16.4.7</t>
  </si>
  <si>
    <t>16.4.8</t>
  </si>
  <si>
    <t>16.4.9</t>
  </si>
  <si>
    <t>16.4.10</t>
  </si>
  <si>
    <t>16.4.11</t>
  </si>
  <si>
    <t>16.4.12</t>
  </si>
  <si>
    <t>16.4.13</t>
  </si>
  <si>
    <t>16.4.14</t>
  </si>
  <si>
    <t>16.4.15</t>
  </si>
  <si>
    <t>16.4.16</t>
  </si>
  <si>
    <t>16.4.17</t>
  </si>
  <si>
    <t>16.4.18</t>
  </si>
  <si>
    <t>17.1</t>
  </si>
  <si>
    <t>17.2</t>
  </si>
  <si>
    <t>17.3</t>
  </si>
  <si>
    <t>17.4</t>
  </si>
  <si>
    <t>17.5</t>
  </si>
  <si>
    <t>17.6</t>
  </si>
  <si>
    <t>ANA PAULA SILVA BOTELHO</t>
  </si>
  <si>
    <t xml:space="preserve"> ENGENHEIRA CIVIL CREA MT: 50821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</si>
  <si>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</si>
  <si>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</si>
  <si>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</si>
  <si>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</si>
  <si>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</si>
  <si>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</si>
  <si>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</si>
  <si>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</si>
  <si>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</si>
  <si>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</si>
  <si>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</si>
  <si>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</si>
  <si>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</si>
  <si>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</si>
  <si>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</si>
  <si>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</si>
  <si>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</si>
  <si>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</si>
  <si>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</si>
  <si>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</si>
  <si>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</si>
  <si>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</si>
  <si>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</si>
  <si>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</si>
  <si>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</si>
  <si>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</si>
  <si>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</si>
  <si>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</si>
  <si>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</si>
  <si>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</si>
  <si>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</si>
  <si>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</si>
  <si>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</si>
  <si>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</si>
  <si>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</si>
  <si>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</si>
  <si>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</si>
  <si>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</si>
  <si>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</si>
  <si>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</si>
  <si>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</si>
  <si>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</si>
  <si>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</si>
  <si>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</si>
  <si>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</si>
  <si>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</si>
  <si>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</si>
  <si>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</si>
  <si>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</si>
  <si>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</si>
  <si>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</si>
  <si>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</si>
  <si>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</si>
  <si>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</si>
  <si>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</si>
  <si>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</si>
  <si>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</si>
  <si>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</si>
  <si>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</si>
  <si>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</si>
  <si>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</si>
  <si>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</si>
  <si>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</si>
  <si>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</si>
  <si>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</si>
  <si>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</si>
  <si>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</si>
  <si>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</si>
  <si>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</si>
  <si>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</si>
  <si>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</si>
  <si>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</si>
  <si>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</si>
  <si>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MONTAGEM E DESMONTAGEM DE FÔRMA DE LAJE MACIÇA, PÉ-DIREITO DUPLO, EM CHAPA DE MADEIRA COMPENSADA PLASTIFICADA, 10 UTILIZAÇÕES. AF_09/2020</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</si>
  <si>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</si>
  <si>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</si>
  <si>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</si>
  <si>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</si>
  <si>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</si>
  <si>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</si>
  <si>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</si>
  <si>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</si>
  <si>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</si>
  <si>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</si>
  <si>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</si>
  <si>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</si>
  <si>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</si>
  <si>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</si>
  <si>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</si>
  <si>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</si>
  <si>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</si>
  <si>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</si>
  <si>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</si>
  <si>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</si>
  <si>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</si>
  <si>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</si>
  <si>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</si>
  <si>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</si>
  <si>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</si>
  <si>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</si>
  <si>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</si>
  <si>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</si>
  <si>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</si>
  <si>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</si>
  <si>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</si>
  <si>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</si>
  <si>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</si>
  <si>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</si>
  <si>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</si>
  <si>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</si>
  <si>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</si>
  <si>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</si>
  <si>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</si>
  <si>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</si>
  <si>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</si>
  <si>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</si>
  <si>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</si>
  <si>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</si>
  <si>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</si>
  <si>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</si>
  <si>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</si>
  <si>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</si>
  <si>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</si>
  <si>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</si>
  <si>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</si>
  <si>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</si>
  <si>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</si>
  <si>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</si>
  <si>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</si>
  <si>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</si>
  <si>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</si>
  <si>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</si>
  <si>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</si>
  <si>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</si>
  <si>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</si>
  <si>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</si>
  <si>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</si>
  <si>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</si>
  <si>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</si>
  <si>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</si>
  <si>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</si>
  <si>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</si>
  <si>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</si>
  <si>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TOTAL DO ITEM</t>
  </si>
  <si>
    <t>SUBTOTAL DO ITEM</t>
  </si>
  <si>
    <t>ESGOTO</t>
  </si>
  <si>
    <t>VALOR TOTAL SEM BDI</t>
  </si>
  <si>
    <t>18.1</t>
  </si>
  <si>
    <t>18.1.1</t>
  </si>
  <si>
    <t>18.1.2</t>
  </si>
  <si>
    <t>18.1.3</t>
  </si>
  <si>
    <t>18.1.4</t>
  </si>
  <si>
    <t>18.1.5</t>
  </si>
  <si>
    <t>18.1.6</t>
  </si>
  <si>
    <t>18.2</t>
  </si>
  <si>
    <t>18.2.1</t>
  </si>
  <si>
    <t>18.2.2</t>
  </si>
  <si>
    <t>18.2.3</t>
  </si>
  <si>
    <t>18.2.4</t>
  </si>
  <si>
    <t>18.2.5</t>
  </si>
  <si>
    <t>18.2.6</t>
  </si>
  <si>
    <t>18.2.7</t>
  </si>
  <si>
    <t>18.2.8</t>
  </si>
  <si>
    <t>18.2.9</t>
  </si>
  <si>
    <t>18.2.10</t>
  </si>
  <si>
    <t>18.2.11</t>
  </si>
  <si>
    <t>18.2.12</t>
  </si>
  <si>
    <t>18.2.13</t>
  </si>
  <si>
    <t>18.2.14</t>
  </si>
  <si>
    <t>18.2.15</t>
  </si>
  <si>
    <t>18.3</t>
  </si>
  <si>
    <t>18.3.1</t>
  </si>
  <si>
    <t>18.3.3</t>
  </si>
  <si>
    <t>18.3.2</t>
  </si>
  <si>
    <t>18.3.6</t>
  </si>
  <si>
    <t>18.3.4</t>
  </si>
  <si>
    <t>18.3.5</t>
  </si>
  <si>
    <t>18.4</t>
  </si>
  <si>
    <t>18.4.1</t>
  </si>
  <si>
    <t>18.4.2</t>
  </si>
  <si>
    <t>18.4.3</t>
  </si>
  <si>
    <t>18.4.4</t>
  </si>
  <si>
    <t>18.4.5</t>
  </si>
  <si>
    <t>18.4.6</t>
  </si>
  <si>
    <t>18.4.7</t>
  </si>
  <si>
    <t>18.4.8</t>
  </si>
  <si>
    <t>18.4.9</t>
  </si>
  <si>
    <t>18.4.10</t>
  </si>
  <si>
    <t>18.4.11</t>
  </si>
  <si>
    <t>18.4.12</t>
  </si>
  <si>
    <t>18.5</t>
  </si>
  <si>
    <t>18.5.1</t>
  </si>
  <si>
    <t>18.5.2</t>
  </si>
  <si>
    <t>18.5.3</t>
  </si>
  <si>
    <t>18.6</t>
  </si>
  <si>
    <t>18.6.1</t>
  </si>
  <si>
    <t>18.6.2</t>
  </si>
  <si>
    <t>18.6.3</t>
  </si>
  <si>
    <t>18.6.4</t>
  </si>
  <si>
    <t>18.6.5</t>
  </si>
  <si>
    <t>18.6.6</t>
  </si>
  <si>
    <t>18.7</t>
  </si>
  <si>
    <t>18.7.1</t>
  </si>
  <si>
    <t>18.7.2</t>
  </si>
  <si>
    <t>18.7.3</t>
  </si>
  <si>
    <t>19.1</t>
  </si>
  <si>
    <t>19.2</t>
  </si>
  <si>
    <t>20.1</t>
  </si>
  <si>
    <t xml:space="preserve">SINAPI </t>
  </si>
  <si>
    <t>20.2</t>
  </si>
  <si>
    <t>20.3</t>
  </si>
  <si>
    <t>20.4</t>
  </si>
  <si>
    <t>20.5</t>
  </si>
  <si>
    <t>20.6</t>
  </si>
  <si>
    <t>21.1</t>
  </si>
  <si>
    <t>21.2</t>
  </si>
  <si>
    <t>21.3</t>
  </si>
  <si>
    <t>22.0</t>
  </si>
  <si>
    <t>22.1</t>
  </si>
  <si>
    <t>22.2</t>
  </si>
  <si>
    <t>22.3</t>
  </si>
  <si>
    <t>23.0</t>
  </si>
  <si>
    <t>23.1</t>
  </si>
  <si>
    <t>23.2</t>
  </si>
  <si>
    <t>24.0</t>
  </si>
  <si>
    <t>24.1</t>
  </si>
  <si>
    <t>24.2</t>
  </si>
  <si>
    <t>25.0</t>
  </si>
  <si>
    <t>25.1</t>
  </si>
  <si>
    <t>25.2</t>
  </si>
  <si>
    <t>25.3</t>
  </si>
  <si>
    <t>25.4</t>
  </si>
  <si>
    <t>3.32</t>
  </si>
  <si>
    <t>SALA DE AULA (ANTIGA COZINHA)</t>
  </si>
  <si>
    <t>FRENTE SALA DE AULA (ANTIGA COZINHA)</t>
  </si>
  <si>
    <t>GEOTÊXTIL NÃO TECIDO 100% POLIÉSTER, RESISTÊNCIA A TRAÇÃO DE 31 KN/M (RT-31), INSTALADO EM DRENO - FORNECIMENTO E INSTALAÇÃO. AF_07/2021</t>
  </si>
  <si>
    <t>APLICAÇÃO MASSA ACRÍLICA PARA MADEIRA, PARA PINTURA COM TINTA DE ACABAMENTO (PIGMENTADA). AF_01/2021</t>
  </si>
  <si>
    <t>!EM PROCESSO DE DESATIVACAO! DOBRADICA EM ACO/FERRO, 3" X 2 1/2", E= 1,2 A 1,8 MM, SEM ANEL,  CROMADO OU ZINCADO, TAMPA BOLA, COM PARAFUSOS</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</si>
  <si>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</si>
  <si>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</si>
  <si>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</si>
  <si>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</si>
  <si>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LUMINARIA FECHADA P/ ILUMINACAO PUBLICA, TIPO ABL 50/F OU EQUIV, P/ LAMPADA A VAPOR DE MERCURIO 400W</t>
  </si>
  <si>
    <t>!EM PROCESSO DE DESATIVACAO!JANELA DE CORRER, ACO, BATENTE/REQUADRO DE 6 A 14 CM,  COM DIVISAO HORIZ , PINT ANTICORROSIVA, SEM VIDRO, BANDEIRA COM BASCULA, 4 FLS, 120  X 150 CM (A X L)</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</si>
  <si>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</si>
  <si>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</si>
  <si>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</si>
  <si>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</si>
  <si>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</si>
  <si>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</si>
  <si>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</si>
  <si>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</si>
  <si>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</si>
  <si>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</si>
  <si>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</si>
  <si>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</si>
  <si>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</si>
  <si>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</si>
  <si>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</si>
  <si>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</si>
  <si>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</si>
  <si>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</si>
  <si>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</si>
  <si>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</si>
  <si>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</si>
  <si>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</si>
  <si>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</si>
  <si>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</si>
  <si>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</si>
  <si>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</si>
  <si>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</si>
  <si>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</si>
  <si>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</si>
  <si>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</si>
  <si>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</si>
  <si>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</si>
  <si>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</si>
  <si>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</si>
  <si>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</si>
  <si>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</si>
  <si>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</si>
  <si>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</si>
  <si>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</si>
  <si>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</si>
  <si>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</si>
  <si>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</si>
  <si>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</si>
  <si>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</si>
  <si>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</si>
  <si>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</si>
  <si>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</si>
  <si>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ACESSORIO DE LIGACAO NAO ELETRICO PARA CARGAS EXPLOSIVAS, TUBO DE 6 M</t>
  </si>
  <si>
    <t>ACESSORIO INICIADOR NAO ELETRICO, TUBO DE 6 M, TEMPO DE RETARDO DE *160* MS</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</si>
  <si>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</si>
  <si>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</si>
  <si>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</si>
  <si>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</si>
  <si>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</si>
  <si>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</si>
  <si>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</si>
  <si>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CA-50, 10,0 MM, OU 12,5 MM, OU 16,0 MM, OU 20,0 MM, DOBRADO E CORTADO</t>
  </si>
  <si>
    <t>ACO CA-50, 32,0 MM, VERGALHAO</t>
  </si>
  <si>
    <t>ACO CA-50, 6,3 MM, DOBRADO E CORTADO</t>
  </si>
  <si>
    <t>ACO CA-50, 6,3 MM, VERGALHAO</t>
  </si>
  <si>
    <t>ACO CA-60, 4,2 MM OU 5,0 MM, DOBRADO E CORTADO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</si>
  <si>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</si>
  <si>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</si>
  <si>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</si>
  <si>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</si>
  <si>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</si>
  <si>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</si>
  <si>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</si>
  <si>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</si>
  <si>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</si>
  <si>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</si>
  <si>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</si>
  <si>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</si>
  <si>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</si>
  <si>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</si>
  <si>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</si>
  <si>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</si>
  <si>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</si>
  <si>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</si>
  <si>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</si>
  <si>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</si>
  <si>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</si>
  <si>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</si>
  <si>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</si>
  <si>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</si>
  <si>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</si>
  <si>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</si>
  <si>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</si>
  <si>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</si>
  <si>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</si>
  <si>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</si>
  <si>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</si>
  <si>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</si>
  <si>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</si>
  <si>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</si>
  <si>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</si>
  <si>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</si>
  <si>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</si>
  <si>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</si>
  <si>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</si>
  <si>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</si>
  <si>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</si>
  <si>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</si>
  <si>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</si>
  <si>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</si>
  <si>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</si>
  <si>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</si>
  <si>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</si>
  <si>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</si>
  <si>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</si>
  <si>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</si>
  <si>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</si>
  <si>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</si>
  <si>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</si>
  <si>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</si>
  <si>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</si>
  <si>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</si>
  <si>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</si>
  <si>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</si>
  <si>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</si>
  <si>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</si>
  <si>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</si>
  <si>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</si>
  <si>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</si>
  <si>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</si>
  <si>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</si>
  <si>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</si>
  <si>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</si>
  <si>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</si>
  <si>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</si>
  <si>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</si>
  <si>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</si>
  <si>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</si>
  <si>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ADITIVO ACELERADOR DE PEGA E ENDURECIMENTO PARA ARGAMASSAS E CONCRETOS,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</si>
  <si>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</si>
  <si>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</si>
  <si>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</si>
  <si>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</si>
  <si>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</si>
  <si>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</si>
  <si>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</si>
  <si>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</si>
  <si>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</si>
  <si>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</si>
  <si>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</si>
  <si>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</si>
  <si>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</si>
  <si>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</si>
  <si>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</si>
  <si>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(MENSALISTA)</t>
  </si>
  <si>
    <t>AJUDANTE DE ESTRUTURAS METALICAS (MENSALISTA)</t>
  </si>
  <si>
    <t>AJUDANTE DE ESTRUTURAS METALICAS HORISTA</t>
  </si>
  <si>
    <t>AJUDANTE DE OPERACAO EM GERAL (HORISTA)</t>
  </si>
  <si>
    <t>AJUDANTE DE OPERACAO EM GERAL (MENSALISTA)</t>
  </si>
  <si>
    <t>AJUDANTE DE PINTOR (MENSALISTA)</t>
  </si>
  <si>
    <t>AJUDANTE DE SERRALHEIRO (HORISTA)</t>
  </si>
  <si>
    <t>AJUDANTE DE SERRALHEIRO (MENSALISTA)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</si>
  <si>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</si>
  <si>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</si>
  <si>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</si>
  <si>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</si>
  <si>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</si>
  <si>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</si>
  <si>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</si>
  <si>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</si>
  <si>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</si>
  <si>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</si>
  <si>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</si>
  <si>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</si>
  <si>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</si>
  <si>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MENSALISTA (COLETADO CAIXA)</t>
  </si>
  <si>
    <t>ALMOXARIFE</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</si>
  <si>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</si>
  <si>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</si>
  <si>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</si>
  <si>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</si>
  <si>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</si>
  <si>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</si>
  <si>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</si>
  <si>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</si>
  <si>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</si>
  <si>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</si>
  <si>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</si>
  <si>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</si>
  <si>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</si>
  <si>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</si>
  <si>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</si>
  <si>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</si>
  <si>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</si>
  <si>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</si>
  <si>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</si>
  <si>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</si>
  <si>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</si>
  <si>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</si>
  <si>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</si>
  <si>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</si>
  <si>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</si>
  <si>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</si>
  <si>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</si>
  <si>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</si>
  <si>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</si>
  <si>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</si>
  <si>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</si>
  <si>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</si>
  <si>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</si>
  <si>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</si>
  <si>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</si>
  <si>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</si>
  <si>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</si>
  <si>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</si>
  <si>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</si>
  <si>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</si>
  <si>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</si>
  <si>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</si>
  <si>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</si>
  <si>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</si>
  <si>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</si>
  <si>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</si>
  <si>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</si>
  <si>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</si>
  <si>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</si>
  <si>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</si>
  <si>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</si>
  <si>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</si>
  <si>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</si>
  <si>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</si>
  <si>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</si>
  <si>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</si>
  <si>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</si>
  <si>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</si>
  <si>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</si>
  <si>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</si>
  <si>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</si>
  <si>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</si>
  <si>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</si>
  <si>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</si>
  <si>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</si>
  <si>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</si>
  <si>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</si>
  <si>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</si>
  <si>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</si>
  <si>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</si>
  <si>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</si>
  <si>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</si>
  <si>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</si>
  <si>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</si>
  <si>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</si>
  <si>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</si>
  <si>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</si>
  <si>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</si>
  <si>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</si>
  <si>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</si>
  <si>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</si>
  <si>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</si>
  <si>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</si>
  <si>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</si>
  <si>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</si>
  <si>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</si>
  <si>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</si>
  <si>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</si>
  <si>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</si>
  <si>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</si>
  <si>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</si>
  <si>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</si>
  <si>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</si>
  <si>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</si>
  <si>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</si>
  <si>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</si>
  <si>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</si>
  <si>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</si>
  <si>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</si>
  <si>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</si>
  <si>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</si>
  <si>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</si>
  <si>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</si>
  <si>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</si>
  <si>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</si>
  <si>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</si>
  <si>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</si>
  <si>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</si>
  <si>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</si>
  <si>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</si>
  <si>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</si>
  <si>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</si>
  <si>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</si>
  <si>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</si>
  <si>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</si>
  <si>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</si>
  <si>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</si>
  <si>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</si>
  <si>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</si>
  <si>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</si>
  <si>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</si>
  <si>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</si>
  <si>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</si>
  <si>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</si>
  <si>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</si>
  <si>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</si>
  <si>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</si>
  <si>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</si>
  <si>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</si>
  <si>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</si>
  <si>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PROTEGIDO COM POLIMERO PARA GABIAO, DIAMETRO 2,2 MM</t>
  </si>
  <si>
    <t>AREIA FINA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</si>
  <si>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</si>
  <si>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</si>
  <si>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II</t>
  </si>
  <si>
    <t>ARGAMASSA COLANTE TIPO AC III E</t>
  </si>
  <si>
    <t>ARGAMASSA INDUSTRIALIZADA PARA CHAPISCO COLANTE</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</si>
  <si>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</si>
  <si>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</si>
  <si>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</si>
  <si>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</si>
  <si>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</si>
  <si>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</si>
  <si>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</si>
  <si>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</si>
  <si>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</si>
  <si>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</si>
  <si>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</si>
  <si>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</si>
  <si>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</si>
  <si>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</si>
  <si>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</si>
  <si>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</si>
  <si>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</si>
  <si>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</si>
  <si>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</si>
  <si>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</si>
  <si>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</si>
  <si>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</si>
  <si>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</si>
  <si>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</si>
  <si>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</si>
  <si>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</si>
  <si>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</si>
  <si>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</si>
  <si>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</si>
  <si>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</si>
  <si>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</si>
  <si>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</si>
  <si>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</si>
  <si>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</si>
  <si>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</si>
  <si>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</si>
  <si>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</si>
  <si>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</si>
  <si>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</si>
  <si>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</si>
  <si>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</si>
  <si>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</si>
  <si>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</si>
  <si>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</si>
  <si>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</si>
  <si>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</si>
  <si>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</si>
  <si>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</si>
  <si>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</si>
  <si>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 (HORISTA)</t>
  </si>
  <si>
    <t>AUXILIAR DE AZULEJISTA (MENSALISTA)</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</si>
  <si>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</si>
  <si>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</si>
  <si>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</si>
  <si>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</si>
  <si>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</si>
  <si>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</si>
  <si>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</si>
  <si>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 (HORISTA)</t>
  </si>
  <si>
    <t>AUXILIAR DE PEDREIRO (MENSALISTA)</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</si>
  <si>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</si>
  <si>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</si>
  <si>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</si>
  <si>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</si>
  <si>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</si>
  <si>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</si>
  <si>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</si>
  <si>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</si>
  <si>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</si>
  <si>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</si>
  <si>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</si>
  <si>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</si>
  <si>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</si>
  <si>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</si>
  <si>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</si>
  <si>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</si>
  <si>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</si>
  <si>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</si>
  <si>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</si>
  <si>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</si>
  <si>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</si>
  <si>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</si>
  <si>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</si>
  <si>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</si>
  <si>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</si>
  <si>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</si>
  <si>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</si>
  <si>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</si>
  <si>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</si>
  <si>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</si>
  <si>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</si>
  <si>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</si>
  <si>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</si>
  <si>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</si>
  <si>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</si>
  <si>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</si>
  <si>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</si>
  <si>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</si>
  <si>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</si>
  <si>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</si>
  <si>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</si>
  <si>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</si>
  <si>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70CM, DIAMETRO MINIMO 3 CM</t>
  </si>
  <si>
    <t>BARRA DE APOIO RETA, EM ACO INOX POLIDO, COMPRIMENTO 80CM,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</si>
  <si>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</si>
  <si>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</si>
  <si>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</si>
  <si>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</si>
  <si>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</si>
  <si>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</si>
  <si>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</si>
  <si>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</si>
  <si>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</si>
  <si>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</si>
  <si>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</si>
  <si>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</si>
  <si>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</si>
  <si>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</si>
  <si>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</si>
  <si>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</si>
  <si>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DE MISTURADOR MONOCOMANDO PARA CHUVEIRO, DE PAREDE (NAO INCLUI ACABAMENTOS)</t>
  </si>
  <si>
    <t>BASE PARA MASTRO DE PARA-RAIOS DIAMETRO NOMINAL 1 1/2"</t>
  </si>
  <si>
    <t>BASE PARA MASTRO DE PARA-RAIOS DIAMETRO NOMINAL 2"</t>
  </si>
  <si>
    <t>BASE PARA RELE COM SUPORTE METALICO</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</si>
  <si>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</si>
  <si>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</si>
  <si>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</si>
  <si>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</si>
  <si>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</si>
  <si>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</si>
  <si>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</si>
  <si>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</si>
  <si>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</si>
  <si>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</si>
  <si>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</si>
  <si>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</si>
  <si>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</si>
  <si>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</si>
  <si>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</si>
  <si>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</si>
  <si>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</si>
  <si>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</si>
  <si>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</si>
  <si>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</si>
  <si>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</si>
  <si>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</si>
  <si>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</si>
  <si>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19 CM (L X A X C)</t>
  </si>
  <si>
    <t>BLOCO CERAMICO / TIJOLO VAZADO PARA ALVENARIA DE VEDACAO, 8 FUROS NA HORIZONTAL,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</si>
  <si>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</si>
  <si>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</si>
  <si>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</si>
  <si>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</si>
  <si>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</si>
  <si>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</si>
  <si>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</si>
  <si>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</si>
  <si>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</si>
  <si>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</si>
  <si>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</si>
  <si>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</si>
  <si>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</si>
  <si>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</si>
  <si>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</si>
  <si>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</si>
  <si>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</si>
  <si>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</si>
  <si>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</si>
  <si>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</si>
  <si>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</si>
  <si>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</si>
  <si>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</si>
  <si>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</si>
  <si>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</si>
  <si>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</si>
  <si>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</si>
  <si>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</si>
  <si>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</si>
  <si>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</si>
  <si>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</si>
  <si>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</si>
  <si>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</si>
  <si>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19 X 19 X 39 CM (CLASSE C - NBR 6136)</t>
  </si>
  <si>
    <t>BLOCO DE VIDRO / ELEMENTO VAZADO, INCOLOR, VENEZIANA, *20 X 20 X 6* CM (A X L X E)</t>
  </si>
  <si>
    <t>BLOCO DE VIDRO / ELEMENTO VAZADO, INCOLOR, VENEZIANA, DE *20 X 10 X 8* CM (A X L X E)</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</si>
  <si>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</si>
  <si>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</si>
  <si>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</si>
  <si>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</si>
  <si>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</si>
  <si>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</si>
  <si>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</si>
  <si>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</si>
  <si>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</si>
  <si>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</si>
  <si>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</si>
  <si>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</si>
  <si>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</si>
  <si>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</si>
  <si>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</si>
  <si>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</si>
  <si>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</si>
  <si>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</si>
  <si>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</si>
  <si>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</si>
  <si>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</si>
  <si>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</si>
  <si>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</si>
  <si>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</si>
  <si>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</si>
  <si>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</si>
  <si>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</si>
  <si>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</si>
  <si>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</si>
  <si>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</si>
  <si>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</si>
  <si>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</si>
  <si>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</si>
  <si>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</si>
  <si>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</si>
  <si>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</si>
  <si>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</si>
  <si>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</si>
  <si>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</si>
  <si>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</si>
  <si>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</si>
  <si>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</si>
  <si>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</si>
  <si>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</si>
  <si>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</si>
  <si>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</si>
  <si>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</si>
  <si>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</si>
  <si>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</si>
  <si>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</si>
  <si>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</si>
  <si>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</si>
  <si>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</si>
  <si>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</si>
  <si>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</si>
  <si>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</si>
  <si>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</si>
  <si>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</si>
  <si>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</si>
  <si>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</si>
  <si>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</si>
  <si>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</si>
  <si>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</si>
  <si>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</si>
  <si>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</si>
  <si>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</si>
  <si>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</si>
  <si>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</si>
  <si>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</si>
  <si>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</si>
  <si>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</si>
  <si>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</si>
  <si>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</si>
  <si>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</si>
  <si>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</si>
  <si>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</si>
  <si>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</si>
  <si>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</si>
  <si>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</si>
  <si>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</si>
  <si>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</si>
  <si>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</si>
  <si>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</si>
  <si>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</si>
  <si>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</si>
  <si>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</si>
  <si>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</si>
  <si>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</si>
  <si>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</si>
  <si>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</si>
  <si>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</si>
  <si>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</si>
  <si>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</si>
  <si>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</si>
  <si>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</si>
  <si>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</si>
  <si>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</si>
  <si>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</si>
  <si>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</si>
  <si>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</si>
  <si>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</si>
  <si>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</si>
  <si>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</si>
  <si>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</si>
  <si>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</si>
  <si>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</si>
  <si>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</si>
  <si>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</si>
  <si>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</si>
  <si>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</si>
  <si>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</si>
  <si>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</si>
  <si>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</si>
  <si>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</si>
  <si>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</si>
  <si>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</si>
  <si>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</si>
  <si>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</si>
  <si>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</si>
  <si>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</si>
  <si>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</si>
  <si>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</si>
  <si>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</si>
  <si>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</si>
  <si>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</si>
  <si>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</si>
  <si>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</si>
  <si>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</si>
  <si>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</si>
  <si>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</si>
  <si>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</si>
  <si>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</si>
  <si>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</si>
  <si>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</si>
  <si>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</si>
  <si>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</si>
  <si>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</si>
  <si>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</si>
  <si>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</si>
  <si>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</si>
  <si>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</si>
  <si>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</si>
  <si>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</si>
  <si>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</si>
  <si>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</si>
  <si>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</si>
  <si>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</si>
  <si>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</si>
  <si>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</si>
  <si>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</si>
  <si>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</si>
  <si>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</si>
  <si>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</si>
  <si>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</si>
  <si>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</si>
  <si>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</si>
  <si>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</si>
  <si>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</si>
  <si>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</si>
  <si>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</si>
  <si>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</si>
  <si>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</si>
  <si>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</si>
  <si>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</si>
  <si>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</si>
  <si>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</si>
  <si>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</si>
  <si>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</si>
  <si>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</si>
  <si>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</si>
  <si>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</si>
  <si>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</si>
  <si>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</si>
  <si>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</si>
  <si>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</si>
  <si>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</si>
  <si>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</si>
  <si>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</si>
  <si>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</si>
  <si>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</si>
  <si>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</si>
  <si>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</si>
  <si>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</si>
  <si>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</si>
  <si>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</si>
  <si>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</si>
  <si>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</si>
  <si>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</si>
  <si>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</si>
  <si>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</si>
  <si>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</si>
  <si>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</si>
  <si>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</si>
  <si>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</si>
  <si>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</si>
  <si>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</si>
  <si>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</si>
  <si>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</si>
  <si>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</si>
  <si>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</si>
  <si>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</si>
  <si>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</si>
  <si>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</si>
  <si>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</si>
  <si>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</si>
  <si>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</si>
  <si>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</si>
  <si>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</si>
  <si>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</si>
  <si>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</si>
  <si>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</si>
  <si>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</si>
  <si>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</si>
  <si>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</si>
  <si>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</si>
  <si>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</si>
  <si>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</si>
  <si>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</si>
  <si>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</si>
  <si>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</si>
  <si>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</si>
  <si>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</si>
  <si>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</si>
  <si>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</si>
  <si>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</si>
  <si>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</si>
  <si>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</si>
  <si>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</si>
  <si>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</si>
  <si>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</si>
  <si>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</si>
  <si>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</si>
  <si>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</si>
  <si>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</si>
  <si>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</si>
  <si>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</si>
  <si>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</si>
  <si>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</si>
  <si>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</si>
  <si>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</si>
  <si>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</si>
  <si>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</si>
  <si>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</si>
  <si>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</si>
  <si>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</si>
  <si>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</si>
  <si>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</si>
  <si>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</si>
  <si>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</si>
  <si>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</si>
  <si>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</si>
  <si>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</si>
  <si>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</si>
  <si>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</si>
  <si>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</si>
  <si>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</si>
  <si>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</si>
  <si>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</si>
  <si>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</si>
  <si>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</si>
  <si>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</si>
  <si>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</si>
  <si>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</si>
  <si>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</si>
  <si>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</si>
  <si>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</si>
  <si>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</si>
  <si>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</si>
  <si>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</si>
  <si>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</si>
  <si>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</si>
  <si>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</si>
  <si>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</si>
  <si>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</si>
  <si>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</si>
  <si>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</si>
  <si>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</si>
  <si>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</si>
  <si>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</si>
  <si>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</si>
  <si>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</si>
  <si>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</si>
  <si>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</si>
  <si>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</si>
  <si>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</si>
  <si>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</si>
  <si>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</si>
  <si>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</si>
  <si>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</si>
  <si>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</si>
  <si>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</si>
  <si>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</si>
  <si>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</si>
  <si>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</si>
  <si>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</si>
  <si>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</si>
  <si>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</si>
  <si>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</si>
  <si>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</si>
  <si>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</si>
  <si>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</si>
  <si>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</si>
  <si>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</si>
  <si>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</si>
  <si>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</si>
  <si>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</si>
  <si>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</si>
  <si>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</si>
  <si>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</si>
  <si>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</si>
  <si>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</si>
  <si>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</si>
  <si>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</si>
  <si>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</si>
  <si>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</si>
  <si>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</si>
  <si>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</si>
  <si>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</si>
  <si>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</si>
  <si>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</si>
  <si>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</si>
  <si>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</si>
  <si>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</si>
  <si>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</si>
  <si>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</si>
  <si>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</si>
  <si>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</si>
  <si>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</si>
  <si>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</si>
  <si>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</si>
  <si>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</si>
  <si>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</si>
  <si>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</si>
  <si>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</si>
  <si>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</si>
  <si>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</si>
  <si>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</si>
  <si>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</si>
  <si>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</si>
  <si>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</si>
  <si>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</si>
  <si>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</si>
  <si>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</si>
  <si>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</si>
  <si>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</si>
  <si>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</si>
  <si>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</si>
  <si>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</si>
  <si>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</si>
  <si>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</si>
  <si>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</si>
  <si>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</si>
  <si>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</si>
  <si>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</si>
  <si>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</si>
  <si>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</si>
  <si>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</si>
  <si>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</si>
  <si>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</si>
  <si>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</si>
  <si>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</si>
  <si>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</si>
  <si>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</si>
  <si>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</si>
  <si>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</si>
  <si>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</si>
  <si>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</si>
  <si>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</si>
  <si>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</si>
  <si>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</si>
  <si>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</si>
  <si>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</si>
  <si>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</si>
  <si>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</si>
  <si>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</si>
  <si>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</si>
  <si>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</si>
  <si>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</si>
  <si>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</si>
  <si>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</si>
  <si>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</si>
  <si>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</si>
  <si>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</si>
  <si>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</si>
  <si>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</si>
  <si>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</si>
  <si>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</si>
  <si>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</si>
  <si>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</si>
  <si>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</si>
  <si>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</si>
  <si>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</si>
  <si>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</si>
  <si>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</si>
  <si>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</si>
  <si>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</si>
  <si>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</si>
  <si>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</si>
  <si>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</si>
  <si>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</si>
  <si>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</si>
  <si>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</si>
  <si>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</si>
  <si>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</si>
  <si>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</si>
  <si>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</si>
  <si>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</si>
  <si>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</si>
  <si>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</si>
  <si>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</si>
  <si>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</si>
  <si>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</si>
  <si>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</si>
  <si>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</si>
  <si>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</si>
  <si>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</si>
  <si>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</si>
  <si>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</si>
  <si>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</si>
  <si>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</si>
  <si>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</si>
  <si>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</si>
  <si>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</si>
  <si>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</si>
  <si>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</si>
  <si>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</si>
  <si>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</si>
  <si>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</si>
  <si>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</si>
  <si>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PARA PINTURA</t>
  </si>
  <si>
    <t>CAL VIRGEM COMUM PARA ARGAMASSAS (NBR 6453)</t>
  </si>
  <si>
    <t>CALCARIO DOLOMITICO A (POSTO PEDREIRA/FORNECEDOR,  SEM FRETE)</t>
  </si>
  <si>
    <t>CALCETEIRO  (MENSALISTA)</t>
  </si>
  <si>
    <t>CALCETEIRO (HORISTA)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</si>
  <si>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</si>
  <si>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</si>
  <si>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</si>
  <si>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</si>
  <si>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</si>
  <si>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</si>
  <si>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</si>
  <si>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</si>
  <si>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</si>
  <si>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</si>
  <si>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</si>
  <si>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</si>
  <si>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</si>
  <si>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</si>
  <si>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</si>
  <si>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</si>
  <si>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</si>
  <si>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</si>
  <si>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</si>
  <si>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</si>
  <si>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</si>
  <si>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</si>
  <si>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</si>
  <si>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</si>
  <si>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</si>
  <si>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</si>
  <si>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9700 KG, CARGA UTIL MAXIMA 6360 KG, DISTANCIA ENTRE EIXOS 4,30 M, POTENCIA 160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</si>
  <si>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</si>
  <si>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</si>
  <si>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</si>
  <si>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</si>
  <si>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</si>
  <si>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</si>
  <si>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</si>
  <si>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</si>
  <si>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</si>
  <si>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</si>
  <si>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</si>
  <si>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</si>
  <si>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</si>
  <si>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</si>
  <si>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</si>
  <si>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</si>
  <si>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39 CM, 6,0 MPA (NBR 15270)</t>
  </si>
  <si>
    <t>CANOPLA ACABAMENTO CROMADO PARA INSTALACAO DE SPRINKLER, SOB FORRO, 15 MM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</si>
  <si>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</si>
  <si>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</si>
  <si>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</si>
  <si>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</si>
  <si>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</si>
  <si>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</si>
  <si>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</si>
  <si>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</si>
  <si>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</si>
  <si>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</si>
  <si>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</si>
  <si>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</si>
  <si>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</si>
  <si>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</si>
  <si>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</si>
  <si>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</si>
  <si>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</si>
  <si>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</si>
  <si>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</si>
  <si>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</si>
  <si>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</si>
  <si>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</si>
  <si>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</si>
  <si>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</si>
  <si>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</si>
  <si>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</si>
  <si>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</si>
  <si>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</si>
  <si>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</si>
  <si>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</si>
  <si>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</si>
  <si>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</si>
  <si>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</si>
  <si>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</si>
  <si>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</si>
  <si>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</si>
  <si>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</si>
  <si>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</si>
  <si>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</si>
  <si>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</si>
  <si>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</si>
  <si>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</si>
  <si>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</si>
  <si>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</si>
  <si>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</si>
  <si>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</si>
  <si>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</si>
  <si>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</si>
  <si>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</si>
  <si>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</si>
  <si>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</si>
  <si>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</si>
  <si>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</si>
  <si>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</si>
  <si>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</si>
  <si>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</si>
  <si>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</si>
  <si>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</si>
  <si>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</si>
  <si>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</si>
  <si>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</si>
  <si>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</si>
  <si>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</si>
  <si>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</si>
  <si>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</si>
  <si>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</si>
  <si>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</si>
  <si>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</si>
  <si>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</si>
  <si>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(MENSALISTA)</t>
  </si>
  <si>
    <t>CARPINTEIRO DE ESQUADRIAS (MENSALISTA)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</si>
  <si>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</si>
  <si>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</si>
  <si>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</si>
  <si>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</si>
  <si>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</si>
  <si>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</si>
  <si>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</si>
  <si>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</si>
  <si>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</si>
  <si>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</si>
  <si>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</si>
  <si>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CARVAO ANTRACITO PARA FILTRO, GRAO VARIANDO DE 0,8 ATE 1,1 MM, COEFICIENTE DE UNIFORMIDADE MENOR QUE 1,7 MM (POSTO JAZIDA/PRODUTOR)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</si>
  <si>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</si>
  <si>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</si>
  <si>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</si>
  <si>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</si>
  <si>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</si>
  <si>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</si>
  <si>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</si>
  <si>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</si>
  <si>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</si>
  <si>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</si>
  <si>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</si>
  <si>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</si>
  <si>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</si>
  <si>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</si>
  <si>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</si>
  <si>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</si>
  <si>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</si>
  <si>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</si>
  <si>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</si>
  <si>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</si>
  <si>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</si>
  <si>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</si>
  <si>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</si>
  <si>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</si>
  <si>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</si>
  <si>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</si>
  <si>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</si>
  <si>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</si>
  <si>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</si>
  <si>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</si>
  <si>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</si>
  <si>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</si>
  <si>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</si>
  <si>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</si>
  <si>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</si>
  <si>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</si>
  <si>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</si>
  <si>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</si>
  <si>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</si>
  <si>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</si>
  <si>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</si>
  <si>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</si>
  <si>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</si>
  <si>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</si>
  <si>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</si>
  <si>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</si>
  <si>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</si>
  <si>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</si>
  <si>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</si>
  <si>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</si>
  <si>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</si>
  <si>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</si>
  <si>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</si>
  <si>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</si>
  <si>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</si>
  <si>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</si>
  <si>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</si>
  <si>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</si>
  <si>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</si>
  <si>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</si>
  <si>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</si>
  <si>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</si>
  <si>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</si>
  <si>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</si>
  <si>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</si>
  <si>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</si>
  <si>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</si>
  <si>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</si>
  <si>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</si>
  <si>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</si>
  <si>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</si>
  <si>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</si>
  <si>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</si>
  <si>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</si>
  <si>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</si>
  <si>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</si>
  <si>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</si>
  <si>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</si>
  <si>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</si>
  <si>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</si>
  <si>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</si>
  <si>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</si>
  <si>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</si>
  <si>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</si>
  <si>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</si>
  <si>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</si>
  <si>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</si>
  <si>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</si>
  <si>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</si>
  <si>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</si>
  <si>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</si>
  <si>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CROMADO, COM CANO, 4 TEMPERATURAS (110/220 V)</t>
  </si>
  <si>
    <t>CIMENTO ASFALTICO DE PETROLEO A GRANEL (CAP) 50/70 (COLETADO CAIXA NA ANP ACRESCIDO DE ICMS)</t>
  </si>
  <si>
    <t>CIMENTO IMPERMEABILIZANTE DE PEGA ULTRARRAPIDA PARA TAMPONAMENTOS</t>
  </si>
  <si>
    <t>CIMENTO PORTLAND DE ALTO FORNO (AF) CP III-40</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</si>
  <si>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</si>
  <si>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</si>
  <si>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</si>
  <si>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</si>
  <si>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</si>
  <si>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</si>
  <si>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</si>
  <si>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</si>
  <si>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</si>
  <si>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</si>
  <si>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</si>
  <si>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</si>
  <si>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</si>
  <si>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</si>
  <si>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</si>
  <si>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</si>
  <si>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</si>
  <si>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</si>
  <si>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</si>
  <si>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</si>
  <si>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</si>
  <si>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</si>
  <si>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</si>
  <si>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</si>
  <si>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</si>
  <si>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</si>
  <si>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</si>
  <si>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</si>
  <si>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</si>
  <si>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</si>
  <si>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</si>
  <si>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</si>
  <si>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</si>
  <si>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</si>
  <si>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</si>
  <si>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</si>
  <si>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</si>
  <si>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</si>
  <si>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</si>
  <si>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</si>
  <si>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</si>
  <si>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</si>
  <si>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</si>
  <si>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</si>
  <si>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</si>
  <si>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</si>
  <si>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</si>
  <si>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</si>
  <si>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</si>
  <si>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</si>
  <si>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</si>
  <si>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</si>
  <si>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</si>
  <si>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</si>
  <si>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</si>
  <si>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</si>
  <si>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</si>
  <si>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</si>
  <si>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</si>
  <si>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</si>
  <si>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</si>
  <si>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</si>
  <si>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</si>
  <si>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</si>
  <si>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</si>
  <si>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</si>
  <si>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</si>
  <si>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</si>
  <si>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</si>
  <si>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</si>
  <si>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</si>
  <si>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</si>
  <si>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</si>
  <si>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</si>
  <si>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</si>
  <si>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</si>
  <si>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</si>
  <si>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</si>
  <si>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</si>
  <si>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</si>
  <si>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</si>
  <si>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</si>
  <si>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</si>
  <si>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</si>
  <si>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</si>
  <si>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</si>
  <si>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</si>
  <si>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</si>
  <si>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</si>
  <si>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</si>
  <si>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</si>
  <si>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</si>
  <si>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</si>
  <si>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</si>
  <si>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</si>
  <si>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</si>
  <si>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</si>
  <si>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</si>
  <si>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</si>
  <si>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</si>
  <si>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</si>
  <si>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</si>
  <si>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</si>
  <si>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</si>
  <si>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</si>
  <si>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</si>
  <si>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</si>
  <si>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</si>
  <si>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</si>
  <si>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</si>
  <si>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</si>
  <si>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</si>
  <si>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</si>
  <si>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</si>
  <si>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</si>
  <si>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</si>
  <si>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</si>
  <si>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</si>
  <si>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</si>
  <si>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</si>
  <si>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</si>
  <si>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</si>
  <si>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</si>
  <si>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</si>
  <si>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</si>
  <si>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</si>
  <si>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</si>
  <si>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</si>
  <si>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</si>
  <si>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</si>
  <si>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</si>
  <si>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</si>
  <si>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</si>
  <si>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</si>
  <si>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</si>
  <si>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</si>
  <si>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</si>
  <si>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</si>
  <si>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</si>
  <si>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</si>
  <si>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</si>
  <si>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</si>
  <si>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</si>
  <si>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</si>
  <si>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</si>
  <si>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</si>
  <si>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</si>
  <si>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</si>
  <si>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</si>
  <si>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</si>
  <si>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</si>
  <si>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</si>
  <si>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</si>
  <si>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</si>
  <si>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</si>
  <si>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</si>
  <si>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</si>
  <si>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</si>
  <si>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</si>
  <si>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</si>
  <si>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</si>
  <si>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</si>
  <si>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</si>
  <si>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</si>
  <si>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</si>
  <si>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</si>
  <si>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</si>
  <si>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</si>
  <si>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</si>
  <si>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</si>
  <si>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</si>
  <si>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</si>
  <si>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</si>
  <si>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</si>
  <si>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</si>
  <si>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</si>
  <si>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</si>
  <si>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</si>
  <si>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</si>
  <si>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</si>
  <si>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</si>
  <si>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</si>
  <si>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</si>
  <si>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</si>
  <si>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</si>
  <si>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</si>
  <si>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</si>
  <si>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</si>
  <si>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</si>
  <si>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</si>
  <si>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</si>
  <si>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</si>
  <si>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</si>
  <si>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</si>
  <si>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</si>
  <si>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</si>
  <si>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</si>
  <si>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</si>
  <si>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</si>
  <si>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</si>
  <si>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</si>
  <si>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</si>
  <si>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</si>
  <si>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</si>
  <si>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</si>
  <si>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</si>
  <si>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</si>
  <si>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</si>
  <si>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</si>
  <si>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</si>
  <si>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</si>
  <si>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</si>
  <si>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</si>
  <si>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</si>
  <si>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</si>
  <si>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</si>
  <si>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</si>
  <si>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</si>
  <si>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</si>
  <si>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</si>
  <si>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 DE FERRAGENS PARA PORTA DE VIDRO TEMPERADO, EM ZAMAC CROMADO, CONTEMPLANDO DOBRADICA INF., DOBRADICA SUP., PIVO PARA DOBRADICA INF., PIVO PARA DOBRADICA SUP., FECHADURA CENTRAL EM ZAMC. CROMADO, CONTRA FECHADURA DE PRESSAO</t>
  </si>
  <si>
    <t>CONJUNTO DE FERRAGENS PIVO, PARA PORTA PIVOTANTE DE ATE 100 KG, REGULAVEL COM ESFERA , CROMADO - SUPERIOR E INFERIOR - COMPLETO</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</si>
  <si>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</si>
  <si>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</si>
  <si>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</si>
  <si>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</si>
  <si>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</si>
  <si>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</si>
  <si>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</si>
  <si>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</si>
  <si>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</si>
  <si>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</si>
  <si>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</si>
  <si>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</si>
  <si>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</si>
  <si>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</si>
  <si>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</si>
  <si>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</si>
  <si>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</si>
  <si>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</si>
  <si>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</si>
  <si>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</si>
  <si>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</si>
  <si>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</si>
  <si>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</si>
  <si>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</si>
  <si>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</si>
  <si>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</si>
  <si>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</si>
  <si>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</si>
  <si>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</si>
  <si>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</si>
  <si>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</si>
  <si>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</si>
  <si>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</si>
  <si>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</si>
  <si>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</si>
  <si>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</si>
  <si>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</si>
  <si>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</si>
  <si>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</si>
  <si>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</si>
  <si>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</si>
  <si>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</si>
  <si>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</si>
  <si>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</si>
  <si>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</si>
  <si>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</si>
  <si>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</si>
  <si>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</si>
  <si>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</si>
  <si>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</si>
  <si>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</si>
  <si>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</si>
  <si>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</si>
  <si>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</si>
  <si>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</si>
  <si>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</si>
  <si>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</si>
  <si>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</si>
  <si>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</si>
  <si>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</si>
  <si>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</si>
  <si>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</si>
  <si>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</si>
  <si>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</si>
  <si>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</si>
  <si>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</si>
  <si>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</si>
  <si>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</si>
  <si>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</si>
  <si>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</si>
  <si>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</si>
  <si>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</si>
  <si>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</si>
  <si>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</si>
  <si>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</si>
  <si>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</si>
  <si>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</si>
  <si>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</si>
  <si>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</si>
  <si>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</si>
  <si>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</si>
  <si>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</si>
  <si>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</si>
  <si>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</si>
  <si>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</si>
  <si>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</si>
  <si>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</si>
  <si>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</si>
  <si>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</si>
  <si>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</si>
  <si>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</si>
  <si>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</si>
  <si>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</si>
  <si>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</si>
  <si>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</si>
  <si>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</si>
  <si>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</si>
  <si>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</si>
  <si>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</si>
  <si>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</si>
  <si>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</si>
  <si>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</si>
  <si>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</si>
  <si>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</si>
  <si>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</si>
  <si>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</si>
  <si>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</si>
  <si>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</si>
  <si>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</si>
  <si>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</si>
  <si>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</si>
  <si>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</si>
  <si>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</si>
  <si>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</si>
  <si>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</si>
  <si>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</si>
  <si>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</si>
  <si>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</si>
  <si>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</si>
  <si>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</si>
  <si>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</si>
  <si>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</si>
  <si>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</si>
  <si>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</si>
  <si>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</si>
  <si>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</si>
  <si>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</si>
  <si>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</si>
  <si>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</si>
  <si>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</si>
  <si>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</si>
  <si>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</si>
  <si>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</si>
  <si>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</si>
  <si>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</si>
  <si>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</si>
  <si>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</si>
  <si>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</si>
  <si>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</si>
  <si>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</si>
  <si>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</si>
  <si>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</si>
  <si>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</si>
  <si>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</si>
  <si>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</si>
  <si>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</si>
  <si>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</si>
  <si>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</si>
  <si>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</si>
  <si>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</si>
  <si>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</si>
  <si>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</si>
  <si>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</si>
  <si>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</si>
  <si>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</si>
  <si>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</si>
  <si>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</si>
  <si>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</si>
  <si>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</si>
  <si>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</si>
  <si>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</si>
  <si>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</si>
  <si>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</si>
  <si>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</si>
  <si>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</si>
  <si>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</si>
  <si>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</si>
  <si>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</si>
  <si>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</si>
  <si>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</si>
  <si>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</si>
  <si>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</si>
  <si>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</si>
  <si>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</si>
  <si>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</si>
  <si>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</si>
  <si>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</si>
  <si>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</si>
  <si>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</si>
  <si>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</si>
  <si>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</si>
  <si>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</si>
  <si>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</si>
  <si>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</si>
  <si>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</si>
  <si>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</si>
  <si>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</si>
  <si>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</si>
  <si>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</si>
  <si>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</si>
  <si>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</si>
  <si>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</si>
  <si>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</si>
  <si>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</si>
  <si>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</si>
  <si>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</si>
  <si>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</si>
  <si>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</si>
  <si>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</si>
  <si>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</si>
  <si>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</si>
  <si>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</si>
  <si>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</si>
  <si>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</si>
  <si>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</si>
  <si>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</si>
  <si>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</si>
  <si>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</si>
  <si>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</si>
  <si>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</si>
  <si>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</si>
  <si>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</si>
  <si>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</si>
  <si>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</si>
  <si>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</si>
  <si>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</si>
  <si>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</si>
  <si>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</si>
  <si>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</si>
  <si>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</si>
  <si>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</si>
  <si>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</si>
  <si>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</si>
  <si>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</si>
  <si>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</si>
  <si>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</si>
  <si>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</si>
  <si>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</si>
  <si>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</si>
  <si>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</si>
  <si>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</si>
  <si>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</si>
  <si>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</si>
  <si>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</si>
  <si>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</si>
  <si>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</si>
  <si>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</si>
  <si>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</si>
  <si>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</si>
  <si>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</si>
  <si>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</si>
  <si>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</si>
  <si>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</si>
  <si>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</si>
  <si>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</si>
  <si>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</si>
  <si>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</si>
  <si>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</si>
  <si>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</si>
  <si>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</si>
  <si>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</si>
  <si>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</si>
  <si>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</si>
  <si>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</si>
  <si>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</si>
  <si>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</si>
  <si>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</si>
  <si>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</si>
  <si>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</si>
  <si>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</si>
  <si>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</si>
  <si>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</si>
  <si>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</si>
  <si>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</si>
  <si>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</si>
  <si>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</si>
  <si>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</si>
  <si>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</si>
  <si>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</si>
  <si>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</si>
  <si>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</si>
  <si>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</si>
  <si>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</si>
  <si>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</si>
  <si>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</si>
  <si>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</si>
  <si>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</si>
  <si>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</si>
  <si>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</si>
  <si>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</si>
  <si>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</si>
  <si>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</si>
  <si>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</si>
  <si>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</si>
  <si>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</si>
  <si>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</si>
  <si>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</si>
  <si>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</si>
  <si>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</si>
  <si>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</si>
  <si>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</si>
  <si>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</si>
  <si>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</si>
  <si>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</si>
  <si>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</si>
  <si>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</si>
  <si>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</si>
  <si>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</si>
  <si>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</si>
  <si>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</si>
  <si>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</si>
  <si>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</si>
  <si>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</si>
  <si>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</si>
  <si>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</si>
  <si>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</si>
  <si>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</si>
  <si>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</si>
  <si>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</si>
  <si>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</si>
  <si>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</si>
  <si>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</si>
  <si>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</si>
  <si>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</si>
  <si>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</si>
  <si>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</si>
  <si>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</si>
  <si>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</si>
  <si>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</si>
  <si>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</si>
  <si>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</si>
  <si>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</si>
  <si>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</si>
  <si>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</si>
  <si>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</si>
  <si>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</si>
  <si>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</si>
  <si>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DESINFETANTE PRONTO USO</t>
  </si>
  <si>
    <t>DESMOLDANTE PARA CONCRETO ESTAMPADO</t>
  </si>
  <si>
    <t>DESMOLDANTE PARA FORMAS METALICAS A BASE DE OLEO VEGETAL</t>
  </si>
  <si>
    <t>DETERGENTE NEUTRO USO GERAL, CONCENTRADO</t>
  </si>
  <si>
    <t>DILUENTE AGUARRAS</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</si>
  <si>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</si>
  <si>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</si>
  <si>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</si>
  <si>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</si>
  <si>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</si>
  <si>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</si>
  <si>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</si>
  <si>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</si>
  <si>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</si>
  <si>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</si>
  <si>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</si>
  <si>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</si>
  <si>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</si>
  <si>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</si>
  <si>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</si>
  <si>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</si>
  <si>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</si>
  <si>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</si>
  <si>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</si>
  <si>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</si>
  <si>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</si>
  <si>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</si>
  <si>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</si>
  <si>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40 ATE 50A</t>
  </si>
  <si>
    <t>DISJUNTOR TIPO DIN/IEC, BIPOLAR 63 A</t>
  </si>
  <si>
    <t>DISJUNTOR TIPO DIN/IEC, MONOPOLAR DE 63 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</si>
  <si>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</si>
  <si>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</si>
  <si>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</si>
  <si>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</si>
  <si>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</si>
  <si>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</si>
  <si>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</si>
  <si>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</si>
  <si>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</si>
  <si>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</si>
  <si>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</si>
  <si>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</si>
  <si>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</si>
  <si>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</si>
  <si>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</si>
  <si>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</si>
  <si>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</si>
  <si>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</si>
  <si>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</si>
  <si>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</si>
  <si>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</si>
  <si>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</si>
  <si>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</si>
  <si>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</si>
  <si>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</si>
  <si>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</si>
  <si>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</si>
  <si>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</si>
  <si>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</si>
  <si>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</si>
  <si>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</si>
  <si>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</si>
  <si>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</si>
  <si>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</si>
  <si>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</si>
  <si>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</si>
  <si>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</si>
  <si>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</si>
  <si>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</si>
  <si>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</si>
  <si>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</si>
  <si>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</si>
  <si>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</si>
  <si>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</si>
  <si>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</si>
  <si>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</si>
  <si>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</si>
  <si>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</si>
  <si>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</si>
  <si>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</si>
  <si>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</si>
  <si>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</si>
  <si>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</si>
  <si>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</si>
  <si>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</si>
  <si>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</si>
  <si>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</si>
  <si>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</si>
  <si>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</si>
  <si>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</si>
  <si>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</si>
  <si>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</si>
  <si>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</si>
  <si>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</si>
  <si>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</si>
  <si>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</si>
  <si>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</si>
  <si>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</si>
  <si>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</si>
  <si>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</si>
  <si>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</si>
  <si>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</si>
  <si>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</si>
  <si>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</si>
  <si>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</si>
  <si>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</si>
  <si>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</si>
  <si>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</si>
  <si>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</si>
  <si>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</si>
  <si>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</si>
  <si>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</si>
  <si>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</si>
  <si>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</si>
  <si>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</si>
  <si>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</si>
  <si>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</si>
  <si>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</si>
  <si>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</si>
  <si>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</si>
  <si>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</si>
  <si>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</si>
  <si>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</si>
  <si>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</si>
  <si>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</si>
  <si>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</si>
  <si>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</si>
  <si>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</si>
  <si>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</si>
  <si>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</si>
  <si>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</si>
  <si>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</si>
  <si>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</si>
  <si>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</si>
  <si>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</si>
  <si>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</si>
  <si>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</si>
  <si>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</si>
  <si>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</si>
  <si>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</si>
  <si>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</si>
  <si>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</si>
  <si>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</si>
  <si>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</si>
  <si>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</si>
  <si>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</si>
  <si>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</si>
  <si>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</si>
  <si>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</si>
  <si>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</si>
  <si>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</si>
  <si>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</si>
  <si>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</si>
  <si>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</si>
  <si>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</si>
  <si>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</si>
  <si>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</si>
  <si>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</si>
  <si>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</si>
  <si>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</si>
  <si>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</si>
  <si>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</si>
  <si>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</si>
  <si>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</si>
  <si>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</si>
  <si>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</si>
  <si>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</si>
  <si>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</si>
  <si>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</si>
  <si>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</si>
  <si>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</si>
  <si>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</si>
  <si>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</si>
  <si>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</si>
  <si>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</si>
  <si>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</si>
  <si>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</si>
  <si>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(MENSALISTA)</t>
  </si>
  <si>
    <t>ENCARREGADO GERAL DE OBRAS (MENSALISTA)</t>
  </si>
  <si>
    <t>ENDURECEDOR MINERAL DE BASE CIMENTICIA PARA PISO DE CONCRETO</t>
  </si>
  <si>
    <t>ENERGIA ELETRICA COMERCIAL, BAIXA TENSAO, RELATIVA AO CONSUMO DE ATE 100 KWH, INCLUINDO ICMS, PIS/PASEP E COFINS</t>
  </si>
  <si>
    <t>ENGATE / RABICHO FLEXIVEL INOX 1/2 " X 40 CM</t>
  </si>
  <si>
    <t>ENGATE/RABICHO FLEXIVEL PLASTICO (PVC OU ABS) BRANCO 1/2 " X 30 CM</t>
  </si>
  <si>
    <t>ENGATE/RABICHO FLEXIVEL PLASTICO (PVC OU ABS) BRANCO 1/2 " X 40 CM</t>
  </si>
  <si>
    <t>ENGENHEIRO CIVIL DE OBRA JUNIOR (MENSALISTA)</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</si>
  <si>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</si>
  <si>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</si>
  <si>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</si>
  <si>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</si>
  <si>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</si>
  <si>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</si>
  <si>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</si>
  <si>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</si>
  <si>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</si>
  <si>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</si>
  <si>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</si>
  <si>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</si>
  <si>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</si>
  <si>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</si>
  <si>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</si>
  <si>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</si>
  <si>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MENSALISTA (ENCARGOS COMPLEMENTARES - COLETADO CAIXA)</t>
  </si>
  <si>
    <t>EPI - FAMILIA ELETRICISTA - MENSALISTA (ENCARGOS COMPLEMENTARES - COLETADO CAIXA)</t>
  </si>
  <si>
    <t>EPI - FAMILIA ENCANADOR - MENSALISTA (ENCARGOS COMPLEMENTARES - COLETADO CAIXA)</t>
  </si>
  <si>
    <t>EPI - FAMILIA ENCARREGADO GERAL - MENSALISTA (ENCARGOS COMPLEMENTARES - COLETADO CAIXA)</t>
  </si>
  <si>
    <t>EPI - FAMILIA ENGENHEIRO CIVIL - MENSALISTA (ENCARGOS COMPLEMENTARES - COLETADO CAIXA)</t>
  </si>
  <si>
    <t>EPI - FAMILIA OPERADOR ESCAVADEIRA - MENSALISTA (ENCARGOS COMPLEMENTARES - COLETADO CAIXA)</t>
  </si>
  <si>
    <t>EPI - FAMILIA PEDREIRO - MENSALISTA (ENCARGOS COMPLEMENTARES - COLETADO CAIXA)</t>
  </si>
  <si>
    <t>EPI - FAMILIA PINTOR - MENSALISTA (ENCARGOS COMPLEMENTARES - COLETADO CAIXA)</t>
  </si>
  <si>
    <t>EPI - FAMILIA SERVENTE - MENSALISTA (ENCARGOS COMPLEMENTARES - COLETADO CAIXA)</t>
  </si>
  <si>
    <t>EPI - FAMILIA SOLDADOR - MENSALISTA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</si>
  <si>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</si>
  <si>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</si>
  <si>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</si>
  <si>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</si>
  <si>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</si>
  <si>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</si>
  <si>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</si>
  <si>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</si>
  <si>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</si>
  <si>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</si>
  <si>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</si>
  <si>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</si>
  <si>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</si>
  <si>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</si>
  <si>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</si>
  <si>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</si>
  <si>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</si>
  <si>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</si>
  <si>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</si>
  <si>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</si>
  <si>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</si>
  <si>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</si>
  <si>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</si>
  <si>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</si>
  <si>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</si>
  <si>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</si>
  <si>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</si>
  <si>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</si>
  <si>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</si>
  <si>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</si>
  <si>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</si>
  <si>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</si>
  <si>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</si>
  <si>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</si>
  <si>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</si>
  <si>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</si>
  <si>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</si>
  <si>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</si>
  <si>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</si>
  <si>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</si>
  <si>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</si>
  <si>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</si>
  <si>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</si>
  <si>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</si>
  <si>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</si>
  <si>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</si>
  <si>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</si>
  <si>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</si>
  <si>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</si>
  <si>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</si>
  <si>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</si>
  <si>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</si>
  <si>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</si>
  <si>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</si>
  <si>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</si>
  <si>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</si>
  <si>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</si>
  <si>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</si>
  <si>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</si>
  <si>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</si>
  <si>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</si>
  <si>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</si>
  <si>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</si>
  <si>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MENSALISTA (COLETADO CAIXA)</t>
  </si>
  <si>
    <t>EXTENSAO DE SOLDA 201 ACETILENO, E = *1,5 A 2,5* MM</t>
  </si>
  <si>
    <t>EXTENSAO DE SOLDA 201 GLP, E = *2,5 A 4,0* MM</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</si>
  <si>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</si>
  <si>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</si>
  <si>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</si>
  <si>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</si>
  <si>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</si>
  <si>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</si>
  <si>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</si>
  <si>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</si>
  <si>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</si>
  <si>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</si>
  <si>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</si>
  <si>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</si>
  <si>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</si>
  <si>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</si>
  <si>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</si>
  <si>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</si>
  <si>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</si>
  <si>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</si>
  <si>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</si>
  <si>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</si>
  <si>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</si>
  <si>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</si>
  <si>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</si>
  <si>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</si>
  <si>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</si>
  <si>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</si>
  <si>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</si>
  <si>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</si>
  <si>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</si>
  <si>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</si>
  <si>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</si>
  <si>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</si>
  <si>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</si>
  <si>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</si>
  <si>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</si>
  <si>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</si>
  <si>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</si>
  <si>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</si>
  <si>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</si>
  <si>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</si>
  <si>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</si>
  <si>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</si>
  <si>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</si>
  <si>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</si>
  <si>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</si>
  <si>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</si>
  <si>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</si>
  <si>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</si>
  <si>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</si>
  <si>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MENSALISTA (ENCARGOS COMPLEMENTARES - COLETADO CAIXA)</t>
  </si>
  <si>
    <t>FERRAMENTAS - FAMILIA ELETRICISTA - MENSALISTA (ENCARGOS COMPLEMENTARES - COLETADO CAIXA)</t>
  </si>
  <si>
    <t>FERRAMENTAS - FAMILIA ENCANADOR - MENSALISTA (ENCARGOS COMPLEMENTARES - COLETADO CAIXA)</t>
  </si>
  <si>
    <t>FERRAMENTAS - FAMILIA ENCARREGADO GERAL - MENSALISTA (ENCARGOS COMPLEMENTARES - COLETADO CAIXA)</t>
  </si>
  <si>
    <t>FERRAMENTAS - FAMILIA ENGENHEIRO CIVIL - MENSALISTA (ENCARGOS COMPLEMENTARES - COLETADO CAIXA)</t>
  </si>
  <si>
    <t>FERRAMENTAS - FAMILIA OPERADOR ESCAVADEIRA - MENSALISTA (ENCARGOS COMPLEMENTARES - COLETADO CAIXA)</t>
  </si>
  <si>
    <t>FERRAMENTAS - FAMILIA PEDREIRO - MENSALISTA (ENCARGOS COMPLEMENTARES - COLETADO CAIXA)</t>
  </si>
  <si>
    <t>FERRAMENTAS - FAMILIA PINTOR - MENSALISTA (ENCARGOS COMPLEMENTARES - COLETADO CAIXA)</t>
  </si>
  <si>
    <t>FERRAMENTAS - FAMILIA SERVENTE - MENSALISTA (ENCARGOS COMPLEMENTARES - COLETADO CAIXA)</t>
  </si>
  <si>
    <t>FERRAMENTAS - FAMILIA SOLDADOR - MENSALISTA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</si>
  <si>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</si>
  <si>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</si>
  <si>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</si>
  <si>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</si>
  <si>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</si>
  <si>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</si>
  <si>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</si>
  <si>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</si>
  <si>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</si>
  <si>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</si>
  <si>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</si>
  <si>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</si>
  <si>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</si>
  <si>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</si>
  <si>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</si>
  <si>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</si>
  <si>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</si>
  <si>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</si>
  <si>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</si>
  <si>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</si>
  <si>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</si>
  <si>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</si>
  <si>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</si>
  <si>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</si>
  <si>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</si>
  <si>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</si>
  <si>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</si>
  <si>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</si>
  <si>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</si>
  <si>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</si>
  <si>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</si>
  <si>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</si>
  <si>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</si>
  <si>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</si>
  <si>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</si>
  <si>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</si>
  <si>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</si>
  <si>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</si>
  <si>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</si>
  <si>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</si>
  <si>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</si>
  <si>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</si>
  <si>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</si>
  <si>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</si>
  <si>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</si>
  <si>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25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</si>
  <si>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</si>
  <si>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</si>
  <si>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</si>
  <si>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</si>
  <si>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</si>
  <si>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</si>
  <si>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</si>
  <si>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</si>
  <si>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</si>
  <si>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</si>
  <si>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</si>
  <si>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</si>
  <si>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</si>
  <si>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</si>
  <si>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</si>
  <si>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</si>
  <si>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</si>
  <si>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</si>
  <si>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</si>
  <si>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</si>
  <si>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</si>
  <si>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</si>
  <si>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</si>
  <si>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</si>
  <si>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</si>
  <si>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</si>
  <si>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</si>
  <si>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</si>
  <si>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</si>
  <si>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</si>
  <si>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</si>
  <si>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</si>
  <si>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</si>
  <si>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</si>
  <si>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</si>
  <si>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</si>
  <si>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</si>
  <si>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</si>
  <si>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</si>
  <si>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</si>
  <si>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</si>
  <si>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</si>
  <si>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</si>
  <si>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</si>
  <si>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</si>
  <si>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</si>
  <si>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</si>
  <si>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</si>
  <si>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</si>
  <si>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</si>
  <si>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</si>
  <si>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</si>
  <si>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</si>
  <si>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</si>
  <si>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</si>
  <si>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</si>
  <si>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</si>
  <si>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</si>
  <si>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</si>
  <si>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</si>
  <si>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</si>
  <si>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</si>
  <si>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</si>
  <si>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</si>
  <si>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</si>
  <si>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</si>
  <si>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</si>
  <si>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</si>
  <si>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</si>
  <si>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</si>
  <si>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</si>
  <si>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</si>
  <si>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</si>
  <si>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</si>
  <si>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</si>
  <si>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</si>
  <si>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</si>
  <si>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</si>
  <si>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</si>
  <si>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</si>
  <si>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</si>
  <si>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</si>
  <si>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</si>
  <si>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</si>
  <si>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</si>
  <si>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</si>
  <si>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</si>
  <si>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</si>
  <si>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</si>
  <si>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</si>
  <si>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</si>
  <si>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</si>
  <si>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</si>
  <si>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</si>
  <si>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</si>
  <si>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</si>
  <si>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</si>
  <si>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</si>
  <si>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</si>
  <si>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</si>
  <si>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</si>
  <si>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</si>
  <si>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</si>
  <si>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</si>
  <si>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</si>
  <si>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</si>
  <si>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</si>
  <si>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</si>
  <si>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</si>
  <si>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</si>
  <si>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</si>
  <si>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GRANITO PARA BANCADA, POLIDO, TIPO ANDORINHA/ QUARTZ/ CASTELO/ CORUMBA OU OUTROS EQUIVALENTES DA REGIAO, E=  *2,5* CM</t>
  </si>
  <si>
    <t>GRAUTE CIMENTICIO PARA USO GERAL</t>
  </si>
  <si>
    <t>GRAXA LUBRIFICANTE</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</si>
  <si>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</si>
  <si>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</si>
  <si>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</si>
  <si>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</si>
  <si>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</si>
  <si>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</si>
  <si>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</si>
  <si>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</si>
  <si>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</si>
  <si>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</si>
  <si>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</si>
  <si>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</si>
  <si>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</si>
  <si>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</si>
  <si>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</si>
  <si>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</si>
  <si>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</si>
  <si>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</si>
  <si>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</si>
  <si>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</si>
  <si>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</si>
  <si>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</si>
  <si>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</si>
  <si>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</si>
  <si>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</si>
  <si>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</si>
  <si>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</si>
  <si>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</si>
  <si>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</si>
  <si>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</si>
  <si>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</si>
  <si>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</si>
  <si>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</si>
  <si>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</si>
  <si>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</si>
  <si>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</si>
  <si>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</si>
  <si>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</si>
  <si>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</si>
  <si>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</si>
  <si>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</si>
  <si>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</si>
  <si>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</si>
  <si>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</si>
  <si>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</si>
  <si>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</si>
  <si>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</si>
  <si>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</si>
  <si>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</si>
  <si>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</si>
  <si>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</si>
  <si>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</si>
  <si>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</si>
  <si>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</si>
  <si>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</si>
  <si>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</si>
  <si>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</si>
  <si>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</si>
  <si>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</si>
  <si>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</si>
  <si>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</si>
  <si>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</si>
  <si>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</si>
  <si>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</si>
  <si>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</si>
  <si>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</si>
  <si>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</si>
  <si>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</si>
  <si>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</si>
  <si>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</si>
  <si>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</si>
  <si>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</si>
  <si>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</si>
  <si>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</si>
  <si>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</si>
  <si>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</si>
  <si>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</si>
  <si>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</si>
  <si>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</si>
  <si>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</si>
  <si>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</si>
  <si>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</si>
  <si>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</si>
  <si>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</si>
  <si>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</si>
  <si>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</si>
  <si>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</si>
  <si>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</si>
  <si>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</si>
  <si>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</si>
  <si>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</si>
  <si>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</si>
  <si>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</si>
  <si>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</si>
  <si>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</si>
  <si>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</si>
  <si>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</si>
  <si>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</si>
  <si>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</si>
  <si>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</si>
  <si>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</si>
  <si>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</si>
  <si>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</si>
  <si>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</si>
  <si>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</si>
  <si>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</si>
  <si>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</si>
  <si>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EM ALUMINIO PERFIL 20, 80 X 60 CM (A X L), 4 FLS (1 FIXA E 3 MOVEIS), ACABAMENTO BRANCO OU BRILHANTE, BATENTE DE 3 A 4 CM, COM VIDRO, SEM GUARNICAO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</si>
  <si>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</si>
  <si>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</si>
  <si>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PERFIL 25, 120 X 150 CM (A X L), 4 FLS, BANDEIRA COM BASCULA,  ACABAMENTO BRANCO OU BRILHANTE, BATENTE/REQUADRO DE 6 A 14 CM, COM VIDRO, SEM GUARNICAO/ALIZAR</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</si>
  <si>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</si>
  <si>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</si>
  <si>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</si>
  <si>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</si>
  <si>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</si>
  <si>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</si>
  <si>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</si>
  <si>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</si>
  <si>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</si>
  <si>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</si>
  <si>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MADEIRA CEDRINHO/ ANGELIM COMERCIAL/ CURUPIXA/ CUMARU OU EQUIVALENTE DA REGIAO, CAIXA DO BATENTE/MARCO *10* CM, 1 FOLHA  PARA VIDRO, COM GUARNICAO/ALIZAR, COM FERRAGENS, (SEM VIDRO E SEM ACABAMENTO)</t>
  </si>
  <si>
    <t>JANELA MAXIM AR, EM ALUMINIO PERFIL 25, 60 X 80 CM (A X L), ACABAMENTO BRANCO OU BRILHANTE, BATENTE DE 4 A 5 CM, COM VIDRO, SEM GUARNICAO/ALIZAR</t>
  </si>
  <si>
    <t>JANELA MAXIMO AR, ACO, BATENTE / REQUADRO DE 6 A 14 CM, PINT ANTICORROSIVA, SEM VIDRO, COM GRADE, 1 FL, 60  X 80 CM (A X L)</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</si>
  <si>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</si>
  <si>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</si>
  <si>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JARDINEIRO (HORISTA)</t>
  </si>
  <si>
    <t>JARDINEIRO (MENSALISTA)</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</si>
  <si>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</si>
  <si>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</si>
  <si>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</si>
  <si>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</si>
  <si>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</si>
  <si>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</si>
  <si>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</si>
  <si>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</si>
  <si>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</si>
  <si>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</si>
  <si>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</si>
  <si>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</si>
  <si>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</si>
  <si>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</si>
  <si>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</si>
  <si>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</si>
  <si>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</si>
  <si>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</si>
  <si>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</si>
  <si>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</si>
  <si>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</si>
  <si>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</si>
  <si>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</si>
  <si>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</si>
  <si>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</si>
  <si>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</si>
  <si>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</si>
  <si>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</si>
  <si>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</si>
  <si>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</si>
  <si>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</si>
  <si>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</si>
  <si>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</si>
  <si>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</si>
  <si>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</si>
  <si>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</si>
  <si>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</si>
  <si>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</si>
  <si>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</si>
  <si>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</si>
  <si>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</si>
  <si>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</si>
  <si>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</si>
  <si>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</si>
  <si>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</si>
  <si>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</si>
  <si>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</si>
  <si>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</si>
  <si>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</si>
  <si>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</si>
  <si>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90 GRAUS, DN 40 MM, PARA ESGOTO PREDIAL</t>
  </si>
  <si>
    <t>JOELHO PVC, SOLDAVEL, COM BUCHA DE LATAO, 90 GRAUS, 20 MM X 1/2", PARA AGUA FRIA PREDIAL</t>
  </si>
  <si>
    <t>JOELHO PVC, SOLDAVEL, COM BUCHA DE LATAO, 90 GRAUS, 25 MM X 3/4", PARA AGUA FRIA PREDIAL</t>
  </si>
  <si>
    <t>JOELHO PVC, SOLDAVEL, COM BUCHA DE LATAO, 90 GRAUS, 32 MM X 3/4", PARA AGUA FRIA PREDIAL</t>
  </si>
  <si>
    <t>JOELHO PVC, SOLDAVEL, PB, 45 GRAUS, DN 150 MM, PARA ESGOTO PREDIAL</t>
  </si>
  <si>
    <t>JOELHO PVC, SOLDAVEL, PB, 45 GRAUS, DN 40 MM, PARA ESGOTO PREDIAL</t>
  </si>
  <si>
    <t>JOELHO PVC, SOLDAVEL, PB, 90 GRAUS, DN 150 MM, PARA ESGOTO PREDIAL</t>
  </si>
  <si>
    <t>JOELHO PVC, SOLDAVEL, PB, 90 GRAUS, DN 40 MM, PARA ESGOTO PREDIAL</t>
  </si>
  <si>
    <t>JOELHO PVC, SOLDAVEL, PB, 90 GRAUS, DN 75 MM, PARA ESGOTO PREDIAL</t>
  </si>
  <si>
    <t>JOELHO PVC, SOLDAVEL, 90 GRAUS, 110 MM, PARA AGUA FRIA PREDIAL</t>
  </si>
  <si>
    <t>JOELHO PVC, SOLDAVEL, 90 GRAUS, 20 MM, PARA AGUA FRIA PREDIAL</t>
  </si>
  <si>
    <t>JOELHO PVC, SOLDAVEL, 90 GRAUS, 32 MM, PARA AGUA FRIA PREDIAL</t>
  </si>
  <si>
    <t>JOELHO PVC, SOLDAVEL, 90 GRAUS, 40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</si>
  <si>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</si>
  <si>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</si>
  <si>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</si>
  <si>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</si>
  <si>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</si>
  <si>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</si>
  <si>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</si>
  <si>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</si>
  <si>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</si>
  <si>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</si>
  <si>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</si>
  <si>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</si>
  <si>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</si>
  <si>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</si>
  <si>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</si>
  <si>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</si>
  <si>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</si>
  <si>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</si>
  <si>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</si>
  <si>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</si>
  <si>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</si>
  <si>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</si>
  <si>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</si>
  <si>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</si>
  <si>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</si>
  <si>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</si>
  <si>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</si>
  <si>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</si>
  <si>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</si>
  <si>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</si>
  <si>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</si>
  <si>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</si>
  <si>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</si>
  <si>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</si>
  <si>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</si>
  <si>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</si>
  <si>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</si>
  <si>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</si>
  <si>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</si>
  <si>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</si>
  <si>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</si>
  <si>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</si>
  <si>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</si>
  <si>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</si>
  <si>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</si>
  <si>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</si>
  <si>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</si>
  <si>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</si>
  <si>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</si>
  <si>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</si>
  <si>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</si>
  <si>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</si>
  <si>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</si>
  <si>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</si>
  <si>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</si>
  <si>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</si>
  <si>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</si>
  <si>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</si>
  <si>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</si>
  <si>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</si>
  <si>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</si>
  <si>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</si>
  <si>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</si>
  <si>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</si>
  <si>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</si>
  <si>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</si>
  <si>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</si>
  <si>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</si>
  <si>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</si>
  <si>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</si>
  <si>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</si>
  <si>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</si>
  <si>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</si>
  <si>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</si>
  <si>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</si>
  <si>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</si>
  <si>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</si>
  <si>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</si>
  <si>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</si>
  <si>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</si>
  <si>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</si>
  <si>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</si>
  <si>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</si>
  <si>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</si>
  <si>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</si>
  <si>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</si>
  <si>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</si>
  <si>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</si>
  <si>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</si>
  <si>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</si>
  <si>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</si>
  <si>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</si>
  <si>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</si>
  <si>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75 X 50 MM, SERIE NORMAL PARA ESGOTO PREDIAL</t>
  </si>
  <si>
    <t>JUNCAO SIMPLES, PVC, DN 75 X 75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</si>
  <si>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</si>
  <si>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</si>
  <si>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</si>
  <si>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</si>
  <si>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</si>
  <si>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</si>
  <si>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</si>
  <si>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</si>
  <si>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</si>
  <si>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</si>
  <si>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</si>
  <si>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</si>
  <si>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</si>
  <si>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</si>
  <si>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</si>
  <si>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</si>
  <si>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</si>
  <si>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</si>
  <si>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</si>
  <si>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</si>
  <si>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</si>
  <si>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</si>
  <si>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</si>
  <si>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</si>
  <si>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</si>
  <si>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</si>
  <si>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</si>
  <si>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</si>
  <si>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</si>
  <si>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</si>
  <si>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</si>
  <si>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</si>
  <si>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</si>
  <si>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</si>
  <si>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</si>
  <si>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</si>
  <si>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</si>
  <si>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</si>
  <si>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</si>
  <si>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</si>
  <si>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</si>
  <si>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</si>
  <si>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</si>
  <si>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</si>
  <si>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</si>
  <si>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</si>
  <si>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</si>
  <si>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</si>
  <si>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</si>
  <si>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</si>
  <si>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</si>
  <si>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</si>
  <si>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</si>
  <si>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</si>
  <si>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</si>
  <si>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</si>
  <si>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</si>
  <si>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</si>
  <si>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</si>
  <si>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</si>
  <si>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</si>
  <si>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</si>
  <si>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</si>
  <si>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</si>
  <si>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</si>
  <si>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</si>
  <si>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</si>
  <si>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</si>
  <si>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</si>
  <si>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</si>
  <si>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</si>
  <si>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</si>
  <si>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</si>
  <si>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</si>
  <si>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</si>
  <si>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</si>
  <si>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</si>
  <si>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</si>
  <si>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</si>
  <si>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</si>
  <si>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</si>
  <si>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</si>
  <si>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</si>
  <si>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</si>
  <si>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</si>
  <si>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</si>
  <si>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</si>
  <si>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</si>
  <si>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</si>
  <si>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</si>
  <si>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</si>
  <si>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</si>
  <si>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</si>
  <si>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</si>
  <si>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</si>
  <si>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</si>
  <si>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</si>
  <si>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</si>
  <si>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</si>
  <si>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</si>
  <si>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</si>
  <si>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</si>
  <si>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</si>
  <si>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</si>
  <si>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</si>
  <si>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</si>
  <si>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</si>
  <si>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</si>
  <si>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</si>
  <si>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</si>
  <si>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</si>
  <si>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</si>
  <si>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</si>
  <si>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</si>
  <si>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</si>
  <si>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</si>
  <si>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</si>
  <si>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</si>
  <si>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</si>
  <si>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</si>
  <si>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</si>
  <si>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</si>
  <si>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</si>
  <si>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 (INCLUSO SAPATAS FIXAS OU RODIZIOS)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</si>
  <si>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</si>
  <si>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</si>
  <si>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</si>
  <si>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</si>
  <si>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</si>
  <si>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</si>
  <si>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</si>
  <si>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</si>
  <si>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</si>
  <si>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</si>
  <si>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</si>
  <si>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</si>
  <si>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</si>
  <si>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</si>
  <si>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</si>
  <si>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</si>
  <si>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</si>
  <si>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</si>
  <si>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</si>
  <si>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</si>
  <si>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</si>
  <si>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</si>
  <si>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</si>
  <si>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</si>
  <si>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</si>
  <si>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</si>
  <si>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</si>
  <si>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</si>
  <si>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</si>
  <si>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</si>
  <si>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</si>
  <si>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</si>
  <si>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</si>
  <si>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</si>
  <si>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</si>
  <si>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</si>
  <si>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</si>
  <si>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</si>
  <si>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</si>
  <si>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</si>
  <si>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</si>
  <si>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</si>
  <si>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</si>
  <si>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</si>
  <si>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</si>
  <si>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</si>
  <si>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</si>
  <si>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</si>
  <si>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</si>
  <si>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</si>
  <si>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</si>
  <si>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</si>
  <si>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</si>
  <si>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</si>
  <si>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</si>
  <si>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</si>
  <si>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</si>
  <si>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</si>
  <si>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</si>
  <si>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</si>
  <si>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</si>
  <si>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</si>
  <si>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</si>
  <si>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</si>
  <si>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</si>
  <si>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</si>
  <si>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</si>
  <si>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</si>
  <si>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</si>
  <si>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</si>
  <si>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</si>
  <si>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</si>
  <si>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</si>
  <si>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</si>
  <si>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</si>
  <si>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</si>
  <si>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</si>
  <si>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</si>
  <si>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</si>
  <si>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</si>
  <si>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</si>
  <si>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</si>
  <si>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</si>
  <si>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</si>
  <si>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</si>
  <si>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</si>
  <si>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</si>
  <si>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</si>
  <si>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</si>
  <si>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</si>
  <si>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</si>
  <si>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</si>
  <si>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</si>
  <si>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</si>
  <si>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</si>
  <si>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</si>
  <si>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</si>
  <si>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</si>
  <si>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</si>
  <si>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</si>
  <si>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</si>
  <si>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</si>
  <si>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</si>
  <si>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</si>
  <si>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</si>
  <si>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</si>
  <si>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</si>
  <si>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</si>
  <si>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</si>
  <si>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</si>
  <si>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</si>
  <si>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</si>
  <si>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</si>
  <si>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</si>
  <si>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</si>
  <si>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</si>
  <si>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</si>
  <si>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</si>
  <si>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</si>
  <si>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</si>
  <si>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</si>
  <si>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</si>
  <si>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</si>
  <si>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</si>
  <si>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</si>
  <si>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</si>
  <si>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</si>
  <si>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</si>
  <si>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</si>
  <si>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</si>
  <si>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</si>
  <si>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</si>
  <si>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</si>
  <si>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</si>
  <si>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</si>
  <si>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</si>
  <si>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</si>
  <si>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</si>
  <si>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</si>
  <si>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</si>
  <si>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</si>
  <si>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</si>
  <si>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</si>
  <si>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</si>
  <si>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</si>
  <si>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</si>
  <si>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</si>
  <si>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</si>
  <si>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</si>
  <si>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</si>
  <si>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</si>
  <si>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</si>
  <si>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</si>
  <si>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</si>
  <si>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</si>
  <si>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</si>
  <si>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</si>
  <si>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</si>
  <si>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</si>
  <si>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</si>
  <si>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</si>
  <si>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</si>
  <si>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</si>
  <si>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</si>
  <si>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</si>
  <si>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</si>
  <si>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</si>
  <si>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</si>
  <si>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</si>
  <si>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</si>
  <si>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</si>
  <si>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</si>
  <si>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</si>
  <si>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</si>
  <si>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</si>
  <si>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</si>
  <si>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</si>
  <si>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</si>
  <si>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</si>
  <si>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</si>
  <si>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</si>
  <si>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</si>
  <si>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</si>
  <si>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</si>
  <si>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</si>
  <si>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</si>
  <si>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</si>
  <si>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</si>
  <si>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</si>
  <si>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</si>
  <si>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</si>
  <si>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</si>
  <si>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</si>
  <si>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</si>
  <si>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</si>
  <si>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</si>
  <si>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</si>
  <si>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</si>
  <si>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</si>
  <si>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</si>
  <si>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</si>
  <si>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</si>
  <si>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</si>
  <si>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</si>
  <si>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</si>
  <si>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</si>
  <si>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</si>
  <si>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</si>
  <si>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</si>
  <si>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</si>
  <si>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</si>
  <si>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</si>
  <si>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</si>
  <si>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</si>
  <si>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</si>
  <si>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</si>
  <si>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</si>
  <si>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</si>
  <si>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</si>
  <si>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</si>
  <si>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</si>
  <si>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</si>
  <si>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</si>
  <si>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</si>
  <si>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</si>
  <si>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</si>
  <si>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</si>
  <si>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</si>
  <si>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</si>
  <si>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</si>
  <si>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</si>
  <si>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</si>
  <si>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</si>
  <si>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</si>
  <si>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</si>
  <si>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</si>
  <si>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</si>
  <si>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</si>
  <si>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</si>
  <si>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</si>
  <si>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</si>
  <si>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</si>
  <si>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</si>
  <si>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</si>
  <si>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</si>
  <si>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</si>
  <si>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</si>
  <si>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</si>
  <si>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</si>
  <si>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</si>
  <si>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</si>
  <si>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</si>
  <si>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</si>
  <si>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</si>
  <si>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</si>
  <si>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</si>
  <si>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</si>
  <si>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</si>
  <si>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</si>
  <si>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</si>
  <si>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</si>
  <si>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</si>
  <si>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</si>
  <si>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</si>
  <si>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</si>
  <si>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</si>
  <si>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</si>
  <si>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</si>
  <si>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</si>
  <si>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</si>
  <si>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</si>
  <si>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</si>
  <si>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</si>
  <si>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</si>
  <si>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</si>
  <si>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</si>
  <si>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</si>
  <si>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</si>
  <si>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</si>
  <si>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</si>
  <si>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</si>
  <si>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</si>
  <si>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</si>
  <si>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</si>
  <si>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</si>
  <si>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</si>
  <si>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</si>
  <si>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</si>
  <si>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</si>
  <si>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</si>
  <si>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</si>
  <si>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</si>
  <si>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</si>
  <si>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</si>
  <si>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</si>
  <si>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</si>
  <si>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</si>
  <si>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</si>
  <si>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</si>
  <si>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</si>
  <si>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</si>
  <si>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</si>
  <si>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</si>
  <si>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</si>
  <si>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</si>
  <si>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</si>
  <si>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</si>
  <si>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</si>
  <si>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</si>
  <si>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</si>
  <si>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</si>
  <si>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</si>
  <si>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</si>
  <si>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</si>
  <si>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</si>
  <si>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</si>
  <si>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</si>
  <si>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</si>
  <si>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</si>
  <si>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</si>
  <si>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</si>
  <si>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</si>
  <si>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</si>
  <si>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</si>
  <si>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</si>
  <si>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</si>
  <si>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</si>
  <si>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</si>
  <si>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</si>
  <si>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</si>
  <si>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</si>
  <si>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</si>
  <si>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</si>
  <si>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</si>
  <si>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</si>
  <si>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</si>
  <si>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</si>
  <si>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</si>
  <si>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</si>
  <si>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</si>
  <si>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</si>
  <si>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</si>
  <si>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</si>
  <si>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</si>
  <si>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</si>
  <si>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</si>
  <si>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</si>
  <si>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(MENSALISTA)</t>
  </si>
  <si>
    <t>MARMORISTA / GRANITEIRO (HORISTA)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</si>
  <si>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</si>
  <si>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</si>
  <si>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</si>
  <si>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</si>
  <si>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</si>
  <si>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</si>
  <si>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</si>
  <si>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</si>
  <si>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</si>
  <si>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</si>
  <si>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</si>
  <si>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</si>
  <si>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</si>
  <si>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</si>
  <si>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</si>
  <si>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</si>
  <si>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</si>
  <si>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</si>
  <si>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</si>
  <si>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</si>
  <si>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</si>
  <si>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</si>
  <si>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</si>
  <si>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</si>
  <si>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</si>
  <si>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</si>
  <si>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</si>
  <si>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</si>
  <si>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</si>
  <si>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</si>
  <si>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</si>
  <si>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</si>
  <si>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</si>
  <si>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</si>
  <si>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</si>
  <si>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</si>
  <si>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</si>
  <si>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</si>
  <si>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</si>
  <si>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</si>
  <si>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</si>
  <si>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</si>
  <si>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</si>
  <si>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</si>
  <si>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</si>
  <si>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</si>
  <si>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</si>
  <si>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</si>
  <si>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</si>
  <si>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</si>
  <si>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</si>
  <si>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</si>
  <si>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</si>
  <si>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</si>
  <si>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</si>
  <si>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</si>
  <si>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</si>
  <si>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</si>
  <si>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</si>
  <si>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</si>
  <si>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</si>
  <si>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</si>
  <si>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</si>
  <si>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</si>
  <si>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</si>
  <si>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</si>
  <si>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</si>
  <si>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</si>
  <si>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</si>
  <si>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</si>
  <si>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</si>
  <si>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</si>
  <si>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INDICUDUAL, SIFONADO, LOUCA BRANCA, SEM COMPLEMENTOS</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</si>
  <si>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</si>
  <si>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</si>
  <si>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</si>
  <si>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</si>
  <si>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</si>
  <si>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</si>
  <si>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</si>
  <si>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</si>
  <si>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</si>
  <si>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</si>
  <si>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</si>
  <si>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</si>
  <si>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</si>
  <si>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</si>
  <si>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</si>
  <si>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</si>
  <si>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600 KG, MOTOR ELETRICO TRIFASICO 220/380 V, POTENCIA 7,5 CV</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</si>
  <si>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</si>
  <si>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</si>
  <si>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</si>
  <si>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</si>
  <si>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</si>
  <si>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</si>
  <si>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</si>
  <si>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</si>
  <si>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</si>
  <si>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</si>
  <si>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</si>
  <si>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</si>
  <si>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MONTADOR DE ELETROELETRONICOS (MENSALISTA)</t>
  </si>
  <si>
    <t>MONTADOR DE ESTRUTURAS METALICAS (MENSALISTA)</t>
  </si>
  <si>
    <t>MONTADOR DE ESTRUTURAS METALICAS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</si>
  <si>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</si>
  <si>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</si>
  <si>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</si>
  <si>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</si>
  <si>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</si>
  <si>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</si>
  <si>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</si>
  <si>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</si>
  <si>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</si>
  <si>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</si>
  <si>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</si>
  <si>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</si>
  <si>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 (MENSALISTA)</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</si>
  <si>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</si>
  <si>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</si>
  <si>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</si>
  <si>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</si>
  <si>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</si>
  <si>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</si>
  <si>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</si>
  <si>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</si>
  <si>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</si>
  <si>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</si>
  <si>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</si>
  <si>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</si>
  <si>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</si>
  <si>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</si>
  <si>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</si>
  <si>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</si>
  <si>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</si>
  <si>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</si>
  <si>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</si>
  <si>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</si>
  <si>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</si>
  <si>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</si>
  <si>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</si>
  <si>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</si>
  <si>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</si>
  <si>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</si>
  <si>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</si>
  <si>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</si>
  <si>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</si>
  <si>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</si>
  <si>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</si>
  <si>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</si>
  <si>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t>
  </si>
  <si>
    <t>NIPLE DE FERRO GALVANIZADO, COM ROSCA BSP, DE 2 1/2"</t>
  </si>
  <si>
    <t>NIPLE DE FERRO GALVANIZADO, COM ROSCA BSP, DE 2"</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</si>
  <si>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</si>
  <si>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</si>
  <si>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</si>
  <si>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</si>
  <si>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</si>
  <si>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</si>
  <si>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</si>
  <si>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</si>
  <si>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</si>
  <si>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</si>
  <si>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</si>
  <si>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</si>
  <si>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</si>
  <si>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</si>
  <si>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</si>
  <si>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</si>
  <si>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</si>
  <si>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</si>
  <si>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</si>
  <si>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</si>
  <si>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</si>
  <si>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</si>
  <si>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</si>
  <si>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</si>
  <si>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</si>
  <si>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</si>
  <si>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</si>
  <si>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</si>
  <si>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</si>
  <si>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</si>
  <si>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</si>
  <si>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</si>
  <si>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</si>
  <si>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</si>
  <si>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</si>
  <si>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</si>
  <si>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</si>
  <si>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</si>
  <si>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</si>
  <si>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</si>
  <si>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</si>
  <si>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</si>
  <si>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</si>
  <si>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</si>
  <si>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</si>
  <si>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</si>
  <si>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</si>
  <si>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</si>
  <si>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 (MENSALISTA)</t>
  </si>
  <si>
    <t>OPERADOR DE GUINCHO OU GUINCHEIRO (MENSALISTA)</t>
  </si>
  <si>
    <t>OPERADOR DE GUINDASTE (MENSALISTA)</t>
  </si>
  <si>
    <t>OPERADOR DE JATO ABRASIVO OU JATISTA</t>
  </si>
  <si>
    <t>OPERADOR DE JATO ABRASIVO OU JATISTA (MENSALISTA)</t>
  </si>
  <si>
    <t>OPERADOR DE MAQUINAS E TRATORES DIVERSOS (TERRAPLANAGEM) (MENSALISTA)</t>
  </si>
  <si>
    <t>OPERADOR DE MARTELETE OU MARTELETEIRO (MENSALISTA)</t>
  </si>
  <si>
    <t>OPERADOR DE MOTO SCRAPER</t>
  </si>
  <si>
    <t>OPERADOR DE MOTO SCRAPER (MENSALISTA)</t>
  </si>
  <si>
    <t>OPERADOR DE MOTONIVELADORA (MENSALISTA)</t>
  </si>
  <si>
    <t>OPERADOR DE PA CARREGADEIRA (MENSALISTA)</t>
  </si>
  <si>
    <t>OPERADOR DE PAVIMENTADORA / MESA VIBROACABADORA (MENSALISTA)</t>
  </si>
  <si>
    <t>OPERADOR DE PAVIMENTADORA / MESA VIBROACABADORA HORISTA</t>
  </si>
  <si>
    <t>OPERADOR DE ROLO COMPACTADOR (MENSALISTA)</t>
  </si>
  <si>
    <t>OPERADOR DE TRATOR - EXCLUSIVE AGROPECUARIA (MENSALISTA)</t>
  </si>
  <si>
    <t>OPERADOR DE USINA DE ASFALTO, DE SOLOS OU DE CONCRETO</t>
  </si>
  <si>
    <t>OPERADOR DE USINA DE ASFALTO, DE SOLOS OU DE CONCRETO (MENSALISTA)</t>
  </si>
  <si>
    <t>PA CARREGADEIRA SOBRE RODAS, POTENCIA BRUTA *127* CV, CAPACIDADE DA CACAMBA DE 2,0 A 2,4 M3, PESO OPERACIONAL MAXIMO DE 10330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</si>
  <si>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</si>
  <si>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</si>
  <si>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</si>
  <si>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</si>
  <si>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</si>
  <si>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</si>
  <si>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</si>
  <si>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</si>
  <si>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</si>
  <si>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</si>
  <si>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</si>
  <si>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</si>
  <si>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</si>
  <si>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</si>
  <si>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</si>
  <si>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</si>
  <si>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</si>
  <si>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</si>
  <si>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</si>
  <si>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PARAFUSO CABECA TROMBETA E PONTA AGULHA (GN55), COMPRIMENTO 55 MM, EM ACO FOSFATIZADO, PARA FIXAR CHAPA DE GESSO EM PERFIL DRYWALL METALICO MAXIMO 0,7 MM</t>
  </si>
  <si>
    <t>PARAFUSO DE ACO TIPO CHUMBADOR PARABOLT, DIAMETRO 1/2", COMPRIMENTO 75 MM</t>
  </si>
  <si>
    <t>PARAFUSO DE ACO ZINCADO COM ROSCA SOBERBA, CABECA CHATA E FENDA SIMPLES, DIAMETRO 2,5 MM, COMPRIMENTO * 9,5 *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</si>
  <si>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</si>
  <si>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</si>
  <si>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</si>
  <si>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</si>
  <si>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</si>
  <si>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</si>
  <si>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</si>
  <si>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</si>
  <si>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</si>
  <si>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</si>
  <si>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</si>
  <si>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</si>
  <si>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</si>
  <si>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</si>
  <si>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</si>
  <si>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</si>
  <si>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</si>
  <si>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</si>
  <si>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</si>
  <si>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</si>
  <si>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</si>
  <si>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</si>
  <si>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</si>
  <si>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</si>
  <si>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</si>
  <si>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</si>
  <si>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</si>
  <si>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</si>
  <si>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</si>
  <si>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</si>
  <si>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</si>
  <si>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</si>
  <si>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</si>
  <si>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</si>
  <si>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</si>
  <si>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</si>
  <si>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</si>
  <si>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</si>
  <si>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</si>
  <si>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</si>
  <si>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</si>
  <si>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</si>
  <si>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</si>
  <si>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</si>
  <si>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</si>
  <si>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</si>
  <si>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</si>
  <si>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</si>
  <si>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</si>
  <si>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</si>
  <si>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</si>
  <si>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</si>
  <si>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</si>
  <si>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</si>
  <si>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</si>
  <si>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</si>
  <si>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</si>
  <si>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</si>
  <si>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</si>
  <si>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</si>
  <si>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</si>
  <si>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</si>
  <si>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</si>
  <si>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</si>
  <si>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</si>
  <si>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</si>
  <si>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</si>
  <si>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</si>
  <si>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</si>
  <si>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</si>
  <si>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</si>
  <si>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</si>
  <si>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</si>
  <si>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</si>
  <si>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</si>
  <si>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</si>
  <si>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</si>
  <si>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</si>
  <si>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</si>
  <si>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</si>
  <si>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</si>
  <si>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</si>
  <si>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</si>
  <si>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</si>
  <si>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</si>
  <si>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</si>
  <si>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</si>
  <si>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</si>
  <si>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</si>
  <si>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</si>
  <si>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</si>
  <si>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</si>
  <si>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</si>
  <si>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</si>
  <si>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</si>
  <si>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</si>
  <si>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</si>
  <si>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</si>
  <si>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</si>
  <si>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</si>
  <si>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</si>
  <si>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</si>
  <si>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</si>
  <si>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</si>
  <si>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</si>
  <si>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</si>
  <si>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</si>
  <si>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</si>
  <si>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</si>
  <si>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</si>
  <si>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SIMPLES DE ACO GALVANIZADO DOBRADO 75 X *40* MM, E = 2,65 MM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</si>
  <si>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</si>
  <si>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</si>
  <si>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</si>
  <si>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</si>
  <si>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</si>
  <si>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</si>
  <si>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</si>
  <si>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</si>
  <si>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</si>
  <si>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</si>
  <si>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</si>
  <si>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</si>
  <si>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</si>
  <si>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</si>
  <si>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</si>
  <si>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</si>
  <si>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</si>
  <si>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</si>
  <si>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</si>
  <si>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</si>
  <si>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</si>
  <si>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</si>
  <si>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</si>
  <si>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</si>
  <si>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</si>
  <si>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</si>
  <si>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</si>
  <si>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</si>
  <si>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</si>
  <si>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</si>
  <si>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</si>
  <si>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</si>
  <si>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</si>
  <si>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</si>
  <si>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</si>
  <si>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</si>
  <si>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</si>
  <si>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</si>
  <si>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</si>
  <si>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</si>
  <si>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</si>
  <si>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</si>
  <si>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</si>
  <si>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</si>
  <si>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</si>
  <si>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(MENSALISTA)</t>
  </si>
  <si>
    <t>PINTOR DE LETREIROS (MENSALISTA)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</si>
  <si>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</si>
  <si>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</si>
  <si>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</si>
  <si>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</si>
  <si>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</si>
  <si>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</si>
  <si>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</si>
  <si>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</si>
  <si>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</si>
  <si>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</si>
  <si>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</si>
  <si>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</si>
  <si>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</si>
  <si>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</si>
  <si>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</si>
  <si>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</si>
  <si>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</si>
  <si>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</si>
  <si>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</si>
  <si>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</si>
  <si>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</si>
  <si>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</si>
  <si>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</si>
  <si>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</si>
  <si>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</si>
  <si>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</si>
  <si>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</si>
  <si>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</si>
  <si>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</si>
  <si>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</si>
  <si>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</si>
  <si>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</si>
  <si>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</si>
  <si>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</si>
  <si>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</si>
  <si>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</si>
  <si>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</si>
  <si>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</si>
  <si>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</si>
  <si>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</si>
  <si>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</si>
  <si>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</si>
  <si>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</si>
  <si>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</si>
  <si>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</si>
  <si>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</si>
  <si>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</si>
  <si>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</si>
  <si>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</si>
  <si>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</si>
  <si>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</si>
  <si>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</si>
  <si>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</si>
  <si>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</si>
  <si>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</si>
  <si>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</si>
  <si>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</si>
  <si>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</si>
  <si>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</si>
  <si>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</si>
  <si>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</si>
  <si>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</si>
  <si>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</si>
  <si>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</si>
  <si>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</si>
  <si>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</si>
  <si>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</si>
  <si>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</si>
  <si>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</si>
  <si>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</si>
  <si>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</si>
  <si>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</si>
  <si>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</si>
  <si>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</si>
  <si>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</si>
  <si>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</si>
  <si>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</si>
  <si>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</si>
  <si>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</si>
  <si>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</si>
  <si>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</si>
  <si>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</si>
  <si>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</si>
  <si>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</si>
  <si>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</si>
  <si>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</si>
  <si>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</si>
  <si>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</si>
  <si>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</si>
  <si>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</si>
  <si>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</si>
  <si>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</si>
  <si>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</si>
  <si>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</si>
  <si>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</si>
  <si>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</si>
  <si>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</si>
  <si>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</si>
  <si>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</si>
  <si>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</si>
  <si>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</si>
  <si>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</si>
  <si>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</si>
  <si>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</si>
  <si>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</si>
  <si>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</si>
  <si>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</si>
  <si>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</si>
  <si>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</si>
  <si>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</si>
  <si>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</si>
  <si>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</si>
  <si>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</si>
  <si>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</si>
  <si>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</si>
  <si>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</si>
  <si>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</si>
  <si>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</si>
  <si>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</si>
  <si>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</si>
  <si>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</si>
  <si>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</si>
  <si>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</si>
  <si>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</si>
  <si>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</si>
  <si>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</si>
  <si>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</si>
  <si>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</si>
  <si>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</si>
  <si>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</si>
  <si>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</si>
  <si>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</si>
  <si>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</si>
  <si>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</si>
  <si>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</si>
  <si>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</si>
  <si>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</si>
  <si>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</si>
  <si>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</si>
  <si>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</si>
  <si>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</si>
  <si>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</si>
  <si>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</si>
  <si>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</si>
  <si>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</si>
  <si>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</si>
  <si>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</si>
  <si>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</si>
  <si>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</si>
  <si>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</si>
  <si>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</si>
  <si>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</si>
  <si>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</si>
  <si>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</si>
  <si>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</si>
  <si>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</si>
  <si>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</si>
  <si>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</si>
  <si>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</si>
  <si>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</si>
  <si>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</si>
  <si>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</si>
  <si>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</si>
  <si>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</si>
  <si>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</si>
  <si>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</si>
  <si>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</si>
  <si>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</si>
  <si>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</si>
  <si>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</si>
  <si>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</si>
  <si>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</si>
  <si>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</si>
  <si>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</si>
  <si>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</si>
  <si>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</si>
  <si>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</si>
  <si>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</si>
  <si>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</si>
  <si>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</si>
  <si>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</si>
  <si>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</si>
  <si>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</si>
  <si>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</si>
  <si>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</si>
  <si>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</si>
  <si>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</si>
  <si>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</si>
  <si>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</si>
  <si>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</si>
  <si>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</si>
  <si>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</si>
  <si>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</si>
  <si>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</si>
  <si>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</si>
  <si>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</si>
  <si>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</si>
  <si>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</si>
  <si>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</si>
  <si>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</si>
  <si>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</si>
  <si>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</si>
  <si>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</si>
  <si>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</si>
  <si>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</si>
  <si>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</si>
  <si>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</si>
  <si>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</si>
  <si>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</si>
  <si>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</si>
  <si>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</si>
  <si>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</si>
  <si>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</si>
  <si>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</si>
  <si>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</si>
  <si>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</si>
  <si>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</si>
  <si>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</si>
  <si>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</si>
  <si>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</si>
  <si>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</si>
  <si>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</si>
  <si>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</si>
  <si>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</si>
  <si>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</si>
  <si>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</si>
  <si>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</si>
  <si>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</si>
  <si>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</si>
  <si>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</si>
  <si>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</si>
  <si>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</si>
  <si>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</si>
  <si>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</si>
  <si>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</si>
  <si>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</si>
  <si>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</si>
  <si>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</si>
  <si>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</si>
  <si>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</si>
  <si>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</si>
  <si>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10 X 10 (7/8 X 17)</t>
  </si>
  <si>
    <t>PREGO DE ACO POLIDO COM CABECA 10 X 11 (1 X 17)</t>
  </si>
  <si>
    <t>PREGO DE ACO POLIDO COM CABECA 12 X 12</t>
  </si>
  <si>
    <t>PREGO DE ACO POLIDO COM CABECA 14 X 18 (1 1/2 X 14)</t>
  </si>
  <si>
    <t>PREGO DE ACO POLIDO COM CABECA 16 X 24 (2 1/4 X 12)</t>
  </si>
  <si>
    <t>PREGO DE ACO POLIDO COM CABECA 16 X 27 (2 1/2 X 12)</t>
  </si>
  <si>
    <t>PREGO DE ACO POLIDO COM CABECA 17 X 27 (2 1/2 X 11)</t>
  </si>
  <si>
    <t>PREGO DE ACO POLIDO COM CABECA 17 X 30 (2 3/4 X 11)</t>
  </si>
  <si>
    <t>PREGO DE ACO POLIDO COM CABECA 18 X 24 (2 1/4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</si>
  <si>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</si>
  <si>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</si>
  <si>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</si>
  <si>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</si>
  <si>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</si>
  <si>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</si>
  <si>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</si>
  <si>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</si>
  <si>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</si>
  <si>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</si>
  <si>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</si>
  <si>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</si>
  <si>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</si>
  <si>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</si>
  <si>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</si>
  <si>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</si>
  <si>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</si>
  <si>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</si>
  <si>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</si>
  <si>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</si>
  <si>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</si>
  <si>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</si>
  <si>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</si>
  <si>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</si>
  <si>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</si>
  <si>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</si>
  <si>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</si>
  <si>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</si>
  <si>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</si>
  <si>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</si>
  <si>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</si>
  <si>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</si>
  <si>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</si>
  <si>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</si>
  <si>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</si>
  <si>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</si>
  <si>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</si>
  <si>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</si>
  <si>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</si>
  <si>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</si>
  <si>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</si>
  <si>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</si>
  <si>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</si>
  <si>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</si>
  <si>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</si>
  <si>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</si>
  <si>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</si>
  <si>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</si>
  <si>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</si>
  <si>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</si>
  <si>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</si>
  <si>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</si>
  <si>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</si>
  <si>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</si>
  <si>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</si>
  <si>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</si>
  <si>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</si>
  <si>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</si>
  <si>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</si>
  <si>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</si>
  <si>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</si>
  <si>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</si>
  <si>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</si>
  <si>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</si>
  <si>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</si>
  <si>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</si>
  <si>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</si>
  <si>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</si>
  <si>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</si>
  <si>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</si>
  <si>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</si>
  <si>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</si>
  <si>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</si>
  <si>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</si>
  <si>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</si>
  <si>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</si>
  <si>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</si>
  <si>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</si>
  <si>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</si>
  <si>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</si>
  <si>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</si>
  <si>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</si>
  <si>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</si>
  <si>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</si>
  <si>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</si>
  <si>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</si>
  <si>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</si>
  <si>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</si>
  <si>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REBOLO ABRASIVO RETO DE USO GERAL GRAO 36, DE 6 X 1 "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</si>
  <si>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</si>
  <si>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</si>
  <si>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</si>
  <si>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</si>
  <si>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</si>
  <si>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</si>
  <si>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</si>
  <si>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</si>
  <si>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</si>
  <si>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</si>
  <si>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</si>
  <si>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</si>
  <si>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</si>
  <si>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</si>
  <si>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</si>
  <si>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</si>
  <si>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</si>
  <si>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</si>
  <si>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</si>
  <si>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</si>
  <si>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</si>
  <si>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</si>
  <si>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</si>
  <si>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</si>
  <si>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</si>
  <si>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</si>
  <si>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</si>
  <si>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</si>
  <si>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</si>
  <si>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</si>
  <si>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</si>
  <si>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</si>
  <si>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</si>
  <si>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</si>
  <si>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</si>
  <si>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</si>
  <si>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</si>
  <si>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</si>
  <si>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</si>
  <si>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1/4 " (REF 1509)</t>
  </si>
  <si>
    <t>REGISTRO GAVETA BRUTO EM LATAO FORJADO, BITOLA 1/2 " (REF 1509)</t>
  </si>
  <si>
    <t>REGISTRO GAVETA BRUTO EM LATAO FORJADO, BITOLA 2 1/2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</si>
  <si>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</si>
  <si>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</si>
  <si>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</si>
  <si>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</si>
  <si>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</si>
  <si>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</si>
  <si>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</si>
  <si>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</si>
  <si>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</si>
  <si>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</si>
  <si>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</si>
  <si>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</si>
  <si>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</si>
  <si>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</si>
  <si>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</si>
  <si>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</si>
  <si>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</si>
  <si>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</si>
  <si>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</si>
  <si>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4, POTENCIA LIQUIDA 72 HP, PESO OPERACIONAL MINIMO DE 7140 KG, CAPACIDADE MINIMA DA CARREGADEIRA DE 0,79 M3 E DA RETROESCAVADEIRA MINIMA DE 0,18 M3, PROFUNDIDADE DE ESCAVACAO MAXIMA DE 4,50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</si>
  <si>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</si>
  <si>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</si>
  <si>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</si>
  <si>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</si>
  <si>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</si>
  <si>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</si>
  <si>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</si>
  <si>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</si>
  <si>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</si>
  <si>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</si>
  <si>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</si>
  <si>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</si>
  <si>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</si>
  <si>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</si>
  <si>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</si>
  <si>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</si>
  <si>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</si>
  <si>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</si>
  <si>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</si>
  <si>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</si>
  <si>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</si>
  <si>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</si>
  <si>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</si>
  <si>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</si>
  <si>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</si>
  <si>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</si>
  <si>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</si>
  <si>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</si>
  <si>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</si>
  <si>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</si>
  <si>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</si>
  <si>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</si>
  <si>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</si>
  <si>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</si>
  <si>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</si>
  <si>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</si>
  <si>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</si>
  <si>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</si>
  <si>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</si>
  <si>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</si>
  <si>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</si>
  <si>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</si>
  <si>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</si>
  <si>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</si>
  <si>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</si>
  <si>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</si>
  <si>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</si>
  <si>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</si>
  <si>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</si>
  <si>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</si>
  <si>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</si>
  <si>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</si>
  <si>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</si>
  <si>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</si>
  <si>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</si>
  <si>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</si>
  <si>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</si>
  <si>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MENSALISTA (COLETADO CAIXA)</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</si>
  <si>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</si>
  <si>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</si>
  <si>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</si>
  <si>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</si>
  <si>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</si>
  <si>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</si>
  <si>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</si>
  <si>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</si>
  <si>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</si>
  <si>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</si>
  <si>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</si>
  <si>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</si>
  <si>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</si>
  <si>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</si>
  <si>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</si>
  <si>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</si>
  <si>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</si>
  <si>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</si>
  <si>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</si>
  <si>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</si>
  <si>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</si>
  <si>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MODELO PICA-PAU, DIAMETRO DE 350 MM. CARACTERISTICAS DO MOTOR: TRIFASICO, POTENCIA DE 5 HP, FREQUENCIA DE 60 HZ</t>
  </si>
  <si>
    <t>SERRALHEIRO (HORISTA)</t>
  </si>
  <si>
    <t>SERRALHEIRO (MENSALISTA)</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</si>
  <si>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</si>
  <si>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</si>
  <si>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</si>
  <si>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</si>
  <si>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</si>
  <si>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</si>
  <si>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</si>
  <si>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TIPO COPO PARA PIA AMERICANA 1.1/2 X 1.1/2 "</t>
  </si>
  <si>
    <t>SIFAO PLASTICO TIPO COPO PARA PIA OU LAVATORIO, 1 X 1.1/2 "</t>
  </si>
  <si>
    <t>SILICA ATIVA PARA ADICAO EM CONCRETO E  ARGAMASSA</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</si>
  <si>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</si>
  <si>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</si>
  <si>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</si>
  <si>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</si>
  <si>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</si>
  <si>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VARETA FOSCOPER, D = *2,5* MM  X COMPRIMENTO 500 MM</t>
  </si>
  <si>
    <t>SOLDA ESTANHO/COBRE PARA CONEXOES DE COBRE, FIO 2,5 MM, CARRETEL 500 GR (SEM CHUMBO)</t>
  </si>
  <si>
    <t>SOLDADOR (MENSALISTA)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</si>
  <si>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</si>
  <si>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</si>
  <si>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</si>
  <si>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</si>
  <si>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</si>
  <si>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</si>
  <si>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</si>
  <si>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</si>
  <si>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</si>
  <si>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</si>
  <si>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</si>
  <si>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</si>
  <si>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</si>
  <si>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</si>
  <si>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</si>
  <si>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</si>
  <si>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</si>
  <si>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</si>
  <si>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</si>
  <si>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</si>
  <si>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</si>
  <si>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</si>
  <si>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</si>
  <si>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</si>
  <si>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</si>
  <si>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SIMPLES DIAMETRO NOMINAL 5/16", COM ROSCA SOBERBA E BUCHA</t>
  </si>
  <si>
    <t>SUPORTE MAO-FRANCESA EM ACO, ABAS IGUAIS 30 CM, CAPACIDADE MINIMA 60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</si>
  <si>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</si>
  <si>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</si>
  <si>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</si>
  <si>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</si>
  <si>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</si>
  <si>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</si>
  <si>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</si>
  <si>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</si>
  <si>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</si>
  <si>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</si>
  <si>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</si>
  <si>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</si>
  <si>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</si>
  <si>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</si>
  <si>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</si>
  <si>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</si>
  <si>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</si>
  <si>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</si>
  <si>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</si>
  <si>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</si>
  <si>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</si>
  <si>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</si>
  <si>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</si>
  <si>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</si>
  <si>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</si>
  <si>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</si>
  <si>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</si>
  <si>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</si>
  <si>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</si>
  <si>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</si>
  <si>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</si>
  <si>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</si>
  <si>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</si>
  <si>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</si>
  <si>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</si>
  <si>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</si>
  <si>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</si>
  <si>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</si>
  <si>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</si>
  <si>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</si>
  <si>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</si>
  <si>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</si>
  <si>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</si>
  <si>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</si>
  <si>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</si>
  <si>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</si>
  <si>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</si>
  <si>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</si>
  <si>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</si>
  <si>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</si>
  <si>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</si>
  <si>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</si>
  <si>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</si>
  <si>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</si>
  <si>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</si>
  <si>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</si>
  <si>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</si>
  <si>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</si>
  <si>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TANQUE ACO INOXIDAVEL (ACO 304) COM ESFREGADOR E VALVULA, DE *50 X 40 X 22* CM</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</si>
  <si>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</si>
  <si>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</si>
  <si>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</si>
  <si>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</si>
  <si>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</si>
  <si>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</si>
  <si>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</si>
  <si>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</si>
  <si>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</si>
  <si>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</si>
  <si>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</si>
  <si>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</si>
  <si>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</si>
  <si>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</si>
  <si>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</si>
  <si>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</si>
  <si>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</si>
  <si>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</si>
  <si>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</si>
  <si>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</si>
  <si>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</si>
  <si>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</si>
  <si>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</si>
  <si>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</si>
  <si>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</si>
  <si>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</si>
  <si>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</si>
  <si>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</si>
  <si>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</si>
  <si>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</si>
  <si>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</si>
  <si>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</si>
  <si>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</si>
  <si>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</si>
  <si>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</si>
  <si>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</si>
  <si>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</si>
  <si>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</si>
  <si>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</si>
  <si>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</si>
  <si>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</si>
  <si>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</si>
  <si>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</si>
  <si>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</si>
  <si>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</si>
  <si>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</si>
  <si>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</si>
  <si>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</si>
  <si>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</si>
  <si>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</si>
  <si>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</si>
  <si>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</si>
  <si>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</si>
  <si>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</si>
  <si>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</si>
  <si>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</si>
  <si>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</si>
  <si>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</si>
  <si>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</si>
  <si>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</si>
  <si>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</si>
  <si>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</si>
  <si>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</si>
  <si>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</si>
  <si>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</si>
  <si>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</si>
  <si>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</si>
  <si>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</si>
  <si>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</si>
  <si>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</si>
  <si>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</si>
  <si>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</si>
  <si>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</si>
  <si>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</si>
  <si>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</si>
  <si>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</si>
  <si>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</si>
  <si>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</si>
  <si>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</si>
  <si>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</si>
  <si>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</si>
  <si>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</si>
  <si>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</si>
  <si>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</si>
  <si>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</si>
  <si>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</si>
  <si>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</si>
  <si>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</si>
  <si>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</si>
  <si>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</si>
  <si>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</si>
  <si>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</si>
  <si>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</si>
  <si>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</si>
  <si>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</si>
  <si>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</si>
  <si>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</si>
  <si>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</si>
  <si>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</si>
  <si>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</si>
  <si>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</si>
  <si>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</si>
  <si>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</si>
  <si>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</si>
  <si>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</si>
  <si>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</si>
  <si>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</si>
  <si>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</si>
  <si>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</si>
  <si>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</si>
  <si>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</si>
  <si>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</si>
  <si>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</si>
  <si>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</si>
  <si>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</si>
  <si>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</si>
  <si>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</si>
  <si>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</si>
  <si>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</si>
  <si>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</si>
  <si>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</si>
  <si>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</si>
  <si>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</si>
  <si>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</si>
  <si>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</si>
  <si>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</si>
  <si>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</si>
  <si>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</si>
  <si>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</si>
  <si>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</si>
  <si>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</si>
  <si>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</si>
  <si>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</si>
  <si>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</si>
  <si>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</si>
  <si>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</si>
  <si>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</si>
  <si>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</si>
  <si>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</si>
  <si>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</si>
  <si>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</si>
  <si>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</si>
  <si>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</si>
  <si>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</si>
  <si>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</si>
  <si>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</si>
  <si>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</si>
  <si>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</si>
  <si>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</si>
  <si>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</si>
  <si>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</si>
  <si>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</si>
  <si>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</si>
  <si>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</si>
  <si>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</si>
  <si>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</si>
  <si>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</si>
  <si>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</si>
  <si>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</si>
  <si>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</si>
  <si>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</si>
  <si>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</si>
  <si>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</si>
  <si>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</si>
  <si>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</si>
  <si>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</si>
  <si>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</si>
  <si>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</si>
  <si>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</si>
  <si>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</si>
  <si>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</si>
  <si>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</si>
  <si>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</si>
  <si>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</si>
  <si>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</si>
  <si>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</si>
  <si>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</si>
  <si>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</si>
  <si>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</si>
  <si>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</si>
  <si>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</si>
  <si>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</si>
  <si>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</si>
  <si>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</si>
  <si>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</si>
  <si>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</si>
  <si>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</si>
  <si>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</si>
  <si>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</si>
  <si>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</si>
  <si>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</si>
  <si>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</si>
  <si>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</si>
  <si>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</si>
  <si>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</si>
  <si>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</si>
  <si>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</si>
  <si>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</si>
  <si>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</si>
  <si>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</si>
  <si>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</si>
  <si>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</si>
  <si>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</si>
  <si>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</si>
  <si>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</si>
  <si>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</si>
  <si>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</si>
  <si>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</si>
  <si>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</si>
  <si>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</si>
  <si>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</si>
  <si>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</si>
  <si>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</si>
  <si>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</si>
  <si>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</si>
  <si>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</si>
  <si>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</si>
  <si>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</si>
  <si>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</si>
  <si>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</si>
  <si>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</si>
  <si>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</si>
  <si>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</si>
  <si>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</si>
  <si>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</si>
  <si>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</si>
  <si>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</si>
  <si>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</si>
  <si>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</si>
  <si>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</si>
  <si>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</si>
  <si>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</si>
  <si>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</si>
  <si>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</si>
  <si>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</si>
  <si>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</si>
  <si>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</si>
  <si>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</si>
  <si>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</si>
  <si>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</si>
  <si>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</si>
  <si>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</si>
  <si>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</si>
  <si>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</si>
  <si>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</si>
  <si>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</si>
  <si>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</si>
  <si>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</si>
  <si>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</si>
  <si>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</si>
  <si>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</si>
  <si>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</si>
  <si>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</si>
  <si>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</si>
  <si>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</si>
  <si>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</si>
  <si>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</si>
  <si>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</si>
  <si>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</si>
  <si>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</si>
  <si>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</si>
  <si>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</si>
  <si>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</si>
  <si>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</si>
  <si>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</si>
  <si>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</si>
  <si>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</si>
  <si>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</si>
  <si>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</si>
  <si>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</si>
  <si>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</si>
  <si>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</si>
  <si>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</si>
  <si>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</si>
  <si>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</si>
  <si>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</si>
  <si>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</si>
  <si>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</si>
  <si>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</si>
  <si>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</si>
  <si>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</si>
  <si>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</si>
  <si>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</si>
  <si>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</si>
  <si>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</si>
  <si>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</si>
  <si>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</si>
  <si>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</si>
  <si>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</si>
  <si>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</si>
  <si>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</si>
  <si>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</si>
  <si>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</si>
  <si>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</si>
  <si>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</si>
  <si>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</si>
  <si>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</si>
  <si>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</si>
  <si>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</si>
  <si>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</si>
  <si>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</si>
  <si>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</si>
  <si>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</si>
  <si>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</si>
  <si>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</si>
  <si>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</si>
  <si>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</si>
  <si>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</si>
  <si>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</si>
  <si>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</si>
  <si>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</si>
  <si>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</si>
  <si>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</si>
  <si>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</si>
  <si>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</si>
  <si>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</si>
  <si>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</si>
  <si>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</si>
  <si>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</si>
  <si>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</si>
  <si>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</si>
  <si>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</si>
  <si>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</si>
  <si>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</si>
  <si>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</si>
  <si>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</si>
  <si>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</si>
  <si>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</si>
  <si>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</si>
  <si>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</si>
  <si>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</si>
  <si>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</si>
  <si>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</si>
  <si>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</si>
  <si>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</si>
  <si>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</si>
  <si>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</si>
  <si>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</si>
  <si>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</si>
  <si>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</si>
  <si>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</si>
  <si>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</si>
  <si>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</si>
  <si>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</si>
  <si>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</si>
  <si>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</si>
  <si>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</si>
  <si>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</si>
  <si>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</si>
  <si>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</si>
  <si>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</si>
  <si>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</si>
  <si>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</si>
  <si>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</si>
  <si>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</si>
  <si>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</si>
  <si>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</si>
  <si>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</si>
  <si>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</si>
  <si>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</si>
  <si>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</si>
  <si>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</si>
  <si>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</si>
  <si>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</si>
  <si>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</si>
  <si>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</si>
  <si>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</si>
  <si>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</si>
  <si>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</si>
  <si>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</si>
  <si>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</si>
  <si>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</si>
  <si>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</si>
  <si>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</si>
  <si>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</si>
  <si>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</si>
  <si>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</si>
  <si>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</si>
  <si>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</si>
  <si>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</si>
  <si>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</si>
  <si>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</si>
  <si>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</si>
  <si>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</si>
  <si>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</si>
  <si>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CONJUNTO MONTADO PARA EMBUTIR 4" X 2" (PLACA + SUPORTE + MODULO)</t>
  </si>
  <si>
    <t>TOMADA 2P+T 10A, 250V, CONJUNTO MONTADO PARA SOBREPOR 4" X 2" (CAIXA + MODULO)</t>
  </si>
  <si>
    <t>TOMADA 2P+T 20A 250V, CONJUNTO MONTADO PARA EMBUTIR 4" X 2" (PLACA + SUPORTE + MODULO)</t>
  </si>
  <si>
    <t>TOMADAS (2 MODULOS) 2P+T 10A, 250V, CONJUNTO MONTADO PARA EMBUTIR 4" X 2" (PLACA + SUPORTE + MODULOS)</t>
  </si>
  <si>
    <t>TOPOGRAFO</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</si>
  <si>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</si>
  <si>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</si>
  <si>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</si>
  <si>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</si>
  <si>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</si>
  <si>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</si>
  <si>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</si>
  <si>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</si>
  <si>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</si>
  <si>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</si>
  <si>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</si>
  <si>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</si>
  <si>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</si>
  <si>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</si>
  <si>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</si>
  <si>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</si>
  <si>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</si>
  <si>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</si>
  <si>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</si>
  <si>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</si>
  <si>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</si>
  <si>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</si>
  <si>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</si>
  <si>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</si>
  <si>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</si>
  <si>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</si>
  <si>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</si>
  <si>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</si>
  <si>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</si>
  <si>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</si>
  <si>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</si>
  <si>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</si>
  <si>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</si>
  <si>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</si>
  <si>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</si>
  <si>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</si>
  <si>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</si>
  <si>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</si>
  <si>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</si>
  <si>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</si>
  <si>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</si>
  <si>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</si>
  <si>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</si>
  <si>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</si>
  <si>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</si>
  <si>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</si>
  <si>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</si>
  <si>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</si>
  <si>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</si>
  <si>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</si>
  <si>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</si>
  <si>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</si>
  <si>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</si>
  <si>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</si>
  <si>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</si>
  <si>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</si>
  <si>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</si>
  <si>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</si>
  <si>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</si>
  <si>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</si>
  <si>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</si>
  <si>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</si>
  <si>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</si>
  <si>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</si>
  <si>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</si>
  <si>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</si>
  <si>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</si>
  <si>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</si>
  <si>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</si>
  <si>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</si>
  <si>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</si>
  <si>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</si>
  <si>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</si>
  <si>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</si>
  <si>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</si>
  <si>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</si>
  <si>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</si>
  <si>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</si>
  <si>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</si>
  <si>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</si>
  <si>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</si>
  <si>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</si>
  <si>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</si>
  <si>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</si>
  <si>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</si>
  <si>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</si>
  <si>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</si>
  <si>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</si>
  <si>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</si>
  <si>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</si>
  <si>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</si>
  <si>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</si>
  <si>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</si>
  <si>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</si>
  <si>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</si>
  <si>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</si>
  <si>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</si>
  <si>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</si>
  <si>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</si>
  <si>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</si>
  <si>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</si>
  <si>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</si>
  <si>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</si>
  <si>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</si>
  <si>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</si>
  <si>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</si>
  <si>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</si>
  <si>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</si>
  <si>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</si>
  <si>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</si>
  <si>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</si>
  <si>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</si>
  <si>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</si>
  <si>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</si>
  <si>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</si>
  <si>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</si>
  <si>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</si>
  <si>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</si>
  <si>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</si>
  <si>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</si>
  <si>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</si>
  <si>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</si>
  <si>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</si>
  <si>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</si>
  <si>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</si>
  <si>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</si>
  <si>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</si>
  <si>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</si>
  <si>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</si>
  <si>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</si>
  <si>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</si>
  <si>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</si>
  <si>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</si>
  <si>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</si>
  <si>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</si>
  <si>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</si>
  <si>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</si>
  <si>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</si>
  <si>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</si>
  <si>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</si>
  <si>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</si>
  <si>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</si>
  <si>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</si>
  <si>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</si>
  <si>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</si>
  <si>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</si>
  <si>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</si>
  <si>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</si>
  <si>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</si>
  <si>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</si>
  <si>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</si>
  <si>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</si>
  <si>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</si>
  <si>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</si>
  <si>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</si>
  <si>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</si>
  <si>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</si>
  <si>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</si>
  <si>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</si>
  <si>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</si>
  <si>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</si>
  <si>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</si>
  <si>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</si>
  <si>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</si>
  <si>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</si>
  <si>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</si>
  <si>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</si>
  <si>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</si>
  <si>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</si>
  <si>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</si>
  <si>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</si>
  <si>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</si>
  <si>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</si>
  <si>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</si>
  <si>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</si>
  <si>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</si>
  <si>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</si>
  <si>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</si>
  <si>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</si>
  <si>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</si>
  <si>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</si>
  <si>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</si>
  <si>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</si>
  <si>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</si>
  <si>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</si>
  <si>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</si>
  <si>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</si>
  <si>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</si>
  <si>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</si>
  <si>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</si>
  <si>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</si>
  <si>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</si>
  <si>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</si>
  <si>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</si>
  <si>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</si>
  <si>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</si>
  <si>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</si>
  <si>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</si>
  <si>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</si>
  <si>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</si>
  <si>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</si>
  <si>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</si>
  <si>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</si>
  <si>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</si>
  <si>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</si>
  <si>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</si>
  <si>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</si>
  <si>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</si>
  <si>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</si>
  <si>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</si>
  <si>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</si>
  <si>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</si>
  <si>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</si>
  <si>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</si>
  <si>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</si>
  <si>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</si>
  <si>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</si>
  <si>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</si>
  <si>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</si>
  <si>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</si>
  <si>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</si>
  <si>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</si>
  <si>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</si>
  <si>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</si>
  <si>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</si>
  <si>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</si>
  <si>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</si>
  <si>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</si>
  <si>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</si>
  <si>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</si>
  <si>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</si>
  <si>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</si>
  <si>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</si>
  <si>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</si>
  <si>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</si>
  <si>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</si>
  <si>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</si>
  <si>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</si>
  <si>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</si>
  <si>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</si>
  <si>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</si>
  <si>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</si>
  <si>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</si>
  <si>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</si>
  <si>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</si>
  <si>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</si>
  <si>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</si>
  <si>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</si>
  <si>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</si>
  <si>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</si>
  <si>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</si>
  <si>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</si>
  <si>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</si>
  <si>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</si>
  <si>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</si>
  <si>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</si>
  <si>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</si>
  <si>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</si>
  <si>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</si>
  <si>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</si>
  <si>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</si>
  <si>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</si>
  <si>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</si>
  <si>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</si>
  <si>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</si>
  <si>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</si>
  <si>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</si>
  <si>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</si>
  <si>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</si>
  <si>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</si>
  <si>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</si>
  <si>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</si>
  <si>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</si>
  <si>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</si>
  <si>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</si>
  <si>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</si>
  <si>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</si>
  <si>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</si>
  <si>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</si>
  <si>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</si>
  <si>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</si>
  <si>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</si>
  <si>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</si>
  <si>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</si>
  <si>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</si>
  <si>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</si>
  <si>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</si>
  <si>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</si>
  <si>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</si>
  <si>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</si>
  <si>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</si>
  <si>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</si>
  <si>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</si>
  <si>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</si>
  <si>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</si>
  <si>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</si>
  <si>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</si>
  <si>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</si>
  <si>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</si>
  <si>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</si>
  <si>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</si>
  <si>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</si>
  <si>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</si>
  <si>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</si>
  <si>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</si>
  <si>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</si>
  <si>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</si>
  <si>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</si>
  <si>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</si>
  <si>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</si>
  <si>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</si>
  <si>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</si>
  <si>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</si>
  <si>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</si>
  <si>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</si>
  <si>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</si>
  <si>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</si>
  <si>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</si>
  <si>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</si>
  <si>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</si>
  <si>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</si>
  <si>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</si>
  <si>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</si>
  <si>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</si>
  <si>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</si>
  <si>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</si>
  <si>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</si>
  <si>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150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</si>
  <si>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</si>
  <si>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</si>
  <si>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</si>
  <si>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</si>
  <si>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</si>
  <si>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</si>
  <si>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</si>
  <si>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</si>
  <si>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</si>
  <si>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</si>
  <si>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</si>
  <si>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</si>
  <si>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</si>
  <si>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</si>
  <si>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</si>
  <si>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</si>
  <si>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</si>
  <si>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</si>
  <si>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</si>
  <si>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</si>
  <si>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</si>
  <si>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</si>
  <si>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</si>
  <si>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</si>
  <si>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</si>
  <si>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</si>
  <si>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</si>
  <si>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</si>
  <si>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</si>
  <si>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</si>
  <si>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</si>
  <si>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</si>
  <si>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</si>
  <si>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</si>
  <si>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</si>
  <si>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</si>
  <si>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</si>
  <si>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</si>
  <si>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</si>
  <si>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</si>
  <si>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</si>
  <si>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</si>
  <si>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</si>
  <si>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</si>
  <si>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100 MM, AGUA FRIA (NBR-5648)</t>
  </si>
  <si>
    <t>TUBO PVC, SOLDAVEL, DN 20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</si>
  <si>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</si>
  <si>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</si>
  <si>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</si>
  <si>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</si>
  <si>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</si>
  <si>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</si>
  <si>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</si>
  <si>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</si>
  <si>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</si>
  <si>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</si>
  <si>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</si>
  <si>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</si>
  <si>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</si>
  <si>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</si>
  <si>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</si>
  <si>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</si>
  <si>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</si>
  <si>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</si>
  <si>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</si>
  <si>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</si>
  <si>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</si>
  <si>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</si>
  <si>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</si>
  <si>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</si>
  <si>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</si>
  <si>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</si>
  <si>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</si>
  <si>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</si>
  <si>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</si>
  <si>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</si>
  <si>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</si>
  <si>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</si>
  <si>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</si>
  <si>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</si>
  <si>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</si>
  <si>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</si>
  <si>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</si>
  <si>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</si>
  <si>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</si>
  <si>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</si>
  <si>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</si>
  <si>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</si>
  <si>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</si>
  <si>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</si>
  <si>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</si>
  <si>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</si>
  <si>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</si>
  <si>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</si>
  <si>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</si>
  <si>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</si>
  <si>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</si>
  <si>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</si>
  <si>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</si>
  <si>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</si>
  <si>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</si>
  <si>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</si>
  <si>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</si>
  <si>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</si>
  <si>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</si>
  <si>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</si>
  <si>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</si>
  <si>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</si>
  <si>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</si>
  <si>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</si>
  <si>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</si>
  <si>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</si>
  <si>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</si>
  <si>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</si>
  <si>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</si>
  <si>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</si>
  <si>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</si>
  <si>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</si>
  <si>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</si>
  <si>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</si>
  <si>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</si>
  <si>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</si>
  <si>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</si>
  <si>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</si>
  <si>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</si>
  <si>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</si>
  <si>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</si>
  <si>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</si>
  <si>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</si>
  <si>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</si>
  <si>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</si>
  <si>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</si>
  <si>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</si>
  <si>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</si>
  <si>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</si>
  <si>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</si>
  <si>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</si>
  <si>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</si>
  <si>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</si>
  <si>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</si>
  <si>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</si>
  <si>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</si>
  <si>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</si>
  <si>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</si>
  <si>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</si>
  <si>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</si>
  <si>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</si>
  <si>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</si>
  <si>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</si>
  <si>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</si>
  <si>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</si>
  <si>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</si>
  <si>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</si>
  <si>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</si>
  <si>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</si>
  <si>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</si>
  <si>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</si>
  <si>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</si>
  <si>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</si>
  <si>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</si>
  <si>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</si>
  <si>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</si>
  <si>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</si>
  <si>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</si>
  <si>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</si>
  <si>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</si>
  <si>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</si>
  <si>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</si>
  <si>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COM SAIDA LISA PARA TANQUE 1.1/4 " X 1.1/2 "</t>
  </si>
  <si>
    <t>VALVULA EM PLASTICO BRANCO PARA LAVATORIO 1 ", SEM UNHO, COM LADRAO</t>
  </si>
  <si>
    <t>VALVULA EM PLASTICO BRANCO PARA TANQUE 1.1/4 " X 1.1/2 ", SEM UNHO E SEM LADRAO</t>
  </si>
  <si>
    <t>VALVULA EM PLASTICO CROMADO PARA LAVATORIO 1 ", SEM UNHO, COM LADRAO</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</si>
  <si>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</si>
  <si>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</si>
  <si>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</si>
  <si>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</si>
  <si>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</si>
  <si>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</si>
  <si>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</si>
  <si>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</si>
  <si>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</si>
  <si>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</si>
  <si>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</si>
  <si>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</si>
  <si>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</si>
  <si>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</si>
  <si>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</si>
  <si>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</si>
  <si>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</si>
  <si>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</si>
  <si>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</si>
  <si>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</si>
  <si>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</si>
  <si>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</si>
  <si>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</si>
  <si>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</si>
  <si>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</si>
  <si>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</si>
  <si>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</si>
  <si>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</si>
  <si>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</si>
  <si>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</si>
  <si>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</si>
  <si>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</si>
  <si>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</si>
  <si>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</si>
  <si>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</si>
  <si>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</si>
  <si>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</si>
  <si>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</si>
  <si>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</si>
  <si>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</si>
  <si>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</si>
  <si>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</si>
  <si>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</si>
  <si>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</si>
  <si>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</si>
  <si>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</si>
  <si>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</si>
  <si>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</si>
  <si>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</si>
  <si>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</si>
  <si>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</si>
  <si>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</si>
  <si>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</si>
  <si>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</si>
  <si>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</si>
  <si>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</si>
  <si>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</si>
  <si>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</si>
  <si>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</si>
  <si>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</si>
  <si>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</si>
  <si>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</si>
  <si>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</si>
  <si>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</si>
  <si>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</si>
  <si>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</si>
  <si>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</si>
  <si>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</si>
  <si>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</si>
  <si>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CP-SPDA-07</t>
  </si>
  <si>
    <t>SPDA CAIXA D'ÁGUA</t>
  </si>
  <si>
    <t>CP-SPDA-08</t>
  </si>
  <si>
    <t>TERMINAL A COMPRESSAO 35 mm²</t>
  </si>
  <si>
    <t>2.3</t>
  </si>
  <si>
    <t>CP-IP-02</t>
  </si>
  <si>
    <t>mês 06</t>
  </si>
  <si>
    <t>MÊS</t>
  </si>
  <si>
    <t>12.8</t>
  </si>
  <si>
    <t>CP-ELE-13</t>
  </si>
  <si>
    <t xml:space="preserve">BOMBA PERIFÉRICA 1,5CV BIFÁSICA   </t>
  </si>
  <si>
    <t>DISJUNTOR EM CAIXA MOLDADA TRIPOLAR 175A</t>
  </si>
  <si>
    <t>CP-ELE-14</t>
  </si>
  <si>
    <t xml:space="preserve">DISJUNTOR MOTOR DE 4A A 6A      </t>
  </si>
  <si>
    <t xml:space="preserve">DISJUNTOR MOTOR DE 4A A 6A TRIPOLAR </t>
  </si>
  <si>
    <t>CABEAMENTO</t>
  </si>
  <si>
    <t>QUEBRA E RASGO EM ALVENARIA, VALAS CARGA E TRANSPORTE DE ENTULHO</t>
  </si>
  <si>
    <t>REDE ESTRUTURADA</t>
  </si>
  <si>
    <t>CP-RED-01</t>
  </si>
  <si>
    <t>SWITCH 24P 10/100/1000 2P SFP L2 C/ GER</t>
  </si>
  <si>
    <t>CP-RED-02</t>
  </si>
  <si>
    <t xml:space="preserve">GUIA DE CABOS HORIZONTAL FECHADA PADRÃO 19” </t>
  </si>
  <si>
    <t>CP-RED-03</t>
  </si>
  <si>
    <t>BANDEJA DESLIZANTE P/ RACK 19"</t>
  </si>
  <si>
    <t>CP-RED-04</t>
  </si>
  <si>
    <t>ANEL ORGANIZADOR DE CABOS</t>
  </si>
  <si>
    <t>CP-RED-06</t>
  </si>
  <si>
    <t>CP-RED-05</t>
  </si>
  <si>
    <t>MINI RACK DE PAREDE PADRÃO 19”</t>
  </si>
  <si>
    <t>CABO DE REDE 1,5 METROS PATCH CORD CAT6 UTP</t>
  </si>
  <si>
    <t>18.1.7</t>
  </si>
  <si>
    <t>18.1.8</t>
  </si>
  <si>
    <t>18.1.9</t>
  </si>
  <si>
    <t>18.2.16</t>
  </si>
  <si>
    <t>18.2.17</t>
  </si>
  <si>
    <t>18.4.13</t>
  </si>
  <si>
    <t>18.4.14</t>
  </si>
  <si>
    <t>19.1.1</t>
  </si>
  <si>
    <t>19.1.2</t>
  </si>
  <si>
    <t>19.2.1</t>
  </si>
  <si>
    <t>19.2.2</t>
  </si>
  <si>
    <t>19.2.3</t>
  </si>
  <si>
    <t>19.2.4</t>
  </si>
  <si>
    <t>19.2.5</t>
  </si>
  <si>
    <t>19.2.6</t>
  </si>
  <si>
    <t>19.2.7</t>
  </si>
  <si>
    <t>19.2.8</t>
  </si>
  <si>
    <t>19.2.9</t>
  </si>
  <si>
    <t>19.2.10</t>
  </si>
  <si>
    <t>19.2.11</t>
  </si>
  <si>
    <t>19.2.12</t>
  </si>
  <si>
    <t>19.2.13</t>
  </si>
  <si>
    <t>21.4</t>
  </si>
  <si>
    <t>21.5</t>
  </si>
  <si>
    <t>21.6</t>
  </si>
  <si>
    <t>21.7</t>
  </si>
  <si>
    <t>21.8</t>
  </si>
  <si>
    <t>21.9</t>
  </si>
  <si>
    <t>21.10</t>
  </si>
  <si>
    <t>21.11</t>
  </si>
  <si>
    <t>21.12</t>
  </si>
  <si>
    <t>21.13</t>
  </si>
  <si>
    <t>23.3</t>
  </si>
  <si>
    <t>25.5</t>
  </si>
  <si>
    <t>25.6</t>
  </si>
  <si>
    <t>25.7</t>
  </si>
  <si>
    <t>25.8</t>
  </si>
  <si>
    <t>25.9</t>
  </si>
  <si>
    <t>25.10</t>
  </si>
  <si>
    <t>25.11</t>
  </si>
  <si>
    <t>26.0</t>
  </si>
  <si>
    <t>26.1</t>
  </si>
  <si>
    <t>26.2</t>
  </si>
  <si>
    <t>26.3</t>
  </si>
  <si>
    <t>26.4</t>
  </si>
  <si>
    <t xml:space="preserve">LEIS SOCIAIS DE ACORDO COM A TABELA SINAPI 
CADERNO DE REFERÊNICA DE PREÇOS DE JULHO DE 2021 </t>
  </si>
  <si>
    <t>ENCARGOS SOCIAIS   SOBRE   A   MÃO   DE   OBRA</t>
  </si>
  <si>
    <t>COM DESONERAÇÃO</t>
  </si>
  <si>
    <t>SEM DESONERAÇÃO</t>
  </si>
  <si>
    <t>HORISTA</t>
  </si>
  <si>
    <t>MENSALISTA</t>
  </si>
  <si>
    <t>INSS</t>
  </si>
  <si>
    <t>A2</t>
  </si>
  <si>
    <t>SESI</t>
  </si>
  <si>
    <t>A3</t>
  </si>
  <si>
    <t>SENAI</t>
  </si>
  <si>
    <t>A4</t>
  </si>
  <si>
    <t>INCRA</t>
  </si>
  <si>
    <t>A5</t>
  </si>
  <si>
    <t>SEBRAE</t>
  </si>
  <si>
    <t>A6</t>
  </si>
  <si>
    <t>Salário Educação</t>
  </si>
  <si>
    <t>A7</t>
  </si>
  <si>
    <t>Seguro Contra Acidentes de Trabalho</t>
  </si>
  <si>
    <t>A8</t>
  </si>
  <si>
    <t>FGTS</t>
  </si>
  <si>
    <t>A9</t>
  </si>
  <si>
    <t>SECONCI</t>
  </si>
  <si>
    <t>A</t>
  </si>
  <si>
    <t>Repouso Semanal Remunerado</t>
  </si>
  <si>
    <t>Não incide</t>
  </si>
  <si>
    <t>Feriados</t>
  </si>
  <si>
    <t>Auxílio - Enfermidade</t>
  </si>
  <si>
    <t>13º Salário</t>
  </si>
  <si>
    <t>B5</t>
  </si>
  <si>
    <t>Licença Paternidade</t>
  </si>
  <si>
    <t>B6</t>
  </si>
  <si>
    <t>Faltas Justificadas</t>
  </si>
  <si>
    <t>B7</t>
  </si>
  <si>
    <t>Dias de Chuvas</t>
  </si>
  <si>
    <t>B8</t>
  </si>
  <si>
    <t>Auxílio Acidente de Trabalho</t>
  </si>
  <si>
    <t>B9</t>
  </si>
  <si>
    <t>Férias Gozadas</t>
  </si>
  <si>
    <t>B10</t>
  </si>
  <si>
    <t>Salário Maternidade</t>
  </si>
  <si>
    <t>B</t>
  </si>
  <si>
    <t>Aviso Prévio Indenizado</t>
  </si>
  <si>
    <t>Aviso Prévio Trabalhado</t>
  </si>
  <si>
    <t>Férias Indenizadas</t>
  </si>
  <si>
    <t>Depósito Rescisão Sem Justa Causa</t>
  </si>
  <si>
    <t>Indenização Adicional</t>
  </si>
  <si>
    <t>C</t>
  </si>
  <si>
    <t>GRUPO D</t>
  </si>
  <si>
    <t>D1</t>
  </si>
  <si>
    <t>Reincidência de Grupo A sobre Grupo B</t>
  </si>
  <si>
    <t>Reincidência de Grupo A sobre Aviso Prévio</t>
  </si>
  <si>
    <t>D2</t>
  </si>
  <si>
    <t>Trabalhado e Reincidência do FGTS sobre Aviso Prévio Indenizado</t>
  </si>
  <si>
    <t>D</t>
  </si>
  <si>
    <t>TOTAL(A+B+C+D)</t>
  </si>
  <si>
    <t>VARREDEIRA DE GRAMA SINTÉTICA A GASOLINA, 2,4 CV, 4 TEMPOS - MATERIAIS NA OPERAÇÃO. AF_02/2022</t>
  </si>
  <si>
    <t>BATE ESTACA PARA INSTALAÇÃO DE DEFENSAS METÁLICAS (GUARD RAIL) FIXO - MATERIAIS NA OPERAÇÃO. AF_02/2022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</si>
  <si>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</si>
  <si>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</si>
  <si>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</si>
  <si>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</si>
  <si>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</si>
  <si>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</si>
  <si>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</si>
  <si>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</si>
  <si>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</si>
  <si>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</si>
  <si>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</si>
  <si>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</si>
  <si>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</si>
  <si>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</si>
  <si>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</si>
  <si>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</si>
  <si>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</si>
  <si>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</si>
  <si>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</si>
  <si>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</si>
  <si>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</si>
  <si>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</si>
  <si>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</si>
  <si>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ACETILENO (RECARGA DE GAS ACETILENO PARA CILINDRO DE CONJUNTO OXICORTE GRANDE) NAO INCLUI TROCA/MANUTENCAO DO CILINDRO</t>
  </si>
  <si>
    <t>AJUDANTE DE PINTOR (HORISTA)</t>
  </si>
  <si>
    <t>AUXILIAR DE ENCANADOR OU BOMBEIRO HIDRAULICO (HORISTA)</t>
  </si>
  <si>
    <t>CARPINTEIRO AUXILIAR (HORISTA)</t>
  </si>
  <si>
    <t>CARPINTEIRO DE ESQUADRIAS (HORISTA)</t>
  </si>
  <si>
    <t>CARPINTEIRO DE FORMAS (HORISTA)</t>
  </si>
  <si>
    <t>ENCANADOR OU BOMBEIRO HIDRAULICO (HORISTA)</t>
  </si>
  <si>
    <t xml:space="preserve">KWH   </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</si>
  <si>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</si>
  <si>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</si>
  <si>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</si>
  <si>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</si>
  <si>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</si>
  <si>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MARCENEIRO (HORISTA)</t>
  </si>
  <si>
    <t>PINTOR (HORISTA)</t>
  </si>
  <si>
    <t>PINTOR DE LETREIROS (HORISTA)</t>
  </si>
  <si>
    <t>PINTOR PARA TINTA EPOXI (HORISTA)</t>
  </si>
  <si>
    <t>TAMPAO FOFO ARTICULADO, CLASSE B125 CARGA MAX 12,5 T, REDONDO, TAMPA 600 MM (COM INSCRICAO EM RELEVO DO TIPO DE REDE)</t>
  </si>
  <si>
    <t>TAMPAO FOFO ARTICULADO, CLASSE D400 CARGA MAX 40 T, REDONDO, TAMPA 600 MM (COM INSCRICAO EM RELEVO DO TIPO DE REDE)</t>
  </si>
  <si>
    <t>TAMPAO FOFO SIMPLES COM BASE, CLASSE A15 CARGA MAX 1,5 T, 300 X 300 MM (COM INSCRICAO EM RELEVO DO TIPO DE REDE)</t>
  </si>
  <si>
    <t>TAMPAO FOFO SIMPLES COM BASE, CLASSE A15 CARGA MAX 1,5 T, 400 X 400 MM (COM INSCRICAO EM RELEVO DO TIPO DE REDE)</t>
  </si>
  <si>
    <t>TAMPAO FOFO SIMPLES COM BASE, CLASSE A15 CARGA MAX 1,5 T, 400 X 600 MM (COM INSCRICAO EM RELEVO DO TIPO DE REDE)</t>
  </si>
  <si>
    <t>TAMPAO FOFO SIMPLES COM BASE, CLASSE B125 CARGA MAX 12,5 T, REDONDO, TAMPA 500 MM (COM INSCRICAO EM RELEVO DO TIPO DE REDE)</t>
  </si>
  <si>
    <t>TAMPAO FOFO SIMPLES COM BASE, CLASSE B125 CARGA MAX 12,5 T, REDONDO, TAMPA 600 MM (COM INSCRICAO EM RELEVO DO TIPO DE REDE)</t>
  </si>
  <si>
    <t>TAMPAO FOFO SIMPLES COM BASE, CLASSE D400 CARGA MAX 40 T, REDONDO, TAMPA 600 MM, REDE PLUVIAL/ESGOTO (COM INSCRICAO EM RELEVO DO TIPO DE REDE)</t>
  </si>
  <si>
    <t>TAMPAO FOFO SIMPLES COM BASE, CLASSE D400 CARGA MAX 40 T, REDONDO, TAMPA 900 MM (COM INSCRICAO EM RELEVO DO TIPO DE REDE)</t>
  </si>
  <si>
    <t>TAMPAO FOFO SIMPLES, CLASSE A15 CARGA MAX 1,5 T, 550 X 1100 MM (COM INSCRICAO EM RELEVO DO TIPO DE REDE)</t>
  </si>
  <si>
    <t>TAQUEADOR OU TAQUEIRO (HORISTA)</t>
  </si>
  <si>
    <t>TELHADOR (HORISTA)</t>
  </si>
  <si>
    <t>DATA BASE: SINAPI-MT FEVEREIRO 2022 - COM DESONERAÇÃO - BDI - 28,24%</t>
  </si>
  <si>
    <t>Composições Analíticas com Preço Unitário</t>
  </si>
  <si>
    <t>Bancos</t>
  </si>
  <si>
    <t>B.D.I.</t>
  </si>
  <si>
    <t>Encargos Sociais</t>
  </si>
  <si>
    <t xml:space="preserve">SINAPI - 02/2022 - Mato Grosso
</t>
  </si>
  <si>
    <t>Composições Principais</t>
  </si>
  <si>
    <t xml:space="preserve"> 1.1 </t>
  </si>
  <si>
    <t>Código</t>
  </si>
  <si>
    <t>Banco</t>
  </si>
  <si>
    <t>Descrição</t>
  </si>
  <si>
    <t>Tipo</t>
  </si>
  <si>
    <t>Und</t>
  </si>
  <si>
    <t>Quant.</t>
  </si>
  <si>
    <t>Valor Unit</t>
  </si>
  <si>
    <t>Composição</t>
  </si>
  <si>
    <t xml:space="preserve"> 90777 </t>
  </si>
  <si>
    <t>SEDI - SERVIÇOS DIVERSOS</t>
  </si>
  <si>
    <t>Composição Auxiliar</t>
  </si>
  <si>
    <t xml:space="preserve"> 95402 </t>
  </si>
  <si>
    <t>Insumo</t>
  </si>
  <si>
    <t xml:space="preserve"> 00002706 </t>
  </si>
  <si>
    <t>Mão de Obra</t>
  </si>
  <si>
    <t xml:space="preserve"> 00043486 </t>
  </si>
  <si>
    <t>Equipamento</t>
  </si>
  <si>
    <t xml:space="preserve"> 00037372 </t>
  </si>
  <si>
    <t>Outros</t>
  </si>
  <si>
    <t xml:space="preserve"> 00043462 </t>
  </si>
  <si>
    <t xml:space="preserve"> 00037373 </t>
  </si>
  <si>
    <t>Taxas</t>
  </si>
  <si>
    <t>MO sem LS =&gt;</t>
  </si>
  <si>
    <t>LS =&gt;</t>
  </si>
  <si>
    <t>MO com LS =&gt;</t>
  </si>
  <si>
    <t>Valor do BDI =&gt;</t>
  </si>
  <si>
    <t>Valor com BDI =&gt;</t>
  </si>
  <si>
    <t xml:space="preserve"> 1.2 </t>
  </si>
  <si>
    <t xml:space="preserve"> 93572 </t>
  </si>
  <si>
    <t xml:space="preserve"> 95422 </t>
  </si>
  <si>
    <t xml:space="preserve"> 00040818 </t>
  </si>
  <si>
    <t xml:space="preserve"> 00043499 </t>
  </si>
  <si>
    <t xml:space="preserve"> 00040863 </t>
  </si>
  <si>
    <t>Material</t>
  </si>
  <si>
    <t xml:space="preserve"> 00043475 </t>
  </si>
  <si>
    <t xml:space="preserve"> 00040864 </t>
  </si>
  <si>
    <t xml:space="preserve"> 1.3 </t>
  </si>
  <si>
    <t xml:space="preserve"> 101460 </t>
  </si>
  <si>
    <t xml:space="preserve"> 101372 </t>
  </si>
  <si>
    <t xml:space="preserve"> 00040862 </t>
  </si>
  <si>
    <t xml:space="preserve"> 00043503 </t>
  </si>
  <si>
    <t xml:space="preserve"> 00043479 </t>
  </si>
  <si>
    <t xml:space="preserve"> 00040861 </t>
  </si>
  <si>
    <t xml:space="preserve"> 00041096 </t>
  </si>
  <si>
    <t xml:space="preserve"> 1.4 </t>
  </si>
  <si>
    <t xml:space="preserve"> 88326 </t>
  </si>
  <si>
    <t xml:space="preserve"> 95388 </t>
  </si>
  <si>
    <t xml:space="preserve"> 00037370 </t>
  </si>
  <si>
    <t xml:space="preserve"> 00043491 </t>
  </si>
  <si>
    <t xml:space="preserve"> 00043467 </t>
  </si>
  <si>
    <t xml:space="preserve"> 00037371 </t>
  </si>
  <si>
    <t>Serviços</t>
  </si>
  <si>
    <t xml:space="preserve"> 00041776 </t>
  </si>
  <si>
    <t xml:space="preserve"> 2.2 </t>
  </si>
  <si>
    <t xml:space="preserve"> 98459 </t>
  </si>
  <si>
    <t>CANT - CANTEIRO DE OBRAS</t>
  </si>
  <si>
    <t>m²</t>
  </si>
  <si>
    <t xml:space="preserve"> 91692 </t>
  </si>
  <si>
    <t>CHOR - CUSTOS HORÁRIOS DE MÁQUINAS E EQUIPAMENTOS</t>
  </si>
  <si>
    <t xml:space="preserve"> 91693 </t>
  </si>
  <si>
    <t xml:space="preserve"> 94974 </t>
  </si>
  <si>
    <t>FUES - FUNDAÇÕES E ESTRUTURAS</t>
  </si>
  <si>
    <t>m³</t>
  </si>
  <si>
    <t xml:space="preserve"> 88239 </t>
  </si>
  <si>
    <t xml:space="preserve"> 88262 </t>
  </si>
  <si>
    <t xml:space="preserve"> 00004433 </t>
  </si>
  <si>
    <t xml:space="preserve"> 00005061 </t>
  </si>
  <si>
    <t xml:space="preserve"> 00003992 </t>
  </si>
  <si>
    <t xml:space="preserve"> 00007243 </t>
  </si>
  <si>
    <t xml:space="preserve"> 3.1 </t>
  </si>
  <si>
    <t xml:space="preserve"> 97647 </t>
  </si>
  <si>
    <t>SERP - SERVIÇOS PRELIMINARES</t>
  </si>
  <si>
    <t xml:space="preserve"> 88316 </t>
  </si>
  <si>
    <t xml:space="preserve"> 88323 </t>
  </si>
  <si>
    <t xml:space="preserve"> 3.2 </t>
  </si>
  <si>
    <t xml:space="preserve"> 97652 </t>
  </si>
  <si>
    <t xml:space="preserve"> 3.3 </t>
  </si>
  <si>
    <t xml:space="preserve"> 97650 </t>
  </si>
  <si>
    <t xml:space="preserve"> 3.4 </t>
  </si>
  <si>
    <t xml:space="preserve"> 97640 </t>
  </si>
  <si>
    <t xml:space="preserve"> 88278 </t>
  </si>
  <si>
    <t xml:space="preserve"> 3.6 </t>
  </si>
  <si>
    <t xml:space="preserve"> 97641 </t>
  </si>
  <si>
    <t xml:space="preserve"> 88269 </t>
  </si>
  <si>
    <t xml:space="preserve"> 3.7 </t>
  </si>
  <si>
    <t xml:space="preserve"> 97661 </t>
  </si>
  <si>
    <t xml:space="preserve"> 88264 </t>
  </si>
  <si>
    <t xml:space="preserve"> 3.8 </t>
  </si>
  <si>
    <t xml:space="preserve"> 97665 </t>
  </si>
  <si>
    <t xml:space="preserve"> 3.9 </t>
  </si>
  <si>
    <t xml:space="preserve"> 97660 </t>
  </si>
  <si>
    <t xml:space="preserve"> 3.10 </t>
  </si>
  <si>
    <t xml:space="preserve"> 97662 </t>
  </si>
  <si>
    <t xml:space="preserve"> 88267 </t>
  </si>
  <si>
    <t xml:space="preserve"> 3.11 </t>
  </si>
  <si>
    <t xml:space="preserve"> 97645 </t>
  </si>
  <si>
    <t xml:space="preserve"> 88309 </t>
  </si>
  <si>
    <t xml:space="preserve"> 00041954 </t>
  </si>
  <si>
    <t xml:space="preserve"> 3.12 </t>
  </si>
  <si>
    <t xml:space="preserve"> 97663 </t>
  </si>
  <si>
    <t xml:space="preserve"> 3.13 </t>
  </si>
  <si>
    <t xml:space="preserve"> 97664 </t>
  </si>
  <si>
    <t xml:space="preserve"> 3.14 </t>
  </si>
  <si>
    <t xml:space="preserve"> 97644 </t>
  </si>
  <si>
    <t xml:space="preserve"> 3.16 </t>
  </si>
  <si>
    <t xml:space="preserve"> 97625 </t>
  </si>
  <si>
    <t xml:space="preserve"> 5942 </t>
  </si>
  <si>
    <t xml:space="preserve"> 5940 </t>
  </si>
  <si>
    <t xml:space="preserve"> 3.17 </t>
  </si>
  <si>
    <t xml:space="preserve"> 97627 </t>
  </si>
  <si>
    <t xml:space="preserve"> 5795 </t>
  </si>
  <si>
    <t xml:space="preserve"> 5952 </t>
  </si>
  <si>
    <t xml:space="preserve"> 3.19 </t>
  </si>
  <si>
    <t xml:space="preserve"> 97634 </t>
  </si>
  <si>
    <t xml:space="preserve"> 88256 </t>
  </si>
  <si>
    <t xml:space="preserve"> 3.20 </t>
  </si>
  <si>
    <t xml:space="preserve"> 97631 </t>
  </si>
  <si>
    <t xml:space="preserve"> 3.22 </t>
  </si>
  <si>
    <t xml:space="preserve"> 98535 </t>
  </si>
  <si>
    <t>URBA - URBANIZAÇÃO</t>
  </si>
  <si>
    <t xml:space="preserve"> 5928 </t>
  </si>
  <si>
    <t xml:space="preserve"> 5930 </t>
  </si>
  <si>
    <t xml:space="preserve"> 88441 </t>
  </si>
  <si>
    <t xml:space="preserve"> 3.23 </t>
  </si>
  <si>
    <t xml:space="preserve"> 98531 </t>
  </si>
  <si>
    <t xml:space="preserve"> 89273 </t>
  </si>
  <si>
    <t xml:space="preserve"> 89272 </t>
  </si>
  <si>
    <t xml:space="preserve"> 3.24 </t>
  </si>
  <si>
    <t xml:space="preserve"> 98528 </t>
  </si>
  <si>
    <t xml:space="preserve"> 5678 </t>
  </si>
  <si>
    <t xml:space="preserve"> 5679 </t>
  </si>
  <si>
    <t xml:space="preserve"> 3.31 </t>
  </si>
  <si>
    <t xml:space="preserve"> 100981 </t>
  </si>
  <si>
    <t>TRAN - TRANSPORTES, CARGAS E DESCARGAS</t>
  </si>
  <si>
    <t xml:space="preserve"> 5631 </t>
  </si>
  <si>
    <t xml:space="preserve"> 5632 </t>
  </si>
  <si>
    <t xml:space="preserve"> 67826 </t>
  </si>
  <si>
    <t xml:space="preserve"> 67827 </t>
  </si>
  <si>
    <t xml:space="preserve"> 3.32 </t>
  </si>
  <si>
    <t xml:space="preserve"> 97914 </t>
  </si>
  <si>
    <t xml:space="preserve"> 4.1 </t>
  </si>
  <si>
    <t xml:space="preserve"> 94319 </t>
  </si>
  <si>
    <t>MOVT - MOVIMENTO DE TERRA</t>
  </si>
  <si>
    <t xml:space="preserve"> 5901 </t>
  </si>
  <si>
    <t xml:space="preserve"> 91533 </t>
  </si>
  <si>
    <t xml:space="preserve"> 5903 </t>
  </si>
  <si>
    <t xml:space="preserve"> 91534 </t>
  </si>
  <si>
    <t xml:space="preserve"> 00006079 </t>
  </si>
  <si>
    <t xml:space="preserve"> 5.1.1 </t>
  </si>
  <si>
    <t xml:space="preserve"> 96521 </t>
  </si>
  <si>
    <t xml:space="preserve"> 5.1.2 </t>
  </si>
  <si>
    <t xml:space="preserve"> 96617 </t>
  </si>
  <si>
    <t xml:space="preserve"> 94968 </t>
  </si>
  <si>
    <t xml:space="preserve"> 5.1.3 </t>
  </si>
  <si>
    <t xml:space="preserve"> 96546 </t>
  </si>
  <si>
    <t xml:space="preserve"> 92794 </t>
  </si>
  <si>
    <t xml:space="preserve"> 88238 </t>
  </si>
  <si>
    <t xml:space="preserve"> 88245 </t>
  </si>
  <si>
    <t xml:space="preserve"> 00043132 </t>
  </si>
  <si>
    <t xml:space="preserve"> 00039017 </t>
  </si>
  <si>
    <t xml:space="preserve"> 5.1.4 </t>
  </si>
  <si>
    <t xml:space="preserve"> 96543 </t>
  </si>
  <si>
    <t xml:space="preserve"> 92791 </t>
  </si>
  <si>
    <t xml:space="preserve"> 5.1.5 </t>
  </si>
  <si>
    <t xml:space="preserve"> 96535 </t>
  </si>
  <si>
    <t xml:space="preserve"> 00002692 </t>
  </si>
  <si>
    <t xml:space="preserve"> 00040304 </t>
  </si>
  <si>
    <t xml:space="preserve"> 00005074 </t>
  </si>
  <si>
    <t xml:space="preserve"> 00005073 </t>
  </si>
  <si>
    <t xml:space="preserve"> 00004517 </t>
  </si>
  <si>
    <t xml:space="preserve"> 00006189 </t>
  </si>
  <si>
    <t xml:space="preserve"> 5.1.6 </t>
  </si>
  <si>
    <t xml:space="preserve"> 94971 </t>
  </si>
  <si>
    <t xml:space="preserve"> 89226 </t>
  </si>
  <si>
    <t xml:space="preserve"> 89225 </t>
  </si>
  <si>
    <t xml:space="preserve"> 88377 </t>
  </si>
  <si>
    <t xml:space="preserve"> 00000370 </t>
  </si>
  <si>
    <t xml:space="preserve"> 00001379 </t>
  </si>
  <si>
    <t xml:space="preserve"> 00004721 </t>
  </si>
  <si>
    <t xml:space="preserve"> 5.1.7 </t>
  </si>
  <si>
    <t xml:space="preserve"> 103670 </t>
  </si>
  <si>
    <t xml:space="preserve"> 90586 </t>
  </si>
  <si>
    <t xml:space="preserve"> 90587 </t>
  </si>
  <si>
    <t xml:space="preserve"> 5.1.8 </t>
  </si>
  <si>
    <t xml:space="preserve"> 98557 </t>
  </si>
  <si>
    <t>IMPE - IMPERMEABILIZAÇÕES E PROTEÇÕES DIVERSAS</t>
  </si>
  <si>
    <t xml:space="preserve"> 88243 </t>
  </si>
  <si>
    <t xml:space="preserve"> 88270 </t>
  </si>
  <si>
    <t xml:space="preserve"> 00000626 </t>
  </si>
  <si>
    <t xml:space="preserve"> 5.1.9 </t>
  </si>
  <si>
    <t xml:space="preserve"> 93368 </t>
  </si>
  <si>
    <t xml:space="preserve"> 95606 </t>
  </si>
  <si>
    <t xml:space="preserve"> 5.1.12 </t>
  </si>
  <si>
    <t xml:space="preserve"> 100973 </t>
  </si>
  <si>
    <t xml:space="preserve"> 5.1.13 </t>
  </si>
  <si>
    <t xml:space="preserve"> 100937 </t>
  </si>
  <si>
    <t xml:space="preserve"> 5.2.1 </t>
  </si>
  <si>
    <t xml:space="preserve"> 96525 </t>
  </si>
  <si>
    <t xml:space="preserve"> 96245 </t>
  </si>
  <si>
    <t xml:space="preserve"> 96246 </t>
  </si>
  <si>
    <t xml:space="preserve"> 5.2.4 </t>
  </si>
  <si>
    <t xml:space="preserve"> 96545 </t>
  </si>
  <si>
    <t xml:space="preserve"> 92793 </t>
  </si>
  <si>
    <t xml:space="preserve"> 5.2.6 </t>
  </si>
  <si>
    <t xml:space="preserve"> 96536 </t>
  </si>
  <si>
    <t xml:space="preserve"> 00004491 </t>
  </si>
  <si>
    <t xml:space="preserve"> 5.2.10 </t>
  </si>
  <si>
    <t xml:space="preserve"> 93382 </t>
  </si>
  <si>
    <t xml:space="preserve"> 6.1.1 </t>
  </si>
  <si>
    <t xml:space="preserve"> 92775 </t>
  </si>
  <si>
    <t xml:space="preserve"> 6.1.2 </t>
  </si>
  <si>
    <t xml:space="preserve"> 92778 </t>
  </si>
  <si>
    <t xml:space="preserve"> 6.1.3 </t>
  </si>
  <si>
    <t xml:space="preserve"> 92413 </t>
  </si>
  <si>
    <t xml:space="preserve"> 92269 </t>
  </si>
  <si>
    <t xml:space="preserve"> 6.2.1 </t>
  </si>
  <si>
    <t xml:space="preserve"> 92423 </t>
  </si>
  <si>
    <t xml:space="preserve"> 92263 </t>
  </si>
  <si>
    <t xml:space="preserve"> 00040271 </t>
  </si>
  <si>
    <t xml:space="preserve"> 00040287 </t>
  </si>
  <si>
    <t xml:space="preserve"> 00040275 </t>
  </si>
  <si>
    <t xml:space="preserve"> 6.2.3 </t>
  </si>
  <si>
    <t xml:space="preserve"> 92777 </t>
  </si>
  <si>
    <t xml:space="preserve"> 6.2.7 </t>
  </si>
  <si>
    <t xml:space="preserve"> 93204 </t>
  </si>
  <si>
    <t xml:space="preserve"> 92270 </t>
  </si>
  <si>
    <t xml:space="preserve"> 94970 </t>
  </si>
  <si>
    <t xml:space="preserve"> 6.2.8 </t>
  </si>
  <si>
    <t xml:space="preserve"> 93205 </t>
  </si>
  <si>
    <t xml:space="preserve"> 90279 </t>
  </si>
  <si>
    <t xml:space="preserve"> 87294 </t>
  </si>
  <si>
    <t xml:space="preserve"> 00000659 </t>
  </si>
  <si>
    <t xml:space="preserve"> 7.1.1 </t>
  </si>
  <si>
    <t xml:space="preserve"> 103322 </t>
  </si>
  <si>
    <t>PARE - PAREDES/PAINEIS</t>
  </si>
  <si>
    <t xml:space="preserve"> 87292 </t>
  </si>
  <si>
    <t xml:space="preserve"> 00037592 </t>
  </si>
  <si>
    <t xml:space="preserve"> 00037395 </t>
  </si>
  <si>
    <t>CENTO</t>
  </si>
  <si>
    <t xml:space="preserve"> 00034557 </t>
  </si>
  <si>
    <t xml:space="preserve"> 7.2.1 </t>
  </si>
  <si>
    <t xml:space="preserve"> 103330 </t>
  </si>
  <si>
    <t xml:space="preserve"> 00038783 </t>
  </si>
  <si>
    <t xml:space="preserve"> 00034558 </t>
  </si>
  <si>
    <t xml:space="preserve"> 7.2.2 </t>
  </si>
  <si>
    <t xml:space="preserve"> 93183 </t>
  </si>
  <si>
    <t xml:space="preserve"> 7.2.3 </t>
  </si>
  <si>
    <t xml:space="preserve"> 93195 </t>
  </si>
  <si>
    <t xml:space="preserve"> 92792 </t>
  </si>
  <si>
    <t xml:space="preserve"> 7.2.4 </t>
  </si>
  <si>
    <t xml:space="preserve"> 93184 </t>
  </si>
  <si>
    <t xml:space="preserve"> 8.1.1 </t>
  </si>
  <si>
    <t xml:space="preserve"> 87879 </t>
  </si>
  <si>
    <t>REVE - REVESTIMENTO E TRATAMENTO DE SUPERFÍCIES</t>
  </si>
  <si>
    <t xml:space="preserve"> 87313 </t>
  </si>
  <si>
    <t xml:space="preserve"> 8.1.2 </t>
  </si>
  <si>
    <t xml:space="preserve"> 87805 </t>
  </si>
  <si>
    <t xml:space="preserve"> 00037411 </t>
  </si>
  <si>
    <t xml:space="preserve"> 8.2.3 </t>
  </si>
  <si>
    <t xml:space="preserve"> 87530 </t>
  </si>
  <si>
    <t xml:space="preserve"> 87369 </t>
  </si>
  <si>
    <t xml:space="preserve"> 8.2.4 </t>
  </si>
  <si>
    <t xml:space="preserve"> 87273 </t>
  </si>
  <si>
    <t xml:space="preserve"> 00001381 </t>
  </si>
  <si>
    <t xml:space="preserve"> 00034357 </t>
  </si>
  <si>
    <t xml:space="preserve"> 00000536 </t>
  </si>
  <si>
    <t xml:space="preserve"> 9.1 </t>
  </si>
  <si>
    <t xml:space="preserve"> 102253 </t>
  </si>
  <si>
    <t xml:space="preserve"> 88274 </t>
  </si>
  <si>
    <t xml:space="preserve"> 00000131 </t>
  </si>
  <si>
    <t xml:space="preserve"> 00037596 </t>
  </si>
  <si>
    <t xml:space="preserve"> 00044476 </t>
  </si>
  <si>
    <t xml:space="preserve"> 9.1.1 </t>
  </si>
  <si>
    <t xml:space="preserve"> 102488 </t>
  </si>
  <si>
    <t>PINT - PINTURAS</t>
  </si>
  <si>
    <t xml:space="preserve"> 95276 </t>
  </si>
  <si>
    <t xml:space="preserve"> 95277 </t>
  </si>
  <si>
    <t xml:space="preserve"> 9.1.2 </t>
  </si>
  <si>
    <t xml:space="preserve"> 87700 </t>
  </si>
  <si>
    <t>PISO - PISOS</t>
  </si>
  <si>
    <t xml:space="preserve"> 87301 </t>
  </si>
  <si>
    <t xml:space="preserve"> 9.1.4 </t>
  </si>
  <si>
    <t xml:space="preserve"> 101741 </t>
  </si>
  <si>
    <t xml:space="preserve"> 87298 </t>
  </si>
  <si>
    <t xml:space="preserve"> 00004824 </t>
  </si>
  <si>
    <t xml:space="preserve"> 9.1.6 </t>
  </si>
  <si>
    <t xml:space="preserve"> 98554 </t>
  </si>
  <si>
    <t xml:space="preserve"> 00043147 </t>
  </si>
  <si>
    <t xml:space="preserve"> 9.2.1 </t>
  </si>
  <si>
    <t xml:space="preserve"> 97087 </t>
  </si>
  <si>
    <t xml:space="preserve"> 00042408 </t>
  </si>
  <si>
    <t xml:space="preserve"> 9.2.2 </t>
  </si>
  <si>
    <t xml:space="preserve"> 95241 </t>
  </si>
  <si>
    <t xml:space="preserve"> 9.2.3 </t>
  </si>
  <si>
    <t xml:space="preserve"> 88476 </t>
  </si>
  <si>
    <t xml:space="preserve"> 00007334 </t>
  </si>
  <si>
    <t xml:space="preserve"> 00038546 </t>
  </si>
  <si>
    <t xml:space="preserve"> 9.2.4 </t>
  </si>
  <si>
    <t xml:space="preserve"> 101748 </t>
  </si>
  <si>
    <t xml:space="preserve"> 9.2.5 </t>
  </si>
  <si>
    <t xml:space="preserve"> 102494 </t>
  </si>
  <si>
    <t xml:space="preserve"> 88310 </t>
  </si>
  <si>
    <t xml:space="preserve"> 00005330 </t>
  </si>
  <si>
    <t xml:space="preserve"> 00012815 </t>
  </si>
  <si>
    <t xml:space="preserve"> 00044072 </t>
  </si>
  <si>
    <t xml:space="preserve"> 00007304 </t>
  </si>
  <si>
    <t xml:space="preserve"> 9.3 </t>
  </si>
  <si>
    <t xml:space="preserve"> 101965 </t>
  </si>
  <si>
    <t xml:space="preserve"> 87283 </t>
  </si>
  <si>
    <t xml:space="preserve"> 00034747 </t>
  </si>
  <si>
    <t xml:space="preserve"> 9.3.1 </t>
  </si>
  <si>
    <t xml:space="preserve"> 94990 </t>
  </si>
  <si>
    <t xml:space="preserve"> 94964 </t>
  </si>
  <si>
    <t xml:space="preserve"> 00004460 </t>
  </si>
  <si>
    <t xml:space="preserve"> 9.3.2 </t>
  </si>
  <si>
    <t xml:space="preserve"> 92405 </t>
  </si>
  <si>
    <t>PAVI - PAVIMENTAÇÃO</t>
  </si>
  <si>
    <t xml:space="preserve"> 91283 </t>
  </si>
  <si>
    <t xml:space="preserve"> 91278 </t>
  </si>
  <si>
    <t xml:space="preserve"> 91277 </t>
  </si>
  <si>
    <t xml:space="preserve"> 91285 </t>
  </si>
  <si>
    <t xml:space="preserve"> 88260 </t>
  </si>
  <si>
    <t xml:space="preserve"> 00036170 </t>
  </si>
  <si>
    <t xml:space="preserve"> 00004741 </t>
  </si>
  <si>
    <t xml:space="preserve"> 11.1 </t>
  </si>
  <si>
    <t xml:space="preserve"> 94573 </t>
  </si>
  <si>
    <t>ESQV - ESQUADRIAS/FERRAGENS/VIDROS</t>
  </si>
  <si>
    <t xml:space="preserve"> 00034364 </t>
  </si>
  <si>
    <t xml:space="preserve"> 00004377 </t>
  </si>
  <si>
    <t xml:space="preserve"> 00039961 </t>
  </si>
  <si>
    <t xml:space="preserve"> 11.2 </t>
  </si>
  <si>
    <t xml:space="preserve"> 94569 </t>
  </si>
  <si>
    <t xml:space="preserve"> 00034381 </t>
  </si>
  <si>
    <t xml:space="preserve"> 11.8 </t>
  </si>
  <si>
    <t xml:space="preserve"> 91341 </t>
  </si>
  <si>
    <t xml:space="preserve"> 00007568 </t>
  </si>
  <si>
    <t xml:space="preserve"> 00036888 </t>
  </si>
  <si>
    <t xml:space="preserve"> 00039025 </t>
  </si>
  <si>
    <t xml:space="preserve"> 00000142 </t>
  </si>
  <si>
    <t>310ML</t>
  </si>
  <si>
    <t xml:space="preserve"> 12.1 </t>
  </si>
  <si>
    <t xml:space="preserve"> 103328 </t>
  </si>
  <si>
    <t xml:space="preserve"> 00007271 </t>
  </si>
  <si>
    <t xml:space="preserve"> 12.2 </t>
  </si>
  <si>
    <t xml:space="preserve"> 92580 </t>
  </si>
  <si>
    <t>COBE - COBERTURA</t>
  </si>
  <si>
    <t xml:space="preserve"> 93282 </t>
  </si>
  <si>
    <t xml:space="preserve"> 93281 </t>
  </si>
  <si>
    <t xml:space="preserve"> 00040549 </t>
  </si>
  <si>
    <t xml:space="preserve"> 00043083 </t>
  </si>
  <si>
    <t xml:space="preserve"> 12.3 </t>
  </si>
  <si>
    <t xml:space="preserve"> 92602 </t>
  </si>
  <si>
    <t xml:space="preserve"> 92255 </t>
  </si>
  <si>
    <t xml:space="preserve"> 00004777 </t>
  </si>
  <si>
    <t xml:space="preserve"> 00010997 </t>
  </si>
  <si>
    <t xml:space="preserve"> 00040598 </t>
  </si>
  <si>
    <t xml:space="preserve"> 12.4 </t>
  </si>
  <si>
    <t xml:space="preserve"> 92604 </t>
  </si>
  <si>
    <t xml:space="preserve"> 12.5 </t>
  </si>
  <si>
    <t xml:space="preserve"> 92614 </t>
  </si>
  <si>
    <t xml:space="preserve"> 92257 </t>
  </si>
  <si>
    <t xml:space="preserve"> 12.6 </t>
  </si>
  <si>
    <t xml:space="preserve"> 92616 </t>
  </si>
  <si>
    <t xml:space="preserve"> 92258 </t>
  </si>
  <si>
    <t xml:space="preserve"> 12.7 </t>
  </si>
  <si>
    <t xml:space="preserve"> 92620 </t>
  </si>
  <si>
    <t xml:space="preserve"> 12.8 </t>
  </si>
  <si>
    <t xml:space="preserve"> 100719 </t>
  </si>
  <si>
    <t xml:space="preserve"> 00005318 </t>
  </si>
  <si>
    <t xml:space="preserve"> 00007307 </t>
  </si>
  <si>
    <t xml:space="preserve"> 13.1 </t>
  </si>
  <si>
    <t xml:space="preserve"> 94207 </t>
  </si>
  <si>
    <t xml:space="preserve"> 00001607 </t>
  </si>
  <si>
    <t>CJ</t>
  </si>
  <si>
    <t xml:space="preserve"> 00004302 </t>
  </si>
  <si>
    <t xml:space="preserve"> 00007194 </t>
  </si>
  <si>
    <t xml:space="preserve"> 13.2 </t>
  </si>
  <si>
    <t xml:space="preserve"> 94223 </t>
  </si>
  <si>
    <t xml:space="preserve"> 00007219 </t>
  </si>
  <si>
    <t xml:space="preserve"> 13.4 </t>
  </si>
  <si>
    <t xml:space="preserve"> 100327 </t>
  </si>
  <si>
    <t xml:space="preserve"> 00005104 </t>
  </si>
  <si>
    <t xml:space="preserve"> 00001113 </t>
  </si>
  <si>
    <t xml:space="preserve"> 00013388 </t>
  </si>
  <si>
    <t xml:space="preserve"> 14.1 </t>
  </si>
  <si>
    <t xml:space="preserve"> 96116 </t>
  </si>
  <si>
    <t xml:space="preserve"> 00043131 </t>
  </si>
  <si>
    <t xml:space="preserve"> 00036238 </t>
  </si>
  <si>
    <t xml:space="preserve"> 00039443 </t>
  </si>
  <si>
    <t xml:space="preserve"> 00040552 </t>
  </si>
  <si>
    <t xml:space="preserve"> 00039430 </t>
  </si>
  <si>
    <t xml:space="preserve"> 00040547 </t>
  </si>
  <si>
    <t xml:space="preserve"> 00039427 </t>
  </si>
  <si>
    <t xml:space="preserve"> 15.1.1 </t>
  </si>
  <si>
    <t xml:space="preserve"> 88485 </t>
  </si>
  <si>
    <t xml:space="preserve"> 00006085 </t>
  </si>
  <si>
    <t xml:space="preserve"> 15.1.2 </t>
  </si>
  <si>
    <t xml:space="preserve"> 96130 </t>
  </si>
  <si>
    <t xml:space="preserve"> 00003767 </t>
  </si>
  <si>
    <t xml:space="preserve"> 00043651 </t>
  </si>
  <si>
    <t xml:space="preserve"> 15.1.3 </t>
  </si>
  <si>
    <t xml:space="preserve"> 88489 </t>
  </si>
  <si>
    <t xml:space="preserve"> 00007356 </t>
  </si>
  <si>
    <t xml:space="preserve"> 15.1.5 </t>
  </si>
  <si>
    <t xml:space="preserve"> 102513 </t>
  </si>
  <si>
    <t xml:space="preserve"> 00007348 </t>
  </si>
  <si>
    <t xml:space="preserve"> 15.2.3 </t>
  </si>
  <si>
    <t xml:space="preserve"> 96135 </t>
  </si>
  <si>
    <t xml:space="preserve"> 15.2.6 </t>
  </si>
  <si>
    <t xml:space="preserve"> 102491 </t>
  </si>
  <si>
    <t xml:space="preserve"> 15.3.6 </t>
  </si>
  <si>
    <t xml:space="preserve"> 100749 </t>
  </si>
  <si>
    <t xml:space="preserve"> 00007288 </t>
  </si>
  <si>
    <t xml:space="preserve"> 15.3.8 </t>
  </si>
  <si>
    <t xml:space="preserve"> 102506 </t>
  </si>
  <si>
    <t xml:space="preserve"> 16.1.1 </t>
  </si>
  <si>
    <t xml:space="preserve"> 97906 </t>
  </si>
  <si>
    <t>INHI - INSTALAÇÕES HIDROS SANITÁRIAS</t>
  </si>
  <si>
    <t xml:space="preserve"> 97735 </t>
  </si>
  <si>
    <t xml:space="preserve"> 101616 </t>
  </si>
  <si>
    <t xml:space="preserve"> 87316 </t>
  </si>
  <si>
    <t xml:space="preserve"> 100475 </t>
  </si>
  <si>
    <t xml:space="preserve"> 00000650 </t>
  </si>
  <si>
    <t xml:space="preserve"> 16.1.2 </t>
  </si>
  <si>
    <t xml:space="preserve"> 97902 </t>
  </si>
  <si>
    <t xml:space="preserve"> 00007258 </t>
  </si>
  <si>
    <t xml:space="preserve"> 16.1.3 </t>
  </si>
  <si>
    <t xml:space="preserve"> 89707 </t>
  </si>
  <si>
    <t xml:space="preserve"> 88248 </t>
  </si>
  <si>
    <t xml:space="preserve"> 00000122 </t>
  </si>
  <si>
    <t xml:space="preserve"> 00000296 </t>
  </si>
  <si>
    <t xml:space="preserve"> 00005103 </t>
  </si>
  <si>
    <t xml:space="preserve"> 00038383 </t>
  </si>
  <si>
    <t xml:space="preserve"> 00020078 </t>
  </si>
  <si>
    <t xml:space="preserve"> 00020083 </t>
  </si>
  <si>
    <t xml:space="preserve"> 16.1.5 </t>
  </si>
  <si>
    <t xml:space="preserve"> 89708 </t>
  </si>
  <si>
    <t xml:space="preserve"> 00000297 </t>
  </si>
  <si>
    <t xml:space="preserve"> 00011714 </t>
  </si>
  <si>
    <t xml:space="preserve"> 16.1.6 </t>
  </si>
  <si>
    <t xml:space="preserve"> 89709 </t>
  </si>
  <si>
    <t xml:space="preserve"> 00011741 </t>
  </si>
  <si>
    <t xml:space="preserve"> 16.1.9 </t>
  </si>
  <si>
    <t xml:space="preserve"> 86883 </t>
  </si>
  <si>
    <t xml:space="preserve"> 00003146 </t>
  </si>
  <si>
    <t xml:space="preserve"> 00006148 </t>
  </si>
  <si>
    <t xml:space="preserve"> 16.1.10 </t>
  </si>
  <si>
    <t xml:space="preserve"> 86879 </t>
  </si>
  <si>
    <t xml:space="preserve"> 00006153 </t>
  </si>
  <si>
    <t xml:space="preserve"> 16.1.11 </t>
  </si>
  <si>
    <t xml:space="preserve"> 89728 </t>
  </si>
  <si>
    <t xml:space="preserve"> 00001933 </t>
  </si>
  <si>
    <t xml:space="preserve"> 16.1.12 </t>
  </si>
  <si>
    <t xml:space="preserve"> 89746 </t>
  </si>
  <si>
    <t xml:space="preserve"> 00000301 </t>
  </si>
  <si>
    <t xml:space="preserve"> 00003528 </t>
  </si>
  <si>
    <t xml:space="preserve"> 16.1.13 </t>
  </si>
  <si>
    <t xml:space="preserve"> 89726 </t>
  </si>
  <si>
    <t xml:space="preserve"> 00003516 </t>
  </si>
  <si>
    <t xml:space="preserve"> 16.1.14 </t>
  </si>
  <si>
    <t xml:space="preserve"> 89732 </t>
  </si>
  <si>
    <t xml:space="preserve"> 00003518 </t>
  </si>
  <si>
    <t xml:space="preserve"> 16.1.15 </t>
  </si>
  <si>
    <t xml:space="preserve"> 89739 </t>
  </si>
  <si>
    <t xml:space="preserve"> 00003519 </t>
  </si>
  <si>
    <t xml:space="preserve"> 16.1.16 </t>
  </si>
  <si>
    <t xml:space="preserve"> 89809 </t>
  </si>
  <si>
    <t xml:space="preserve"> 00003520 </t>
  </si>
  <si>
    <t xml:space="preserve"> 16.1.17 </t>
  </si>
  <si>
    <t xml:space="preserve"> 89801 </t>
  </si>
  <si>
    <t xml:space="preserve"> 00003526 </t>
  </si>
  <si>
    <t xml:space="preserve"> 16.1.18 </t>
  </si>
  <si>
    <t xml:space="preserve"> 89724 </t>
  </si>
  <si>
    <t xml:space="preserve"> 00003517 </t>
  </si>
  <si>
    <t xml:space="preserve"> 16.1.21 </t>
  </si>
  <si>
    <t xml:space="preserve"> 89797 </t>
  </si>
  <si>
    <t xml:space="preserve"> 00003670 </t>
  </si>
  <si>
    <t xml:space="preserve"> 16.1.23 </t>
  </si>
  <si>
    <t xml:space="preserve"> 89714 </t>
  </si>
  <si>
    <t xml:space="preserve"> 00009836 </t>
  </si>
  <si>
    <t xml:space="preserve"> 16.1.24 </t>
  </si>
  <si>
    <t xml:space="preserve"> 89711 </t>
  </si>
  <si>
    <t xml:space="preserve"> 00009835 </t>
  </si>
  <si>
    <t xml:space="preserve"> 16.1.25 </t>
  </si>
  <si>
    <t xml:space="preserve"> 89712 </t>
  </si>
  <si>
    <t xml:space="preserve"> 00009838 </t>
  </si>
  <si>
    <t xml:space="preserve"> 16.1.26 </t>
  </si>
  <si>
    <t xml:space="preserve"> 89713 </t>
  </si>
  <si>
    <t xml:space="preserve"> 00009837 </t>
  </si>
  <si>
    <t xml:space="preserve"> 16.1.27 </t>
  </si>
  <si>
    <t xml:space="preserve"> 98065 </t>
  </si>
  <si>
    <t xml:space="preserve"> 97740 </t>
  </si>
  <si>
    <t xml:space="preserve"> 97738 </t>
  </si>
  <si>
    <t xml:space="preserve"> 101625 </t>
  </si>
  <si>
    <t xml:space="preserve"> 88628 </t>
  </si>
  <si>
    <t xml:space="preserve"> 00043448 </t>
  </si>
  <si>
    <t xml:space="preserve"> 16.1.28 </t>
  </si>
  <si>
    <t xml:space="preserve"> 98061 </t>
  </si>
  <si>
    <t xml:space="preserve"> 00012568 </t>
  </si>
  <si>
    <t xml:space="preserve"> 00012532 </t>
  </si>
  <si>
    <t xml:space="preserve"> 00004720 </t>
  </si>
  <si>
    <t xml:space="preserve"> 16.1.29 </t>
  </si>
  <si>
    <t xml:space="preserve"> 98057 </t>
  </si>
  <si>
    <t xml:space="preserve"> 16.2.1 </t>
  </si>
  <si>
    <t xml:space="preserve"> 89803 </t>
  </si>
  <si>
    <t xml:space="preserve"> 00001932 </t>
  </si>
  <si>
    <t xml:space="preserve"> 16.2.5 </t>
  </si>
  <si>
    <t xml:space="preserve"> 89798 </t>
  </si>
  <si>
    <t xml:space="preserve"> 16.2.6 </t>
  </si>
  <si>
    <t xml:space="preserve"> 89825 </t>
  </si>
  <si>
    <t xml:space="preserve"> 00007097 </t>
  </si>
  <si>
    <t xml:space="preserve"> 16.3.1 </t>
  </si>
  <si>
    <t xml:space="preserve"> 94495 </t>
  </si>
  <si>
    <t xml:space="preserve"> 00003148 </t>
  </si>
  <si>
    <t xml:space="preserve"> 00006019 </t>
  </si>
  <si>
    <t xml:space="preserve"> 16.3.2 </t>
  </si>
  <si>
    <t xml:space="preserve"> 94497 </t>
  </si>
  <si>
    <t xml:space="preserve"> 00006010 </t>
  </si>
  <si>
    <t xml:space="preserve"> 16.3.3 </t>
  </si>
  <si>
    <t xml:space="preserve"> 94498 </t>
  </si>
  <si>
    <t xml:space="preserve"> 00006028 </t>
  </si>
  <si>
    <t xml:space="preserve"> 16.3.4 </t>
  </si>
  <si>
    <t xml:space="preserve"> 89353 </t>
  </si>
  <si>
    <t xml:space="preserve"> 00006016 </t>
  </si>
  <si>
    <t xml:space="preserve"> 16.3.5 </t>
  </si>
  <si>
    <t xml:space="preserve"> 94794 </t>
  </si>
  <si>
    <t xml:space="preserve"> 00006015 </t>
  </si>
  <si>
    <t xml:space="preserve"> 16.3.6 </t>
  </si>
  <si>
    <t xml:space="preserve"> 89987 </t>
  </si>
  <si>
    <t xml:space="preserve"> 00006005 </t>
  </si>
  <si>
    <t xml:space="preserve"> 16.3.7 </t>
  </si>
  <si>
    <t xml:space="preserve"> 89985 </t>
  </si>
  <si>
    <t xml:space="preserve"> 00006024 </t>
  </si>
  <si>
    <t xml:space="preserve"> 16.3.8 </t>
  </si>
  <si>
    <t xml:space="preserve"> 103042 </t>
  </si>
  <si>
    <t xml:space="preserve"> 00006031 </t>
  </si>
  <si>
    <t xml:space="preserve"> 16.3.9 </t>
  </si>
  <si>
    <t xml:space="preserve"> 99635 </t>
  </si>
  <si>
    <t xml:space="preserve"> 00010228 </t>
  </si>
  <si>
    <t xml:space="preserve"> 16.3.10 </t>
  </si>
  <si>
    <t xml:space="preserve"> 86884 </t>
  </si>
  <si>
    <t xml:space="preserve"> 00006141 </t>
  </si>
  <si>
    <t xml:space="preserve"> 16.3.13 </t>
  </si>
  <si>
    <t xml:space="preserve"> 94704 </t>
  </si>
  <si>
    <t xml:space="preserve"> 00000097 </t>
  </si>
  <si>
    <t xml:space="preserve"> 00020080 </t>
  </si>
  <si>
    <t xml:space="preserve"> 16.3.14 </t>
  </si>
  <si>
    <t xml:space="preserve"> 94706 </t>
  </si>
  <si>
    <t xml:space="preserve"> 00000099 </t>
  </si>
  <si>
    <t xml:space="preserve"> 16.3.15 </t>
  </si>
  <si>
    <t xml:space="preserve"> 94707 </t>
  </si>
  <si>
    <t xml:space="preserve"> 00000100 </t>
  </si>
  <si>
    <t xml:space="preserve"> 16.3.16 </t>
  </si>
  <si>
    <t xml:space="preserve"> 94708 </t>
  </si>
  <si>
    <t xml:space="preserve"> 00000114 </t>
  </si>
  <si>
    <t xml:space="preserve"> 16.3.17 </t>
  </si>
  <si>
    <t xml:space="preserve"> 94709 </t>
  </si>
  <si>
    <t xml:space="preserve"> 00000068 </t>
  </si>
  <si>
    <t xml:space="preserve"> 16.3.18 </t>
  </si>
  <si>
    <t xml:space="preserve"> 94711 </t>
  </si>
  <si>
    <t xml:space="preserve"> 00000066 </t>
  </si>
  <si>
    <t xml:space="preserve"> 16.3.19 </t>
  </si>
  <si>
    <t xml:space="preserve"> 94712 </t>
  </si>
  <si>
    <t xml:space="preserve"> 00000069 </t>
  </si>
  <si>
    <t xml:space="preserve"> 16.3.20 </t>
  </si>
  <si>
    <t xml:space="preserve"> 94656 </t>
  </si>
  <si>
    <t xml:space="preserve"> 00000065 </t>
  </si>
  <si>
    <t xml:space="preserve"> 16.3.21 </t>
  </si>
  <si>
    <t xml:space="preserve"> 94658 </t>
  </si>
  <si>
    <t xml:space="preserve"> 00000108 </t>
  </si>
  <si>
    <t xml:space="preserve"> 16.3.22 </t>
  </si>
  <si>
    <t xml:space="preserve"> 94662 </t>
  </si>
  <si>
    <t xml:space="preserve"> 00000112 </t>
  </si>
  <si>
    <t xml:space="preserve"> 16.3.23 </t>
  </si>
  <si>
    <t xml:space="preserve"> 94664 </t>
  </si>
  <si>
    <t xml:space="preserve"> 00000113 </t>
  </si>
  <si>
    <t xml:space="preserve"> 16.3.27 </t>
  </si>
  <si>
    <t xml:space="preserve"> 89364 </t>
  </si>
  <si>
    <t xml:space="preserve"> 00001956 </t>
  </si>
  <si>
    <t xml:space="preserve"> 16.3.28 </t>
  </si>
  <si>
    <t xml:space="preserve"> 89415 </t>
  </si>
  <si>
    <t xml:space="preserve"> 00001957 </t>
  </si>
  <si>
    <t xml:space="preserve"> 16.3.29 </t>
  </si>
  <si>
    <t xml:space="preserve"> 89507 </t>
  </si>
  <si>
    <t xml:space="preserve"> 00001925 </t>
  </si>
  <si>
    <t xml:space="preserve"> 16.3.30 </t>
  </si>
  <si>
    <t xml:space="preserve"> 89409 </t>
  </si>
  <si>
    <t xml:space="preserve"> 00003500 </t>
  </si>
  <si>
    <t xml:space="preserve"> 16.3.31 </t>
  </si>
  <si>
    <t xml:space="preserve"> 89506 </t>
  </si>
  <si>
    <t xml:space="preserve"> 00003477 </t>
  </si>
  <si>
    <t xml:space="preserve"> 16.3.32 </t>
  </si>
  <si>
    <t xml:space="preserve"> 89408 </t>
  </si>
  <si>
    <t xml:space="preserve"> 00003529 </t>
  </si>
  <si>
    <t xml:space="preserve"> 16.3.33 </t>
  </si>
  <si>
    <t xml:space="preserve"> 89501 </t>
  </si>
  <si>
    <t xml:space="preserve"> 00003540 </t>
  </si>
  <si>
    <t xml:space="preserve"> 16.3.34 </t>
  </si>
  <si>
    <t xml:space="preserve"> 89505 </t>
  </si>
  <si>
    <t xml:space="preserve"> 00003539 </t>
  </si>
  <si>
    <t xml:space="preserve"> 16.3.35 </t>
  </si>
  <si>
    <t xml:space="preserve"> 89446 </t>
  </si>
  <si>
    <t xml:space="preserve"> 00009868 </t>
  </si>
  <si>
    <t xml:space="preserve"> 16.3.36 </t>
  </si>
  <si>
    <t xml:space="preserve"> 89403 </t>
  </si>
  <si>
    <t xml:space="preserve"> 00009869 </t>
  </si>
  <si>
    <t xml:space="preserve"> 16.3.37 </t>
  </si>
  <si>
    <t xml:space="preserve"> 89449 </t>
  </si>
  <si>
    <t xml:space="preserve"> 00009875 </t>
  </si>
  <si>
    <t xml:space="preserve"> 16.3.38 </t>
  </si>
  <si>
    <t xml:space="preserve"> 89450 </t>
  </si>
  <si>
    <t xml:space="preserve"> 00009873 </t>
  </si>
  <si>
    <t xml:space="preserve"> 16.3.39 </t>
  </si>
  <si>
    <t xml:space="preserve"> 89440 </t>
  </si>
  <si>
    <t xml:space="preserve"> 00007139 </t>
  </si>
  <si>
    <t xml:space="preserve"> 16.3.40 </t>
  </si>
  <si>
    <t xml:space="preserve"> 89625 </t>
  </si>
  <si>
    <t xml:space="preserve"> 00007142 </t>
  </si>
  <si>
    <t xml:space="preserve"> 16.3.41 </t>
  </si>
  <si>
    <t xml:space="preserve"> 89628 </t>
  </si>
  <si>
    <t xml:space="preserve"> 00007143 </t>
  </si>
  <si>
    <t xml:space="preserve"> 16.3.42 </t>
  </si>
  <si>
    <t xml:space="preserve"> 89366 </t>
  </si>
  <si>
    <t xml:space="preserve"> 00003524 </t>
  </si>
  <si>
    <t xml:space="preserve"> 16.3.43 </t>
  </si>
  <si>
    <t xml:space="preserve"> 90373 </t>
  </si>
  <si>
    <t xml:space="preserve"> 00020147 </t>
  </si>
  <si>
    <t xml:space="preserve"> 16.3.44 </t>
  </si>
  <si>
    <t xml:space="preserve"> 89396 </t>
  </si>
  <si>
    <t xml:space="preserve"> 00007137 </t>
  </si>
  <si>
    <t xml:space="preserve"> 16.3.45 </t>
  </si>
  <si>
    <t xml:space="preserve"> 90374 </t>
  </si>
  <si>
    <t xml:space="preserve"> 00007122 </t>
  </si>
  <si>
    <t xml:space="preserve"> 16.3.47 </t>
  </si>
  <si>
    <t xml:space="preserve"> 102619 </t>
  </si>
  <si>
    <t xml:space="preserve"> 93288 </t>
  </si>
  <si>
    <t xml:space="preserve"> 93287 </t>
  </si>
  <si>
    <t xml:space="preserve"> 00037106 </t>
  </si>
  <si>
    <t xml:space="preserve"> 16.3.48 </t>
  </si>
  <si>
    <t xml:space="preserve"> 102113 </t>
  </si>
  <si>
    <t xml:space="preserve"> 88247 </t>
  </si>
  <si>
    <t xml:space="preserve"> 00011267 </t>
  </si>
  <si>
    <t xml:space="preserve"> 00000732 </t>
  </si>
  <si>
    <t xml:space="preserve"> 00039997 </t>
  </si>
  <si>
    <t xml:space="preserve"> 00039996 </t>
  </si>
  <si>
    <t xml:space="preserve"> 16.4.1 </t>
  </si>
  <si>
    <t xml:space="preserve"> 100860 </t>
  </si>
  <si>
    <t xml:space="preserve"> 00001368 </t>
  </si>
  <si>
    <t xml:space="preserve"> 16.4.2 </t>
  </si>
  <si>
    <t xml:space="preserve"> 86910 </t>
  </si>
  <si>
    <t xml:space="preserve"> 00011773 </t>
  </si>
  <si>
    <t xml:space="preserve"> 16.4.3 </t>
  </si>
  <si>
    <t xml:space="preserve"> 86914 </t>
  </si>
  <si>
    <t xml:space="preserve"> 00013417 </t>
  </si>
  <si>
    <t xml:space="preserve"> 16.4.4 </t>
  </si>
  <si>
    <t xml:space="preserve"> 86906 </t>
  </si>
  <si>
    <t xml:space="preserve"> 00013415 </t>
  </si>
  <si>
    <t xml:space="preserve"> 16.4.5 </t>
  </si>
  <si>
    <t xml:space="preserve"> 95470 </t>
  </si>
  <si>
    <t xml:space="preserve"> 95469 </t>
  </si>
  <si>
    <t xml:space="preserve"> 00006142 </t>
  </si>
  <si>
    <t xml:space="preserve"> 16.4.6 </t>
  </si>
  <si>
    <t xml:space="preserve"> 95472 </t>
  </si>
  <si>
    <t xml:space="preserve"> 95471 </t>
  </si>
  <si>
    <t xml:space="preserve"> 16.4.7 </t>
  </si>
  <si>
    <t xml:space="preserve"> 100849 </t>
  </si>
  <si>
    <t xml:space="preserve"> 00000377 </t>
  </si>
  <si>
    <t xml:space="preserve"> 16.4.9 </t>
  </si>
  <si>
    <t xml:space="preserve"> 100855 </t>
  </si>
  <si>
    <t xml:space="preserve"> 00011757 </t>
  </si>
  <si>
    <t xml:space="preserve"> 16.4.10 </t>
  </si>
  <si>
    <t xml:space="preserve"> 95544 </t>
  </si>
  <si>
    <t xml:space="preserve"> 00011703 </t>
  </si>
  <si>
    <t xml:space="preserve"> 16.4.11 </t>
  </si>
  <si>
    <t xml:space="preserve"> 100869 </t>
  </si>
  <si>
    <t xml:space="preserve"> 00036206 </t>
  </si>
  <si>
    <t xml:space="preserve"> 00004351 </t>
  </si>
  <si>
    <t xml:space="preserve"> 16.4.12 </t>
  </si>
  <si>
    <t xml:space="preserve"> 100874 </t>
  </si>
  <si>
    <t xml:space="preserve"> 00036204 </t>
  </si>
  <si>
    <t xml:space="preserve"> 16.4.13 </t>
  </si>
  <si>
    <t xml:space="preserve"> 86936 </t>
  </si>
  <si>
    <t xml:space="preserve"> 86878 </t>
  </si>
  <si>
    <t xml:space="preserve"> 86881 </t>
  </si>
  <si>
    <t xml:space="preserve"> 86900 </t>
  </si>
  <si>
    <t xml:space="preserve"> 16.4.14 </t>
  </si>
  <si>
    <t xml:space="preserve"> 86939 </t>
  </si>
  <si>
    <t xml:space="preserve"> 86902 </t>
  </si>
  <si>
    <t xml:space="preserve"> 16.4.16 </t>
  </si>
  <si>
    <t xml:space="preserve"> 86937 </t>
  </si>
  <si>
    <t xml:space="preserve"> 86877 </t>
  </si>
  <si>
    <t xml:space="preserve"> 86901 </t>
  </si>
  <si>
    <t xml:space="preserve"> 16.4.18 </t>
  </si>
  <si>
    <t xml:space="preserve"> 100875 </t>
  </si>
  <si>
    <t xml:space="preserve"> 00036215 </t>
  </si>
  <si>
    <t xml:space="preserve"> 17.1 </t>
  </si>
  <si>
    <t xml:space="preserve"> 89578 </t>
  </si>
  <si>
    <t xml:space="preserve"> 00009841 </t>
  </si>
  <si>
    <t xml:space="preserve"> 17.3 </t>
  </si>
  <si>
    <t xml:space="preserve"> 89671 </t>
  </si>
  <si>
    <t xml:space="preserve"> 00020165 </t>
  </si>
  <si>
    <t xml:space="preserve"> 17.4 </t>
  </si>
  <si>
    <t xml:space="preserve"> 94228 </t>
  </si>
  <si>
    <t xml:space="preserve"> 00040783 </t>
  </si>
  <si>
    <t xml:space="preserve"> 17.5 </t>
  </si>
  <si>
    <t xml:space="preserve"> 89580 </t>
  </si>
  <si>
    <t xml:space="preserve"> 00009840 </t>
  </si>
  <si>
    <t xml:space="preserve"> 17.6 </t>
  </si>
  <si>
    <t xml:space="preserve"> 89590 </t>
  </si>
  <si>
    <t xml:space="preserve"> 00000300 </t>
  </si>
  <si>
    <t xml:space="preserve"> 00020158 </t>
  </si>
  <si>
    <t xml:space="preserve"> 18.1.1 </t>
  </si>
  <si>
    <t xml:space="preserve"> 91926 </t>
  </si>
  <si>
    <t>INEL - INSTALAÇÃO ELÉTRICA/ELETRIFICAÇÃO E ILUMINAÇÃO EXTERNA</t>
  </si>
  <si>
    <t xml:space="preserve"> 00001014 </t>
  </si>
  <si>
    <t xml:space="preserve"> 00021127 </t>
  </si>
  <si>
    <t xml:space="preserve"> 18.1.2 </t>
  </si>
  <si>
    <t xml:space="preserve"> 91928 </t>
  </si>
  <si>
    <t xml:space="preserve"> 00000981 </t>
  </si>
  <si>
    <t xml:space="preserve"> 18.1.3 </t>
  </si>
  <si>
    <t xml:space="preserve"> 92982 </t>
  </si>
  <si>
    <t xml:space="preserve"> 00000995 </t>
  </si>
  <si>
    <t xml:space="preserve"> 18.1.4 </t>
  </si>
  <si>
    <t xml:space="preserve"> 92984 </t>
  </si>
  <si>
    <t xml:space="preserve"> 00000996 </t>
  </si>
  <si>
    <t xml:space="preserve"> 18.1.5 </t>
  </si>
  <si>
    <t xml:space="preserve"> 92986 </t>
  </si>
  <si>
    <t xml:space="preserve"> 00001019 </t>
  </si>
  <si>
    <t xml:space="preserve"> 18.1.6 </t>
  </si>
  <si>
    <t xml:space="preserve"> 101564 </t>
  </si>
  <si>
    <t xml:space="preserve"> 00001018 </t>
  </si>
  <si>
    <t xml:space="preserve"> 18.1.7 </t>
  </si>
  <si>
    <t xml:space="preserve"> 91930 </t>
  </si>
  <si>
    <t xml:space="preserve"> 00000982 </t>
  </si>
  <si>
    <t xml:space="preserve"> 18.1.8 </t>
  </si>
  <si>
    <t xml:space="preserve"> 92980 </t>
  </si>
  <si>
    <t xml:space="preserve"> 00001020 </t>
  </si>
  <si>
    <t xml:space="preserve"> 18.1.9 </t>
  </si>
  <si>
    <t xml:space="preserve"> 101565 </t>
  </si>
  <si>
    <t xml:space="preserve"> 00000977 </t>
  </si>
  <si>
    <t xml:space="preserve"> 18.2.1 </t>
  </si>
  <si>
    <t xml:space="preserve"> 91953 </t>
  </si>
  <si>
    <t xml:space="preserve"> 91946 </t>
  </si>
  <si>
    <t xml:space="preserve"> 91952 </t>
  </si>
  <si>
    <t xml:space="preserve"> 18.2.2 </t>
  </si>
  <si>
    <t xml:space="preserve"> 92023 </t>
  </si>
  <si>
    <t xml:space="preserve"> 92022 </t>
  </si>
  <si>
    <t xml:space="preserve"> 18.2.3 </t>
  </si>
  <si>
    <t xml:space="preserve"> 91997 </t>
  </si>
  <si>
    <t xml:space="preserve"> 91995 </t>
  </si>
  <si>
    <t xml:space="preserve"> 18.2.4 </t>
  </si>
  <si>
    <t xml:space="preserve"> 91992 </t>
  </si>
  <si>
    <t xml:space="preserve"> 91990 </t>
  </si>
  <si>
    <t xml:space="preserve"> 18.2.5 </t>
  </si>
  <si>
    <t xml:space="preserve"> 91996 </t>
  </si>
  <si>
    <t xml:space="preserve"> 91994 </t>
  </si>
  <si>
    <t xml:space="preserve"> 18.2.6 </t>
  </si>
  <si>
    <t xml:space="preserve"> 92004 </t>
  </si>
  <si>
    <t xml:space="preserve"> 92002 </t>
  </si>
  <si>
    <t xml:space="preserve"> 18.2.7 </t>
  </si>
  <si>
    <t xml:space="preserve"> 92008 </t>
  </si>
  <si>
    <t xml:space="preserve"> 92006 </t>
  </si>
  <si>
    <t xml:space="preserve"> 18.2.8 </t>
  </si>
  <si>
    <t xml:space="preserve"> 91993 </t>
  </si>
  <si>
    <t xml:space="preserve"> 91991 </t>
  </si>
  <si>
    <t xml:space="preserve"> 18.2.9 </t>
  </si>
  <si>
    <t xml:space="preserve"> 92000 </t>
  </si>
  <si>
    <t xml:space="preserve"> 91998 </t>
  </si>
  <si>
    <t xml:space="preserve"> 18.2.10 </t>
  </si>
  <si>
    <t xml:space="preserve"> 91941 </t>
  </si>
  <si>
    <t xml:space="preserve"> 88629 </t>
  </si>
  <si>
    <t xml:space="preserve"> 00001872 </t>
  </si>
  <si>
    <t xml:space="preserve"> 18.2.11 </t>
  </si>
  <si>
    <t xml:space="preserve"> 91940 </t>
  </si>
  <si>
    <t xml:space="preserve"> 18.2.12 </t>
  </si>
  <si>
    <t xml:space="preserve"> 92867 </t>
  </si>
  <si>
    <t xml:space="preserve"> 00002556 </t>
  </si>
  <si>
    <t xml:space="preserve"> 18.2.13 </t>
  </si>
  <si>
    <t xml:space="preserve"> 97886 </t>
  </si>
  <si>
    <t xml:space="preserve"> 97734 </t>
  </si>
  <si>
    <t xml:space="preserve"> 101619 </t>
  </si>
  <si>
    <t xml:space="preserve"> 18.2.16 </t>
  </si>
  <si>
    <t xml:space="preserve"> 102137 </t>
  </si>
  <si>
    <t xml:space="preserve"> 00007588 </t>
  </si>
  <si>
    <t xml:space="preserve"> 18.3.1 </t>
  </si>
  <si>
    <t xml:space="preserve"> 90447 </t>
  </si>
  <si>
    <t xml:space="preserve"> 18.3.2 </t>
  </si>
  <si>
    <t xml:space="preserve"> 91222 </t>
  </si>
  <si>
    <t xml:space="preserve"> 18.3.3 </t>
  </si>
  <si>
    <t xml:space="preserve"> 90456 </t>
  </si>
  <si>
    <t xml:space="preserve"> 18.3.4 </t>
  </si>
  <si>
    <t xml:space="preserve"> 90444 </t>
  </si>
  <si>
    <t xml:space="preserve"> 18.3.6 </t>
  </si>
  <si>
    <t xml:space="preserve"> 90458 </t>
  </si>
  <si>
    <t xml:space="preserve"> 18.4.1 </t>
  </si>
  <si>
    <t xml:space="preserve"> 93653 </t>
  </si>
  <si>
    <t xml:space="preserve"> 00034653 </t>
  </si>
  <si>
    <t xml:space="preserve"> 00001570 </t>
  </si>
  <si>
    <t xml:space="preserve"> 18.4.2 </t>
  </si>
  <si>
    <t xml:space="preserve"> 93654 </t>
  </si>
  <si>
    <t xml:space="preserve"> 18.4.3 </t>
  </si>
  <si>
    <t xml:space="preserve"> 93655 </t>
  </si>
  <si>
    <t xml:space="preserve"> 00001571 </t>
  </si>
  <si>
    <t xml:space="preserve"> 18.4.4 </t>
  </si>
  <si>
    <t xml:space="preserve"> 93656 </t>
  </si>
  <si>
    <t xml:space="preserve"> 18.4.5 </t>
  </si>
  <si>
    <t xml:space="preserve"> 93660 </t>
  </si>
  <si>
    <t xml:space="preserve"> 00034616 </t>
  </si>
  <si>
    <t xml:space="preserve"> 18.4.6 </t>
  </si>
  <si>
    <t xml:space="preserve"> 93663 </t>
  </si>
  <si>
    <t xml:space="preserve"> 18.4.7 </t>
  </si>
  <si>
    <t xml:space="preserve"> 93671 </t>
  </si>
  <si>
    <t xml:space="preserve"> 00034709 </t>
  </si>
  <si>
    <t xml:space="preserve"> 00001573 </t>
  </si>
  <si>
    <t xml:space="preserve"> 18.4.13 </t>
  </si>
  <si>
    <t xml:space="preserve"> 101902 </t>
  </si>
  <si>
    <t xml:space="preserve"> 00001625 </t>
  </si>
  <si>
    <t xml:space="preserve"> 18.5.1 </t>
  </si>
  <si>
    <t xml:space="preserve"> 91834 </t>
  </si>
  <si>
    <t xml:space="preserve"> 91170 </t>
  </si>
  <si>
    <t xml:space="preserve"> 00002688 </t>
  </si>
  <si>
    <t xml:space="preserve"> 18.5.2 </t>
  </si>
  <si>
    <t xml:space="preserve"> 91836 </t>
  </si>
  <si>
    <t xml:space="preserve"> 00002690 </t>
  </si>
  <si>
    <t xml:space="preserve"> 18.5.3 </t>
  </si>
  <si>
    <t xml:space="preserve"> 97669 </t>
  </si>
  <si>
    <t xml:space="preserve"> 00002442 </t>
  </si>
  <si>
    <t xml:space="preserve"> 18.6.3 </t>
  </si>
  <si>
    <t xml:space="preserve"> 97599 </t>
  </si>
  <si>
    <t xml:space="preserve"> 00038774 </t>
  </si>
  <si>
    <t xml:space="preserve"> 18.6.5 </t>
  </si>
  <si>
    <t xml:space="preserve"> 91937 </t>
  </si>
  <si>
    <t xml:space="preserve"> 00001871 </t>
  </si>
  <si>
    <t xml:space="preserve"> 18.7.1 </t>
  </si>
  <si>
    <t xml:space="preserve"> 101876 </t>
  </si>
  <si>
    <t xml:space="preserve"> 87367 </t>
  </si>
  <si>
    <t xml:space="preserve"> 00039795 </t>
  </si>
  <si>
    <t xml:space="preserve"> 18.7.2 </t>
  </si>
  <si>
    <t xml:space="preserve"> 101883 </t>
  </si>
  <si>
    <t xml:space="preserve"> 00013395 </t>
  </si>
  <si>
    <t xml:space="preserve"> 19.2.1 </t>
  </si>
  <si>
    <t xml:space="preserve"> 98302 </t>
  </si>
  <si>
    <t>INES - INSTALAÇÕES ESPECIAIS</t>
  </si>
  <si>
    <t xml:space="preserve"> 00039596 </t>
  </si>
  <si>
    <t xml:space="preserve"> 19.2.8 </t>
  </si>
  <si>
    <t xml:space="preserve"> 98297 </t>
  </si>
  <si>
    <t xml:space="preserve"> 00039599 </t>
  </si>
  <si>
    <t xml:space="preserve"> 19.2.9 </t>
  </si>
  <si>
    <t xml:space="preserve"> 98307 </t>
  </si>
  <si>
    <t xml:space="preserve"> 00038083 </t>
  </si>
  <si>
    <t xml:space="preserve"> 19.2.10 </t>
  </si>
  <si>
    <t xml:space="preserve"> 98308 </t>
  </si>
  <si>
    <t xml:space="preserve"> 00038082 </t>
  </si>
  <si>
    <t xml:space="preserve"> 19.2.13 </t>
  </si>
  <si>
    <t xml:space="preserve"> 91864 </t>
  </si>
  <si>
    <t xml:space="preserve"> 00002685 </t>
  </si>
  <si>
    <t xml:space="preserve"> 20.1 </t>
  </si>
  <si>
    <t xml:space="preserve"> 89865 </t>
  </si>
  <si>
    <t xml:space="preserve"> 20.2 </t>
  </si>
  <si>
    <t xml:space="preserve"> 89866 </t>
  </si>
  <si>
    <t xml:space="preserve"> 20.3 </t>
  </si>
  <si>
    <t xml:space="preserve"> 89867 </t>
  </si>
  <si>
    <t xml:space="preserve"> 20.4 </t>
  </si>
  <si>
    <t xml:space="preserve"> 89869 </t>
  </si>
  <si>
    <t xml:space="preserve"> 21.1 </t>
  </si>
  <si>
    <t xml:space="preserve"> 96984 </t>
  </si>
  <si>
    <t xml:space="preserve"> 91173 </t>
  </si>
  <si>
    <t xml:space="preserve"> 00012070 </t>
  </si>
  <si>
    <t xml:space="preserve"> 21.2 </t>
  </si>
  <si>
    <t xml:space="preserve"> 96985 </t>
  </si>
  <si>
    <t xml:space="preserve"> 00003379 </t>
  </si>
  <si>
    <t xml:space="preserve"> 21.4 </t>
  </si>
  <si>
    <t xml:space="preserve"> 96977 </t>
  </si>
  <si>
    <t xml:space="preserve"> 00000867 </t>
  </si>
  <si>
    <t xml:space="preserve"> 21.5 </t>
  </si>
  <si>
    <t xml:space="preserve"> 96974 </t>
  </si>
  <si>
    <t xml:space="preserve"> 98463 </t>
  </si>
  <si>
    <t xml:space="preserve"> 21.8 </t>
  </si>
  <si>
    <t xml:space="preserve"> 96973 </t>
  </si>
  <si>
    <t xml:space="preserve"> 00000863 </t>
  </si>
  <si>
    <t xml:space="preserve"> 21.10 </t>
  </si>
  <si>
    <t xml:space="preserve"> 93358 </t>
  </si>
  <si>
    <t xml:space="preserve"> 21.11 </t>
  </si>
  <si>
    <t xml:space="preserve"> 96995 </t>
  </si>
  <si>
    <t xml:space="preserve"> 22.1 </t>
  </si>
  <si>
    <t xml:space="preserve"> 101905 </t>
  </si>
  <si>
    <t xml:space="preserve"> 00004350 </t>
  </si>
  <si>
    <t xml:space="preserve"> 00010886 </t>
  </si>
  <si>
    <t xml:space="preserve"> 22.2 </t>
  </si>
  <si>
    <t xml:space="preserve"> 101909 </t>
  </si>
  <si>
    <t xml:space="preserve"> 00010892 </t>
  </si>
  <si>
    <t xml:space="preserve"> 24.2 </t>
  </si>
  <si>
    <t xml:space="preserve"> 98504 </t>
  </si>
  <si>
    <t xml:space="preserve"> 00003324 </t>
  </si>
  <si>
    <t xml:space="preserve"> 25.7 </t>
  </si>
  <si>
    <t xml:space="preserve"> 99857 </t>
  </si>
  <si>
    <t xml:space="preserve"> 88251 </t>
  </si>
  <si>
    <t xml:space="preserve"> 88315 </t>
  </si>
  <si>
    <t xml:space="preserve"> 00034360 </t>
  </si>
  <si>
    <t xml:space="preserve"> 00011033 </t>
  </si>
  <si>
    <t xml:space="preserve"> 25.8 </t>
  </si>
  <si>
    <t xml:space="preserve"> 102362 </t>
  </si>
  <si>
    <t xml:space="preserve"> 94962 </t>
  </si>
  <si>
    <t xml:space="preserve"> 00043130 </t>
  </si>
  <si>
    <t xml:space="preserve"> 00011002 </t>
  </si>
  <si>
    <t xml:space="preserve"> 00007167 </t>
  </si>
  <si>
    <t xml:space="preserve"> 00007696 </t>
  </si>
  <si>
    <t xml:space="preserve"> 00007698 </t>
  </si>
  <si>
    <t xml:space="preserve"> 26.2 </t>
  </si>
  <si>
    <t xml:space="preserve"> 99806 </t>
  </si>
  <si>
    <t xml:space="preserve"> 26.3 </t>
  </si>
  <si>
    <t xml:space="preserve"> 99803 </t>
  </si>
  <si>
    <t xml:space="preserve"> 26.4 </t>
  </si>
  <si>
    <t xml:space="preserve"> 99814 </t>
  </si>
  <si>
    <t xml:space="preserve"> 99833 </t>
  </si>
  <si>
    <t xml:space="preserve"> INSUMO </t>
  </si>
  <si>
    <t xml:space="preserve"> 89267 </t>
  </si>
  <si>
    <t xml:space="preserve"> 89268 </t>
  </si>
  <si>
    <t xml:space="preserve"> 89270 </t>
  </si>
  <si>
    <t xml:space="preserve"> 89269 </t>
  </si>
  <si>
    <t xml:space="preserve"> 89271 </t>
  </si>
  <si>
    <t xml:space="preserve"> 88296 </t>
  </si>
  <si>
    <t xml:space="preserve"> 100709 </t>
  </si>
  <si>
    <t xml:space="preserve"> 88261 </t>
  </si>
  <si>
    <t xml:space="preserve"> 00002420 </t>
  </si>
  <si>
    <t xml:space="preserve"> 102179 </t>
  </si>
  <si>
    <t xml:space="preserve"> 88325 </t>
  </si>
  <si>
    <t xml:space="preserve"> 00011950 </t>
  </si>
  <si>
    <t xml:space="preserve"> 00039432 </t>
  </si>
  <si>
    <t xml:space="preserve"> 00010505 </t>
  </si>
  <si>
    <t xml:space="preserve"> 94570 </t>
  </si>
  <si>
    <t xml:space="preserve"> 00036896 </t>
  </si>
  <si>
    <t xml:space="preserve"> 96989 </t>
  </si>
  <si>
    <t xml:space="preserve"> 00004274 </t>
  </si>
  <si>
    <t xml:space="preserve"> 95317 </t>
  </si>
  <si>
    <t xml:space="preserve"> 00000246 </t>
  </si>
  <si>
    <t xml:space="preserve"> 00043485 </t>
  </si>
  <si>
    <t xml:space="preserve"> 00043461 </t>
  </si>
  <si>
    <t xml:space="preserve"> 95335 </t>
  </si>
  <si>
    <t xml:space="preserve"> 00002696 </t>
  </si>
  <si>
    <t xml:space="preserve"> 95378 </t>
  </si>
  <si>
    <t xml:space="preserve"> 00006111 </t>
  </si>
  <si>
    <t xml:space="preserve"> COMPOSICAO </t>
  </si>
  <si>
    <t xml:space="preserve"> 98746 </t>
  </si>
  <si>
    <t xml:space="preserve"> 88317 </t>
  </si>
  <si>
    <t xml:space="preserve"> 00010998 </t>
  </si>
  <si>
    <t xml:space="preserve"> 100759 </t>
  </si>
  <si>
    <t xml:space="preserve"> 00007292 </t>
  </si>
  <si>
    <t xml:space="preserve"> 95341 </t>
  </si>
  <si>
    <t xml:space="preserve"> 00043489 </t>
  </si>
  <si>
    <t xml:space="preserve"> 00043465 </t>
  </si>
  <si>
    <t xml:space="preserve"> 00004755 </t>
  </si>
  <si>
    <t xml:space="preserve"> 95332 </t>
  </si>
  <si>
    <t xml:space="preserve"> 00002436 </t>
  </si>
  <si>
    <t xml:space="preserve"> 00043484 </t>
  </si>
  <si>
    <t xml:space="preserve"> 00043460 </t>
  </si>
  <si>
    <t xml:space="preserve"> 95371 </t>
  </si>
  <si>
    <t xml:space="preserve"> 00004750 </t>
  </si>
  <si>
    <t xml:space="preserve"> 95316 </t>
  </si>
  <si>
    <t xml:space="preserve"> 00000247 </t>
  </si>
  <si>
    <t xml:space="preserve"> 95372 </t>
  </si>
  <si>
    <t xml:space="preserve"> 00043490 </t>
  </si>
  <si>
    <t xml:space="preserve"> 00043466 </t>
  </si>
  <si>
    <t xml:space="preserve"> 00004783 </t>
  </si>
  <si>
    <t xml:space="preserve"> 95377 </t>
  </si>
  <si>
    <t xml:space="preserve"> 00006110 </t>
  </si>
  <si>
    <t xml:space="preserve"> COMPOSIÇÃO </t>
  </si>
  <si>
    <t xml:space="preserve"> 5664 </t>
  </si>
  <si>
    <t xml:space="preserve"> 53786 </t>
  </si>
  <si>
    <t xml:space="preserve"> 88858 </t>
  </si>
  <si>
    <t xml:space="preserve"> 88857 </t>
  </si>
  <si>
    <t xml:space="preserve"> 88294 </t>
  </si>
  <si>
    <t xml:space="preserve"> 53863 </t>
  </si>
  <si>
    <t xml:space="preserve"> 95115 </t>
  </si>
  <si>
    <t xml:space="preserve"> 95114 </t>
  </si>
  <si>
    <t xml:space="preserve"> 88298 </t>
  </si>
  <si>
    <t xml:space="preserve"> 92716 </t>
  </si>
  <si>
    <t xml:space="preserve"> 92713 </t>
  </si>
  <si>
    <t xml:space="preserve"> 92712 </t>
  </si>
  <si>
    <t xml:space="preserve"> 92714 </t>
  </si>
  <si>
    <t xml:space="preserve"> 92715 </t>
  </si>
  <si>
    <t xml:space="preserve"> 92105 </t>
  </si>
  <si>
    <t xml:space="preserve"> 00004221 </t>
  </si>
  <si>
    <t xml:space="preserve"> 97086 </t>
  </si>
  <si>
    <t xml:space="preserve"> 00005068 </t>
  </si>
  <si>
    <t xml:space="preserve"> 00006193 </t>
  </si>
  <si>
    <t xml:space="preserve"> 95240 </t>
  </si>
  <si>
    <t xml:space="preserve"> 92268 </t>
  </si>
  <si>
    <t xml:space="preserve"> 00001345 </t>
  </si>
  <si>
    <t xml:space="preserve"> 101173 </t>
  </si>
  <si>
    <t xml:space="preserve"> 97096 </t>
  </si>
  <si>
    <t xml:space="preserve"> 00001525 </t>
  </si>
  <si>
    <t xml:space="preserve"> 95576 </t>
  </si>
  <si>
    <t xml:space="preserve"> 96544 </t>
  </si>
  <si>
    <t xml:space="preserve"> 88831 </t>
  </si>
  <si>
    <t xml:space="preserve"> 88830 </t>
  </si>
  <si>
    <t xml:space="preserve"> 96557 </t>
  </si>
  <si>
    <t xml:space="preserve"> 95577 </t>
  </si>
  <si>
    <t xml:space="preserve"> 95583 </t>
  </si>
  <si>
    <t xml:space="preserve"> 95445 </t>
  </si>
  <si>
    <t xml:space="preserve"> 98561 </t>
  </si>
  <si>
    <t xml:space="preserve"> 87286 </t>
  </si>
  <si>
    <t xml:space="preserve"> 00000123 </t>
  </si>
  <si>
    <t xml:space="preserve"> 96988 </t>
  </si>
  <si>
    <t xml:space="preserve"> 00041387 </t>
  </si>
  <si>
    <t xml:space="preserve"> 00004356 </t>
  </si>
  <si>
    <t xml:space="preserve"> 00007572 </t>
  </si>
  <si>
    <t xml:space="preserve"> 96987 </t>
  </si>
  <si>
    <t xml:space="preserve"> 00038060 </t>
  </si>
  <si>
    <t xml:space="preserve"> 92688 </t>
  </si>
  <si>
    <t xml:space="preserve"> 00007700 </t>
  </si>
  <si>
    <t xml:space="preserve"> 94648 </t>
  </si>
  <si>
    <t xml:space="preserve"> 100788 </t>
  </si>
  <si>
    <t xml:space="preserve"> 00003472 </t>
  </si>
  <si>
    <t xml:space="preserve"> 00004179 </t>
  </si>
  <si>
    <t xml:space="preserve"> 00004888 </t>
  </si>
  <si>
    <t xml:space="preserve"> 00006320 </t>
  </si>
  <si>
    <t xml:space="preserve"> 00040626 </t>
  </si>
  <si>
    <t xml:space="preserve"> 00009886 </t>
  </si>
  <si>
    <t xml:space="preserve"> 00011748 </t>
  </si>
  <si>
    <t xml:space="preserve"> 00011746 </t>
  </si>
  <si>
    <t xml:space="preserve"> 92701 </t>
  </si>
  <si>
    <t xml:space="preserve"> 00003456 </t>
  </si>
  <si>
    <t xml:space="preserve"> 92695 </t>
  </si>
  <si>
    <t xml:space="preserve"> 00003909 </t>
  </si>
  <si>
    <t xml:space="preserve"> 94688 </t>
  </si>
  <si>
    <t xml:space="preserve"> 94703 </t>
  </si>
  <si>
    <t xml:space="preserve"> 00000096 </t>
  </si>
  <si>
    <t xml:space="preserve"> 86885 </t>
  </si>
  <si>
    <t xml:space="preserve"> 00011681 </t>
  </si>
  <si>
    <t xml:space="preserve"> 00037588 </t>
  </si>
  <si>
    <t xml:space="preserve"> 00006157 </t>
  </si>
  <si>
    <t xml:space="preserve"> 86882 </t>
  </si>
  <si>
    <t xml:space="preserve"> 00006146 </t>
  </si>
  <si>
    <t xml:space="preserve"> 00006136 </t>
  </si>
  <si>
    <t xml:space="preserve"> 86911 </t>
  </si>
  <si>
    <t xml:space="preserve"> 00013416 </t>
  </si>
  <si>
    <t xml:space="preserve"> 98111 </t>
  </si>
  <si>
    <t xml:space="preserve"> 101618 </t>
  </si>
  <si>
    <t xml:space="preserve"> 00034643 </t>
  </si>
  <si>
    <t xml:space="preserve"> 89972 </t>
  </si>
  <si>
    <t xml:space="preserve"> 89383 </t>
  </si>
  <si>
    <t xml:space="preserve"> 94796 </t>
  </si>
  <si>
    <t xml:space="preserve"> 00011830 </t>
  </si>
  <si>
    <t xml:space="preserve"> 90084 </t>
  </si>
  <si>
    <t xml:space="preserve"> 88415 </t>
  </si>
  <si>
    <t xml:space="preserve"> 102203 </t>
  </si>
  <si>
    <t xml:space="preserve"> 00010481 </t>
  </si>
  <si>
    <t xml:space="preserve"> 100721 </t>
  </si>
  <si>
    <t xml:space="preserve"> 100751 </t>
  </si>
  <si>
    <t xml:space="preserve"> 88312 </t>
  </si>
  <si>
    <t xml:space="preserve"> 87905 </t>
  </si>
  <si>
    <t xml:space="preserve"> 87529 </t>
  </si>
  <si>
    <t xml:space="preserve"> 87794 </t>
  </si>
  <si>
    <t xml:space="preserve"> 88631 </t>
  </si>
  <si>
    <t xml:space="preserve"> 00001106 </t>
  </si>
  <si>
    <t xml:space="preserve"> 88627 </t>
  </si>
  <si>
    <t xml:space="preserve"> 93588 </t>
  </si>
  <si>
    <t xml:space="preserve"> 91387 </t>
  </si>
  <si>
    <t xml:space="preserve"> 91386 </t>
  </si>
  <si>
    <t xml:space="preserve"> 95309 </t>
  </si>
  <si>
    <t xml:space="preserve"> 00006117 </t>
  </si>
  <si>
    <t xml:space="preserve"> 00043483 </t>
  </si>
  <si>
    <t xml:space="preserve"> 00043459 </t>
  </si>
  <si>
    <t xml:space="preserve"> 95308 </t>
  </si>
  <si>
    <t xml:space="preserve"> 00006114 </t>
  </si>
  <si>
    <t xml:space="preserve"> 95875 </t>
  </si>
  <si>
    <t xml:space="preserve"> 95324 </t>
  </si>
  <si>
    <t xml:space="preserve"> 00004760 </t>
  </si>
  <si>
    <t xml:space="preserve"> 95320 </t>
  </si>
  <si>
    <t xml:space="preserve"> 00000252 </t>
  </si>
  <si>
    <t xml:space="preserve"> 95314 </t>
  </si>
  <si>
    <t xml:space="preserve"> 00000378 </t>
  </si>
  <si>
    <t xml:space="preserve"> 95379 </t>
  </si>
  <si>
    <t xml:space="preserve"> 00043492 </t>
  </si>
  <si>
    <t xml:space="preserve"> 00043468 </t>
  </si>
  <si>
    <t xml:space="preserve"> 00006160 </t>
  </si>
  <si>
    <t xml:space="preserve"> 95330 </t>
  </si>
  <si>
    <t xml:space="preserve"> 00001213 </t>
  </si>
  <si>
    <t xml:space="preserve"> 95344 </t>
  </si>
  <si>
    <t xml:space="preserve"> 00043488 </t>
  </si>
  <si>
    <t xml:space="preserve"> 00043464 </t>
  </si>
  <si>
    <t xml:space="preserve"> 00044497 </t>
  </si>
  <si>
    <t xml:space="preserve"> 95387 </t>
  </si>
  <si>
    <t xml:space="preserve"> 00010489 </t>
  </si>
  <si>
    <t>Composições Auxiliares</t>
  </si>
  <si>
    <t xml:space="preserve"> 95313 </t>
  </si>
  <si>
    <t xml:space="preserve"> 00000242 </t>
  </si>
  <si>
    <t xml:space="preserve"> 00013761 </t>
  </si>
  <si>
    <t xml:space="preserve"> 00000001 </t>
  </si>
  <si>
    <t xml:space="preserve"> 00000002 </t>
  </si>
  <si>
    <t xml:space="preserve"> 00000367 </t>
  </si>
  <si>
    <t xml:space="preserve"> 00043617 </t>
  </si>
  <si>
    <t xml:space="preserve"> 92783 </t>
  </si>
  <si>
    <t xml:space="preserve"> 92799 </t>
  </si>
  <si>
    <t xml:space="preserve"> 92784 </t>
  </si>
  <si>
    <t xml:space="preserve"> 92800 </t>
  </si>
  <si>
    <t xml:space="preserve"> 88826 </t>
  </si>
  <si>
    <t xml:space="preserve"> 88827 </t>
  </si>
  <si>
    <t xml:space="preserve"> 88828 </t>
  </si>
  <si>
    <t xml:space="preserve"> 88829 </t>
  </si>
  <si>
    <t xml:space="preserve"> 00010535 </t>
  </si>
  <si>
    <t xml:space="preserve"> 00002705 </t>
  </si>
  <si>
    <t>KWH</t>
  </si>
  <si>
    <t xml:space="preserve"> 89221 </t>
  </si>
  <si>
    <t xml:space="preserve"> 89222 </t>
  </si>
  <si>
    <t xml:space="preserve"> 89223 </t>
  </si>
  <si>
    <t xml:space="preserve"> 89224 </t>
  </si>
  <si>
    <t xml:space="preserve"> 00036397 </t>
  </si>
  <si>
    <t xml:space="preserve"> 95328 </t>
  </si>
  <si>
    <t xml:space="preserve"> 00004759 </t>
  </si>
  <si>
    <t xml:space="preserve"> 91381 </t>
  </si>
  <si>
    <t xml:space="preserve"> 91380 </t>
  </si>
  <si>
    <t xml:space="preserve"> 91382 </t>
  </si>
  <si>
    <t xml:space="preserve"> 88281 </t>
  </si>
  <si>
    <t xml:space="preserve"> 91383 </t>
  </si>
  <si>
    <t xml:space="preserve"> 91384 </t>
  </si>
  <si>
    <t xml:space="preserve"> 00037734 </t>
  </si>
  <si>
    <t xml:space="preserve"> 00037747 </t>
  </si>
  <si>
    <t xml:space="preserve"> 7058 </t>
  </si>
  <si>
    <t xml:space="preserve"> 7059 </t>
  </si>
  <si>
    <t xml:space="preserve"> 91402 </t>
  </si>
  <si>
    <t xml:space="preserve"> 7060 </t>
  </si>
  <si>
    <t xml:space="preserve"> 7061 </t>
  </si>
  <si>
    <t xml:space="preserve"> 00037733 </t>
  </si>
  <si>
    <t xml:space="preserve"> 00037752 </t>
  </si>
  <si>
    <t xml:space="preserve"> 91397 </t>
  </si>
  <si>
    <t xml:space="preserve"> 91398 </t>
  </si>
  <si>
    <t xml:space="preserve"> 91396 </t>
  </si>
  <si>
    <t xml:space="preserve"> 88282 </t>
  </si>
  <si>
    <t xml:space="preserve"> 53831 </t>
  </si>
  <si>
    <t xml:space="preserve"> 5763 </t>
  </si>
  <si>
    <t xml:space="preserve"> 00037736 </t>
  </si>
  <si>
    <t xml:space="preserve"> 95329 </t>
  </si>
  <si>
    <t xml:space="preserve"> 00001214 </t>
  </si>
  <si>
    <t xml:space="preserve"> 91530 </t>
  </si>
  <si>
    <t xml:space="preserve"> 91529 </t>
  </si>
  <si>
    <t xml:space="preserve"> 88297 </t>
  </si>
  <si>
    <t xml:space="preserve"> 91532 </t>
  </si>
  <si>
    <t xml:space="preserve"> 91531 </t>
  </si>
  <si>
    <t xml:space="preserve"> 00013458 </t>
  </si>
  <si>
    <t xml:space="preserve"> 00004222 </t>
  </si>
  <si>
    <t xml:space="preserve"> 94972 </t>
  </si>
  <si>
    <t xml:space="preserve"> 91279 </t>
  </si>
  <si>
    <t xml:space="preserve"> 91280 </t>
  </si>
  <si>
    <t xml:space="preserve"> 91281 </t>
  </si>
  <si>
    <t xml:space="preserve"> 91282 </t>
  </si>
  <si>
    <t xml:space="preserve"> 00011280 </t>
  </si>
  <si>
    <t xml:space="preserve"> 00013887 </t>
  </si>
  <si>
    <t xml:space="preserve"> 00000034 </t>
  </si>
  <si>
    <t xml:space="preserve"> 00000032 </t>
  </si>
  <si>
    <t xml:space="preserve"> 00000033 </t>
  </si>
  <si>
    <t xml:space="preserve"> 00043059 </t>
  </si>
  <si>
    <t xml:space="preserve"> 00020269 </t>
  </si>
  <si>
    <t xml:space="preserve"> 00004823 </t>
  </si>
  <si>
    <t xml:space="preserve"> 00001743 </t>
  </si>
  <si>
    <t xml:space="preserve"> 95337 </t>
  </si>
  <si>
    <t xml:space="preserve"> 00012872 </t>
  </si>
  <si>
    <t xml:space="preserve"> 95338 </t>
  </si>
  <si>
    <t xml:space="preserve"> 00012873 </t>
  </si>
  <si>
    <t xml:space="preserve"> 95390 </t>
  </si>
  <si>
    <t xml:space="preserve"> 00044503 </t>
  </si>
  <si>
    <t xml:space="preserve"> 95346 </t>
  </si>
  <si>
    <t xml:space="preserve"> 00020020 </t>
  </si>
  <si>
    <t xml:space="preserve"> 95347 </t>
  </si>
  <si>
    <t xml:space="preserve"> 00004093 </t>
  </si>
  <si>
    <t xml:space="preserve"> 95351 </t>
  </si>
  <si>
    <t xml:space="preserve"> 00004096 </t>
  </si>
  <si>
    <t xml:space="preserve"> 95389 </t>
  </si>
  <si>
    <t xml:space="preserve"> 00037666 </t>
  </si>
  <si>
    <t xml:space="preserve"> 95357 </t>
  </si>
  <si>
    <t xml:space="preserve"> 00004234 </t>
  </si>
  <si>
    <t xml:space="preserve"> 95358 </t>
  </si>
  <si>
    <t xml:space="preserve"> 00004253 </t>
  </si>
  <si>
    <t xml:space="preserve"> 95359 </t>
  </si>
  <si>
    <t xml:space="preserve"> 00004254 </t>
  </si>
  <si>
    <t xml:space="preserve"> 95361 </t>
  </si>
  <si>
    <t xml:space="preserve"> 00004257 </t>
  </si>
  <si>
    <t xml:space="preserve"> 95360 </t>
  </si>
  <si>
    <t xml:space="preserve"> 00004230 </t>
  </si>
  <si>
    <t xml:space="preserve"> 95364 </t>
  </si>
  <si>
    <t xml:space="preserve"> 00004248 </t>
  </si>
  <si>
    <t xml:space="preserve"> 95374 </t>
  </si>
  <si>
    <t xml:space="preserve"> 00004785 </t>
  </si>
  <si>
    <t xml:space="preserve"> 95385 </t>
  </si>
  <si>
    <t xml:space="preserve"> 00012869 </t>
  </si>
  <si>
    <t xml:space="preserve"> 5628 </t>
  </si>
  <si>
    <t xml:space="preserve"> 5627 </t>
  </si>
  <si>
    <t xml:space="preserve"> 5630 </t>
  </si>
  <si>
    <t xml:space="preserve"> 5629 </t>
  </si>
  <si>
    <t xml:space="preserve"> 00010685 </t>
  </si>
  <si>
    <t xml:space="preserve"> 00001358 </t>
  </si>
  <si>
    <t xml:space="preserve"> 00000392 </t>
  </si>
  <si>
    <t xml:space="preserve"> 93277 </t>
  </si>
  <si>
    <t xml:space="preserve"> 93278 </t>
  </si>
  <si>
    <t xml:space="preserve"> 88295 </t>
  </si>
  <si>
    <t xml:space="preserve"> 93279 </t>
  </si>
  <si>
    <t xml:space="preserve"> 93280 </t>
  </si>
  <si>
    <t xml:space="preserve"> 00036487 </t>
  </si>
  <si>
    <t xml:space="preserve"> 00044475 </t>
  </si>
  <si>
    <t xml:space="preserve"> 93296 </t>
  </si>
  <si>
    <t xml:space="preserve"> 93283 </t>
  </si>
  <si>
    <t xml:space="preserve"> 93284 </t>
  </si>
  <si>
    <t xml:space="preserve"> 93285 </t>
  </si>
  <si>
    <t xml:space="preserve"> 93286 </t>
  </si>
  <si>
    <t xml:space="preserve"> 00044474 </t>
  </si>
  <si>
    <t xml:space="preserve"> 91466 </t>
  </si>
  <si>
    <t xml:space="preserve"> 89259 </t>
  </si>
  <si>
    <t xml:space="preserve"> 89260 </t>
  </si>
  <si>
    <t xml:space="preserve"> 88286 </t>
  </si>
  <si>
    <t xml:space="preserve"> 91467 </t>
  </si>
  <si>
    <t xml:space="preserve"> 89262 </t>
  </si>
  <si>
    <t xml:space="preserve"> 00037761 </t>
  </si>
  <si>
    <t xml:space="preserve"> 00003363 </t>
  </si>
  <si>
    <t xml:space="preserve"> 00011964 </t>
  </si>
  <si>
    <t xml:space="preserve"> 00038112 </t>
  </si>
  <si>
    <t xml:space="preserve"> 00038101 </t>
  </si>
  <si>
    <t xml:space="preserve"> 99832 </t>
  </si>
  <si>
    <t xml:space="preserve"> 99829 </t>
  </si>
  <si>
    <t xml:space="preserve"> 99830 </t>
  </si>
  <si>
    <t xml:space="preserve"> 99831 </t>
  </si>
  <si>
    <t xml:space="preserve"> 00000746 </t>
  </si>
  <si>
    <t xml:space="preserve"> 00036794 </t>
  </si>
  <si>
    <t xml:space="preserve"> 00037329 </t>
  </si>
  <si>
    <t xml:space="preserve"> 00041898 </t>
  </si>
  <si>
    <t xml:space="preserve"> 96242 </t>
  </si>
  <si>
    <t xml:space="preserve"> 96241 </t>
  </si>
  <si>
    <t xml:space="preserve"> 96243 </t>
  </si>
  <si>
    <t xml:space="preserve"> 96244 </t>
  </si>
  <si>
    <t xml:space="preserve"> 00037520 </t>
  </si>
  <si>
    <t xml:space="preserve"> 88301 </t>
  </si>
  <si>
    <t xml:space="preserve"> 00043682 </t>
  </si>
  <si>
    <t xml:space="preserve"> 00039995 </t>
  </si>
  <si>
    <t xml:space="preserve"> 00020247 </t>
  </si>
  <si>
    <t xml:space="preserve"> 00043677 </t>
  </si>
  <si>
    <t xml:space="preserve"> 00039014 </t>
  </si>
  <si>
    <t xml:space="preserve"> 91273 </t>
  </si>
  <si>
    <t xml:space="preserve"> 91274 </t>
  </si>
  <si>
    <t xml:space="preserve"> 91276 </t>
  </si>
  <si>
    <t xml:space="preserve"> 91275 </t>
  </si>
  <si>
    <t xml:space="preserve"> 00001442 </t>
  </si>
  <si>
    <t xml:space="preserve"> 95273 </t>
  </si>
  <si>
    <t xml:space="preserve"> 95272 </t>
  </si>
  <si>
    <t xml:space="preserve"> 95274 </t>
  </si>
  <si>
    <t xml:space="preserve"> 95275 </t>
  </si>
  <si>
    <t xml:space="preserve"> 00013954 </t>
  </si>
  <si>
    <t xml:space="preserve"> 89128 </t>
  </si>
  <si>
    <t xml:space="preserve"> 89129 </t>
  </si>
  <si>
    <t xml:space="preserve"> 53858 </t>
  </si>
  <si>
    <t xml:space="preserve"> 53857 </t>
  </si>
  <si>
    <t xml:space="preserve"> 00004262 </t>
  </si>
  <si>
    <t xml:space="preserve"> 00036531 </t>
  </si>
  <si>
    <t xml:space="preserve"> 91688 </t>
  </si>
  <si>
    <t xml:space="preserve"> 91689 </t>
  </si>
  <si>
    <t xml:space="preserve"> 91690 </t>
  </si>
  <si>
    <t xml:space="preserve"> 91691 </t>
  </si>
  <si>
    <t xml:space="preserve"> 00014618 </t>
  </si>
  <si>
    <t xml:space="preserve"> 00038094 </t>
  </si>
  <si>
    <t xml:space="preserve"> 00038099 </t>
  </si>
  <si>
    <t xml:space="preserve"> 00038102 </t>
  </si>
  <si>
    <t xml:space="preserve"> 00006138 </t>
  </si>
  <si>
    <t xml:space="preserve"> 00010420 </t>
  </si>
  <si>
    <t xml:space="preserve"> 00004384 </t>
  </si>
  <si>
    <t xml:space="preserve"> 00036520 </t>
  </si>
  <si>
    <t xml:space="preserve"> 90582 </t>
  </si>
  <si>
    <t xml:space="preserve"> 90583 </t>
  </si>
  <si>
    <t xml:space="preserve"> 90585 </t>
  </si>
  <si>
    <t xml:space="preserve"> 90584 </t>
  </si>
  <si>
    <t xml:space="preserve"> 00013896 </t>
  </si>
  <si>
    <t>Total sem BDI</t>
  </si>
  <si>
    <t>Total do BDI</t>
  </si>
  <si>
    <t>Total Geral</t>
  </si>
  <si>
    <t xml:space="preserve">_______________________________________________________________
</t>
  </si>
  <si>
    <t xml:space="preserve">REFORMA E AMPLIAÇÃO ESCOLA LIBIA COSTA RONDON </t>
  </si>
  <si>
    <t xml:space="preserve"> 28,24%</t>
  </si>
  <si>
    <t>Desonerado: embutido nos preços unitário dos insumos de mão de obra, de acordo com as bases.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</si>
</sst>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1">
    <numFmt numFmtId="41" formatCode="_-* #,##0_-;\-* #,##0_-;_-* &quot;-&quot;_-;_-@_-"/>
    <numFmt numFmtId="44" formatCode="_-&quot;R$&quot;\ * #,##0.00_-;\-&quot;R$&quot;\ * #,##0.00_-;_-&quot;R$&quot;\ * &quot;-&quot;??_-;_-@_-"/>
    <numFmt numFmtId="43" formatCode="_-* #,##0.00_-;\-* #,##0.00_-;_-* &quot;-&quot;??_-;_-@_-"/>
    <numFmt numFmtId="164" formatCode="_-&quot;R$&quot;* #,##0.00_-;\-&quot;R$&quot;* #,##0.00_-;_-&quot;R$&quot;* &quot;-&quot;??_-;_-@_-"/>
    <numFmt numFmtId="165" formatCode="_(&quot;R$&quot;* #,##0.00_);_(&quot;R$&quot;* \(#,##0.00\);_(&quot;R$&quot;* &quot;-&quot;??_);_(@_)"/>
    <numFmt numFmtId="166" formatCode="_(* #,##0.00_);_(* \(#,##0.00\);_(* &quot;-&quot;??_);_(@_)"/>
    <numFmt numFmtId="167" formatCode="#,##0.00;[Red]#,##0.00"/>
    <numFmt numFmtId="168" formatCode="00"/>
    <numFmt numFmtId="169" formatCode="0.0"/>
    <numFmt numFmtId="170" formatCode="&quot;R$ &quot;#,##0_);\(&quot;R$ &quot;#,##0\)"/>
    <numFmt numFmtId="171" formatCode="_(* #,##0.0000_);_(* \(#,##0.0000\);_(* &quot;-&quot;??_);_(@_)"/>
    <numFmt numFmtId="172" formatCode="_(* #,##0.000_);_(* \(#,##0.000\);_(* &quot;-&quot;??_);_(@_)"/>
    <numFmt numFmtId="173" formatCode="#,##0.00&quot; &quot;;&quot; (&quot;#,##0.00&quot;)&quot;;&quot; -&quot;#&quot; &quot;;@&quot; &quot;"/>
    <numFmt numFmtId="174" formatCode="_(&quot;$&quot;* #,##0_);_(&quot;$&quot;* \(#,##0\);_(&quot;$&quot;* &quot;-&quot;_);_(@_)"/>
    <numFmt numFmtId="175" formatCode="_(&quot;$&quot;* #,##0.00_);_(&quot;$&quot;* \(#,##0.00\);_(&quot;$&quot;* &quot;-&quot;??_);_(@_)"/>
    <numFmt numFmtId="176" formatCode="#,##0.00&quot; &quot;;&quot;-&quot;#,##0.00&quot; &quot;;&quot; -&quot;#&quot; &quot;;@&quot; &quot;"/>
    <numFmt numFmtId="177" formatCode="[$R$-416]&quot; &quot;#,##0.00;[Red]&quot;-&quot;[$R$-416]&quot; &quot;#,##0.00"/>
    <numFmt numFmtId="178" formatCode="_-* #,##0.00\ _€_-;\-* #,##0.00\ _€_-;_-* &quot;-&quot;??\ _€_-;_-@_-"/>
    <numFmt numFmtId="179" formatCode="#\,##0."/>
    <numFmt numFmtId="180" formatCode="\$#."/>
    <numFmt numFmtId="181" formatCode="#.00"/>
    <numFmt numFmtId="182" formatCode="0.00_)"/>
    <numFmt numFmtId="183" formatCode="%#.00"/>
    <numFmt numFmtId="184" formatCode="#\,##0.00"/>
    <numFmt numFmtId="185" formatCode="#,"/>
    <numFmt numFmtId="186" formatCode="_(* #,##0.000000_);_(* \(#,##0.000000\);_(* &quot;-&quot;??_);_(@_)"/>
    <numFmt numFmtId="187" formatCode="_(&quot;R$&quot;* #,##0.0000_);_(&quot;R$&quot;* \(#,##0.0000\);_(&quot;R$&quot;* &quot;-&quot;??_);_(@_)"/>
    <numFmt numFmtId="188" formatCode="0.000"/>
    <numFmt numFmtId="189" formatCode="_-* #,##0.000000_-;\-* #,##0.000000_-;_-* &quot;-&quot;??????_-;_-@_-"/>
    <numFmt numFmtId="190" formatCode="_-* #,##0.0000_-;\-* #,##0.0000_-;_-* &quot;-&quot;??_-;_-@_-"/>
    <numFmt numFmtId="191" formatCode="#,##0.0000000"/>
  </numFmts>
  <fonts count="12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name val="Arial"/>
      <family val="2"/>
    </font>
    <font>
      <sz val="11"/>
      <color rgb="FF000000"/>
      <name val="Arial"/>
      <family val="2"/>
    </font>
    <font>
      <sz val="10"/>
      <color rgb="FFFF0000"/>
      <name val="Arial"/>
      <family val="2"/>
    </font>
    <font>
      <b/>
      <u/>
      <sz val="10"/>
      <name val="Arial"/>
      <family val="2"/>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b/>
      <u val="singleAccounting"/>
      <sz val="10"/>
      <name val="Arial"/>
      <family val="2"/>
    </font>
    <font>
      <b/>
      <sz val="10"/>
      <color rgb="FFFF0000"/>
      <name val="Arial"/>
      <family val="2"/>
    </font>
    <font>
      <u/>
      <sz val="10"/>
      <name val="Arial"/>
      <family val="2"/>
    </font>
    <font>
      <u/>
      <sz val="12"/>
      <name val="Arial"/>
      <family val="2"/>
    </font>
    <font>
      <i/>
      <u/>
      <sz val="10"/>
      <name val="Arial"/>
      <family val="2"/>
    </font>
    <font>
      <sz val="10"/>
      <color theme="1"/>
      <name val="Calibri"/>
      <family val="2"/>
      <scheme val="minor"/>
    </font>
    <font>
      <u/>
      <sz val="10"/>
      <color rgb="FFFF0000"/>
      <name val="Arial"/>
      <family val="2"/>
    </font>
    <font>
      <sz val="10"/>
      <name val="Arial"/>
      <family val="2"/>
    </font>
    <font>
      <b/>
      <sz val="11"/>
      <color theme="1"/>
      <name val="Calibri"/>
      <family val="2"/>
      <scheme val="minor"/>
    </font>
    <font>
      <sz val="12"/>
      <name val="Arial Narrow"/>
      <family val="2"/>
    </font>
    <font>
      <sz val="10"/>
      <name val="Arial"/>
      <family val="2"/>
    </font>
    <font>
      <sz val="10"/>
      <color rgb="FF000000"/>
      <name val="Arial1"/>
    </font>
    <font>
      <sz val="11"/>
      <color rgb="FF000000"/>
      <name val="Calibri"/>
      <family val="2"/>
    </font>
    <font>
      <b/>
      <i/>
      <sz val="16"/>
      <color rgb="FF000000"/>
      <name val="Arial"/>
      <family val="2"/>
    </font>
    <font>
      <b/>
      <i/>
      <u/>
      <sz val="11"/>
      <color rgb="FF000000"/>
      <name val="Arial"/>
      <family val="2"/>
    </font>
    <font>
      <u/>
      <sz val="11"/>
      <color indexed="12"/>
      <name val="Arial"/>
      <family val="2"/>
    </font>
    <font>
      <sz val="10"/>
      <name val="MS Sans Serif"/>
      <family val="2"/>
    </font>
    <font>
      <sz val="10"/>
      <name val="Times New Roman"/>
      <family val="1"/>
    </font>
    <font>
      <sz val="10"/>
      <color indexed="8"/>
      <name val="MS Sans Serif"/>
      <family val="2"/>
    </font>
    <font>
      <sz val="1"/>
      <color indexed="8"/>
      <name val="Courier"/>
      <family val="3"/>
    </font>
    <font>
      <u/>
      <sz val="6"/>
      <color indexed="36"/>
      <name val="MS Sans Serif"/>
      <family val="2"/>
    </font>
    <font>
      <sz val="10"/>
      <name val="Courier"/>
      <family val="3"/>
    </font>
    <font>
      <sz val="12"/>
      <name val="Times New Roman"/>
      <family val="1"/>
    </font>
    <font>
      <b/>
      <i/>
      <sz val="16"/>
      <name val="Helv"/>
    </font>
    <font>
      <sz val="1"/>
      <color indexed="18"/>
      <name val="Courier"/>
      <family val="3"/>
    </font>
    <font>
      <b/>
      <sz val="1"/>
      <color indexed="8"/>
      <name val="Courier"/>
      <family val="3"/>
    </font>
    <font>
      <sz val="11"/>
      <name val="Arial"/>
      <family val="1"/>
    </font>
    <font>
      <sz val="8"/>
      <name val="Arial"/>
      <family val="2"/>
    </font>
    <font>
      <sz val="10"/>
      <color theme="1"/>
      <name val="Arial"/>
      <family val="2"/>
    </font>
    <font>
      <b/>
      <sz val="10"/>
      <color theme="1"/>
      <name val="Arial"/>
      <family val="2"/>
    </font>
    <font>
      <sz val="12"/>
      <color theme="1"/>
      <name val="Arial"/>
      <family val="2"/>
    </font>
    <font>
      <b/>
      <sz val="12"/>
      <color theme="1"/>
      <name val="Arial"/>
      <family val="2"/>
    </font>
    <font>
      <sz val="11"/>
      <color theme="1"/>
      <name val="Arial"/>
      <family val="2"/>
    </font>
    <font>
      <b/>
      <u/>
      <sz val="11"/>
      <name val="Arial"/>
      <family val="2"/>
    </font>
    <font>
      <sz val="11"/>
      <color indexed="10"/>
      <name val="Arial"/>
      <family val="2"/>
    </font>
    <font>
      <i/>
      <sz val="11"/>
      <color indexed="10"/>
      <name val="Arial"/>
      <family val="2"/>
    </font>
    <font>
      <sz val="11"/>
      <color rgb="FFFF0000"/>
      <name val="Arial"/>
      <family val="2"/>
    </font>
    <font>
      <sz val="10"/>
      <color indexed="8"/>
      <name val="Arial"/>
      <family val="2"/>
    </font>
    <font>
      <b/>
      <sz val="12"/>
      <color theme="1"/>
      <name val="Calibri"/>
      <family val="2"/>
      <scheme val="minor"/>
    </font>
    <font>
      <b/>
      <sz val="10"/>
      <color indexed="8"/>
      <name val="Courier"/>
      <family val="3"/>
    </font>
    <font>
      <b/>
      <u/>
      <sz val="10"/>
      <color rgb="FFFF0000"/>
      <name val="Arial"/>
      <family val="2"/>
    </font>
    <font>
      <sz val="9"/>
      <name val="Arial Narrow"/>
      <family val="2"/>
    </font>
    <font>
      <b/>
      <sz val="10"/>
      <name val="Calibri"/>
      <family val="2"/>
      <scheme val="minor"/>
    </font>
    <font>
      <b/>
      <sz val="9"/>
      <name val="Calibri"/>
      <family val="2"/>
    </font>
    <font>
      <sz val="10"/>
      <name val="Courier New"/>
    </font>
    <font>
      <b/>
      <sz val="12"/>
      <color rgb="FFFFFFFF"/>
      <name val="Arial"/>
      <family val="2"/>
    </font>
    <font>
      <sz val="12"/>
      <color rgb="FF000000"/>
      <name val="Arial"/>
      <family val="2"/>
    </font>
    <font>
      <b/>
      <sz val="12"/>
      <color rgb="FF000000"/>
      <name val="Arial"/>
      <family val="2"/>
    </font>
    <font>
      <b/>
      <sz val="11"/>
      <name val="Arial"/>
      <family val="1"/>
    </font>
    <font>
      <b/>
      <sz val="10"/>
      <name val="Arial"/>
      <family val="1"/>
    </font>
    <font>
      <sz val="10"/>
      <color rgb="FF000000"/>
      <name val="Arial"/>
      <family val="1"/>
    </font>
    <font>
      <sz val="10"/>
      <name val="Arial"/>
      <family val="1"/>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22"/>
        <bgColor indexed="64"/>
      </patternFill>
    </fill>
    <fill>
      <patternFill patternType="solid">
        <fgColor indexed="52"/>
        <bgColor indexed="64"/>
      </patternFill>
    </fill>
    <fill>
      <patternFill patternType="solid">
        <fgColor indexed="26"/>
        <bgColor indexed="64"/>
      </patternFill>
    </fill>
    <fill>
      <patternFill patternType="solid">
        <fgColor indexed="9"/>
        <bgColor indexed="8"/>
      </patternFill>
    </fill>
    <fill>
      <patternFill patternType="solid">
        <fgColor theme="9" tint="0.39997558519241921"/>
        <bgColor indexed="64"/>
      </patternFill>
    </fill>
    <fill>
      <patternFill patternType="solid">
        <fgColor rgb="FF00B050"/>
        <bgColor indexed="8"/>
      </patternFill>
    </fill>
    <fill>
      <patternFill patternType="solid">
        <fgColor rgb="FFFFFF66"/>
        <bgColor indexed="64"/>
      </patternFill>
    </fill>
    <fill>
      <patternFill patternType="solid">
        <fgColor theme="0" tint="-0.499984740745262"/>
        <bgColor indexed="64"/>
      </patternFill>
    </fill>
    <fill>
      <patternFill patternType="solid">
        <fgColor theme="3" tint="0.59999389629810485"/>
        <bgColor indexed="64"/>
      </patternFill>
    </fill>
    <fill>
      <patternFill patternType="solid">
        <fgColor rgb="FFFF0000"/>
        <bgColor indexed="64"/>
      </patternFill>
    </fill>
    <fill>
      <patternFill patternType="solid">
        <fgColor theme="2" tint="-9.9978637043366805E-2"/>
        <bgColor indexed="64"/>
      </patternFill>
    </fill>
    <fill>
      <patternFill patternType="solid">
        <fgColor rgb="FF538DD3"/>
        <bgColor indexed="64"/>
      </patternFill>
    </fill>
    <fill>
      <patternFill patternType="solid">
        <fgColor rgb="FF808080"/>
        <bgColor indexed="64"/>
      </patternFill>
    </fill>
    <fill>
      <patternFill patternType="solid">
        <fgColor rgb="FFB8CCE3"/>
        <bgColor indexed="64"/>
      </patternFill>
    </fill>
    <fill>
      <patternFill patternType="solid">
        <fgColor theme="4" tint="-0.249977111117893"/>
        <bgColor indexed="64"/>
      </patternFill>
    </fill>
    <fill>
      <patternFill patternType="solid">
        <fgColor theme="9" tint="0.59999389629810485"/>
        <bgColor indexed="64"/>
      </patternFill>
    </fill>
    <fill>
      <patternFill patternType="solid">
        <fgColor rgb="FFFFFFFF"/>
      </patternFill>
    </fill>
    <fill>
      <patternFill patternType="solid">
        <fgColor rgb="FFDFF0D8"/>
      </patternFill>
    </fill>
    <fill>
      <patternFill patternType="solid">
        <fgColor rgb="FFD6D6D6"/>
      </patternFill>
    </fill>
    <fill>
      <patternFill patternType="solid">
        <fgColor rgb="FFEFEFEF"/>
      </patternFill>
    </fill>
  </fills>
  <borders count="94">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rgb="FF7A9FCD"/>
      </right>
      <top style="medium">
        <color indexed="64"/>
      </top>
      <bottom/>
      <diagonal/>
    </border>
    <border>
      <left style="medium">
        <color rgb="FF7A9FCD"/>
      </left>
      <right style="medium">
        <color rgb="FF7A9FCD"/>
      </right>
      <top style="medium">
        <color indexed="64"/>
      </top>
      <bottom/>
      <diagonal/>
    </border>
    <border>
      <left style="medium">
        <color rgb="FF7A9FCD"/>
      </left>
      <right/>
      <top/>
      <bottom style="medium">
        <color rgb="FF7A9FCD"/>
      </bottom>
      <diagonal/>
    </border>
    <border>
      <left/>
      <right style="medium">
        <color rgb="FF7A9FCD"/>
      </right>
      <top/>
      <bottom style="medium">
        <color rgb="FF7A9FCD"/>
      </bottom>
      <diagonal/>
    </border>
    <border>
      <left/>
      <right style="medium">
        <color indexed="64"/>
      </right>
      <top/>
      <bottom style="medium">
        <color rgb="FF7A9FCD"/>
      </bottom>
      <diagonal/>
    </border>
    <border>
      <left style="medium">
        <color indexed="64"/>
      </left>
      <right style="medium">
        <color rgb="FF7A9FCD"/>
      </right>
      <top/>
      <bottom/>
      <diagonal/>
    </border>
    <border>
      <left style="medium">
        <color rgb="FF7A9FCD"/>
      </left>
      <right style="medium">
        <color rgb="FF7A9FCD"/>
      </right>
      <top/>
      <bottom/>
      <diagonal/>
    </border>
    <border>
      <left/>
      <right style="medium">
        <color rgb="FF7A9FCD"/>
      </right>
      <top/>
      <bottom/>
      <diagonal/>
    </border>
    <border>
      <left style="medium">
        <color indexed="64"/>
      </left>
      <right style="medium">
        <color rgb="FF7A9FCD"/>
      </right>
      <top/>
      <bottom style="medium">
        <color rgb="FF7A9FCD"/>
      </bottom>
      <diagonal/>
    </border>
    <border>
      <left style="medium">
        <color rgb="FF7A9FCD"/>
      </left>
      <right style="medium">
        <color rgb="FF7A9FCD"/>
      </right>
      <top/>
      <bottom style="medium">
        <color rgb="FF7A9FCD"/>
      </bottom>
      <diagonal/>
    </border>
    <border>
      <left style="medium">
        <color indexed="64"/>
      </left>
      <right/>
      <top style="medium">
        <color rgb="FF7A9FCD"/>
      </top>
      <bottom style="medium">
        <color rgb="FF7A9FCD"/>
      </bottom>
      <diagonal/>
    </border>
    <border>
      <left/>
      <right/>
      <top style="medium">
        <color rgb="FF7A9FCD"/>
      </top>
      <bottom style="medium">
        <color rgb="FF7A9FCD"/>
      </bottom>
      <diagonal/>
    </border>
    <border>
      <left/>
      <right style="medium">
        <color indexed="64"/>
      </right>
      <top style="medium">
        <color rgb="FF7A9FCD"/>
      </top>
      <bottom style="medium">
        <color rgb="FF7A9FCD"/>
      </bottom>
      <diagonal/>
    </border>
    <border>
      <left style="medium">
        <color rgb="FF7A9FCD"/>
      </left>
      <right style="medium">
        <color rgb="FF7A9FCD"/>
      </right>
      <top style="medium">
        <color rgb="FF7A9FCD"/>
      </top>
      <bottom/>
      <diagonal/>
    </border>
    <border>
      <left style="medium">
        <color rgb="FF7A9FCD"/>
      </left>
      <right style="medium">
        <color indexed="64"/>
      </right>
      <top style="medium">
        <color rgb="FF7A9FCD"/>
      </top>
      <bottom/>
      <diagonal/>
    </border>
    <border>
      <left style="medium">
        <color rgb="FF7A9FCD"/>
      </left>
      <right style="medium">
        <color indexed="64"/>
      </right>
      <top/>
      <bottom style="medium">
        <color rgb="FF7A9FCD"/>
      </bottom>
      <diagonal/>
    </border>
    <border>
      <left/>
      <right style="medium">
        <color rgb="FF7A9FCD"/>
      </right>
      <top style="medium">
        <color indexed="64"/>
      </top>
      <bottom style="medium">
        <color indexed="64"/>
      </bottom>
      <diagonal/>
    </border>
    <border>
      <left style="thin">
        <color rgb="FFCCCCCC"/>
      </left>
      <right style="thin">
        <color rgb="FFCCCCCC"/>
      </right>
      <top style="thin">
        <color rgb="FFCCCCCC"/>
      </top>
      <bottom style="thin">
        <color rgb="FFCCCCCC"/>
      </bottom>
      <diagonal/>
    </border>
    <border>
      <left/>
      <right/>
      <top style="thick">
        <color rgb="FF000000"/>
      </top>
      <bottom/>
      <diagonal/>
    </border>
  </borders>
  <cellStyleXfs count="324">
    <xf numFmtId="0" fontId="0"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6" fillId="2" borderId="0" applyNumberFormat="0" applyFont="0" applyFill="0" applyProtection="0"/>
    <xf numFmtId="0" fontId="5" fillId="8" borderId="0" applyNumberFormat="0" applyBorder="0" applyAlignment="0" applyProtection="0"/>
    <xf numFmtId="0" fontId="6" fillId="3" borderId="0" applyNumberFormat="0" applyFont="0" applyFill="0" applyProtection="0"/>
    <xf numFmtId="0" fontId="5" fillId="9" borderId="0" applyNumberFormat="0" applyBorder="0" applyAlignment="0" applyProtection="0"/>
    <xf numFmtId="0" fontId="6" fillId="4" borderId="0" applyNumberFormat="0" applyFont="0" applyFill="0" applyProtection="0"/>
    <xf numFmtId="0" fontId="5" fillId="10" borderId="0" applyNumberFormat="0" applyBorder="0" applyAlignment="0" applyProtection="0"/>
    <xf numFmtId="0" fontId="6" fillId="2" borderId="0" applyNumberFormat="0" applyFont="0" applyFill="0" applyProtection="0"/>
    <xf numFmtId="0" fontId="5" fillId="7" borderId="0" applyNumberFormat="0" applyBorder="0" applyAlignment="0" applyProtection="0"/>
    <xf numFmtId="0" fontId="6" fillId="4" borderId="0" applyNumberFormat="0" applyFont="0" applyFill="0" applyProtection="0"/>
    <xf numFmtId="0" fontId="5" fillId="6" borderId="0" applyNumberFormat="0" applyBorder="0" applyAlignment="0" applyProtection="0"/>
    <xf numFmtId="0" fontId="6" fillId="3" borderId="0" applyNumberFormat="0" applyFont="0" applyFill="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2" borderId="0" applyNumberFormat="0" applyBorder="0" applyAlignment="0" applyProtection="0"/>
    <xf numFmtId="0" fontId="6" fillId="2" borderId="0" applyNumberFormat="0" applyFont="0" applyFill="0" applyProtection="0"/>
    <xf numFmtId="0" fontId="5" fillId="6" borderId="0" applyNumberFormat="0" applyBorder="0" applyAlignment="0" applyProtection="0"/>
    <xf numFmtId="0" fontId="6" fillId="9" borderId="0" applyNumberFormat="0" applyFont="0" applyFill="0" applyProtection="0"/>
    <xf numFmtId="0" fontId="5" fillId="9" borderId="0" applyNumberFormat="0" applyBorder="0" applyAlignment="0" applyProtection="0"/>
    <xf numFmtId="0" fontId="6" fillId="13" borderId="0" applyNumberFormat="0" applyFont="0" applyFill="0" applyProtection="0"/>
    <xf numFmtId="0" fontId="5" fillId="14" borderId="0" applyNumberFormat="0" applyBorder="0" applyAlignment="0" applyProtection="0"/>
    <xf numFmtId="0" fontId="6" fillId="2" borderId="0" applyNumberFormat="0" applyFont="0" applyFill="0" applyProtection="0"/>
    <xf numFmtId="0" fontId="5" fillId="3" borderId="0" applyNumberFormat="0" applyBorder="0" applyAlignment="0" applyProtection="0"/>
    <xf numFmtId="0" fontId="6" fillId="2" borderId="0" applyNumberFormat="0" applyFont="0" applyFill="0" applyProtection="0"/>
    <xf numFmtId="0" fontId="5" fillId="6" borderId="0" applyNumberFormat="0" applyBorder="0" applyAlignment="0" applyProtection="0"/>
    <xf numFmtId="0" fontId="6" fillId="15" borderId="0" applyNumberFormat="0" applyFont="0" applyFill="0" applyProtection="0"/>
    <xf numFmtId="0" fontId="5" fillId="10" borderId="0" applyNumberFormat="0" applyBorder="0" applyAlignment="0" applyProtection="0"/>
    <xf numFmtId="0" fontId="35" fillId="16" borderId="0" applyNumberFormat="0" applyBorder="0" applyAlignment="0" applyProtection="0"/>
    <xf numFmtId="0" fontId="35" fillId="9" borderId="0" applyNumberFormat="0" applyBorder="0" applyAlignment="0" applyProtection="0"/>
    <xf numFmtId="0" fontId="35" fillId="11"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0" fontId="35" fillId="19" borderId="0" applyNumberFormat="0" applyBorder="0" applyAlignment="0" applyProtection="0"/>
    <xf numFmtId="0" fontId="7" fillId="16" borderId="0" applyNumberFormat="0" applyFont="0" applyFill="0" applyProtection="0"/>
    <xf numFmtId="0" fontId="35" fillId="6" borderId="0" applyNumberFormat="0" applyBorder="0" applyAlignment="0" applyProtection="0"/>
    <xf numFmtId="0" fontId="7" fillId="9" borderId="0" applyNumberFormat="0" applyFont="0" applyFill="0" applyProtection="0"/>
    <xf numFmtId="0" fontId="35" fillId="20" borderId="0" applyNumberFormat="0" applyBorder="0" applyAlignment="0" applyProtection="0"/>
    <xf numFmtId="0" fontId="7" fillId="13" borderId="0" applyNumberFormat="0" applyFont="0" applyFill="0" applyProtection="0"/>
    <xf numFmtId="0" fontId="35" fillId="12" borderId="0" applyNumberFormat="0" applyBorder="0" applyAlignment="0" applyProtection="0"/>
    <xf numFmtId="0" fontId="7" fillId="21" borderId="0" applyNumberFormat="0" applyFont="0" applyFill="0" applyProtection="0"/>
    <xf numFmtId="0" fontId="35" fillId="3" borderId="0" applyNumberFormat="0" applyBorder="0" applyAlignment="0" applyProtection="0"/>
    <xf numFmtId="0" fontId="7" fillId="18" borderId="0" applyNumberFormat="0" applyFont="0" applyFill="0" applyProtection="0"/>
    <xf numFmtId="0" fontId="35" fillId="6" borderId="0" applyNumberFormat="0" applyBorder="0" applyAlignment="0" applyProtection="0"/>
    <xf numFmtId="0" fontId="7" fillId="15" borderId="0" applyNumberFormat="0" applyFont="0" applyFill="0" applyProtection="0"/>
    <xf numFmtId="0" fontId="35" fillId="9" borderId="0" applyNumberFormat="0" applyBorder="0" applyAlignment="0" applyProtection="0"/>
    <xf numFmtId="0" fontId="35" fillId="22" borderId="0" applyNumberFormat="0" applyBorder="0" applyAlignment="0" applyProtection="0"/>
    <xf numFmtId="0" fontId="35" fillId="23" borderId="0" applyNumberFormat="0" applyBorder="0" applyAlignment="0" applyProtection="0"/>
    <xf numFmtId="0" fontId="35" fillId="24"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0" fontId="35" fillId="20" borderId="0" applyNumberFormat="0" applyBorder="0" applyAlignment="0" applyProtection="0"/>
    <xf numFmtId="0" fontId="36" fillId="3" borderId="0" applyNumberFormat="0" applyBorder="0" applyAlignment="0" applyProtection="0"/>
    <xf numFmtId="0" fontId="8" fillId="4" borderId="0" applyNumberFormat="0" applyFont="0" applyFill="0" applyProtection="0"/>
    <xf numFmtId="0" fontId="40" fillId="6" borderId="0" applyNumberFormat="0" applyBorder="0" applyAlignment="0" applyProtection="0"/>
    <xf numFmtId="0" fontId="37" fillId="25" borderId="1" applyNumberFormat="0" applyAlignment="0" applyProtection="0"/>
    <xf numFmtId="0" fontId="9" fillId="26" borderId="1" applyNumberFormat="0" applyFont="0" applyProtection="0"/>
    <xf numFmtId="0" fontId="51" fillId="27" borderId="1" applyNumberFormat="0" applyAlignment="0" applyProtection="0"/>
    <xf numFmtId="0" fontId="10" fillId="28" borderId="2" applyNumberFormat="0" applyFont="0" applyProtection="0"/>
    <xf numFmtId="0" fontId="38" fillId="28" borderId="3" applyNumberFormat="0" applyAlignment="0" applyProtection="0"/>
    <xf numFmtId="0" fontId="11" fillId="0" borderId="4" applyNumberFormat="0" applyFont="0" applyAlignment="0" applyProtection="0"/>
    <xf numFmtId="0" fontId="50" fillId="0" borderId="5" applyNumberFormat="0" applyFill="0" applyAlignment="0" applyProtection="0"/>
    <xf numFmtId="0" fontId="38" fillId="28" borderId="3" applyNumberFormat="0" applyAlignment="0" applyProtection="0"/>
    <xf numFmtId="3" fontId="6" fillId="0" borderId="0" applyFont="0" applyFill="0" applyBorder="0" applyAlignment="0" applyProtection="0"/>
    <xf numFmtId="3" fontId="6" fillId="0" borderId="0" applyFont="0" applyFill="0" applyBorder="0" applyAlignment="0" applyProtection="0"/>
    <xf numFmtId="0" fontId="7" fillId="22" borderId="0" applyNumberFormat="0" applyFont="0" applyFill="0" applyProtection="0"/>
    <xf numFmtId="0" fontId="35" fillId="29" borderId="0" applyNumberFormat="0" applyBorder="0" applyAlignment="0" applyProtection="0"/>
    <xf numFmtId="0" fontId="7" fillId="30" borderId="0" applyNumberFormat="0" applyFont="0" applyFill="0" applyProtection="0"/>
    <xf numFmtId="0" fontId="35" fillId="20" borderId="0" applyNumberFormat="0" applyBorder="0" applyAlignment="0" applyProtection="0"/>
    <xf numFmtId="0" fontId="7" fillId="31" borderId="0" applyNumberFormat="0" applyFont="0" applyFill="0" applyProtection="0"/>
    <xf numFmtId="0" fontId="35" fillId="12" borderId="0" applyNumberFormat="0" applyBorder="0" applyAlignment="0" applyProtection="0"/>
    <xf numFmtId="0" fontId="7" fillId="21" borderId="0" applyNumberFormat="0" applyFont="0" applyFill="0" applyProtection="0"/>
    <xf numFmtId="0" fontId="35" fillId="32" borderId="0" applyNumberFormat="0" applyBorder="0" applyAlignment="0" applyProtection="0"/>
    <xf numFmtId="0" fontId="7" fillId="18" borderId="0" applyNumberFormat="0" applyFont="0" applyFill="0" applyProtection="0"/>
    <xf numFmtId="0" fontId="35" fillId="18" borderId="0" applyNumberFormat="0" applyBorder="0" applyAlignment="0" applyProtection="0"/>
    <xf numFmtId="0" fontId="7" fillId="23" borderId="0" applyNumberFormat="0" applyFont="0" applyFill="0" applyProtection="0"/>
    <xf numFmtId="0" fontId="35" fillId="23" borderId="0" applyNumberFormat="0" applyBorder="0" applyAlignment="0" applyProtection="0"/>
    <xf numFmtId="0" fontId="12" fillId="3" borderId="1" applyNumberFormat="0" applyFont="0" applyProtection="0"/>
    <xf numFmtId="0" fontId="44" fillId="14" borderId="1" applyNumberFormat="0" applyAlignment="0" applyProtection="0"/>
    <xf numFmtId="0" fontId="5" fillId="0" borderId="0"/>
    <xf numFmtId="0" fontId="39" fillId="0" borderId="0" applyNumberFormat="0" applyFill="0" applyBorder="0" applyAlignment="0" applyProtection="0"/>
    <xf numFmtId="0" fontId="40" fillId="4" borderId="0" applyNumberFormat="0" applyBorder="0" applyAlignment="0" applyProtection="0"/>
    <xf numFmtId="0" fontId="41" fillId="0" borderId="6" applyNumberFormat="0" applyFill="0" applyAlignment="0" applyProtection="0"/>
    <xf numFmtId="0" fontId="42" fillId="0" borderId="7" applyNumberFormat="0" applyFill="0" applyAlignment="0" applyProtection="0"/>
    <xf numFmtId="0" fontId="43" fillId="0" borderId="8" applyNumberFormat="0" applyFill="0" applyAlignment="0" applyProtection="0"/>
    <xf numFmtId="0" fontId="43" fillId="0" borderId="0" applyNumberFormat="0" applyFill="0" applyBorder="0" applyAlignment="0" applyProtection="0"/>
    <xf numFmtId="0" fontId="13" fillId="3" borderId="0" applyNumberFormat="0" applyFont="0" applyFill="0" applyProtection="0"/>
    <xf numFmtId="0" fontId="36" fillId="5" borderId="0" applyNumberFormat="0" applyBorder="0" applyAlignment="0" applyProtection="0"/>
    <xf numFmtId="0" fontId="44" fillId="7" borderId="1" applyNumberFormat="0" applyAlignment="0" applyProtection="0"/>
    <xf numFmtId="0" fontId="45" fillId="0" borderId="9" applyNumberFormat="0" applyFill="0" applyAlignment="0" applyProtection="0"/>
    <xf numFmtId="165" fontId="3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4" fillId="10" borderId="0" applyNumberFormat="0" applyFont="0" applyFill="0" applyProtection="0"/>
    <xf numFmtId="0" fontId="52" fillId="14" borderId="0" applyNumberFormat="0" applyBorder="0" applyAlignment="0" applyProtection="0"/>
    <xf numFmtId="0" fontId="46" fillId="14" borderId="0" applyNumberFormat="0" applyBorder="0" applyAlignment="0" applyProtection="0"/>
    <xf numFmtId="0" fontId="6" fillId="0" borderId="0"/>
    <xf numFmtId="0" fontId="58" fillId="0" borderId="0"/>
    <xf numFmtId="0" fontId="6" fillId="0" borderId="0"/>
    <xf numFmtId="0" fontId="6" fillId="0" borderId="0"/>
    <xf numFmtId="0" fontId="6" fillId="0" borderId="0"/>
    <xf numFmtId="0" fontId="6" fillId="10" borderId="10" applyNumberFormat="0" applyFont="0" applyBorder="0" applyProtection="0"/>
    <xf numFmtId="0" fontId="34" fillId="10" borderId="10" applyNumberFormat="0" applyFont="0" applyAlignment="0" applyProtection="0"/>
    <xf numFmtId="0" fontId="5" fillId="10" borderId="10" applyNumberFormat="0" applyFont="0" applyAlignment="0" applyProtection="0"/>
    <xf numFmtId="0" fontId="47" fillId="25" borderId="11" applyNumberFormat="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5" fillId="26" borderId="12" applyNumberFormat="0" applyFont="0" applyProtection="0"/>
    <xf numFmtId="0" fontId="47" fillId="27" borderId="11" applyNumberFormat="0" applyAlignment="0" applyProtection="0"/>
    <xf numFmtId="166" fontId="6" fillId="0" borderId="0" applyFont="0" applyFill="0" applyBorder="0" applyAlignment="0" applyProtection="0"/>
    <xf numFmtId="166" fontId="6" fillId="0" borderId="0" applyFont="0" applyFill="0" applyBorder="0" applyAlignment="0" applyProtection="0"/>
    <xf numFmtId="165" fontId="6" fillId="0" borderId="0" applyFont="0" applyFill="0" applyBorder="0" applyAlignment="0" applyProtection="0"/>
    <xf numFmtId="170" fontId="6" fillId="0" borderId="0" applyFont="0" applyFill="0" applyBorder="0" applyAlignment="0" applyProtection="0"/>
    <xf numFmtId="0" fontId="16" fillId="0" borderId="0" applyNumberFormat="0" applyFont="0" applyFill="0" applyAlignment="0" applyProtection="0"/>
    <xf numFmtId="0" fontId="50" fillId="0" borderId="0" applyNumberFormat="0" applyFill="0" applyBorder="0" applyAlignment="0" applyProtection="0"/>
    <xf numFmtId="0" fontId="17" fillId="0" borderId="0" applyNumberFormat="0" applyFont="0" applyFill="0" applyAlignment="0" applyProtection="0"/>
    <xf numFmtId="0" fontId="39" fillId="0" borderId="0" applyNumberFormat="0" applyFill="0" applyBorder="0" applyAlignment="0" applyProtection="0"/>
    <xf numFmtId="0" fontId="48" fillId="0" borderId="0" applyNumberFormat="0" applyFill="0" applyBorder="0" applyAlignment="0" applyProtection="0"/>
    <xf numFmtId="0" fontId="18" fillId="0" borderId="0" applyNumberFormat="0" applyFont="0" applyFill="0" applyAlignment="0" applyProtection="0"/>
    <xf numFmtId="0" fontId="19" fillId="0" borderId="13" applyNumberFormat="0" applyFont="0" applyAlignment="0" applyProtection="0"/>
    <xf numFmtId="0" fontId="54" fillId="0" borderId="14" applyNumberFormat="0" applyFill="0" applyAlignment="0" applyProtection="0"/>
    <xf numFmtId="0" fontId="20" fillId="0" borderId="7" applyNumberFormat="0" applyFont="0" applyAlignment="0" applyProtection="0"/>
    <xf numFmtId="0" fontId="55" fillId="0" borderId="15" applyNumberFormat="0" applyFill="0" applyAlignment="0" applyProtection="0"/>
    <xf numFmtId="0" fontId="21" fillId="0" borderId="13" applyNumberFormat="0" applyFont="0" applyAlignment="0" applyProtection="0"/>
    <xf numFmtId="0" fontId="56" fillId="0" borderId="16" applyNumberFormat="0" applyFill="0" applyAlignment="0" applyProtection="0"/>
    <xf numFmtId="0" fontId="21" fillId="0" borderId="0" applyNumberFormat="0" applyFont="0" applyFill="0" applyAlignment="0" applyProtection="0"/>
    <xf numFmtId="0" fontId="56" fillId="0" borderId="0" applyNumberFormat="0" applyFill="0" applyBorder="0" applyAlignment="0" applyProtection="0"/>
    <xf numFmtId="0" fontId="53" fillId="0" borderId="0" applyNumberFormat="0" applyFill="0" applyBorder="0" applyAlignment="0" applyProtection="0"/>
    <xf numFmtId="0" fontId="22" fillId="0" borderId="17" applyNumberFormat="0" applyFont="0" applyAlignment="0" applyProtection="0"/>
    <xf numFmtId="0" fontId="49" fillId="0" borderId="18" applyNumberFormat="0" applyFill="0" applyAlignment="0" applyProtection="0"/>
    <xf numFmtId="166" fontId="33" fillId="0" borderId="0" applyFont="0" applyFill="0" applyBorder="0" applyAlignment="0" applyProtection="0"/>
    <xf numFmtId="170" fontId="6" fillId="0" borderId="0" applyFont="0" applyFill="0" applyBorder="0" applyAlignment="0" applyProtection="0"/>
    <xf numFmtId="166" fontId="6" fillId="0" borderId="0" applyFont="0" applyFill="0" applyBorder="0" applyAlignment="0" applyProtection="0"/>
    <xf numFmtId="0" fontId="50" fillId="0" borderId="0" applyNumberFormat="0" applyFill="0" applyBorder="0" applyAlignment="0" applyProtection="0"/>
    <xf numFmtId="0" fontId="4" fillId="0" borderId="0"/>
    <xf numFmtId="0" fontId="81" fillId="0" borderId="0"/>
    <xf numFmtId="0" fontId="3"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165" fontId="6" fillId="0" borderId="0" applyFont="0" applyFill="0" applyBorder="0" applyAlignment="0" applyProtection="0"/>
    <xf numFmtId="0" fontId="6" fillId="0" borderId="0"/>
    <xf numFmtId="168"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173" fontId="6" fillId="0" borderId="0" applyFont="0" applyFill="0" applyBorder="0" applyAlignment="0" applyProtection="0"/>
    <xf numFmtId="166" fontId="6" fillId="0" borderId="0" applyFont="0" applyFill="0" applyBorder="0" applyAlignment="0" applyProtection="0"/>
    <xf numFmtId="0" fontId="85" fillId="0" borderId="0" applyNumberFormat="0" applyBorder="0" applyProtection="0"/>
    <xf numFmtId="0" fontId="85" fillId="0" borderId="0" applyNumberFormat="0" applyBorder="0" applyProtection="0"/>
    <xf numFmtId="173" fontId="85" fillId="0" borderId="0" applyBorder="0" applyProtection="0"/>
    <xf numFmtId="173" fontId="85" fillId="0" borderId="0" applyBorder="0" applyProtection="0"/>
    <xf numFmtId="0" fontId="86" fillId="0" borderId="0" applyNumberFormat="0" applyBorder="0" applyProtection="0"/>
    <xf numFmtId="0" fontId="85" fillId="0" borderId="0" applyNumberFormat="0" applyBorder="0" applyProtection="0"/>
    <xf numFmtId="176" fontId="86" fillId="0" borderId="0" applyBorder="0" applyProtection="0"/>
    <xf numFmtId="0" fontId="87" fillId="0" borderId="0" applyNumberFormat="0" applyBorder="0" applyProtection="0">
      <alignment horizontal="center"/>
    </xf>
    <xf numFmtId="0" fontId="87" fillId="0" borderId="0" applyNumberFormat="0" applyBorder="0" applyProtection="0">
      <alignment horizontal="center" textRotation="90"/>
    </xf>
    <xf numFmtId="0" fontId="58" fillId="0" borderId="0"/>
    <xf numFmtId="0" fontId="88" fillId="0" borderId="0" applyNumberFormat="0" applyBorder="0" applyProtection="0"/>
    <xf numFmtId="177" fontId="88" fillId="0" borderId="0" applyBorder="0" applyProtection="0"/>
    <xf numFmtId="43" fontId="33" fillId="0" borderId="0" applyFont="0" applyFill="0" applyBorder="0" applyAlignment="0" applyProtection="0"/>
    <xf numFmtId="43" fontId="6" fillId="0" borderId="0" applyFont="0" applyFill="0" applyBorder="0" applyAlignment="0" applyProtection="0"/>
    <xf numFmtId="173" fontId="85" fillId="0" borderId="0" applyBorder="0" applyProtection="0"/>
    <xf numFmtId="0" fontId="6" fillId="0" borderId="0"/>
    <xf numFmtId="0" fontId="6" fillId="0" borderId="0"/>
    <xf numFmtId="0" fontId="6" fillId="0" borderId="0"/>
    <xf numFmtId="0" fontId="58" fillId="0" borderId="0"/>
    <xf numFmtId="43" fontId="6" fillId="0" borderId="0" applyFont="0" applyFill="0" applyBorder="0" applyAlignment="0" applyProtection="0"/>
    <xf numFmtId="43" fontId="33" fillId="0" borderId="0" applyFont="0" applyFill="0" applyBorder="0" applyAlignment="0" applyProtection="0"/>
    <xf numFmtId="0" fontId="1" fillId="0" borderId="0"/>
    <xf numFmtId="0" fontId="1" fillId="0" borderId="0"/>
    <xf numFmtId="0" fontId="6" fillId="0" borderId="0"/>
    <xf numFmtId="43" fontId="33"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86" fillId="0" borderId="0" applyNumberFormat="0" applyBorder="0" applyProtection="0"/>
    <xf numFmtId="0" fontId="89" fillId="0" borderId="0" applyNumberFormat="0" applyFill="0" applyBorder="0" applyAlignment="0" applyProtection="0">
      <alignment vertical="top"/>
      <protection locked="0"/>
    </xf>
    <xf numFmtId="44" fontId="33" fillId="0" borderId="0" applyFont="0" applyFill="0" applyBorder="0" applyAlignment="0" applyProtection="0"/>
    <xf numFmtId="9" fontId="33"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5" fillId="0" borderId="0"/>
    <xf numFmtId="0" fontId="1" fillId="0" borderId="0"/>
    <xf numFmtId="9" fontId="5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1" fillId="0" borderId="0"/>
    <xf numFmtId="0" fontId="1" fillId="0" borderId="0"/>
    <xf numFmtId="0" fontId="6" fillId="0" borderId="0"/>
    <xf numFmtId="0" fontId="1" fillId="0" borderId="0"/>
    <xf numFmtId="43" fontId="6" fillId="0" borderId="0" applyFont="0" applyFill="0" applyBorder="0" applyAlignment="0" applyProtection="0"/>
    <xf numFmtId="0" fontId="6"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1" fillId="0" borderId="0" applyFont="0" applyFill="0" applyBorder="0" applyAlignment="0" applyProtection="0"/>
    <xf numFmtId="0" fontId="91" fillId="0" borderId="0"/>
    <xf numFmtId="9" fontId="91" fillId="0" borderId="0" applyFont="0" applyFill="0" applyBorder="0" applyAlignment="0" applyProtection="0"/>
    <xf numFmtId="0" fontId="92" fillId="0" borderId="0"/>
    <xf numFmtId="178" fontId="6" fillId="0" borderId="0" applyFont="0" applyFill="0" applyBorder="0" applyAlignment="0" applyProtection="0"/>
    <xf numFmtId="179" fontId="93" fillId="0" borderId="0">
      <protection locked="0"/>
    </xf>
    <xf numFmtId="0" fontId="22" fillId="45" borderId="58" applyFill="0" applyBorder="0" applyAlignment="0" applyProtection="0">
      <alignment vertical="center"/>
      <protection locked="0"/>
    </xf>
    <xf numFmtId="174" fontId="6" fillId="0" borderId="0" applyFont="0" applyFill="0" applyBorder="0" applyAlignment="0" applyProtection="0"/>
    <xf numFmtId="175" fontId="6" fillId="0" borderId="0" applyFont="0" applyFill="0" applyBorder="0" applyAlignment="0" applyProtection="0"/>
    <xf numFmtId="180" fontId="93" fillId="0" borderId="0">
      <protection locked="0"/>
    </xf>
    <xf numFmtId="0" fontId="93" fillId="0" borderId="0">
      <protection locked="0"/>
    </xf>
    <xf numFmtId="0" fontId="93" fillId="0" borderId="0">
      <protection locked="0"/>
    </xf>
    <xf numFmtId="181" fontId="93" fillId="0" borderId="0">
      <protection locked="0"/>
    </xf>
    <xf numFmtId="181" fontId="93" fillId="0" borderId="0">
      <protection locked="0"/>
    </xf>
    <xf numFmtId="0" fontId="94" fillId="0" borderId="0" applyNumberFormat="0" applyFill="0" applyBorder="0" applyAlignment="0" applyProtection="0">
      <alignment vertical="top"/>
      <protection locked="0"/>
    </xf>
    <xf numFmtId="38" fontId="29" fillId="44" borderId="0" applyNumberFormat="0" applyBorder="0" applyAlignment="0" applyProtection="0"/>
    <xf numFmtId="0" fontId="93" fillId="0" borderId="0">
      <protection locked="0"/>
    </xf>
    <xf numFmtId="0" fontId="93" fillId="0" borderId="0">
      <protection locked="0"/>
    </xf>
    <xf numFmtId="0" fontId="95" fillId="0" borderId="0"/>
    <xf numFmtId="10" fontId="29" fillId="46" borderId="19" applyNumberFormat="0" applyBorder="0" applyAlignment="0" applyProtection="0"/>
    <xf numFmtId="0" fontId="6" fillId="0" borderId="0">
      <alignment horizontal="centerContinuous" vertical="justify"/>
    </xf>
    <xf numFmtId="0" fontId="96" fillId="0" borderId="0" applyAlignment="0">
      <alignment horizontal="center"/>
    </xf>
    <xf numFmtId="182" fontId="97" fillId="0" borderId="0"/>
    <xf numFmtId="0" fontId="28" fillId="0" borderId="0">
      <alignment horizontal="left" vertical="center" indent="12"/>
    </xf>
    <xf numFmtId="0" fontId="29" fillId="0" borderId="58" applyBorder="0">
      <alignment horizontal="left" vertical="center" wrapText="1" indent="2"/>
      <protection locked="0"/>
    </xf>
    <xf numFmtId="0" fontId="29" fillId="0" borderId="58" applyBorder="0">
      <alignment horizontal="left" vertical="center" wrapText="1" indent="3"/>
      <protection locked="0"/>
    </xf>
    <xf numFmtId="10" fontId="6" fillId="0" borderId="0" applyFont="0" applyFill="0" applyBorder="0" applyAlignment="0" applyProtection="0"/>
    <xf numFmtId="183" fontId="93" fillId="0" borderId="0">
      <protection locked="0"/>
    </xf>
    <xf numFmtId="183" fontId="93" fillId="0" borderId="0">
      <protection locked="0"/>
    </xf>
    <xf numFmtId="184" fontId="93" fillId="0" borderId="0">
      <protection locked="0"/>
    </xf>
    <xf numFmtId="38" fontId="90" fillId="0" borderId="0" applyFont="0" applyFill="0" applyBorder="0" applyAlignment="0" applyProtection="0"/>
    <xf numFmtId="185" fontId="98" fillId="0" borderId="0">
      <protection locked="0"/>
    </xf>
    <xf numFmtId="41" fontId="91" fillId="0" borderId="0" applyFont="0" applyFill="0" applyBorder="0" applyAlignment="0" applyProtection="0"/>
    <xf numFmtId="0" fontId="90" fillId="0" borderId="0"/>
    <xf numFmtId="0" fontId="99" fillId="0" borderId="0">
      <protection locked="0"/>
    </xf>
    <xf numFmtId="0" fontId="99" fillId="0" borderId="0">
      <protection locked="0"/>
    </xf>
    <xf numFmtId="0" fontId="1" fillId="0" borderId="0"/>
    <xf numFmtId="43" fontId="1" fillId="0" borderId="0" applyFont="0" applyFill="0" applyBorder="0" applyAlignment="0" applyProtection="0"/>
    <xf numFmtId="9"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pplyFont="0" applyFill="0" applyBorder="0" applyAlignment="0" applyProtection="0"/>
    <xf numFmtId="0" fontId="1" fillId="0" borderId="0"/>
    <xf numFmtId="0" fontId="6" fillId="0" borderId="0"/>
    <xf numFmtId="44" fontId="58" fillId="0" borderId="0" applyFont="0" applyFill="0" applyBorder="0" applyAlignment="0" applyProtection="0"/>
    <xf numFmtId="0" fontId="6" fillId="0" borderId="0" applyFont="0" applyFill="0" applyBorder="0" applyAlignment="0" applyProtection="0"/>
    <xf numFmtId="174" fontId="6" fillId="0" borderId="0" applyFont="0" applyFill="0" applyBorder="0" applyAlignment="0" applyProtection="0"/>
    <xf numFmtId="0" fontId="6" fillId="0" borderId="0"/>
    <xf numFmtId="0" fontId="84" fillId="0" borderId="0"/>
    <xf numFmtId="9" fontId="58" fillId="0" borderId="0" applyFont="0" applyFill="0" applyBorder="0" applyAlignment="0" applyProtection="0"/>
    <xf numFmtId="0" fontId="6" fillId="2" borderId="0" applyNumberFormat="0" applyFont="0" applyFill="0" applyProtection="0"/>
    <xf numFmtId="0" fontId="6" fillId="3" borderId="0" applyNumberFormat="0" applyFont="0" applyFill="0" applyProtection="0"/>
    <xf numFmtId="0" fontId="6" fillId="4" borderId="0" applyNumberFormat="0" applyFont="0" applyFill="0" applyProtection="0"/>
    <xf numFmtId="0" fontId="6" fillId="2" borderId="0" applyNumberFormat="0" applyFont="0" applyFill="0" applyProtection="0"/>
    <xf numFmtId="0" fontId="6" fillId="4" borderId="0" applyNumberFormat="0" applyFont="0" applyFill="0" applyProtection="0"/>
    <xf numFmtId="0" fontId="6" fillId="3" borderId="0" applyNumberFormat="0" applyFont="0" applyFill="0" applyProtection="0"/>
    <xf numFmtId="0" fontId="6" fillId="2" borderId="0" applyNumberFormat="0" applyFont="0" applyFill="0" applyProtection="0"/>
    <xf numFmtId="0" fontId="6" fillId="9" borderId="0" applyNumberFormat="0" applyFont="0" applyFill="0" applyProtection="0"/>
    <xf numFmtId="0" fontId="6" fillId="13" borderId="0" applyNumberFormat="0" applyFont="0" applyFill="0" applyProtection="0"/>
    <xf numFmtId="0" fontId="6" fillId="2" borderId="0" applyNumberFormat="0" applyFont="0" applyFill="0" applyProtection="0"/>
    <xf numFmtId="0" fontId="6" fillId="2" borderId="0" applyNumberFormat="0" applyFont="0" applyFill="0" applyProtection="0"/>
    <xf numFmtId="0" fontId="6" fillId="15" borderId="0" applyNumberFormat="0" applyFont="0" applyFill="0" applyProtection="0"/>
    <xf numFmtId="0" fontId="7" fillId="16" borderId="0" applyNumberFormat="0" applyFont="0" applyFill="0" applyProtection="0"/>
    <xf numFmtId="0" fontId="7" fillId="9" borderId="0" applyNumberFormat="0" applyFont="0" applyFill="0" applyProtection="0"/>
    <xf numFmtId="0" fontId="7" fillId="13" borderId="0" applyNumberFormat="0" applyFont="0" applyFill="0" applyProtection="0"/>
    <xf numFmtId="0" fontId="7" fillId="21" borderId="0" applyNumberFormat="0" applyFont="0" applyFill="0" applyProtection="0"/>
    <xf numFmtId="0" fontId="7" fillId="18" borderId="0" applyNumberFormat="0" applyFont="0" applyFill="0" applyProtection="0"/>
    <xf numFmtId="0" fontId="7" fillId="15" borderId="0" applyNumberFormat="0" applyFont="0" applyFill="0" applyProtection="0"/>
    <xf numFmtId="0" fontId="7" fillId="22" borderId="0" applyNumberFormat="0" applyFont="0" applyFill="0" applyProtection="0"/>
    <xf numFmtId="0" fontId="7" fillId="30" borderId="0" applyNumberFormat="0" applyFont="0" applyFill="0" applyProtection="0"/>
    <xf numFmtId="0" fontId="7" fillId="31" borderId="0" applyNumberFormat="0" applyFont="0" applyFill="0" applyProtection="0"/>
    <xf numFmtId="0" fontId="7" fillId="21" borderId="0" applyNumberFormat="0" applyFont="0" applyFill="0" applyProtection="0"/>
    <xf numFmtId="0" fontId="7" fillId="18" borderId="0" applyNumberFormat="0" applyFont="0" applyFill="0" applyProtection="0"/>
    <xf numFmtId="0" fontId="7" fillId="23" borderId="0" applyNumberFormat="0" applyFont="0" applyFill="0" applyProtection="0"/>
    <xf numFmtId="0" fontId="13" fillId="3" borderId="0" applyNumberFormat="0" applyFont="0" applyFill="0" applyProtection="0"/>
    <xf numFmtId="0" fontId="9" fillId="26" borderId="1" applyNumberFormat="0" applyFont="0" applyProtection="0"/>
    <xf numFmtId="0" fontId="17" fillId="0" borderId="0" applyNumberFormat="0" applyFont="0" applyFill="0" applyAlignment="0" applyProtection="0"/>
    <xf numFmtId="0" fontId="21" fillId="0" borderId="13" applyNumberFormat="0" applyFont="0" applyAlignment="0" applyProtection="0"/>
    <xf numFmtId="0" fontId="21" fillId="0" borderId="0" applyNumberFormat="0" applyFont="0" applyFill="0" applyAlignment="0" applyProtection="0"/>
    <xf numFmtId="44" fontId="6" fillId="0" borderId="0" applyFont="0" applyFill="0" applyBorder="0" applyAlignment="0" applyProtection="0"/>
    <xf numFmtId="41" fontId="6" fillId="0" borderId="0" applyFont="0" applyFill="0" applyBorder="0" applyAlignment="0" applyProtection="0"/>
    <xf numFmtId="0" fontId="100" fillId="0" borderId="0"/>
    <xf numFmtId="0" fontId="1" fillId="0" borderId="0"/>
    <xf numFmtId="0" fontId="6" fillId="10" borderId="10" applyNumberFormat="0" applyFont="0" applyAlignment="0" applyProtection="0"/>
    <xf numFmtId="0" fontId="15" fillId="26" borderId="12" applyNumberFormat="0" applyFont="0" applyProtection="0"/>
    <xf numFmtId="0" fontId="18" fillId="0" borderId="0" applyNumberFormat="0" applyFont="0" applyFill="0" applyAlignment="0" applyProtection="0"/>
    <xf numFmtId="44" fontId="6" fillId="0" borderId="0" applyFont="0" applyFill="0" applyBorder="0" applyAlignment="0" applyProtection="0"/>
    <xf numFmtId="0" fontId="58" fillId="0" borderId="0"/>
    <xf numFmtId="0" fontId="58" fillId="0" borderId="0"/>
    <xf numFmtId="0" fontId="58" fillId="0" borderId="0"/>
    <xf numFmtId="0" fontId="6" fillId="0" borderId="0"/>
    <xf numFmtId="0" fontId="6" fillId="0" borderId="0"/>
    <xf numFmtId="0" fontId="6" fillId="0" borderId="0"/>
    <xf numFmtId="0" fontId="6" fillId="0" borderId="0"/>
    <xf numFmtId="0" fontId="86" fillId="0" borderId="0"/>
  </cellStyleXfs>
  <cellXfs count="1024">
    <xf numFmtId="0" fontId="0" fillId="0" borderId="0" xfId="0"/>
    <xf numFmtId="166" fontId="0" fillId="0" borderId="0" xfId="119" applyFont="1"/>
    <xf numFmtId="4" fontId="0" fillId="0" borderId="0" xfId="0" applyNumberFormat="1"/>
    <xf numFmtId="166" fontId="27" fillId="0" borderId="19" xfId="119" applyFont="1" applyBorder="1" applyAlignment="1">
      <alignment horizontal="center"/>
    </xf>
    <xf numFmtId="10" fontId="0" fillId="0" borderId="0" xfId="0" applyNumberFormat="1"/>
    <xf numFmtId="0" fontId="0" fillId="0" borderId="0" xfId="0" applyAlignment="1">
      <alignment vertical="center"/>
    </xf>
    <xf numFmtId="0" fontId="0" fillId="0" borderId="0" xfId="0" applyAlignment="1">
      <alignment horizontal="center"/>
    </xf>
    <xf numFmtId="0" fontId="0" fillId="0" borderId="0" xfId="0" applyFill="1" applyBorder="1"/>
    <xf numFmtId="0" fontId="0" fillId="0" borderId="0" xfId="0" applyAlignment="1">
      <alignment wrapText="1"/>
    </xf>
    <xf numFmtId="165" fontId="0" fillId="0" borderId="0" xfId="99" applyFont="1"/>
    <xf numFmtId="166" fontId="6" fillId="0" borderId="29" xfId="119" applyFont="1" applyFill="1" applyBorder="1" applyAlignment="1">
      <alignment horizontal="center" vertical="center"/>
    </xf>
    <xf numFmtId="0" fontId="0" fillId="0" borderId="31" xfId="0" applyBorder="1"/>
    <xf numFmtId="165" fontId="0" fillId="0" borderId="0" xfId="99" applyFont="1" applyBorder="1"/>
    <xf numFmtId="165" fontId="27" fillId="0" borderId="0" xfId="99" applyFont="1" applyBorder="1"/>
    <xf numFmtId="0" fontId="0" fillId="0" borderId="28" xfId="0" applyFill="1" applyBorder="1"/>
    <xf numFmtId="0" fontId="0" fillId="0" borderId="30" xfId="0" applyFill="1" applyBorder="1"/>
    <xf numFmtId="0" fontId="0" fillId="0" borderId="28" xfId="0" applyBorder="1"/>
    <xf numFmtId="0" fontId="0" fillId="0" borderId="29" xfId="0" applyBorder="1" applyAlignment="1">
      <alignment horizontal="center" vertical="center"/>
    </xf>
    <xf numFmtId="0" fontId="62" fillId="0" borderId="29" xfId="0" applyFont="1" applyBorder="1" applyAlignment="1"/>
    <xf numFmtId="0" fontId="62" fillId="0" borderId="0" xfId="0" applyFont="1" applyBorder="1" applyAlignment="1">
      <alignment vertical="center"/>
    </xf>
    <xf numFmtId="0" fontId="6" fillId="0" borderId="31" xfId="0" applyFont="1" applyFill="1" applyBorder="1" applyAlignment="1">
      <alignment horizontal="center"/>
    </xf>
    <xf numFmtId="0" fontId="65" fillId="36" borderId="19" xfId="0" applyFont="1" applyFill="1" applyBorder="1" applyAlignment="1">
      <alignment horizontal="center" vertical="center"/>
    </xf>
    <xf numFmtId="10" fontId="66" fillId="34" borderId="19" xfId="115" applyNumberFormat="1" applyFont="1" applyFill="1" applyBorder="1" applyAlignment="1">
      <alignment horizontal="center"/>
    </xf>
    <xf numFmtId="0" fontId="67" fillId="34" borderId="19" xfId="0" applyFont="1" applyFill="1" applyBorder="1" applyAlignment="1">
      <alignment horizontal="center" vertical="center"/>
    </xf>
    <xf numFmtId="0" fontId="64" fillId="34" borderId="19" xfId="0" applyFont="1" applyFill="1" applyBorder="1" applyAlignment="1">
      <alignment vertical="center" wrapText="1"/>
    </xf>
    <xf numFmtId="10" fontId="69" fillId="34" borderId="19" xfId="115" applyNumberFormat="1" applyFont="1" applyFill="1" applyBorder="1" applyAlignment="1">
      <alignment horizontal="center" vertical="center"/>
    </xf>
    <xf numFmtId="0" fontId="64" fillId="34" borderId="19" xfId="0" applyFont="1" applyFill="1" applyBorder="1" applyAlignment="1">
      <alignment horizontal="right" vertical="center" wrapText="1"/>
    </xf>
    <xf numFmtId="10" fontId="67" fillId="34" borderId="19" xfId="115" applyNumberFormat="1" applyFont="1" applyFill="1" applyBorder="1" applyAlignment="1">
      <alignment horizontal="center" vertical="center"/>
    </xf>
    <xf numFmtId="0" fontId="67" fillId="34" borderId="19" xfId="0" applyFont="1" applyFill="1" applyBorder="1" applyAlignment="1">
      <alignment vertical="center" wrapText="1"/>
    </xf>
    <xf numFmtId="0" fontId="64" fillId="34" borderId="19" xfId="0" applyFont="1" applyFill="1" applyBorder="1" applyAlignment="1">
      <alignment vertical="center"/>
    </xf>
    <xf numFmtId="0" fontId="64" fillId="37" borderId="19" xfId="0" applyFont="1" applyFill="1" applyBorder="1" applyAlignment="1">
      <alignment vertical="center" wrapText="1"/>
    </xf>
    <xf numFmtId="0" fontId="68" fillId="34" borderId="19" xfId="0" applyFont="1" applyFill="1" applyBorder="1" applyAlignment="1">
      <alignment horizontal="right" vertical="center"/>
    </xf>
    <xf numFmtId="9" fontId="68" fillId="34" borderId="19" xfId="0" applyNumberFormat="1" applyFont="1" applyFill="1" applyBorder="1" applyAlignment="1">
      <alignment horizontal="right" vertical="center"/>
    </xf>
    <xf numFmtId="9" fontId="64" fillId="34" borderId="19" xfId="0" applyNumberFormat="1" applyFont="1" applyFill="1" applyBorder="1" applyAlignment="1">
      <alignment horizontal="right" vertical="center"/>
    </xf>
    <xf numFmtId="10" fontId="66" fillId="34" borderId="19" xfId="115" applyNumberFormat="1" applyFont="1" applyFill="1" applyBorder="1" applyAlignment="1">
      <alignment horizontal="center" vertical="center"/>
    </xf>
    <xf numFmtId="0" fontId="66" fillId="34" borderId="19" xfId="0" applyFont="1" applyFill="1" applyBorder="1" applyAlignment="1"/>
    <xf numFmtId="166" fontId="0" fillId="0" borderId="0" xfId="119" applyFont="1" applyAlignment="1">
      <alignment horizontal="center" vertical="center"/>
    </xf>
    <xf numFmtId="166" fontId="60" fillId="0" borderId="0" xfId="119" applyFont="1" applyBorder="1" applyAlignment="1">
      <alignment horizontal="center" vertical="center"/>
    </xf>
    <xf numFmtId="166" fontId="74" fillId="0" borderId="0" xfId="119" applyFont="1" applyBorder="1" applyAlignment="1">
      <alignment horizontal="center" vertical="center"/>
    </xf>
    <xf numFmtId="166" fontId="22" fillId="0" borderId="0" xfId="119" applyFont="1" applyBorder="1" applyAlignment="1">
      <alignment horizontal="center" vertical="center"/>
    </xf>
    <xf numFmtId="166" fontId="57" fillId="0" borderId="0" xfId="119" applyFont="1" applyBorder="1" applyAlignment="1">
      <alignment horizontal="center" vertical="center"/>
    </xf>
    <xf numFmtId="166" fontId="0" fillId="0" borderId="0" xfId="119" applyFont="1" applyFill="1" applyBorder="1" applyAlignment="1">
      <alignment horizontal="center" vertical="center"/>
    </xf>
    <xf numFmtId="166" fontId="6" fillId="0" borderId="0" xfId="119" applyFont="1" applyBorder="1" applyAlignment="1">
      <alignment horizontal="left" vertical="center"/>
    </xf>
    <xf numFmtId="166" fontId="0" fillId="0" borderId="0" xfId="119" applyFont="1" applyFill="1" applyBorder="1" applyAlignment="1">
      <alignment horizontal="left" vertical="center"/>
    </xf>
    <xf numFmtId="166" fontId="61" fillId="0" borderId="0" xfId="119" applyFont="1" applyFill="1" applyBorder="1" applyAlignment="1">
      <alignment horizontal="left" vertical="center" wrapText="1"/>
    </xf>
    <xf numFmtId="0" fontId="22" fillId="0" borderId="39" xfId="0" applyFont="1" applyFill="1" applyBorder="1" applyAlignment="1">
      <alignment horizontal="center" vertical="center" wrapText="1"/>
    </xf>
    <xf numFmtId="166" fontId="6" fillId="0" borderId="0" xfId="119" applyFont="1" applyFill="1" applyBorder="1" applyAlignment="1">
      <alignment horizontal="left" vertical="center"/>
    </xf>
    <xf numFmtId="166" fontId="6" fillId="0" borderId="0" xfId="119" applyFont="1" applyFill="1" applyBorder="1" applyAlignment="1">
      <alignment horizontal="center" vertical="center" wrapText="1"/>
    </xf>
    <xf numFmtId="166" fontId="6" fillId="0" borderId="28" xfId="119" applyFont="1" applyBorder="1" applyAlignment="1">
      <alignment horizontal="left" vertical="center"/>
    </xf>
    <xf numFmtId="166" fontId="6" fillId="0" borderId="0" xfId="119" applyFont="1" applyBorder="1" applyAlignment="1">
      <alignment horizontal="right" vertical="center"/>
    </xf>
    <xf numFmtId="166" fontId="6" fillId="0" borderId="0" xfId="119" applyFont="1" applyFill="1" applyBorder="1" applyAlignment="1">
      <alignment horizontal="left" vertical="center" wrapText="1"/>
    </xf>
    <xf numFmtId="0" fontId="22" fillId="0" borderId="34" xfId="0" applyFont="1" applyFill="1" applyBorder="1" applyAlignment="1">
      <alignment horizontal="center" vertical="center" wrapText="1"/>
    </xf>
    <xf numFmtId="166" fontId="6" fillId="0" borderId="31" xfId="119" applyFont="1" applyBorder="1" applyAlignment="1">
      <alignment horizontal="center" vertical="center"/>
    </xf>
    <xf numFmtId="166" fontId="61" fillId="0" borderId="31" xfId="119" applyFont="1" applyFill="1" applyBorder="1" applyAlignment="1">
      <alignment vertical="center"/>
    </xf>
    <xf numFmtId="166" fontId="6" fillId="0" borderId="31" xfId="119" applyFont="1" applyBorder="1" applyAlignment="1">
      <alignment horizontal="center" vertical="center" wrapText="1"/>
    </xf>
    <xf numFmtId="166" fontId="61" fillId="0" borderId="31" xfId="119" applyFont="1" applyFill="1" applyBorder="1" applyAlignment="1">
      <alignment horizontal="left" vertical="center" wrapText="1"/>
    </xf>
    <xf numFmtId="166" fontId="61" fillId="0" borderId="28" xfId="119" applyFont="1" applyFill="1" applyBorder="1" applyAlignment="1">
      <alignment horizontal="left" vertical="center" wrapText="1"/>
    </xf>
    <xf numFmtId="166" fontId="6" fillId="0" borderId="31" xfId="119" applyFont="1" applyFill="1" applyBorder="1" applyAlignment="1">
      <alignment horizontal="center" vertical="center" wrapText="1"/>
    </xf>
    <xf numFmtId="166" fontId="0" fillId="0" borderId="31" xfId="119" applyFont="1" applyFill="1" applyBorder="1" applyAlignment="1">
      <alignment horizontal="center" vertical="center"/>
    </xf>
    <xf numFmtId="166" fontId="6" fillId="0" borderId="28" xfId="119" applyFont="1" applyFill="1" applyBorder="1" applyAlignment="1">
      <alignment horizontal="left" vertical="center" wrapText="1"/>
    </xf>
    <xf numFmtId="0" fontId="57" fillId="0" borderId="0" xfId="119" applyNumberFormat="1" applyFont="1" applyBorder="1" applyAlignment="1">
      <alignment horizontal="center" vertical="center" wrapText="1"/>
    </xf>
    <xf numFmtId="0" fontId="60" fillId="0" borderId="0" xfId="0" applyFont="1" applyBorder="1" applyAlignment="1">
      <alignment horizontal="center" vertical="center"/>
    </xf>
    <xf numFmtId="0" fontId="79" fillId="0" borderId="0" xfId="0" applyFont="1" applyFill="1" applyBorder="1" applyAlignment="1">
      <alignment horizontal="center" vertical="center" wrapText="1"/>
    </xf>
    <xf numFmtId="166" fontId="22" fillId="0" borderId="39" xfId="119" applyFont="1" applyBorder="1" applyAlignment="1">
      <alignment horizontal="center" vertical="center"/>
    </xf>
    <xf numFmtId="166" fontId="0" fillId="0" borderId="0" xfId="119" applyFont="1" applyAlignment="1">
      <alignment horizontal="left" vertical="center"/>
    </xf>
    <xf numFmtId="166" fontId="57" fillId="0" borderId="0" xfId="119" applyFont="1" applyBorder="1" applyAlignment="1">
      <alignment horizontal="left" vertical="center"/>
    </xf>
    <xf numFmtId="166" fontId="0" fillId="0" borderId="28" xfId="119" applyFont="1" applyBorder="1" applyAlignment="1">
      <alignment horizontal="center" vertical="center"/>
    </xf>
    <xf numFmtId="0" fontId="76" fillId="0" borderId="0" xfId="0" applyFont="1" applyBorder="1" applyAlignment="1">
      <alignment vertical="center"/>
    </xf>
    <xf numFmtId="166" fontId="0" fillId="0" borderId="28" xfId="119" quotePrefix="1" applyFont="1" applyBorder="1" applyAlignment="1">
      <alignment horizontal="center" vertical="center"/>
    </xf>
    <xf numFmtId="0" fontId="76" fillId="0" borderId="0" xfId="0" applyFont="1" applyAlignment="1">
      <alignment vertical="center"/>
    </xf>
    <xf numFmtId="0" fontId="22" fillId="0" borderId="28" xfId="0" applyFont="1" applyBorder="1" applyAlignment="1">
      <alignment horizontal="center" vertical="center"/>
    </xf>
    <xf numFmtId="0" fontId="0" fillId="0" borderId="0" xfId="0" applyBorder="1" applyAlignment="1">
      <alignment vertical="center"/>
    </xf>
    <xf numFmtId="166" fontId="6" fillId="0" borderId="31" xfId="119" applyFont="1" applyBorder="1" applyAlignment="1">
      <alignment horizontal="left" vertical="center"/>
    </xf>
    <xf numFmtId="166" fontId="22" fillId="0" borderId="31" xfId="119" applyFont="1" applyBorder="1" applyAlignment="1">
      <alignment horizontal="left" vertical="center"/>
    </xf>
    <xf numFmtId="0" fontId="22" fillId="0" borderId="0" xfId="0" applyFont="1" applyAlignment="1">
      <alignment vertical="center"/>
    </xf>
    <xf numFmtId="43" fontId="60" fillId="0" borderId="0" xfId="0" applyNumberFormat="1" applyFont="1" applyBorder="1" applyAlignment="1">
      <alignment horizontal="center" vertical="center"/>
    </xf>
    <xf numFmtId="166" fontId="0" fillId="0" borderId="28" xfId="119" applyFont="1" applyFill="1" applyBorder="1" applyAlignment="1">
      <alignment horizontal="center" vertical="center"/>
    </xf>
    <xf numFmtId="166" fontId="22" fillId="0" borderId="28" xfId="119" applyFont="1" applyBorder="1" applyAlignment="1">
      <alignment horizontal="center" vertical="center"/>
    </xf>
    <xf numFmtId="166" fontId="6" fillId="0" borderId="28" xfId="119" applyFont="1" applyFill="1" applyBorder="1" applyAlignment="1">
      <alignment horizontal="left" vertical="center"/>
    </xf>
    <xf numFmtId="43" fontId="60" fillId="0" borderId="0" xfId="0" applyNumberFormat="1" applyFont="1" applyFill="1" applyBorder="1" applyAlignment="1">
      <alignment horizontal="center" vertical="center"/>
    </xf>
    <xf numFmtId="0" fontId="60" fillId="0" borderId="0" xfId="0" applyFont="1" applyFill="1" applyBorder="1" applyAlignment="1">
      <alignment horizontal="center" vertical="center"/>
    </xf>
    <xf numFmtId="166" fontId="0" fillId="0" borderId="31" xfId="119" applyFont="1" applyFill="1" applyBorder="1" applyAlignment="1">
      <alignment horizontal="left" vertical="center"/>
    </xf>
    <xf numFmtId="166" fontId="0" fillId="0" borderId="28" xfId="119" quotePrefix="1" applyFont="1" applyFill="1" applyBorder="1" applyAlignment="1">
      <alignment horizontal="center" vertical="center"/>
    </xf>
    <xf numFmtId="166" fontId="6" fillId="0" borderId="31" xfId="119" applyFont="1" applyFill="1" applyBorder="1" applyAlignment="1">
      <alignment horizontal="left" vertical="center"/>
    </xf>
    <xf numFmtId="0" fontId="76" fillId="0" borderId="0" xfId="0" applyFont="1" applyFill="1" applyBorder="1" applyAlignment="1">
      <alignment horizontal="center" vertical="center"/>
    </xf>
    <xf numFmtId="166" fontId="57" fillId="0" borderId="28" xfId="119" applyFont="1" applyBorder="1" applyAlignment="1">
      <alignment horizontal="center" vertical="center"/>
    </xf>
    <xf numFmtId="0" fontId="78" fillId="0" borderId="0" xfId="0" applyFont="1" applyFill="1" applyBorder="1" applyAlignment="1">
      <alignment horizontal="left" vertical="center"/>
    </xf>
    <xf numFmtId="0" fontId="16" fillId="0" borderId="0" xfId="0" applyFont="1" applyAlignment="1">
      <alignment vertical="center"/>
    </xf>
    <xf numFmtId="0" fontId="16" fillId="0" borderId="0" xfId="0" applyFont="1" applyFill="1" applyAlignment="1">
      <alignment vertical="center"/>
    </xf>
    <xf numFmtId="0" fontId="22" fillId="0" borderId="28" xfId="0" applyFont="1" applyFill="1" applyBorder="1" applyAlignment="1">
      <alignment horizontal="center" vertical="center"/>
    </xf>
    <xf numFmtId="0" fontId="0" fillId="0" borderId="0" xfId="0" applyFill="1" applyAlignment="1">
      <alignment vertical="center"/>
    </xf>
    <xf numFmtId="0" fontId="6" fillId="0" borderId="0" xfId="0" applyFont="1" applyAlignment="1">
      <alignment vertical="center"/>
    </xf>
    <xf numFmtId="0" fontId="76" fillId="0" borderId="0" xfId="0" applyFont="1" applyFill="1" applyBorder="1" applyAlignment="1">
      <alignment vertical="center"/>
    </xf>
    <xf numFmtId="0" fontId="6" fillId="0" borderId="19" xfId="0" applyFont="1" applyBorder="1" applyAlignment="1">
      <alignment horizontal="center" vertical="center"/>
    </xf>
    <xf numFmtId="0" fontId="6" fillId="0" borderId="19" xfId="0" applyFont="1" applyFill="1" applyBorder="1" applyAlignment="1">
      <alignment horizontal="center" vertical="center"/>
    </xf>
    <xf numFmtId="0" fontId="22" fillId="39" borderId="19" xfId="0" applyFont="1" applyFill="1" applyBorder="1" applyAlignment="1">
      <alignment horizontal="left" vertical="center" wrapText="1"/>
    </xf>
    <xf numFmtId="0" fontId="22" fillId="39" borderId="19" xfId="0" applyFont="1" applyFill="1" applyBorder="1" applyAlignment="1">
      <alignment horizontal="center" vertical="center" wrapText="1"/>
    </xf>
    <xf numFmtId="1" fontId="6" fillId="0" borderId="19" xfId="0" applyNumberFormat="1" applyFont="1" applyFill="1" applyBorder="1" applyAlignment="1">
      <alignment horizontal="center" vertical="center"/>
    </xf>
    <xf numFmtId="171" fontId="0" fillId="0" borderId="0" xfId="119" applyNumberFormat="1" applyFont="1"/>
    <xf numFmtId="166" fontId="0" fillId="42" borderId="0" xfId="119" applyFont="1" applyFill="1" applyBorder="1" applyAlignment="1">
      <alignment horizontal="center" vertical="center"/>
    </xf>
    <xf numFmtId="0" fontId="25" fillId="0" borderId="26" xfId="0" applyFont="1" applyFill="1" applyBorder="1" applyAlignment="1">
      <alignment horizontal="center" vertical="center"/>
    </xf>
    <xf numFmtId="166" fontId="30" fillId="0" borderId="54" xfId="119" applyFont="1" applyFill="1" applyBorder="1" applyAlignment="1">
      <alignment horizontal="center" vertical="center"/>
    </xf>
    <xf numFmtId="166" fontId="30" fillId="0" borderId="26" xfId="119" applyFont="1" applyFill="1" applyBorder="1" applyAlignment="1">
      <alignment horizontal="center" vertical="center"/>
    </xf>
    <xf numFmtId="166" fontId="30" fillId="0" borderId="53" xfId="119" applyFont="1" applyFill="1" applyBorder="1" applyAlignment="1">
      <alignment horizontal="center" vertical="center"/>
    </xf>
    <xf numFmtId="166" fontId="77" fillId="0" borderId="26" xfId="119" applyFont="1" applyFill="1" applyBorder="1" applyAlignment="1">
      <alignment horizontal="center" vertical="center"/>
    </xf>
    <xf numFmtId="0" fontId="57" fillId="0" borderId="28" xfId="0" applyFont="1" applyBorder="1" applyAlignment="1">
      <alignment horizontal="center" vertical="center" wrapText="1"/>
    </xf>
    <xf numFmtId="0" fontId="57" fillId="0" borderId="28" xfId="0" applyFont="1" applyBorder="1" applyAlignment="1">
      <alignment horizontal="center" vertical="center"/>
    </xf>
    <xf numFmtId="0" fontId="31" fillId="0" borderId="0" xfId="0" applyFont="1" applyFill="1"/>
    <xf numFmtId="0" fontId="31" fillId="0" borderId="0" xfId="0" applyFont="1" applyFill="1" applyAlignment="1">
      <alignment horizontal="left" wrapText="1"/>
    </xf>
    <xf numFmtId="0" fontId="31" fillId="0" borderId="0" xfId="0" applyFont="1" applyFill="1" applyAlignment="1">
      <alignment horizontal="center" vertical="center"/>
    </xf>
    <xf numFmtId="166" fontId="31" fillId="0" borderId="0" xfId="119" applyFont="1" applyFill="1" applyAlignment="1">
      <alignment horizontal="center" vertical="center"/>
    </xf>
    <xf numFmtId="0" fontId="31" fillId="0" borderId="0" xfId="0" applyFont="1"/>
    <xf numFmtId="0" fontId="31" fillId="0" borderId="0" xfId="0" applyFont="1" applyFill="1" applyBorder="1"/>
    <xf numFmtId="0" fontId="31" fillId="0" borderId="0" xfId="0" applyFont="1" applyFill="1" applyBorder="1" applyAlignment="1">
      <alignment horizontal="left" wrapText="1"/>
    </xf>
    <xf numFmtId="0" fontId="31" fillId="0" borderId="0" xfId="0" applyFont="1" applyFill="1" applyBorder="1" applyAlignment="1">
      <alignment horizontal="center" vertical="center"/>
    </xf>
    <xf numFmtId="166" fontId="31" fillId="0" borderId="0" xfId="119" applyFont="1" applyFill="1" applyBorder="1" applyAlignment="1">
      <alignment horizontal="center" vertical="center"/>
    </xf>
    <xf numFmtId="165" fontId="31" fillId="0" borderId="0" xfId="99" applyFont="1" applyFill="1" applyBorder="1" applyAlignment="1">
      <alignment horizontal="center" vertical="center"/>
    </xf>
    <xf numFmtId="0" fontId="31" fillId="36" borderId="0" xfId="0" applyFont="1" applyFill="1"/>
    <xf numFmtId="44" fontId="31" fillId="0" borderId="0" xfId="0" applyNumberFormat="1" applyFont="1" applyFill="1"/>
    <xf numFmtId="0" fontId="31" fillId="38" borderId="0" xfId="0" applyFont="1" applyFill="1"/>
    <xf numFmtId="0" fontId="31" fillId="0" borderId="0" xfId="0" applyFont="1" applyFill="1" applyBorder="1" applyAlignment="1">
      <alignment vertical="center" wrapText="1"/>
    </xf>
    <xf numFmtId="0" fontId="0" fillId="0" borderId="0" xfId="0" applyBorder="1"/>
    <xf numFmtId="166" fontId="0" fillId="0" borderId="0" xfId="119" applyFont="1" applyAlignment="1">
      <alignment horizontal="right" vertical="center"/>
    </xf>
    <xf numFmtId="166" fontId="22" fillId="0" borderId="36" xfId="119" applyFont="1" applyBorder="1" applyAlignment="1">
      <alignment horizontal="right" vertical="center"/>
    </xf>
    <xf numFmtId="166" fontId="30" fillId="0" borderId="26" xfId="119" applyFont="1" applyFill="1" applyBorder="1" applyAlignment="1">
      <alignment horizontal="right" vertical="center"/>
    </xf>
    <xf numFmtId="166" fontId="22" fillId="0" borderId="0" xfId="119" applyFont="1" applyFill="1" applyBorder="1" applyAlignment="1">
      <alignment horizontal="right" vertical="center"/>
    </xf>
    <xf numFmtId="166" fontId="0" fillId="0" borderId="0" xfId="119" applyFont="1" applyBorder="1" applyAlignment="1">
      <alignment horizontal="right" vertical="center"/>
    </xf>
    <xf numFmtId="166" fontId="74" fillId="0" borderId="0" xfId="119" applyFont="1" applyBorder="1" applyAlignment="1">
      <alignment horizontal="right" vertical="center"/>
    </xf>
    <xf numFmtId="166" fontId="60" fillId="0" borderId="0" xfId="119" applyFont="1" applyBorder="1" applyAlignment="1">
      <alignment horizontal="right" vertical="center"/>
    </xf>
    <xf numFmtId="166" fontId="22" fillId="0" borderId="0" xfId="119" applyFont="1" applyBorder="1" applyAlignment="1">
      <alignment horizontal="right" vertical="center"/>
    </xf>
    <xf numFmtId="166" fontId="6" fillId="0" borderId="0" xfId="119" applyFont="1" applyFill="1" applyBorder="1" applyAlignment="1">
      <alignment horizontal="right" vertical="center"/>
    </xf>
    <xf numFmtId="166" fontId="57" fillId="0" borderId="0" xfId="119" applyFont="1" applyBorder="1" applyAlignment="1">
      <alignment horizontal="right" vertical="center"/>
    </xf>
    <xf numFmtId="165" fontId="31" fillId="0" borderId="0" xfId="99" applyFont="1" applyFill="1" applyBorder="1" applyAlignment="1">
      <alignment vertical="center"/>
    </xf>
    <xf numFmtId="0" fontId="62" fillId="0" borderId="29" xfId="0" applyFont="1" applyBorder="1" applyAlignment="1">
      <alignment horizontal="center" wrapText="1"/>
    </xf>
    <xf numFmtId="165" fontId="27" fillId="0" borderId="56" xfId="99" applyFont="1" applyBorder="1" applyAlignment="1">
      <alignment horizontal="center"/>
    </xf>
    <xf numFmtId="165" fontId="27" fillId="0" borderId="27" xfId="99" applyFont="1" applyBorder="1" applyAlignment="1">
      <alignment horizontal="center"/>
    </xf>
    <xf numFmtId="165" fontId="27" fillId="0" borderId="51" xfId="99" applyFont="1" applyBorder="1" applyAlignment="1"/>
    <xf numFmtId="165" fontId="27" fillId="0" borderId="57" xfId="99" applyFont="1" applyBorder="1" applyAlignment="1"/>
    <xf numFmtId="165" fontId="28" fillId="0" borderId="39" xfId="99" applyFont="1" applyBorder="1" applyAlignment="1"/>
    <xf numFmtId="10" fontId="28" fillId="0" borderId="35" xfId="114" applyNumberFormat="1" applyFont="1" applyBorder="1" applyAlignment="1">
      <alignment horizontal="center"/>
    </xf>
    <xf numFmtId="165" fontId="28" fillId="0" borderId="39" xfId="99" applyFont="1" applyFill="1" applyBorder="1" applyAlignment="1">
      <alignment horizontal="center"/>
    </xf>
    <xf numFmtId="10" fontId="28" fillId="36" borderId="39" xfId="114" applyNumberFormat="1" applyFont="1" applyFill="1" applyBorder="1" applyAlignment="1">
      <alignment horizontal="center"/>
    </xf>
    <xf numFmtId="165" fontId="27" fillId="0" borderId="39" xfId="99" applyFont="1" applyBorder="1" applyAlignment="1">
      <alignment horizontal="center"/>
    </xf>
    <xf numFmtId="165" fontId="28" fillId="0" borderId="54" xfId="99" applyFont="1" applyBorder="1" applyAlignment="1">
      <alignment horizontal="center"/>
    </xf>
    <xf numFmtId="10" fontId="28" fillId="36" borderId="34" xfId="114" applyNumberFormat="1" applyFont="1" applyFill="1" applyBorder="1" applyAlignment="1">
      <alignment horizontal="center"/>
    </xf>
    <xf numFmtId="165" fontId="27" fillId="0" borderId="34" xfId="99" applyFont="1" applyBorder="1" applyAlignment="1">
      <alignment horizontal="center"/>
    </xf>
    <xf numFmtId="10" fontId="27" fillId="33" borderId="19" xfId="0" applyNumberFormat="1" applyFont="1" applyFill="1" applyBorder="1" applyAlignment="1">
      <alignment horizontal="center"/>
    </xf>
    <xf numFmtId="0" fontId="6" fillId="0" borderId="32" xfId="0" applyFont="1" applyFill="1" applyBorder="1" applyAlignment="1">
      <alignment horizontal="center"/>
    </xf>
    <xf numFmtId="166" fontId="0" fillId="0" borderId="31" xfId="119" applyFont="1" applyBorder="1" applyAlignment="1">
      <alignment horizontal="left" vertical="center"/>
    </xf>
    <xf numFmtId="166" fontId="0" fillId="0" borderId="0" xfId="119" applyFont="1" applyBorder="1" applyAlignment="1">
      <alignment horizontal="left" vertical="center"/>
    </xf>
    <xf numFmtId="166" fontId="80" fillId="0" borderId="0" xfId="0" applyNumberFormat="1" applyFont="1" applyBorder="1" applyAlignment="1">
      <alignment vertical="center"/>
    </xf>
    <xf numFmtId="0" fontId="31" fillId="0" borderId="0" xfId="0" applyFont="1" applyBorder="1"/>
    <xf numFmtId="10" fontId="27" fillId="40" borderId="19" xfId="0" applyNumberFormat="1" applyFont="1" applyFill="1" applyBorder="1" applyAlignment="1">
      <alignment horizontal="center"/>
    </xf>
    <xf numFmtId="10" fontId="27" fillId="40" borderId="21" xfId="0" applyNumberFormat="1" applyFont="1" applyFill="1" applyBorder="1" applyAlignment="1">
      <alignment horizontal="center"/>
    </xf>
    <xf numFmtId="0" fontId="0" fillId="0" borderId="0" xfId="0" applyBorder="1" applyAlignment="1">
      <alignment horizontal="center"/>
    </xf>
    <xf numFmtId="0" fontId="22" fillId="39" borderId="19" xfId="147" applyFont="1" applyFill="1" applyBorder="1" applyAlignment="1">
      <alignment horizontal="left" vertical="center" wrapText="1"/>
    </xf>
    <xf numFmtId="0" fontId="22" fillId="39" borderId="19" xfId="147" applyFont="1" applyFill="1" applyBorder="1" applyAlignment="1">
      <alignment horizontal="center" vertical="center" wrapText="1"/>
    </xf>
    <xf numFmtId="0" fontId="6" fillId="0" borderId="19" xfId="147" applyFont="1" applyBorder="1" applyAlignment="1">
      <alignment horizontal="center" vertical="center"/>
    </xf>
    <xf numFmtId="0" fontId="82" fillId="0" borderId="0" xfId="0" applyFont="1" applyFill="1" applyBorder="1" applyAlignment="1">
      <alignment horizontal="left" wrapText="1"/>
    </xf>
    <xf numFmtId="0" fontId="22" fillId="0" borderId="0" xfId="0" applyFont="1" applyFill="1" applyBorder="1" applyAlignment="1">
      <alignment vertical="center"/>
    </xf>
    <xf numFmtId="0" fontId="6" fillId="0" borderId="0" xfId="0" applyFont="1" applyFill="1" applyBorder="1"/>
    <xf numFmtId="0" fontId="6" fillId="0" borderId="0" xfId="0" applyFont="1" applyFill="1" applyBorder="1" applyAlignment="1">
      <alignment horizontal="center" vertical="center"/>
    </xf>
    <xf numFmtId="166" fontId="6" fillId="0" borderId="0" xfId="119" applyFont="1" applyFill="1" applyBorder="1" applyAlignment="1">
      <alignment horizontal="center" vertical="center"/>
    </xf>
    <xf numFmtId="166" fontId="6" fillId="0" borderId="0" xfId="119" applyFont="1" applyBorder="1" applyAlignment="1">
      <alignment horizontal="center" vertical="center" wrapText="1"/>
    </xf>
    <xf numFmtId="166" fontId="6" fillId="0" borderId="0" xfId="119" applyFont="1" applyBorder="1" applyAlignment="1">
      <alignment horizontal="center" vertical="center"/>
    </xf>
    <xf numFmtId="166" fontId="0" fillId="0" borderId="0" xfId="119" applyFont="1" applyBorder="1" applyAlignment="1">
      <alignment horizontal="center" vertical="center"/>
    </xf>
    <xf numFmtId="166" fontId="22" fillId="0" borderId="0" xfId="119" applyFont="1" applyBorder="1" applyAlignment="1">
      <alignment horizontal="left" vertical="center" wrapText="1"/>
    </xf>
    <xf numFmtId="166" fontId="22" fillId="0" borderId="28" xfId="119" applyFont="1" applyBorder="1" applyAlignment="1">
      <alignment horizontal="left" vertical="center" wrapText="1"/>
    </xf>
    <xf numFmtId="166" fontId="6" fillId="0" borderId="28" xfId="119" applyFont="1" applyBorder="1" applyAlignment="1">
      <alignment horizontal="center" vertical="center"/>
    </xf>
    <xf numFmtId="10" fontId="27" fillId="40" borderId="58" xfId="0" applyNumberFormat="1" applyFont="1" applyFill="1" applyBorder="1" applyAlignment="1">
      <alignment horizontal="center"/>
    </xf>
    <xf numFmtId="0" fontId="6" fillId="0" borderId="0" xfId="0" applyFont="1" applyFill="1" applyBorder="1" applyAlignment="1">
      <alignment vertical="center"/>
    </xf>
    <xf numFmtId="166" fontId="22" fillId="0" borderId="39" xfId="119" applyFont="1" applyBorder="1" applyAlignment="1">
      <alignment horizontal="center" wrapText="1"/>
    </xf>
    <xf numFmtId="0" fontId="6" fillId="0" borderId="19" xfId="0" applyFont="1" applyFill="1" applyBorder="1" applyAlignment="1">
      <alignment horizontal="left" vertical="center" wrapText="1"/>
    </xf>
    <xf numFmtId="0" fontId="6" fillId="0" borderId="19" xfId="0" applyFont="1" applyFill="1" applyBorder="1" applyAlignment="1">
      <alignment horizontal="center" vertical="center" wrapText="1"/>
    </xf>
    <xf numFmtId="166" fontId="0" fillId="0" borderId="0" xfId="119" applyFont="1" applyFill="1" applyBorder="1" applyAlignment="1">
      <alignment horizontal="right" vertical="center"/>
    </xf>
    <xf numFmtId="166" fontId="74" fillId="0" borderId="0" xfId="119" applyFont="1" applyFill="1" applyBorder="1" applyAlignment="1">
      <alignment horizontal="right" vertical="center"/>
    </xf>
    <xf numFmtId="1" fontId="6" fillId="0" borderId="19" xfId="0" applyNumberFormat="1" applyFont="1" applyBorder="1" applyAlignment="1">
      <alignment horizontal="center" vertical="center"/>
    </xf>
    <xf numFmtId="0" fontId="6" fillId="0" borderId="19" xfId="0" applyNumberFormat="1" applyFont="1" applyFill="1" applyBorder="1" applyAlignment="1">
      <alignment horizontal="center" vertical="center"/>
    </xf>
    <xf numFmtId="0" fontId="6" fillId="0" borderId="19" xfId="0" applyNumberFormat="1" applyFont="1" applyBorder="1" applyAlignment="1">
      <alignment horizontal="center" vertical="center"/>
    </xf>
    <xf numFmtId="0" fontId="6" fillId="0" borderId="19" xfId="151" applyFont="1" applyBorder="1" applyAlignment="1">
      <alignment horizontal="center" vertical="center"/>
    </xf>
    <xf numFmtId="0" fontId="22" fillId="39" borderId="19" xfId="155" applyFont="1" applyFill="1" applyBorder="1" applyAlignment="1">
      <alignment horizontal="left" vertical="center" wrapText="1"/>
    </xf>
    <xf numFmtId="0" fontId="22" fillId="39" borderId="19" xfId="155" applyFont="1" applyFill="1" applyBorder="1" applyAlignment="1">
      <alignment horizontal="center" vertical="center" wrapText="1"/>
    </xf>
    <xf numFmtId="0" fontId="6" fillId="0" borderId="19" xfId="155" applyFont="1" applyBorder="1" applyAlignment="1">
      <alignment horizontal="center" vertical="center"/>
    </xf>
    <xf numFmtId="1" fontId="22" fillId="39" borderId="19" xfId="155" applyNumberFormat="1" applyFont="1" applyFill="1" applyBorder="1" applyAlignment="1">
      <alignment horizontal="center" vertical="center" wrapText="1"/>
    </xf>
    <xf numFmtId="0" fontId="6" fillId="0" borderId="19" xfId="119" applyNumberFormat="1" applyFont="1" applyFill="1" applyBorder="1" applyAlignment="1">
      <alignment horizontal="center" vertical="center"/>
    </xf>
    <xf numFmtId="0" fontId="22" fillId="38" borderId="19" xfId="106" applyFont="1" applyFill="1" applyBorder="1" applyAlignment="1">
      <alignment horizontal="center" vertical="center"/>
    </xf>
    <xf numFmtId="0" fontId="22" fillId="38" borderId="19" xfId="106" applyFont="1" applyFill="1" applyBorder="1" applyAlignment="1">
      <alignment horizontal="left" vertical="center" wrapText="1"/>
    </xf>
    <xf numFmtId="0" fontId="22" fillId="38" borderId="19" xfId="0" applyFont="1" applyFill="1" applyBorder="1" applyAlignment="1">
      <alignment horizontal="center" vertical="center"/>
    </xf>
    <xf numFmtId="0" fontId="22" fillId="38" borderId="19" xfId="0" applyFont="1" applyFill="1" applyBorder="1" applyAlignment="1">
      <alignment horizontal="left" vertical="center" wrapText="1"/>
    </xf>
    <xf numFmtId="0" fontId="6" fillId="0" borderId="19" xfId="151" applyNumberFormat="1" applyFont="1" applyBorder="1" applyAlignment="1">
      <alignment horizontal="center" vertical="center"/>
    </xf>
    <xf numFmtId="0" fontId="23" fillId="0" borderId="0" xfId="0" applyFont="1" applyFill="1" applyBorder="1" applyAlignment="1">
      <alignment horizontal="center" vertical="center"/>
    </xf>
    <xf numFmtId="165" fontId="25" fillId="0" borderId="34" xfId="99" applyFont="1" applyBorder="1" applyAlignment="1">
      <alignment horizontal="center" vertical="center"/>
    </xf>
    <xf numFmtId="0" fontId="25" fillId="0" borderId="39" xfId="0" applyFont="1" applyBorder="1" applyAlignment="1">
      <alignment horizontal="center" vertical="center"/>
    </xf>
    <xf numFmtId="165" fontId="28" fillId="0" borderId="39" xfId="99" applyFont="1" applyBorder="1" applyAlignment="1">
      <alignment vertical="center"/>
    </xf>
    <xf numFmtId="10" fontId="28" fillId="0" borderId="36" xfId="114" applyNumberFormat="1" applyFont="1" applyBorder="1" applyAlignment="1">
      <alignment horizontal="center" vertical="center"/>
    </xf>
    <xf numFmtId="0" fontId="6" fillId="0" borderId="19" xfId="0" applyFont="1" applyBorder="1" applyAlignment="1">
      <alignment horizontal="left" wrapText="1"/>
    </xf>
    <xf numFmtId="165" fontId="25" fillId="33" borderId="33" xfId="99" applyFont="1" applyFill="1" applyBorder="1" applyAlignment="1">
      <alignment horizontal="center" vertical="center"/>
    </xf>
    <xf numFmtId="1" fontId="25" fillId="33" borderId="22" xfId="99" applyNumberFormat="1" applyFont="1" applyFill="1" applyBorder="1" applyAlignment="1">
      <alignment horizontal="center" vertical="center" wrapText="1"/>
    </xf>
    <xf numFmtId="165" fontId="25" fillId="33" borderId="22" xfId="99" applyFont="1" applyFill="1" applyBorder="1" applyAlignment="1">
      <alignment horizontal="center" vertical="center"/>
    </xf>
    <xf numFmtId="166" fontId="25" fillId="33" borderId="22" xfId="119" applyFont="1" applyFill="1" applyBorder="1" applyAlignment="1">
      <alignment horizontal="center" vertical="center"/>
    </xf>
    <xf numFmtId="0" fontId="30" fillId="0" borderId="20" xfId="0" applyFont="1" applyFill="1" applyBorder="1" applyAlignment="1">
      <alignment horizontal="center" vertical="center"/>
    </xf>
    <xf numFmtId="1" fontId="104" fillId="34" borderId="19" xfId="0" applyNumberFormat="1" applyFont="1" applyFill="1" applyBorder="1" applyAlignment="1">
      <alignment horizontal="center" vertical="center" wrapText="1"/>
    </xf>
    <xf numFmtId="1" fontId="104" fillId="34" borderId="58" xfId="0" applyNumberFormat="1" applyFont="1" applyFill="1" applyBorder="1" applyAlignment="1">
      <alignment horizontal="center" vertical="center" wrapText="1"/>
    </xf>
    <xf numFmtId="166" fontId="30" fillId="0" borderId="19" xfId="119" applyFont="1" applyFill="1" applyBorder="1" applyAlignment="1">
      <alignment vertical="center" wrapText="1"/>
    </xf>
    <xf numFmtId="166" fontId="30" fillId="0" borderId="19" xfId="119" applyFont="1" applyFill="1" applyBorder="1" applyAlignment="1">
      <alignment vertical="center"/>
    </xf>
    <xf numFmtId="165" fontId="30" fillId="0" borderId="61" xfId="99" applyFont="1" applyFill="1" applyBorder="1" applyAlignment="1">
      <alignment horizontal="right" vertical="center"/>
    </xf>
    <xf numFmtId="166" fontId="104" fillId="0" borderId="19" xfId="119" applyFont="1" applyFill="1" applyBorder="1" applyAlignment="1">
      <alignment horizontal="center" vertical="center"/>
    </xf>
    <xf numFmtId="165" fontId="25" fillId="33" borderId="21" xfId="99" applyFont="1" applyFill="1" applyBorder="1" applyAlignment="1">
      <alignment horizontal="right" vertical="center"/>
    </xf>
    <xf numFmtId="0" fontId="30" fillId="0" borderId="20" xfId="0" applyFont="1" applyFill="1" applyBorder="1" applyAlignment="1">
      <alignment horizontal="center" vertical="center" wrapText="1"/>
    </xf>
    <xf numFmtId="0" fontId="104" fillId="0" borderId="20" xfId="0" applyFont="1" applyFill="1" applyBorder="1" applyAlignment="1">
      <alignment horizontal="center" vertical="center" wrapText="1"/>
    </xf>
    <xf numFmtId="0" fontId="30" fillId="0" borderId="20" xfId="0" applyNumberFormat="1" applyFont="1" applyFill="1" applyBorder="1" applyAlignment="1">
      <alignment horizontal="center" vertical="center"/>
    </xf>
    <xf numFmtId="0" fontId="105" fillId="0" borderId="0" xfId="0" applyFont="1" applyFill="1" applyBorder="1" applyAlignment="1">
      <alignment horizontal="left" wrapText="1"/>
    </xf>
    <xf numFmtId="0" fontId="30" fillId="0" borderId="0" xfId="0" applyFont="1" applyFill="1" applyBorder="1" applyAlignment="1">
      <alignment horizontal="center" vertical="center"/>
    </xf>
    <xf numFmtId="166" fontId="30" fillId="0" borderId="0" xfId="119" applyFont="1" applyFill="1" applyBorder="1" applyAlignment="1">
      <alignment horizontal="center" vertical="center"/>
    </xf>
    <xf numFmtId="0" fontId="25" fillId="0" borderId="0" xfId="0" applyFont="1" applyFill="1" applyBorder="1" applyAlignment="1">
      <alignment horizontal="center" vertical="center"/>
    </xf>
    <xf numFmtId="0" fontId="30" fillId="0" borderId="0" xfId="0" applyFont="1" applyFill="1" applyAlignment="1">
      <alignment horizontal="left" wrapText="1"/>
    </xf>
    <xf numFmtId="0" fontId="30" fillId="0" borderId="0" xfId="0" applyFont="1" applyFill="1" applyAlignment="1">
      <alignment horizontal="center" vertical="center"/>
    </xf>
    <xf numFmtId="166" fontId="30" fillId="0" borderId="0" xfId="119" applyFont="1" applyFill="1" applyAlignment="1">
      <alignment horizontal="center" vertical="center"/>
    </xf>
    <xf numFmtId="0" fontId="6" fillId="0" borderId="19" xfId="0" applyFont="1" applyFill="1" applyBorder="1"/>
    <xf numFmtId="0" fontId="6" fillId="0" borderId="19" xfId="0" applyFont="1" applyFill="1" applyBorder="1" applyAlignment="1">
      <alignment horizontal="left" wrapText="1"/>
    </xf>
    <xf numFmtId="1" fontId="22" fillId="0" borderId="19" xfId="0" applyNumberFormat="1" applyFont="1" applyFill="1" applyBorder="1" applyAlignment="1">
      <alignment horizontal="center" vertical="center" wrapText="1"/>
    </xf>
    <xf numFmtId="0" fontId="6" fillId="0" borderId="19" xfId="0" applyFont="1" applyFill="1" applyBorder="1" applyAlignment="1">
      <alignment vertical="center" wrapText="1"/>
    </xf>
    <xf numFmtId="1" fontId="22" fillId="39" borderId="19" xfId="0" applyNumberFormat="1" applyFont="1" applyFill="1" applyBorder="1" applyAlignment="1">
      <alignment vertical="center" wrapText="1"/>
    </xf>
    <xf numFmtId="1" fontId="22" fillId="39" borderId="19" xfId="0" applyNumberFormat="1" applyFont="1" applyFill="1" applyBorder="1" applyAlignment="1">
      <alignment horizontal="center" vertical="center" wrapText="1"/>
    </xf>
    <xf numFmtId="0" fontId="6" fillId="0" borderId="19" xfId="0" applyFont="1" applyBorder="1"/>
    <xf numFmtId="0" fontId="6" fillId="0" borderId="19" xfId="0" applyFont="1" applyBorder="1" applyAlignment="1">
      <alignment horizontal="left"/>
    </xf>
    <xf numFmtId="1" fontId="22" fillId="38" borderId="19" xfId="0" applyNumberFormat="1" applyFont="1" applyFill="1" applyBorder="1" applyAlignment="1">
      <alignment vertical="center"/>
    </xf>
    <xf numFmtId="1" fontId="22" fillId="39" borderId="19" xfId="155" applyNumberFormat="1" applyFont="1" applyFill="1" applyBorder="1" applyAlignment="1">
      <alignment horizontal="center" vertical="center"/>
    </xf>
    <xf numFmtId="0" fontId="22" fillId="39" borderId="19" xfId="155" applyFont="1" applyFill="1" applyBorder="1" applyAlignment="1">
      <alignment horizontal="center" vertical="center"/>
    </xf>
    <xf numFmtId="43" fontId="6" fillId="0" borderId="19" xfId="119" applyNumberFormat="1" applyFont="1" applyFill="1" applyBorder="1"/>
    <xf numFmtId="0" fontId="22" fillId="0" borderId="19" xfId="0" applyFont="1" applyFill="1" applyBorder="1" applyAlignment="1">
      <alignment horizontal="left" vertical="center" wrapText="1"/>
    </xf>
    <xf numFmtId="0" fontId="22" fillId="39" borderId="19" xfId="151" applyFont="1" applyFill="1" applyBorder="1" applyAlignment="1">
      <alignment horizontal="left" vertical="center" wrapText="1"/>
    </xf>
    <xf numFmtId="0" fontId="22" fillId="39" borderId="19" xfId="151" applyFont="1" applyFill="1" applyBorder="1" applyAlignment="1">
      <alignment horizontal="center" vertical="center" wrapText="1"/>
    </xf>
    <xf numFmtId="0" fontId="6" fillId="0" borderId="19" xfId="0" applyFont="1" applyFill="1" applyBorder="1" applyAlignment="1">
      <alignment horizontal="left" vertical="justify" wrapText="1"/>
    </xf>
    <xf numFmtId="1" fontId="22" fillId="39" borderId="19" xfId="147" applyNumberFormat="1" applyFont="1" applyFill="1" applyBorder="1" applyAlignment="1">
      <alignment vertical="center" wrapText="1"/>
    </xf>
    <xf numFmtId="1" fontId="22" fillId="39" borderId="19" xfId="147" applyNumberFormat="1" applyFont="1" applyFill="1" applyBorder="1" applyAlignment="1">
      <alignment horizontal="center" vertical="center" wrapText="1"/>
    </xf>
    <xf numFmtId="0" fontId="6" fillId="0" borderId="58" xfId="0" applyFont="1" applyFill="1" applyBorder="1"/>
    <xf numFmtId="0" fontId="6" fillId="0" borderId="0" xfId="0" applyFont="1" applyFill="1" applyAlignment="1">
      <alignment horizontal="center" vertical="center"/>
    </xf>
    <xf numFmtId="0" fontId="57" fillId="0" borderId="0" xfId="0" applyFont="1" applyFill="1" applyBorder="1" applyAlignment="1">
      <alignment horizontal="center" vertical="center"/>
    </xf>
    <xf numFmtId="0" fontId="27" fillId="0" borderId="0" xfId="0" applyFont="1" applyFill="1" applyBorder="1" applyAlignment="1">
      <alignment horizontal="center" vertical="center"/>
    </xf>
    <xf numFmtId="166" fontId="6" fillId="42" borderId="31" xfId="119" applyFont="1" applyFill="1" applyBorder="1" applyAlignment="1">
      <alignment horizontal="left" vertical="center"/>
    </xf>
    <xf numFmtId="166" fontId="0" fillId="42" borderId="31" xfId="119" applyFont="1" applyFill="1" applyBorder="1" applyAlignment="1">
      <alignment horizontal="center" vertical="center"/>
    </xf>
    <xf numFmtId="166" fontId="0" fillId="42" borderId="31" xfId="119" applyFont="1" applyFill="1" applyBorder="1" applyAlignment="1">
      <alignment horizontal="left" vertical="center"/>
    </xf>
    <xf numFmtId="1" fontId="6" fillId="0" borderId="0" xfId="0" applyNumberFormat="1" applyFont="1" applyFill="1" applyBorder="1" applyAlignment="1">
      <alignment horizontal="center" vertical="center"/>
    </xf>
    <xf numFmtId="0" fontId="6" fillId="0" borderId="0" xfId="0" applyFont="1"/>
    <xf numFmtId="0" fontId="103" fillId="38" borderId="19" xfId="0" applyFont="1" applyFill="1" applyBorder="1" applyAlignment="1">
      <alignment horizontal="left" vertical="center" wrapText="1"/>
    </xf>
    <xf numFmtId="0" fontId="103" fillId="38" borderId="19" xfId="0" applyFont="1" applyFill="1" applyBorder="1" applyAlignment="1">
      <alignment horizontal="center" vertical="center" wrapText="1"/>
    </xf>
    <xf numFmtId="0" fontId="102" fillId="0" borderId="19" xfId="0" applyFont="1" applyFill="1" applyBorder="1" applyAlignment="1">
      <alignment horizontal="center" vertical="center" wrapText="1"/>
    </xf>
    <xf numFmtId="166" fontId="6" fillId="0" borderId="28" xfId="119" applyFont="1" applyFill="1" applyBorder="1" applyAlignment="1">
      <alignment horizontal="center" vertical="center" wrapText="1"/>
    </xf>
    <xf numFmtId="0" fontId="31" fillId="0" borderId="19" xfId="151" applyFont="1" applyBorder="1" applyAlignment="1">
      <alignment horizontal="center" vertical="center"/>
    </xf>
    <xf numFmtId="0" fontId="106" fillId="0" borderId="19" xfId="0" applyFont="1" applyBorder="1" applyAlignment="1">
      <alignment horizontal="center" vertical="center"/>
    </xf>
    <xf numFmtId="0" fontId="0" fillId="0" borderId="0" xfId="0" applyAlignment="1">
      <alignment horizontal="center" vertical="center" wrapText="1"/>
    </xf>
    <xf numFmtId="0" fontId="0" fillId="0" borderId="0" xfId="0" applyAlignment="1">
      <alignment vertical="center" wrapText="1"/>
    </xf>
    <xf numFmtId="0" fontId="23" fillId="0" borderId="39" xfId="0" applyFont="1" applyFill="1" applyBorder="1" applyAlignment="1">
      <alignment horizontal="center" vertical="center" wrapText="1"/>
    </xf>
    <xf numFmtId="0" fontId="31" fillId="0" borderId="31" xfId="0" applyFont="1" applyBorder="1" applyAlignment="1">
      <alignment horizontal="center" vertical="center"/>
    </xf>
    <xf numFmtId="166" fontId="30" fillId="0" borderId="19" xfId="119" applyFont="1" applyFill="1" applyBorder="1" applyAlignment="1">
      <alignment horizontal="center" vertical="center"/>
    </xf>
    <xf numFmtId="166" fontId="30" fillId="0" borderId="19" xfId="119" applyFont="1" applyFill="1" applyBorder="1" applyAlignment="1">
      <alignment horizontal="right" vertical="center"/>
    </xf>
    <xf numFmtId="166" fontId="6" fillId="42" borderId="31" xfId="119" applyFont="1" applyFill="1" applyBorder="1" applyAlignment="1">
      <alignment horizontal="center" vertical="center"/>
    </xf>
    <xf numFmtId="166" fontId="6" fillId="42" borderId="0" xfId="119" applyFont="1" applyFill="1" applyBorder="1" applyAlignment="1">
      <alignment horizontal="left" vertical="center"/>
    </xf>
    <xf numFmtId="166" fontId="6" fillId="42" borderId="0" xfId="119" applyFont="1" applyFill="1" applyBorder="1" applyAlignment="1">
      <alignment horizontal="center" vertical="center"/>
    </xf>
    <xf numFmtId="166" fontId="0" fillId="42" borderId="0" xfId="119" applyFont="1" applyFill="1" applyBorder="1" applyAlignment="1">
      <alignment horizontal="left" vertical="center"/>
    </xf>
    <xf numFmtId="166" fontId="6" fillId="42" borderId="31" xfId="119" applyFont="1" applyFill="1" applyBorder="1" applyAlignment="1">
      <alignment horizontal="left" vertical="center" wrapText="1"/>
    </xf>
    <xf numFmtId="166" fontId="61" fillId="0" borderId="31" xfId="119" applyFont="1" applyFill="1" applyBorder="1" applyAlignment="1">
      <alignment horizontal="center" vertical="center"/>
    </xf>
    <xf numFmtId="166" fontId="0" fillId="0" borderId="0" xfId="119" quotePrefix="1" applyFont="1" applyBorder="1" applyAlignment="1">
      <alignment horizontal="center" vertical="center"/>
    </xf>
    <xf numFmtId="43" fontId="60" fillId="0" borderId="0" xfId="0" applyNumberFormat="1" applyFont="1" applyBorder="1" applyAlignment="1">
      <alignment vertical="center"/>
    </xf>
    <xf numFmtId="0" fontId="83" fillId="0" borderId="31" xfId="105" applyFont="1" applyBorder="1" applyAlignment="1">
      <alignment horizontal="center" vertical="center" wrapText="1"/>
    </xf>
    <xf numFmtId="165" fontId="30" fillId="0" borderId="19" xfId="99" applyFont="1" applyFill="1" applyBorder="1" applyAlignment="1">
      <alignment horizontal="right" vertical="center"/>
    </xf>
    <xf numFmtId="0" fontId="0" fillId="0" borderId="0" xfId="0" applyNumberFormat="1" applyAlignment="1">
      <alignment horizontal="center" vertical="center" wrapText="1"/>
    </xf>
    <xf numFmtId="165" fontId="31" fillId="0" borderId="0" xfId="99" applyFont="1" applyFill="1" applyAlignment="1">
      <alignment horizontal="right" vertical="center"/>
    </xf>
    <xf numFmtId="165" fontId="31" fillId="0" borderId="0" xfId="99" applyFont="1" applyFill="1" applyBorder="1" applyAlignment="1">
      <alignment horizontal="right" vertical="center"/>
    </xf>
    <xf numFmtId="165" fontId="30" fillId="0" borderId="0" xfId="99" applyFont="1" applyFill="1" applyBorder="1" applyAlignment="1">
      <alignment horizontal="right" vertical="center"/>
    </xf>
    <xf numFmtId="165" fontId="30" fillId="0" borderId="0" xfId="99" applyFont="1" applyFill="1" applyAlignment="1">
      <alignment horizontal="right" vertical="center"/>
    </xf>
    <xf numFmtId="166" fontId="22" fillId="0" borderId="0" xfId="119" applyFont="1" applyFill="1" applyBorder="1" applyAlignment="1">
      <alignment vertical="center" wrapText="1"/>
    </xf>
    <xf numFmtId="166" fontId="22" fillId="0" borderId="28" xfId="119" applyFont="1" applyFill="1" applyBorder="1" applyAlignment="1">
      <alignment vertical="center" wrapText="1"/>
    </xf>
    <xf numFmtId="0" fontId="0" fillId="0" borderId="0" xfId="0" applyAlignment="1">
      <alignment horizontal="center" vertical="center"/>
    </xf>
    <xf numFmtId="1" fontId="0" fillId="0" borderId="0" xfId="0" applyNumberFormat="1" applyAlignment="1">
      <alignment horizontal="center" vertical="center"/>
    </xf>
    <xf numFmtId="0" fontId="0" fillId="0" borderId="0" xfId="0" applyFill="1" applyAlignment="1">
      <alignment horizontal="center" vertical="center"/>
    </xf>
    <xf numFmtId="166" fontId="0" fillId="0" borderId="0" xfId="119" applyFont="1" applyBorder="1" applyAlignment="1">
      <alignment horizontal="center" vertical="center"/>
    </xf>
    <xf numFmtId="0" fontId="6" fillId="0" borderId="31" xfId="0" applyFont="1" applyBorder="1" applyAlignment="1">
      <alignment horizontal="center" vertical="center" wrapText="1"/>
    </xf>
    <xf numFmtId="0" fontId="31" fillId="43" borderId="0" xfId="0" applyFont="1" applyFill="1" applyBorder="1" applyAlignment="1">
      <alignment vertical="center" wrapText="1"/>
    </xf>
    <xf numFmtId="0" fontId="31" fillId="36" borderId="0" xfId="0" applyFont="1" applyFill="1" applyBorder="1" applyAlignment="1">
      <alignment vertical="center" wrapText="1"/>
    </xf>
    <xf numFmtId="0" fontId="31" fillId="0" borderId="0" xfId="0" applyFont="1" applyAlignment="1">
      <alignment horizontal="right"/>
    </xf>
    <xf numFmtId="1" fontId="0" fillId="0" borderId="0" xfId="0" applyNumberFormat="1" applyFill="1" applyAlignment="1">
      <alignment horizontal="center" vertical="center"/>
    </xf>
    <xf numFmtId="0" fontId="31" fillId="33" borderId="0" xfId="0" applyFont="1" applyFill="1"/>
    <xf numFmtId="0" fontId="105" fillId="0" borderId="49" xfId="0" applyFont="1" applyFill="1" applyBorder="1" applyAlignment="1">
      <alignment horizontal="center" wrapText="1"/>
    </xf>
    <xf numFmtId="0" fontId="25" fillId="41" borderId="20" xfId="0" applyNumberFormat="1" applyFont="1" applyFill="1" applyBorder="1" applyAlignment="1">
      <alignment horizontal="center" vertical="center"/>
    </xf>
    <xf numFmtId="1" fontId="25" fillId="41" borderId="19" xfId="0" applyNumberFormat="1" applyFont="1" applyFill="1" applyBorder="1" applyAlignment="1">
      <alignment horizontal="center" vertical="center" wrapText="1"/>
    </xf>
    <xf numFmtId="168" fontId="25" fillId="41" borderId="19" xfId="0" applyNumberFormat="1" applyFont="1" applyFill="1" applyBorder="1" applyAlignment="1">
      <alignment horizontal="center" vertical="center" wrapText="1"/>
    </xf>
    <xf numFmtId="167" fontId="25" fillId="41" borderId="19" xfId="0" applyNumberFormat="1" applyFont="1" applyFill="1" applyBorder="1" applyAlignment="1">
      <alignment horizontal="left" vertical="center"/>
    </xf>
    <xf numFmtId="167" fontId="25" fillId="41" borderId="19" xfId="0" applyNumberFormat="1" applyFont="1" applyFill="1" applyBorder="1" applyAlignment="1">
      <alignment horizontal="center" vertical="center"/>
    </xf>
    <xf numFmtId="166" fontId="25" fillId="41" borderId="19" xfId="119" applyFont="1" applyFill="1" applyBorder="1" applyAlignment="1">
      <alignment horizontal="center" vertical="center"/>
    </xf>
    <xf numFmtId="165" fontId="25" fillId="41" borderId="19" xfId="99" applyFont="1" applyFill="1" applyBorder="1" applyAlignment="1">
      <alignment horizontal="right" vertical="center"/>
    </xf>
    <xf numFmtId="165" fontId="25" fillId="41" borderId="21" xfId="99" applyFont="1" applyFill="1" applyBorder="1" applyAlignment="1">
      <alignment horizontal="right" vertical="center"/>
    </xf>
    <xf numFmtId="165" fontId="25" fillId="33" borderId="22" xfId="99" applyFont="1" applyFill="1" applyBorder="1" applyAlignment="1">
      <alignment horizontal="center" vertical="center" wrapText="1"/>
    </xf>
    <xf numFmtId="165" fontId="25" fillId="33" borderId="55" xfId="99" applyFont="1" applyFill="1" applyBorder="1" applyAlignment="1">
      <alignment horizontal="center" vertical="center" wrapText="1"/>
    </xf>
    <xf numFmtId="0" fontId="31" fillId="36" borderId="0" xfId="0" applyFont="1" applyFill="1" applyAlignment="1">
      <alignment horizontal="center"/>
    </xf>
    <xf numFmtId="166" fontId="22" fillId="0" borderId="31" xfId="119" applyFont="1" applyFill="1" applyBorder="1" applyAlignment="1">
      <alignment horizontal="left" vertical="center"/>
    </xf>
    <xf numFmtId="166" fontId="22" fillId="0" borderId="0" xfId="119" applyFont="1" applyFill="1" applyBorder="1" applyAlignment="1">
      <alignment horizontal="left" vertical="center"/>
    </xf>
    <xf numFmtId="166" fontId="22" fillId="0" borderId="28" xfId="119" applyFont="1" applyFill="1" applyBorder="1" applyAlignment="1">
      <alignment horizontal="left" vertical="center"/>
    </xf>
    <xf numFmtId="166" fontId="22" fillId="0" borderId="19" xfId="0" applyNumberFormat="1" applyFont="1" applyBorder="1" applyAlignment="1">
      <alignment horizontal="left" vertical="center"/>
    </xf>
    <xf numFmtId="166" fontId="6" fillId="0" borderId="19" xfId="119" applyNumberFormat="1" applyFont="1" applyFill="1" applyBorder="1" applyAlignment="1">
      <alignment vertical="center" wrapText="1"/>
    </xf>
    <xf numFmtId="166" fontId="22" fillId="39" borderId="19" xfId="119" applyNumberFormat="1" applyFont="1" applyFill="1" applyBorder="1" applyAlignment="1">
      <alignment horizontal="center" vertical="center" wrapText="1"/>
    </xf>
    <xf numFmtId="166" fontId="6" fillId="0" borderId="19" xfId="119" applyNumberFormat="1" applyFont="1" applyBorder="1" applyAlignment="1">
      <alignment horizontal="center" vertical="center" wrapText="1"/>
    </xf>
    <xf numFmtId="166" fontId="6" fillId="0" borderId="19" xfId="0" applyNumberFormat="1" applyFont="1" applyBorder="1"/>
    <xf numFmtId="166" fontId="22" fillId="38" borderId="19" xfId="119" applyNumberFormat="1" applyFont="1" applyFill="1" applyBorder="1" applyAlignment="1">
      <alignment horizontal="center" vertical="center" wrapText="1"/>
    </xf>
    <xf numFmtId="166" fontId="22" fillId="38" borderId="19" xfId="119" applyNumberFormat="1" applyFont="1" applyFill="1" applyBorder="1" applyAlignment="1">
      <alignment horizontal="center" vertical="center"/>
    </xf>
    <xf numFmtId="166" fontId="31" fillId="0" borderId="19" xfId="153" applyNumberFormat="1" applyFont="1" applyBorder="1" applyAlignment="1">
      <alignment horizontal="right" vertical="center"/>
    </xf>
    <xf numFmtId="166" fontId="6" fillId="0" borderId="19" xfId="0" applyNumberFormat="1" applyFont="1" applyFill="1" applyBorder="1" applyAlignment="1">
      <alignment horizontal="center" vertical="center"/>
    </xf>
    <xf numFmtId="166" fontId="22" fillId="39" borderId="19" xfId="156" applyNumberFormat="1" applyFont="1" applyFill="1" applyBorder="1" applyAlignment="1">
      <alignment horizontal="center" vertical="center" wrapText="1"/>
    </xf>
    <xf numFmtId="166" fontId="6" fillId="0" borderId="19" xfId="156" applyNumberFormat="1" applyFont="1" applyBorder="1" applyAlignment="1">
      <alignment horizontal="center" vertical="center" wrapText="1"/>
    </xf>
    <xf numFmtId="166" fontId="6" fillId="0" borderId="19" xfId="119" applyNumberFormat="1" applyFont="1" applyBorder="1" applyAlignment="1">
      <alignment horizontal="center" vertical="center"/>
    </xf>
    <xf numFmtId="166" fontId="22" fillId="39" borderId="19" xfId="156" applyNumberFormat="1" applyFont="1" applyFill="1" applyBorder="1" applyAlignment="1">
      <alignment horizontal="center" vertical="center"/>
    </xf>
    <xf numFmtId="166" fontId="6" fillId="0" borderId="19" xfId="119" applyNumberFormat="1" applyFont="1" applyFill="1" applyBorder="1" applyAlignment="1">
      <alignment horizontal="center" vertical="center" wrapText="1"/>
    </xf>
    <xf numFmtId="166" fontId="6" fillId="38" borderId="19" xfId="273" applyNumberFormat="1" applyFont="1" applyFill="1" applyBorder="1" applyAlignment="1">
      <alignment horizontal="center" vertical="center"/>
    </xf>
    <xf numFmtId="166" fontId="22" fillId="0" borderId="19" xfId="119" applyNumberFormat="1" applyFont="1" applyFill="1" applyBorder="1" applyAlignment="1">
      <alignment horizontal="center" vertical="center" wrapText="1"/>
    </xf>
    <xf numFmtId="166" fontId="6" fillId="0" borderId="19" xfId="119" applyNumberFormat="1" applyFont="1" applyFill="1" applyBorder="1" applyAlignment="1">
      <alignment horizontal="center"/>
    </xf>
    <xf numFmtId="166" fontId="22" fillId="39" borderId="19" xfId="148" applyNumberFormat="1" applyFont="1" applyFill="1" applyBorder="1" applyAlignment="1">
      <alignment horizontal="center" vertical="center" wrapText="1"/>
    </xf>
    <xf numFmtId="166" fontId="6" fillId="0" borderId="19" xfId="147" applyNumberFormat="1" applyFont="1" applyBorder="1" applyAlignment="1">
      <alignment horizontal="center" vertical="center"/>
    </xf>
    <xf numFmtId="166" fontId="22" fillId="0" borderId="54" xfId="119" applyFont="1" applyFill="1" applyBorder="1" applyAlignment="1">
      <alignment horizontal="left" vertical="center"/>
    </xf>
    <xf numFmtId="166" fontId="22" fillId="0" borderId="53" xfId="119" applyFont="1" applyFill="1" applyBorder="1" applyAlignment="1">
      <alignment horizontal="left" vertical="center"/>
    </xf>
    <xf numFmtId="166" fontId="6" fillId="0" borderId="31" xfId="119" applyFont="1" applyBorder="1" applyAlignment="1">
      <alignment horizontal="right" vertical="center"/>
    </xf>
    <xf numFmtId="0" fontId="6" fillId="0" borderId="28" xfId="0" applyFont="1" applyFill="1" applyBorder="1" applyAlignment="1">
      <alignment horizontal="center" vertical="center"/>
    </xf>
    <xf numFmtId="166" fontId="0" fillId="0" borderId="0" xfId="119" applyFont="1" applyBorder="1" applyAlignment="1">
      <alignment horizontal="center" vertical="center"/>
    </xf>
    <xf numFmtId="186" fontId="6" fillId="0" borderId="19" xfId="119" applyNumberFormat="1" applyFont="1" applyBorder="1" applyAlignment="1">
      <alignment horizontal="center" vertical="center" wrapText="1"/>
    </xf>
    <xf numFmtId="166" fontId="22" fillId="39" borderId="19" xfId="119" applyFont="1" applyFill="1" applyBorder="1" applyAlignment="1">
      <alignment horizontal="center" vertical="center" wrapText="1"/>
    </xf>
    <xf numFmtId="0" fontId="6" fillId="0" borderId="19" xfId="0" applyFont="1" applyBorder="1" applyAlignment="1">
      <alignment horizontal="left" vertical="center" wrapText="1"/>
    </xf>
    <xf numFmtId="0" fontId="6" fillId="0" borderId="19" xfId="0" applyFont="1" applyBorder="1" applyAlignment="1">
      <alignment horizontal="center" vertical="center" wrapText="1"/>
    </xf>
    <xf numFmtId="172" fontId="6" fillId="0" borderId="19" xfId="150" applyNumberFormat="1" applyFont="1" applyBorder="1" applyAlignment="1">
      <alignment horizontal="center" vertical="center"/>
    </xf>
    <xf numFmtId="172" fontId="6" fillId="38" borderId="19" xfId="273" applyNumberFormat="1" applyFont="1" applyFill="1" applyBorder="1" applyAlignment="1">
      <alignment horizontal="center" vertical="center"/>
    </xf>
    <xf numFmtId="0" fontId="6" fillId="0" borderId="19" xfId="106" applyFont="1" applyBorder="1" applyAlignment="1">
      <alignment horizontal="center" vertical="center"/>
    </xf>
    <xf numFmtId="1" fontId="6" fillId="0" borderId="19" xfId="171" applyNumberFormat="1" applyFont="1" applyFill="1" applyBorder="1" applyAlignment="1">
      <alignment horizontal="center" vertical="center"/>
    </xf>
    <xf numFmtId="0" fontId="6" fillId="0" borderId="0" xfId="0" applyFont="1" applyFill="1" applyBorder="1" applyAlignment="1">
      <alignment horizontal="left" wrapText="1"/>
    </xf>
    <xf numFmtId="166" fontId="0" fillId="0" borderId="0" xfId="119" applyFont="1" applyBorder="1" applyAlignment="1">
      <alignment horizontal="center" vertical="center"/>
    </xf>
    <xf numFmtId="0" fontId="82" fillId="0" borderId="0" xfId="0" applyFont="1" applyFill="1" applyBorder="1" applyAlignment="1">
      <alignment horizontal="center" wrapText="1"/>
    </xf>
    <xf numFmtId="0" fontId="22" fillId="0" borderId="19" xfId="0" applyFont="1" applyBorder="1" applyAlignment="1">
      <alignment horizontal="left" vertical="center"/>
    </xf>
    <xf numFmtId="0" fontId="6" fillId="0" borderId="19" xfId="0" applyFont="1" applyFill="1" applyBorder="1" applyAlignment="1">
      <alignment horizontal="center"/>
    </xf>
    <xf numFmtId="0" fontId="22" fillId="0" borderId="19" xfId="0" applyFont="1" applyFill="1" applyBorder="1" applyAlignment="1">
      <alignment horizontal="center" vertical="center" wrapText="1"/>
    </xf>
    <xf numFmtId="0" fontId="0" fillId="0" borderId="0" xfId="0"/>
    <xf numFmtId="0" fontId="0" fillId="0" borderId="29" xfId="0" applyBorder="1"/>
    <xf numFmtId="0" fontId="27" fillId="0" borderId="0" xfId="0" applyFont="1"/>
    <xf numFmtId="4" fontId="27" fillId="0" borderId="0" xfId="0" applyNumberFormat="1" applyFont="1"/>
    <xf numFmtId="166" fontId="27" fillId="0" borderId="19" xfId="119" applyFont="1" applyFill="1" applyBorder="1" applyAlignment="1">
      <alignment horizontal="center"/>
    </xf>
    <xf numFmtId="166" fontId="6" fillId="0" borderId="19" xfId="119" applyFont="1" applyFill="1" applyBorder="1" applyAlignment="1">
      <alignment horizontal="center" vertical="center" wrapText="1"/>
    </xf>
    <xf numFmtId="0" fontId="6" fillId="0" borderId="24" xfId="0" applyFont="1" applyFill="1" applyBorder="1"/>
    <xf numFmtId="43" fontId="6" fillId="0" borderId="24" xfId="119" applyNumberFormat="1" applyFont="1" applyFill="1" applyBorder="1"/>
    <xf numFmtId="166" fontId="6" fillId="0" borderId="0" xfId="119" applyNumberFormat="1" applyFont="1" applyFill="1" applyBorder="1" applyAlignment="1">
      <alignment horizontal="center" vertical="center"/>
    </xf>
    <xf numFmtId="0" fontId="6" fillId="0" borderId="19" xfId="0" applyFont="1" applyBorder="1" applyAlignment="1">
      <alignment horizontal="center"/>
    </xf>
    <xf numFmtId="1" fontId="22" fillId="38" borderId="19" xfId="0" applyNumberFormat="1" applyFont="1" applyFill="1" applyBorder="1" applyAlignment="1">
      <alignment horizontal="center" vertical="center"/>
    </xf>
    <xf numFmtId="0" fontId="22" fillId="0" borderId="19" xfId="0" applyFont="1" applyBorder="1" applyAlignment="1">
      <alignment horizontal="center" vertical="center"/>
    </xf>
    <xf numFmtId="0" fontId="60" fillId="0" borderId="19" xfId="0" applyFont="1" applyBorder="1" applyAlignment="1">
      <alignment horizontal="center" vertical="center"/>
    </xf>
    <xf numFmtId="166" fontId="6" fillId="0" borderId="19" xfId="119" applyFont="1" applyFill="1" applyBorder="1" applyAlignment="1">
      <alignment horizontal="center" vertical="center"/>
    </xf>
    <xf numFmtId="0" fontId="22" fillId="0" borderId="58"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0" fillId="0" borderId="0" xfId="0" applyAlignment="1">
      <alignment vertical="center"/>
    </xf>
    <xf numFmtId="0" fontId="22" fillId="0" borderId="0" xfId="0" applyFont="1" applyBorder="1" applyAlignment="1">
      <alignment horizontal="center"/>
    </xf>
    <xf numFmtId="0" fontId="22" fillId="0" borderId="0" xfId="0" applyFont="1" applyAlignment="1">
      <alignment horizontal="center"/>
    </xf>
    <xf numFmtId="0" fontId="112" fillId="0" borderId="0" xfId="0" applyFont="1" applyFill="1" applyBorder="1" applyAlignment="1">
      <alignment horizontal="center" wrapText="1"/>
    </xf>
    <xf numFmtId="0" fontId="112" fillId="0" borderId="0" xfId="0" applyFont="1" applyFill="1" applyBorder="1" applyAlignment="1">
      <alignment horizontal="center"/>
    </xf>
    <xf numFmtId="0" fontId="82" fillId="0" borderId="29" xfId="0" applyFont="1" applyFill="1" applyBorder="1" applyAlignment="1">
      <alignment horizontal="left" wrapText="1"/>
    </xf>
    <xf numFmtId="0" fontId="27" fillId="0" borderId="0" xfId="0" applyFont="1" applyAlignment="1">
      <alignment vertical="center"/>
    </xf>
    <xf numFmtId="0" fontId="27" fillId="0" borderId="0" xfId="0" applyFont="1" applyAlignment="1"/>
    <xf numFmtId="0" fontId="0" fillId="0" borderId="0" xfId="0" applyAlignment="1"/>
    <xf numFmtId="0" fontId="23" fillId="0" borderId="39" xfId="0" applyFont="1" applyBorder="1" applyAlignment="1">
      <alignment horizontal="center" vertical="center"/>
    </xf>
    <xf numFmtId="0" fontId="105" fillId="0" borderId="0" xfId="0" applyFont="1" applyFill="1" applyBorder="1" applyAlignment="1">
      <alignment horizontal="center" wrapText="1"/>
    </xf>
    <xf numFmtId="165" fontId="76" fillId="0" borderId="0" xfId="99" applyFont="1" applyBorder="1" applyAlignment="1">
      <alignment vertical="center"/>
    </xf>
    <xf numFmtId="1" fontId="6" fillId="0" borderId="62" xfId="151" applyNumberFormat="1" applyFont="1" applyBorder="1" applyAlignment="1">
      <alignment horizontal="center" vertical="center"/>
    </xf>
    <xf numFmtId="171" fontId="6" fillId="0" borderId="62" xfId="119" applyNumberFormat="1" applyFont="1" applyBorder="1" applyAlignment="1">
      <alignment horizontal="center" vertical="center" wrapText="1"/>
    </xf>
    <xf numFmtId="0" fontId="111" fillId="47" borderId="19" xfId="323" applyFont="1" applyFill="1" applyBorder="1" applyAlignment="1">
      <alignment horizontal="center" vertical="center" wrapText="1"/>
    </xf>
    <xf numFmtId="0" fontId="6" fillId="0" borderId="24" xfId="0" applyFont="1" applyBorder="1" applyAlignment="1">
      <alignment horizontal="center" vertical="center"/>
    </xf>
    <xf numFmtId="0" fontId="6" fillId="0" borderId="19" xfId="154" applyFont="1" applyFill="1" applyBorder="1" applyAlignment="1">
      <alignment horizontal="center" vertical="center"/>
    </xf>
    <xf numFmtId="0" fontId="6" fillId="0" borderId="19" xfId="151" applyFont="1" applyFill="1" applyBorder="1" applyAlignment="1">
      <alignment horizontal="center" vertical="center"/>
    </xf>
    <xf numFmtId="171" fontId="6" fillId="0" borderId="19" xfId="153" applyNumberFormat="1" applyFont="1" applyBorder="1" applyAlignment="1">
      <alignment horizontal="center" vertical="center"/>
    </xf>
    <xf numFmtId="0" fontId="6" fillId="0" borderId="0" xfId="0" applyFont="1" applyAlignment="1">
      <alignment horizontal="center" vertical="center"/>
    </xf>
    <xf numFmtId="0" fontId="113" fillId="49" borderId="19" xfId="323" applyFont="1" applyFill="1" applyBorder="1" applyAlignment="1">
      <alignment horizontal="center" vertical="center" wrapText="1"/>
    </xf>
    <xf numFmtId="171" fontId="22" fillId="39" borderId="19" xfId="119" applyNumberFormat="1" applyFont="1" applyFill="1" applyBorder="1" applyAlignment="1">
      <alignment horizontal="center" vertical="center" wrapText="1"/>
    </xf>
    <xf numFmtId="171" fontId="6" fillId="0" borderId="19" xfId="119" applyNumberFormat="1" applyFont="1" applyFill="1" applyBorder="1" applyAlignment="1">
      <alignment horizontal="center" vertical="center" wrapText="1"/>
    </xf>
    <xf numFmtId="187" fontId="22" fillId="0" borderId="25" xfId="99" applyNumberFormat="1" applyFont="1" applyFill="1" applyBorder="1" applyAlignment="1">
      <alignment horizontal="center" vertical="center" wrapText="1"/>
    </xf>
    <xf numFmtId="187" fontId="22" fillId="0" borderId="19" xfId="99" applyNumberFormat="1" applyFont="1" applyFill="1" applyBorder="1" applyAlignment="1">
      <alignment horizontal="right" vertical="center" wrapText="1"/>
    </xf>
    <xf numFmtId="187" fontId="22" fillId="39" borderId="19" xfId="99" applyNumberFormat="1" applyFont="1" applyFill="1" applyBorder="1" applyAlignment="1">
      <alignment horizontal="right" vertical="center" wrapText="1"/>
    </xf>
    <xf numFmtId="187" fontId="6" fillId="0" borderId="19" xfId="99" applyNumberFormat="1" applyFont="1" applyFill="1" applyBorder="1" applyAlignment="1">
      <alignment horizontal="right" vertical="center" wrapText="1"/>
    </xf>
    <xf numFmtId="187" fontId="6" fillId="0" borderId="19" xfId="99" applyNumberFormat="1" applyFont="1" applyBorder="1" applyAlignment="1">
      <alignment horizontal="right"/>
    </xf>
    <xf numFmtId="187" fontId="22" fillId="39" borderId="19" xfId="99" applyNumberFormat="1" applyFont="1" applyFill="1" applyBorder="1" applyAlignment="1">
      <alignment horizontal="center" vertical="center" wrapText="1"/>
    </xf>
    <xf numFmtId="187" fontId="103" fillId="38" borderId="19" xfId="99" applyNumberFormat="1" applyFont="1" applyFill="1" applyBorder="1" applyAlignment="1">
      <alignment horizontal="right" vertical="center" wrapText="1"/>
    </xf>
    <xf numFmtId="187" fontId="22" fillId="38" borderId="19" xfId="99" applyNumberFormat="1" applyFont="1" applyFill="1" applyBorder="1" applyAlignment="1">
      <alignment horizontal="center" vertical="center"/>
    </xf>
    <xf numFmtId="187" fontId="22" fillId="38" borderId="19" xfId="99" applyNumberFormat="1" applyFont="1" applyFill="1" applyBorder="1" applyAlignment="1">
      <alignment horizontal="right" vertical="center"/>
    </xf>
    <xf numFmtId="187" fontId="102" fillId="0" borderId="19" xfId="99" applyNumberFormat="1" applyFont="1" applyFill="1" applyBorder="1" applyAlignment="1">
      <alignment horizontal="center" vertical="center" wrapText="1"/>
    </xf>
    <xf numFmtId="187" fontId="6" fillId="0" borderId="19" xfId="99" applyNumberFormat="1" applyFont="1" applyFill="1" applyBorder="1" applyAlignment="1">
      <alignment horizontal="center" vertical="center" wrapText="1"/>
    </xf>
    <xf numFmtId="187" fontId="22" fillId="39" borderId="19" xfId="99" applyNumberFormat="1" applyFont="1" applyFill="1" applyBorder="1" applyAlignment="1">
      <alignment horizontal="right" vertical="center"/>
    </xf>
    <xf numFmtId="187" fontId="22" fillId="0" borderId="19" xfId="99" applyNumberFormat="1" applyFont="1" applyBorder="1" applyAlignment="1">
      <alignment horizontal="right" vertical="center"/>
    </xf>
    <xf numFmtId="187" fontId="6" fillId="38" borderId="19" xfId="99" applyNumberFormat="1" applyFont="1" applyFill="1" applyBorder="1" applyAlignment="1">
      <alignment horizontal="right" vertical="center" wrapText="1"/>
    </xf>
    <xf numFmtId="187" fontId="6" fillId="38" borderId="19" xfId="99" applyNumberFormat="1" applyFont="1" applyFill="1" applyBorder="1" applyAlignment="1">
      <alignment horizontal="center" vertical="center" wrapText="1"/>
    </xf>
    <xf numFmtId="187" fontId="6" fillId="0" borderId="19" xfId="99" applyNumberFormat="1" applyFont="1" applyFill="1" applyBorder="1"/>
    <xf numFmtId="187" fontId="6" fillId="0" borderId="19" xfId="99" applyNumberFormat="1" applyFont="1" applyFill="1" applyBorder="1" applyAlignment="1">
      <alignment horizontal="right"/>
    </xf>
    <xf numFmtId="187" fontId="6" fillId="0" borderId="0" xfId="99" applyNumberFormat="1" applyFont="1" applyFill="1" applyBorder="1" applyAlignment="1">
      <alignment horizontal="right"/>
    </xf>
    <xf numFmtId="165" fontId="22" fillId="0" borderId="24" xfId="99" applyNumberFormat="1" applyFont="1" applyFill="1" applyBorder="1" applyAlignment="1">
      <alignment horizontal="center" vertical="center" wrapText="1"/>
    </xf>
    <xf numFmtId="165" fontId="22" fillId="0" borderId="19" xfId="99" applyNumberFormat="1" applyFont="1" applyFill="1" applyBorder="1" applyAlignment="1">
      <alignment vertical="center" wrapText="1"/>
    </xf>
    <xf numFmtId="165" fontId="22" fillId="39" borderId="19" xfId="99" applyNumberFormat="1" applyFont="1" applyFill="1" applyBorder="1" applyAlignment="1">
      <alignment horizontal="center" vertical="center"/>
    </xf>
    <xf numFmtId="165" fontId="6" fillId="0" borderId="19" xfId="99" applyNumberFormat="1" applyFont="1" applyBorder="1" applyAlignment="1">
      <alignment horizontal="center" vertical="center" wrapText="1"/>
    </xf>
    <xf numFmtId="165" fontId="6" fillId="0" borderId="19" xfId="99" applyNumberFormat="1" applyFont="1" applyBorder="1" applyAlignment="1">
      <alignment horizontal="center" vertical="center"/>
    </xf>
    <xf numFmtId="165" fontId="6" fillId="0" borderId="19" xfId="99" applyNumberFormat="1" applyFont="1" applyBorder="1"/>
    <xf numFmtId="165" fontId="22" fillId="38" borderId="19" xfId="99" applyNumberFormat="1" applyFont="1" applyFill="1" applyBorder="1" applyAlignment="1">
      <alignment horizontal="center" vertical="center"/>
    </xf>
    <xf numFmtId="165" fontId="6" fillId="0" borderId="19" xfId="99" applyNumberFormat="1" applyFont="1" applyFill="1" applyBorder="1" applyAlignment="1">
      <alignment horizontal="center" vertical="center" wrapText="1"/>
    </xf>
    <xf numFmtId="165" fontId="6" fillId="0" borderId="19" xfId="99" applyNumberFormat="1" applyFont="1" applyBorder="1" applyAlignment="1">
      <alignment horizontal="right" vertical="center"/>
    </xf>
    <xf numFmtId="165" fontId="6" fillId="0" borderId="19" xfId="99" applyNumberFormat="1" applyFont="1" applyFill="1" applyBorder="1" applyAlignment="1" applyProtection="1">
      <alignment horizontal="right" vertical="center" wrapText="1"/>
    </xf>
    <xf numFmtId="165" fontId="6" fillId="0" borderId="19" xfId="99" applyNumberFormat="1" applyFont="1" applyFill="1" applyBorder="1" applyAlignment="1">
      <alignment horizontal="left" vertical="center"/>
    </xf>
    <xf numFmtId="165" fontId="22" fillId="0" borderId="19" xfId="99" applyNumberFormat="1" applyFont="1" applyBorder="1" applyAlignment="1">
      <alignment horizontal="left" vertical="center"/>
    </xf>
    <xf numFmtId="165" fontId="6" fillId="0" borderId="19" xfId="99" applyNumberFormat="1" applyFont="1" applyFill="1" applyBorder="1" applyAlignment="1">
      <alignment horizontal="center" vertical="center"/>
    </xf>
    <xf numFmtId="165" fontId="22" fillId="0" borderId="19" xfId="99" applyNumberFormat="1" applyFont="1" applyFill="1" applyBorder="1" applyAlignment="1">
      <alignment horizontal="center" vertical="center"/>
    </xf>
    <xf numFmtId="165" fontId="6" fillId="0" borderId="0" xfId="99" applyNumberFormat="1" applyFont="1" applyFill="1" applyBorder="1" applyAlignment="1">
      <alignment horizontal="center" vertical="center"/>
    </xf>
    <xf numFmtId="0" fontId="102" fillId="0" borderId="19" xfId="0" applyFont="1" applyBorder="1" applyAlignment="1">
      <alignment horizontal="center" vertical="center"/>
    </xf>
    <xf numFmtId="171" fontId="6" fillId="0" borderId="19" xfId="119" applyNumberFormat="1" applyFont="1" applyBorder="1" applyAlignment="1">
      <alignment horizontal="center" vertical="center" wrapText="1"/>
    </xf>
    <xf numFmtId="0" fontId="114" fillId="50" borderId="31" xfId="0" applyFont="1" applyFill="1" applyBorder="1" applyAlignment="1">
      <alignment horizontal="center" vertical="center" wrapText="1"/>
    </xf>
    <xf numFmtId="0" fontId="23" fillId="50" borderId="31" xfId="0" applyFont="1" applyFill="1" applyBorder="1" applyAlignment="1">
      <alignment horizontal="center" vertical="center" wrapText="1"/>
    </xf>
    <xf numFmtId="166" fontId="6" fillId="0" borderId="0" xfId="119" applyFont="1" applyAlignment="1">
      <alignment horizontal="right" vertical="center"/>
    </xf>
    <xf numFmtId="49" fontId="30" fillId="0" borderId="19" xfId="119" applyNumberFormat="1" applyFont="1" applyFill="1" applyBorder="1" applyAlignment="1">
      <alignment vertical="center" wrapText="1"/>
    </xf>
    <xf numFmtId="166" fontId="22" fillId="0" borderId="31" xfId="119" applyFont="1" applyFill="1" applyBorder="1" applyAlignment="1">
      <alignment horizontal="left" vertical="center" wrapText="1"/>
    </xf>
    <xf numFmtId="166" fontId="22" fillId="0" borderId="0" xfId="119" applyFont="1" applyFill="1" applyBorder="1" applyAlignment="1">
      <alignment horizontal="left" vertical="center" wrapText="1"/>
    </xf>
    <xf numFmtId="166" fontId="22" fillId="0" borderId="28" xfId="119" applyFont="1" applyFill="1" applyBorder="1" applyAlignment="1">
      <alignment horizontal="left" vertical="center" wrapText="1"/>
    </xf>
    <xf numFmtId="166" fontId="6" fillId="0" borderId="0" xfId="119" applyFont="1" applyBorder="1" applyAlignment="1">
      <alignment horizontal="center" vertical="center" wrapText="1"/>
    </xf>
    <xf numFmtId="166" fontId="6" fillId="0" borderId="0" xfId="119" applyFont="1" applyFill="1" applyBorder="1" applyAlignment="1">
      <alignment horizontal="center" vertical="center" wrapText="1"/>
    </xf>
    <xf numFmtId="166" fontId="6" fillId="0" borderId="28" xfId="119" applyFont="1" applyBorder="1" applyAlignment="1">
      <alignment horizontal="center" vertical="center" wrapText="1"/>
    </xf>
    <xf numFmtId="166" fontId="22" fillId="0" borderId="32" xfId="119" applyFont="1" applyFill="1" applyBorder="1" applyAlignment="1">
      <alignment horizontal="left" vertical="center" wrapText="1"/>
    </xf>
    <xf numFmtId="166" fontId="22" fillId="0" borderId="29" xfId="119" applyFont="1" applyFill="1" applyBorder="1" applyAlignment="1">
      <alignment horizontal="left" vertical="center" wrapText="1"/>
    </xf>
    <xf numFmtId="166" fontId="22" fillId="0" borderId="30" xfId="119" applyFont="1" applyFill="1" applyBorder="1" applyAlignment="1">
      <alignment horizontal="left" vertical="center" wrapText="1"/>
    </xf>
    <xf numFmtId="166" fontId="22" fillId="0" borderId="31" xfId="119" applyFont="1" applyFill="1" applyBorder="1" applyAlignment="1">
      <alignment horizontal="left" vertical="center"/>
    </xf>
    <xf numFmtId="166" fontId="22" fillId="0" borderId="0" xfId="119" applyFont="1" applyFill="1" applyBorder="1" applyAlignment="1">
      <alignment horizontal="left" vertical="center"/>
    </xf>
    <xf numFmtId="166" fontId="22" fillId="0" borderId="28" xfId="119" applyFont="1" applyFill="1" applyBorder="1" applyAlignment="1">
      <alignment horizontal="left" vertical="center"/>
    </xf>
    <xf numFmtId="166" fontId="6" fillId="0" borderId="0" xfId="119" applyFont="1" applyBorder="1" applyAlignment="1">
      <alignment horizontal="center" vertical="center"/>
    </xf>
    <xf numFmtId="166" fontId="0" fillId="0" borderId="0" xfId="119" applyFont="1" applyBorder="1" applyAlignment="1">
      <alignment horizontal="center" vertical="center"/>
    </xf>
    <xf numFmtId="166" fontId="6" fillId="0" borderId="28" xfId="119" applyFont="1" applyBorder="1" applyAlignment="1">
      <alignment horizontal="center" vertical="center"/>
    </xf>
    <xf numFmtId="166" fontId="6" fillId="0" borderId="31" xfId="119" applyFont="1" applyFill="1" applyBorder="1" applyAlignment="1">
      <alignment horizontal="center" vertical="center"/>
    </xf>
    <xf numFmtId="166" fontId="6" fillId="0" borderId="0" xfId="119" applyFont="1" applyFill="1" applyBorder="1" applyAlignment="1">
      <alignment horizontal="center" vertical="center"/>
    </xf>
    <xf numFmtId="166" fontId="6" fillId="0" borderId="28" xfId="119" applyFont="1" applyFill="1" applyBorder="1" applyAlignment="1">
      <alignment horizontal="center" vertical="center"/>
    </xf>
    <xf numFmtId="166" fontId="22" fillId="0" borderId="19" xfId="0" applyNumberFormat="1" applyFont="1" applyFill="1" applyBorder="1" applyAlignment="1">
      <alignment horizontal="left" vertical="center" wrapText="1"/>
    </xf>
    <xf numFmtId="0" fontId="31" fillId="0" borderId="31" xfId="0" applyFont="1" applyBorder="1" applyAlignment="1">
      <alignment horizontal="center" vertical="center" wrapText="1"/>
    </xf>
    <xf numFmtId="166" fontId="22" fillId="0" borderId="31" xfId="119" applyFont="1" applyFill="1" applyBorder="1" applyAlignment="1">
      <alignment horizontal="left" vertical="center" wrapText="1"/>
    </xf>
    <xf numFmtId="166" fontId="22" fillId="0" borderId="0" xfId="119" applyFont="1" applyFill="1" applyBorder="1" applyAlignment="1">
      <alignment horizontal="left" vertical="center" wrapText="1"/>
    </xf>
    <xf numFmtId="166" fontId="22" fillId="0" borderId="28" xfId="119" applyFont="1" applyFill="1" applyBorder="1" applyAlignment="1">
      <alignment horizontal="left" vertical="center" wrapText="1"/>
    </xf>
    <xf numFmtId="166" fontId="22" fillId="0" borderId="31" xfId="119" applyFont="1" applyFill="1" applyBorder="1" applyAlignment="1">
      <alignment horizontal="left" vertical="center"/>
    </xf>
    <xf numFmtId="166" fontId="22" fillId="0" borderId="0" xfId="119" applyFont="1" applyFill="1" applyBorder="1" applyAlignment="1">
      <alignment horizontal="left" vertical="center"/>
    </xf>
    <xf numFmtId="166" fontId="22" fillId="0" borderId="28" xfId="119" applyFont="1" applyFill="1" applyBorder="1" applyAlignment="1">
      <alignment horizontal="left" vertical="center"/>
    </xf>
    <xf numFmtId="0" fontId="31" fillId="0" borderId="31" xfId="0" applyFont="1" applyFill="1" applyBorder="1" applyAlignment="1">
      <alignment horizontal="center" vertical="center" wrapText="1"/>
    </xf>
    <xf numFmtId="166" fontId="6" fillId="0" borderId="28" xfId="119" applyFont="1" applyBorder="1" applyAlignment="1">
      <alignment horizontal="center" vertical="center"/>
    </xf>
    <xf numFmtId="166" fontId="22" fillId="0" borderId="36" xfId="119" applyFont="1" applyBorder="1" applyAlignment="1">
      <alignment horizontal="center" vertical="center"/>
    </xf>
    <xf numFmtId="0" fontId="6" fillId="0" borderId="19" xfId="0" applyFont="1" applyFill="1" applyBorder="1" applyAlignment="1">
      <alignment horizontal="center"/>
    </xf>
    <xf numFmtId="0" fontId="0" fillId="37" borderId="0" xfId="0" applyFill="1" applyAlignment="1">
      <alignment vertical="center"/>
    </xf>
    <xf numFmtId="166" fontId="22" fillId="0" borderId="0" xfId="119" applyFont="1" applyFill="1" applyBorder="1" applyAlignment="1">
      <alignment horizontal="center" vertical="center"/>
    </xf>
    <xf numFmtId="172" fontId="6" fillId="0" borderId="19" xfId="156" applyNumberFormat="1" applyFont="1" applyBorder="1" applyAlignment="1">
      <alignment horizontal="center" vertical="center" wrapText="1"/>
    </xf>
    <xf numFmtId="171" fontId="6" fillId="0" borderId="19" xfId="156" applyNumberFormat="1" applyFont="1" applyBorder="1" applyAlignment="1">
      <alignment horizontal="center" vertical="center" wrapText="1"/>
    </xf>
    <xf numFmtId="171" fontId="6" fillId="0" borderId="19" xfId="119" applyNumberFormat="1" applyFont="1" applyBorder="1" applyAlignment="1">
      <alignment horizontal="center" vertical="center"/>
    </xf>
    <xf numFmtId="166" fontId="22" fillId="0" borderId="26" xfId="119" applyFont="1" applyFill="1" applyBorder="1" applyAlignment="1">
      <alignment horizontal="left" vertical="center"/>
    </xf>
    <xf numFmtId="166" fontId="6" fillId="0" borderId="19" xfId="119" applyFont="1" applyBorder="1" applyAlignment="1">
      <alignment horizontal="center" vertical="center"/>
    </xf>
    <xf numFmtId="0" fontId="6" fillId="0" borderId="19" xfId="119" applyNumberFormat="1" applyFont="1" applyBorder="1" applyAlignment="1">
      <alignment horizontal="center" vertical="center"/>
    </xf>
    <xf numFmtId="0" fontId="75" fillId="0" borderId="19" xfId="0" applyFont="1" applyBorder="1" applyAlignment="1">
      <alignment horizontal="left" vertical="center"/>
    </xf>
    <xf numFmtId="166" fontId="6" fillId="0" borderId="26" xfId="119" applyFont="1" applyBorder="1" applyAlignment="1">
      <alignment horizontal="left" vertical="center"/>
    </xf>
    <xf numFmtId="166" fontId="6" fillId="0" borderId="54" xfId="119" applyFont="1" applyBorder="1" applyAlignment="1">
      <alignment horizontal="left" vertical="center"/>
    </xf>
    <xf numFmtId="166" fontId="6" fillId="0" borderId="53" xfId="119" applyFont="1" applyBorder="1" applyAlignment="1">
      <alignment horizontal="left" vertical="center"/>
    </xf>
    <xf numFmtId="166" fontId="6" fillId="42" borderId="0" xfId="119" applyFont="1" applyFill="1" applyBorder="1" applyAlignment="1">
      <alignment horizontal="left" vertical="center" wrapText="1"/>
    </xf>
    <xf numFmtId="166" fontId="6" fillId="42" borderId="28" xfId="119" applyFont="1" applyFill="1" applyBorder="1" applyAlignment="1">
      <alignment horizontal="center" vertical="center" wrapText="1"/>
    </xf>
    <xf numFmtId="166" fontId="6" fillId="42" borderId="28" xfId="119" applyFont="1" applyFill="1" applyBorder="1" applyAlignment="1">
      <alignment horizontal="left" vertical="center" wrapText="1"/>
    </xf>
    <xf numFmtId="172" fontId="6" fillId="42" borderId="28" xfId="119" applyNumberFormat="1" applyFont="1" applyFill="1" applyBorder="1" applyAlignment="1">
      <alignment horizontal="left" vertical="center" wrapText="1"/>
    </xf>
    <xf numFmtId="166" fontId="22" fillId="0" borderId="31" xfId="119" applyFont="1" applyFill="1" applyBorder="1" applyAlignment="1">
      <alignment horizontal="left" vertical="center" wrapText="1"/>
    </xf>
    <xf numFmtId="166" fontId="22" fillId="0" borderId="0" xfId="119" applyFont="1" applyFill="1" applyBorder="1" applyAlignment="1">
      <alignment horizontal="left" vertical="center" wrapText="1"/>
    </xf>
    <xf numFmtId="166" fontId="22" fillId="0" borderId="28" xfId="119" applyFont="1" applyFill="1" applyBorder="1" applyAlignment="1">
      <alignment horizontal="left" vertical="center" wrapText="1"/>
    </xf>
    <xf numFmtId="0" fontId="31" fillId="0" borderId="31" xfId="0" applyFont="1" applyFill="1" applyBorder="1" applyAlignment="1">
      <alignment horizontal="center" vertical="center" wrapText="1"/>
    </xf>
    <xf numFmtId="0" fontId="31" fillId="0" borderId="31" xfId="0" applyFont="1" applyBorder="1" applyAlignment="1">
      <alignment horizontal="center" vertical="center" wrapText="1"/>
    </xf>
    <xf numFmtId="166" fontId="6" fillId="0" borderId="0" xfId="119" applyFont="1" applyBorder="1" applyAlignment="1">
      <alignment horizontal="center" vertical="center"/>
    </xf>
    <xf numFmtId="166" fontId="6" fillId="0" borderId="28" xfId="119" applyFont="1" applyBorder="1" applyAlignment="1">
      <alignment horizontal="center" vertical="center"/>
    </xf>
    <xf numFmtId="0" fontId="31" fillId="0" borderId="0" xfId="0" applyFont="1" applyAlignment="1">
      <alignment horizontal="center" vertical="center" wrapText="1"/>
    </xf>
    <xf numFmtId="0" fontId="31" fillId="0" borderId="54" xfId="0" applyFont="1" applyBorder="1" applyAlignment="1">
      <alignment horizontal="center" vertical="center" wrapText="1"/>
    </xf>
    <xf numFmtId="0" fontId="108" fillId="0" borderId="31" xfId="0" applyFont="1" applyFill="1" applyBorder="1" applyAlignment="1">
      <alignment horizontal="center" vertical="center" wrapText="1"/>
    </xf>
    <xf numFmtId="0" fontId="108" fillId="0" borderId="31" xfId="0" applyFont="1" applyBorder="1" applyAlignment="1">
      <alignment horizontal="center" vertical="center" wrapText="1"/>
    </xf>
    <xf numFmtId="4" fontId="61" fillId="0" borderId="31" xfId="0" applyNumberFormat="1" applyFont="1" applyFill="1" applyBorder="1" applyAlignment="1">
      <alignment horizontal="center" vertical="center" wrapText="1"/>
    </xf>
    <xf numFmtId="0" fontId="23" fillId="0" borderId="31" xfId="0" applyFont="1" applyBorder="1" applyAlignment="1">
      <alignment horizontal="center" vertical="center" wrapText="1"/>
    </xf>
    <xf numFmtId="0" fontId="109" fillId="0" borderId="31" xfId="0" applyFont="1" applyBorder="1" applyAlignment="1">
      <alignment horizontal="center" vertical="center" wrapText="1"/>
    </xf>
    <xf numFmtId="0" fontId="110" fillId="0" borderId="31" xfId="0" applyFont="1" applyFill="1" applyBorder="1" applyAlignment="1">
      <alignment horizontal="center" vertical="center" wrapText="1"/>
    </xf>
    <xf numFmtId="0" fontId="107" fillId="0" borderId="31" xfId="0" applyFont="1" applyFill="1" applyBorder="1" applyAlignment="1">
      <alignment horizontal="center" vertical="center" wrapText="1"/>
    </xf>
    <xf numFmtId="0" fontId="31" fillId="0" borderId="0" xfId="0" applyFont="1" applyBorder="1" applyAlignment="1">
      <alignment horizontal="center" vertical="center" wrapText="1"/>
    </xf>
    <xf numFmtId="0" fontId="0" fillId="0" borderId="28" xfId="0" applyBorder="1" applyAlignment="1">
      <alignment horizontal="center" vertical="center"/>
    </xf>
    <xf numFmtId="0" fontId="6" fillId="0" borderId="28" xfId="0" applyFont="1" applyBorder="1" applyAlignment="1">
      <alignment horizontal="center" vertical="center"/>
    </xf>
    <xf numFmtId="0" fontId="0" fillId="0" borderId="28" xfId="0" applyFill="1" applyBorder="1" applyAlignment="1">
      <alignment horizontal="center" vertical="center"/>
    </xf>
    <xf numFmtId="0" fontId="59" fillId="0" borderId="28" xfId="0" applyFont="1" applyBorder="1" applyAlignment="1">
      <alignment horizontal="center" vertical="center"/>
    </xf>
    <xf numFmtId="0" fontId="22" fillId="0" borderId="58" xfId="0" applyFont="1" applyFill="1" applyBorder="1" applyAlignment="1">
      <alignment horizontal="left" vertical="center"/>
    </xf>
    <xf numFmtId="0" fontId="22" fillId="0" borderId="25" xfId="0" applyFont="1" applyFill="1" applyBorder="1" applyAlignment="1">
      <alignment horizontal="left" vertical="center"/>
    </xf>
    <xf numFmtId="0" fontId="22" fillId="0" borderId="24" xfId="0" applyFont="1" applyFill="1" applyBorder="1" applyAlignment="1">
      <alignment horizontal="left" vertical="center"/>
    </xf>
    <xf numFmtId="0" fontId="0" fillId="0" borderId="0" xfId="0" applyBorder="1" applyAlignment="1">
      <alignment horizontal="center" vertical="center"/>
    </xf>
    <xf numFmtId="0" fontId="102" fillId="0" borderId="19" xfId="0" applyFont="1" applyBorder="1" applyAlignment="1">
      <alignment horizontal="left" vertical="center" wrapText="1"/>
    </xf>
    <xf numFmtId="0" fontId="6" fillId="0" borderId="19" xfId="0" applyFont="1" applyBorder="1" applyAlignment="1">
      <alignment horizontal="center" vertical="center" readingOrder="1"/>
    </xf>
    <xf numFmtId="0" fontId="31" fillId="0" borderId="31" xfId="0" applyFont="1" applyFill="1" applyBorder="1" applyAlignment="1">
      <alignment vertical="center"/>
    </xf>
    <xf numFmtId="0" fontId="31" fillId="0" borderId="31" xfId="0" applyFont="1" applyFill="1" applyBorder="1" applyAlignment="1">
      <alignment vertical="center" wrapText="1"/>
    </xf>
    <xf numFmtId="43" fontId="6" fillId="0" borderId="0" xfId="119" applyNumberFormat="1" applyFont="1" applyFill="1" applyBorder="1" applyAlignment="1">
      <alignment horizontal="right" vertical="center"/>
    </xf>
    <xf numFmtId="166" fontId="22" fillId="0" borderId="31" xfId="119" applyFont="1" applyFill="1" applyBorder="1" applyAlignment="1">
      <alignment horizontal="left" vertical="center" wrapText="1"/>
    </xf>
    <xf numFmtId="166" fontId="22" fillId="0" borderId="0" xfId="119" applyFont="1" applyFill="1" applyBorder="1" applyAlignment="1">
      <alignment horizontal="left" vertical="center" wrapText="1"/>
    </xf>
    <xf numFmtId="166" fontId="22" fillId="0" borderId="28" xfId="119" applyFont="1" applyFill="1" applyBorder="1" applyAlignment="1">
      <alignment horizontal="left" vertical="center" wrapText="1"/>
    </xf>
    <xf numFmtId="0" fontId="31" fillId="0" borderId="31" xfId="0" applyFont="1" applyBorder="1" applyAlignment="1">
      <alignment horizontal="center" vertical="center" wrapText="1"/>
    </xf>
    <xf numFmtId="0" fontId="31" fillId="0" borderId="31" xfId="0" applyFont="1" applyFill="1" applyBorder="1" applyAlignment="1">
      <alignment horizontal="center" vertical="center" wrapText="1"/>
    </xf>
    <xf numFmtId="166" fontId="6" fillId="0" borderId="0" xfId="119" applyFont="1" applyBorder="1" applyAlignment="1">
      <alignment horizontal="center" vertical="center" wrapText="1"/>
    </xf>
    <xf numFmtId="166" fontId="6" fillId="42" borderId="0" xfId="119" applyFont="1" applyFill="1" applyBorder="1" applyAlignment="1">
      <alignment horizontal="center" vertical="center" wrapText="1"/>
    </xf>
    <xf numFmtId="166" fontId="6" fillId="0" borderId="28" xfId="119" applyFont="1" applyBorder="1" applyAlignment="1">
      <alignment horizontal="center" vertical="center"/>
    </xf>
    <xf numFmtId="166" fontId="60" fillId="0" borderId="0" xfId="0" applyNumberFormat="1" applyFont="1" applyFill="1" applyBorder="1" applyAlignment="1">
      <alignment horizontal="center" vertical="center"/>
    </xf>
    <xf numFmtId="166" fontId="22" fillId="0" borderId="31" xfId="119" applyFont="1" applyFill="1" applyBorder="1" applyAlignment="1">
      <alignment horizontal="left" vertical="center" wrapText="1"/>
    </xf>
    <xf numFmtId="166" fontId="22" fillId="0" borderId="0" xfId="119" applyFont="1" applyFill="1" applyBorder="1" applyAlignment="1">
      <alignment horizontal="left" vertical="center" wrapText="1"/>
    </xf>
    <xf numFmtId="166" fontId="22" fillId="0" borderId="28" xfId="119" applyFont="1" applyFill="1" applyBorder="1" applyAlignment="1">
      <alignment horizontal="left" vertical="center" wrapText="1"/>
    </xf>
    <xf numFmtId="0" fontId="31" fillId="0" borderId="31" xfId="0" applyFont="1" applyBorder="1" applyAlignment="1">
      <alignment horizontal="center" vertical="center" wrapText="1"/>
    </xf>
    <xf numFmtId="166" fontId="6" fillId="0" borderId="0" xfId="119" applyFont="1" applyBorder="1" applyAlignment="1">
      <alignment horizontal="center" vertical="center" wrapText="1"/>
    </xf>
    <xf numFmtId="166" fontId="6" fillId="42" borderId="0" xfId="119" applyFont="1" applyFill="1" applyBorder="1" applyAlignment="1">
      <alignment horizontal="center" vertical="center" wrapText="1"/>
    </xf>
    <xf numFmtId="166" fontId="6" fillId="0" borderId="54" xfId="119" applyFont="1" applyFill="1" applyBorder="1" applyAlignment="1">
      <alignment horizontal="left" vertical="center"/>
    </xf>
    <xf numFmtId="166" fontId="6" fillId="0" borderId="26" xfId="119" applyFont="1" applyFill="1" applyBorder="1" applyAlignment="1">
      <alignment horizontal="left" vertical="center"/>
    </xf>
    <xf numFmtId="166" fontId="6" fillId="0" borderId="53" xfId="119" applyFont="1" applyFill="1" applyBorder="1" applyAlignment="1">
      <alignment horizontal="left" vertical="center"/>
    </xf>
    <xf numFmtId="166" fontId="22" fillId="0" borderId="30" xfId="119" applyFont="1" applyFill="1" applyBorder="1" applyAlignment="1">
      <alignment horizontal="left" vertical="center"/>
    </xf>
    <xf numFmtId="166" fontId="22" fillId="0" borderId="29" xfId="119" applyFont="1" applyFill="1" applyBorder="1" applyAlignment="1">
      <alignment horizontal="left" vertical="center"/>
    </xf>
    <xf numFmtId="166" fontId="22" fillId="0" borderId="32" xfId="119" applyFont="1" applyFill="1" applyBorder="1" applyAlignment="1">
      <alignment horizontal="left" vertical="center"/>
    </xf>
    <xf numFmtId="172" fontId="0" fillId="42" borderId="0" xfId="119" applyNumberFormat="1" applyFont="1" applyFill="1" applyBorder="1" applyAlignment="1">
      <alignment horizontal="center" vertical="center"/>
    </xf>
    <xf numFmtId="166" fontId="60" fillId="0" borderId="0" xfId="0" applyNumberFormat="1" applyFont="1" applyBorder="1" applyAlignment="1">
      <alignment vertical="center"/>
    </xf>
    <xf numFmtId="0" fontId="31" fillId="0" borderId="31" xfId="0" applyFont="1" applyBorder="1" applyAlignment="1">
      <alignment horizontal="center" vertical="center" wrapText="1"/>
    </xf>
    <xf numFmtId="166" fontId="22" fillId="0" borderId="31" xfId="119" applyFont="1" applyFill="1" applyBorder="1" applyAlignment="1">
      <alignment horizontal="left" vertical="center" wrapText="1"/>
    </xf>
    <xf numFmtId="166" fontId="22" fillId="0" borderId="0" xfId="119" applyFont="1" applyFill="1" applyBorder="1" applyAlignment="1">
      <alignment horizontal="left" vertical="center" wrapText="1"/>
    </xf>
    <xf numFmtId="166" fontId="22" fillId="0" borderId="28" xfId="119" applyFont="1" applyFill="1" applyBorder="1" applyAlignment="1">
      <alignment horizontal="left" vertical="center" wrapText="1"/>
    </xf>
    <xf numFmtId="166" fontId="22" fillId="0" borderId="26" xfId="119" applyFont="1" applyFill="1" applyBorder="1" applyAlignment="1">
      <alignment horizontal="left" vertical="center" wrapText="1"/>
    </xf>
    <xf numFmtId="0" fontId="31" fillId="0" borderId="31" xfId="0" applyFont="1" applyFill="1" applyBorder="1" applyAlignment="1">
      <alignment horizontal="center" vertical="center" wrapText="1"/>
    </xf>
    <xf numFmtId="166" fontId="22" fillId="0" borderId="0" xfId="119" applyFont="1" applyFill="1" applyBorder="1" applyAlignment="1">
      <alignment horizontal="left" vertical="center"/>
    </xf>
    <xf numFmtId="166" fontId="22" fillId="0" borderId="28" xfId="119" applyFont="1" applyFill="1" applyBorder="1" applyAlignment="1">
      <alignment horizontal="left" vertical="center"/>
    </xf>
    <xf numFmtId="166" fontId="6" fillId="0" borderId="0" xfId="119" applyFont="1" applyBorder="1" applyAlignment="1">
      <alignment horizontal="center" vertical="center" wrapText="1"/>
    </xf>
    <xf numFmtId="166" fontId="6" fillId="42" borderId="0" xfId="119" applyFont="1" applyFill="1" applyBorder="1" applyAlignment="1">
      <alignment horizontal="center" vertical="center" wrapText="1"/>
    </xf>
    <xf numFmtId="166" fontId="6" fillId="0" borderId="0" xfId="119" applyFont="1" applyFill="1" applyBorder="1" applyAlignment="1">
      <alignment horizontal="center" vertical="center" wrapText="1"/>
    </xf>
    <xf numFmtId="166" fontId="22" fillId="0" borderId="31" xfId="119" applyFont="1" applyFill="1" applyBorder="1" applyAlignment="1">
      <alignment horizontal="left" vertical="center" wrapText="1"/>
    </xf>
    <xf numFmtId="166" fontId="22" fillId="0" borderId="0" xfId="119" applyFont="1" applyFill="1" applyBorder="1" applyAlignment="1">
      <alignment horizontal="left" vertical="center" wrapText="1"/>
    </xf>
    <xf numFmtId="166" fontId="22" fillId="0" borderId="28" xfId="119" applyFont="1" applyFill="1" applyBorder="1" applyAlignment="1">
      <alignment horizontal="left" vertical="center" wrapText="1"/>
    </xf>
    <xf numFmtId="0" fontId="31" fillId="0" borderId="31" xfId="0" applyFont="1" applyBorder="1" applyAlignment="1">
      <alignment horizontal="center" vertical="center" wrapText="1"/>
    </xf>
    <xf numFmtId="166" fontId="6" fillId="0" borderId="28" xfId="119" applyFont="1" applyBorder="1" applyAlignment="1">
      <alignment horizontal="center" vertical="center"/>
    </xf>
    <xf numFmtId="0" fontId="31" fillId="0" borderId="31" xfId="0" applyFont="1" applyBorder="1" applyAlignment="1">
      <alignment vertical="center"/>
    </xf>
    <xf numFmtId="1" fontId="59" fillId="0" borderId="0" xfId="0" applyNumberFormat="1" applyFont="1" applyFill="1" applyAlignment="1">
      <alignment horizontal="center" vertical="center"/>
    </xf>
    <xf numFmtId="0" fontId="6" fillId="0" borderId="25" xfId="0" applyFont="1" applyFill="1" applyBorder="1" applyAlignment="1">
      <alignment horizontal="left" vertical="center" wrapText="1"/>
    </xf>
    <xf numFmtId="0" fontId="6" fillId="0" borderId="25" xfId="0" applyFont="1" applyFill="1" applyBorder="1" applyAlignment="1">
      <alignment horizontal="center" vertical="center" wrapText="1"/>
    </xf>
    <xf numFmtId="187" fontId="6" fillId="0" borderId="25" xfId="99" applyNumberFormat="1" applyFont="1" applyFill="1" applyBorder="1" applyAlignment="1">
      <alignment horizontal="right" vertical="center" wrapText="1"/>
    </xf>
    <xf numFmtId="0" fontId="25" fillId="40" borderId="20" xfId="0" applyNumberFormat="1" applyFont="1" applyFill="1" applyBorder="1" applyAlignment="1">
      <alignment horizontal="center" vertical="center"/>
    </xf>
    <xf numFmtId="1" fontId="25" fillId="40" borderId="19" xfId="0" applyNumberFormat="1" applyFont="1" applyFill="1" applyBorder="1" applyAlignment="1">
      <alignment horizontal="center" vertical="center" wrapText="1"/>
    </xf>
    <xf numFmtId="168" fontId="25" fillId="40" borderId="19" xfId="0" applyNumberFormat="1" applyFont="1" applyFill="1" applyBorder="1" applyAlignment="1">
      <alignment horizontal="center" vertical="center" wrapText="1"/>
    </xf>
    <xf numFmtId="167" fontId="25" fillId="40" borderId="19" xfId="0" applyNumberFormat="1" applyFont="1" applyFill="1" applyBorder="1" applyAlignment="1">
      <alignment horizontal="left" vertical="center"/>
    </xf>
    <xf numFmtId="167" fontId="25" fillId="40" borderId="19" xfId="0" applyNumberFormat="1" applyFont="1" applyFill="1" applyBorder="1" applyAlignment="1">
      <alignment horizontal="center" vertical="center"/>
    </xf>
    <xf numFmtId="166" fontId="25" fillId="40" borderId="19" xfId="119" applyFont="1" applyFill="1" applyBorder="1" applyAlignment="1">
      <alignment horizontal="center" vertical="center"/>
    </xf>
    <xf numFmtId="165" fontId="25" fillId="40" borderId="19" xfId="99" applyFont="1" applyFill="1" applyBorder="1" applyAlignment="1">
      <alignment horizontal="right" vertical="center"/>
    </xf>
    <xf numFmtId="165" fontId="25" fillId="40" borderId="21" xfId="99" applyFont="1" applyFill="1" applyBorder="1" applyAlignment="1">
      <alignment horizontal="right" vertical="center"/>
    </xf>
    <xf numFmtId="166" fontId="25" fillId="40" borderId="19" xfId="0" quotePrefix="1" applyNumberFormat="1" applyFont="1" applyFill="1" applyBorder="1" applyAlignment="1">
      <alignment horizontal="center" vertical="center"/>
    </xf>
    <xf numFmtId="166" fontId="25" fillId="40" borderId="19" xfId="119" quotePrefix="1" applyFont="1" applyFill="1" applyBorder="1" applyAlignment="1">
      <alignment horizontal="center" vertical="center"/>
    </xf>
    <xf numFmtId="166" fontId="25" fillId="40" borderId="19" xfId="99" quotePrefix="1" applyNumberFormat="1" applyFont="1" applyFill="1" applyBorder="1" applyAlignment="1">
      <alignment horizontal="right" vertical="center"/>
    </xf>
    <xf numFmtId="165" fontId="25" fillId="40" borderId="21" xfId="99" quotePrefix="1" applyFont="1" applyFill="1" applyBorder="1" applyAlignment="1">
      <alignment horizontal="right" vertical="center"/>
    </xf>
    <xf numFmtId="0" fontId="25" fillId="51" borderId="20" xfId="0" applyNumberFormat="1" applyFont="1" applyFill="1" applyBorder="1" applyAlignment="1">
      <alignment horizontal="center" vertical="center"/>
    </xf>
    <xf numFmtId="1" fontId="25" fillId="51" borderId="19" xfId="0" applyNumberFormat="1" applyFont="1" applyFill="1" applyBorder="1" applyAlignment="1">
      <alignment horizontal="center" vertical="center" wrapText="1"/>
    </xf>
    <xf numFmtId="168" fontId="25" fillId="51" borderId="19" xfId="0" applyNumberFormat="1" applyFont="1" applyFill="1" applyBorder="1" applyAlignment="1">
      <alignment horizontal="center" vertical="center" wrapText="1"/>
    </xf>
    <xf numFmtId="167" fontId="25" fillId="51" borderId="19" xfId="0" applyNumberFormat="1" applyFont="1" applyFill="1" applyBorder="1" applyAlignment="1">
      <alignment horizontal="left" vertical="center"/>
    </xf>
    <xf numFmtId="167" fontId="25" fillId="51" borderId="19" xfId="0" applyNumberFormat="1" applyFont="1" applyFill="1" applyBorder="1" applyAlignment="1">
      <alignment horizontal="center" vertical="center"/>
    </xf>
    <xf numFmtId="166" fontId="25" fillId="51" borderId="19" xfId="119" applyFont="1" applyFill="1" applyBorder="1" applyAlignment="1">
      <alignment horizontal="center" vertical="center"/>
    </xf>
    <xf numFmtId="165" fontId="25" fillId="51" borderId="19" xfId="99" applyFont="1" applyFill="1" applyBorder="1" applyAlignment="1">
      <alignment horizontal="right" vertical="center"/>
    </xf>
    <xf numFmtId="165" fontId="25" fillId="51" borderId="21" xfId="99" applyFont="1" applyFill="1" applyBorder="1" applyAlignment="1">
      <alignment horizontal="right" vertical="center"/>
    </xf>
    <xf numFmtId="1" fontId="30" fillId="0" borderId="19" xfId="0" applyNumberFormat="1" applyFont="1" applyFill="1" applyBorder="1" applyAlignment="1">
      <alignment horizontal="center" vertical="center" wrapText="1"/>
    </xf>
    <xf numFmtId="168" fontId="30" fillId="0" borderId="19" xfId="0" applyNumberFormat="1" applyFont="1" applyFill="1" applyBorder="1" applyAlignment="1">
      <alignment horizontal="center" vertical="center" wrapText="1"/>
    </xf>
    <xf numFmtId="165" fontId="25" fillId="40" borderId="61" xfId="99" applyFont="1" applyFill="1" applyBorder="1" applyAlignment="1">
      <alignment horizontal="right" vertical="center"/>
    </xf>
    <xf numFmtId="1" fontId="115" fillId="0" borderId="19" xfId="0" applyNumberFormat="1" applyFont="1" applyBorder="1" applyAlignment="1">
      <alignment horizontal="center" vertical="center" readingOrder="1"/>
    </xf>
    <xf numFmtId="188" fontId="115" fillId="0" borderId="19" xfId="119" applyNumberFormat="1" applyFont="1" applyBorder="1" applyAlignment="1">
      <alignment horizontal="center" vertical="center" wrapText="1"/>
    </xf>
    <xf numFmtId="1" fontId="6" fillId="0" borderId="19" xfId="151" applyNumberFormat="1" applyBorder="1" applyAlignment="1">
      <alignment horizontal="center" vertical="center"/>
    </xf>
    <xf numFmtId="0" fontId="6" fillId="0" borderId="19" xfId="151" applyBorder="1" applyAlignment="1">
      <alignment horizontal="center" vertical="center"/>
    </xf>
    <xf numFmtId="0" fontId="6" fillId="0" borderId="0" xfId="147" applyFont="1" applyBorder="1" applyAlignment="1">
      <alignment horizontal="center" vertical="center"/>
    </xf>
    <xf numFmtId="0" fontId="6" fillId="0" borderId="0" xfId="0" applyFont="1" applyFill="1" applyBorder="1" applyAlignment="1">
      <alignment horizontal="left" vertical="center" wrapText="1"/>
    </xf>
    <xf numFmtId="0" fontId="6" fillId="0" borderId="0" xfId="0" applyFont="1" applyFill="1" applyBorder="1" applyAlignment="1">
      <alignment horizontal="center" vertical="center" wrapText="1"/>
    </xf>
    <xf numFmtId="166" fontId="6" fillId="0" borderId="0" xfId="147" applyNumberFormat="1" applyFont="1" applyBorder="1" applyAlignment="1">
      <alignment horizontal="center" vertical="center"/>
    </xf>
    <xf numFmtId="187" fontId="6" fillId="0" borderId="0" xfId="99" applyNumberFormat="1" applyFont="1" applyFill="1" applyBorder="1" applyAlignment="1">
      <alignment horizontal="right" vertical="center" wrapText="1"/>
    </xf>
    <xf numFmtId="165" fontId="6" fillId="0" borderId="0" xfId="99" applyNumberFormat="1" applyFont="1" applyBorder="1" applyAlignment="1">
      <alignment horizontal="center" vertical="center"/>
    </xf>
    <xf numFmtId="0" fontId="31" fillId="0" borderId="31" xfId="0" applyFont="1" applyFill="1" applyBorder="1" applyAlignment="1">
      <alignment horizontal="center" vertical="center" wrapText="1"/>
    </xf>
    <xf numFmtId="0" fontId="31" fillId="0" borderId="31" xfId="0" applyFont="1" applyFill="1" applyBorder="1" applyAlignment="1">
      <alignment horizontal="center" vertical="center" wrapText="1"/>
    </xf>
    <xf numFmtId="0" fontId="31" fillId="0" borderId="31" xfId="0" applyFont="1" applyBorder="1" applyAlignment="1">
      <alignment horizontal="center" vertical="center" wrapText="1"/>
    </xf>
    <xf numFmtId="166" fontId="6" fillId="0" borderId="0" xfId="119" applyFont="1" applyBorder="1" applyAlignment="1">
      <alignment horizontal="center" vertical="center" wrapText="1"/>
    </xf>
    <xf numFmtId="166" fontId="6" fillId="0" borderId="0" xfId="119" applyFont="1" applyFill="1" applyBorder="1" applyAlignment="1">
      <alignment horizontal="center" vertical="center" wrapText="1"/>
    </xf>
    <xf numFmtId="166" fontId="22" fillId="0" borderId="31" xfId="119" applyFont="1" applyFill="1" applyBorder="1" applyAlignment="1">
      <alignment horizontal="left" vertical="center"/>
    </xf>
    <xf numFmtId="166" fontId="22" fillId="0" borderId="0" xfId="119" applyFont="1" applyFill="1" applyBorder="1" applyAlignment="1">
      <alignment horizontal="left" vertical="center"/>
    </xf>
    <xf numFmtId="166" fontId="22" fillId="0" borderId="28" xfId="119" applyFont="1" applyFill="1" applyBorder="1" applyAlignment="1">
      <alignment horizontal="left" vertical="center"/>
    </xf>
    <xf numFmtId="166" fontId="6" fillId="0" borderId="0" xfId="119" applyFont="1" applyBorder="1" applyAlignment="1">
      <alignment horizontal="center" vertical="center"/>
    </xf>
    <xf numFmtId="188" fontId="0" fillId="42" borderId="0" xfId="119" applyNumberFormat="1" applyFont="1" applyFill="1" applyBorder="1" applyAlignment="1">
      <alignment horizontal="right" vertical="center"/>
    </xf>
    <xf numFmtId="0" fontId="31" fillId="0" borderId="31" xfId="0" applyFont="1" applyFill="1" applyBorder="1" applyAlignment="1">
      <alignment horizontal="center" vertical="center" wrapText="1"/>
    </xf>
    <xf numFmtId="0" fontId="31" fillId="0" borderId="31" xfId="0" applyFont="1" applyBorder="1" applyAlignment="1">
      <alignment horizontal="center" vertical="center" wrapText="1"/>
    </xf>
    <xf numFmtId="166" fontId="6" fillId="0" borderId="0" xfId="119" applyFont="1" applyFill="1" applyBorder="1" applyAlignment="1">
      <alignment horizontal="center" vertical="center" wrapText="1"/>
    </xf>
    <xf numFmtId="166" fontId="6" fillId="0" borderId="0" xfId="119" applyFont="1" applyBorder="1" applyAlignment="1">
      <alignment horizontal="center" vertical="center"/>
    </xf>
    <xf numFmtId="166" fontId="6" fillId="0" borderId="28" xfId="119" applyFont="1" applyBorder="1" applyAlignment="1">
      <alignment horizontal="center" vertical="center"/>
    </xf>
    <xf numFmtId="166" fontId="22" fillId="0" borderId="31" xfId="119" applyFont="1" applyFill="1" applyBorder="1" applyAlignment="1">
      <alignment horizontal="left" vertical="center"/>
    </xf>
    <xf numFmtId="166" fontId="22" fillId="0" borderId="0" xfId="119" applyFont="1" applyFill="1" applyBorder="1" applyAlignment="1">
      <alignment horizontal="left" vertical="center"/>
    </xf>
    <xf numFmtId="166" fontId="22" fillId="0" borderId="28" xfId="119" applyFont="1" applyFill="1" applyBorder="1" applyAlignment="1">
      <alignment horizontal="left" vertical="center"/>
    </xf>
    <xf numFmtId="0" fontId="31" fillId="0" borderId="31" xfId="0" applyFont="1" applyBorder="1" applyAlignment="1">
      <alignment horizontal="center" vertical="center" wrapText="1"/>
    </xf>
    <xf numFmtId="166" fontId="22" fillId="0" borderId="31" xfId="119" applyFont="1" applyFill="1" applyBorder="1" applyAlignment="1">
      <alignment horizontal="left" vertical="center" wrapText="1"/>
    </xf>
    <xf numFmtId="166" fontId="22" fillId="0" borderId="0" xfId="119" applyFont="1" applyFill="1" applyBorder="1" applyAlignment="1">
      <alignment horizontal="left" vertical="center" wrapText="1"/>
    </xf>
    <xf numFmtId="166" fontId="22" fillId="0" borderId="28" xfId="119" applyFont="1" applyFill="1" applyBorder="1" applyAlignment="1">
      <alignment horizontal="left" vertical="center" wrapText="1"/>
    </xf>
    <xf numFmtId="166" fontId="74" fillId="0" borderId="0" xfId="0" applyNumberFormat="1" applyFont="1" applyAlignment="1">
      <alignment vertical="center"/>
    </xf>
    <xf numFmtId="0" fontId="6" fillId="0" borderId="20" xfId="0" applyFont="1" applyBorder="1" applyAlignment="1">
      <alignment horizontal="center" vertical="center"/>
    </xf>
    <xf numFmtId="166" fontId="22" fillId="0" borderId="0" xfId="119" applyFont="1" applyFill="1" applyBorder="1" applyAlignment="1">
      <alignment horizontal="left" vertical="center" wrapText="1"/>
    </xf>
    <xf numFmtId="166" fontId="22" fillId="0" borderId="28" xfId="119" applyFont="1" applyFill="1" applyBorder="1" applyAlignment="1">
      <alignment horizontal="left" vertical="center" wrapText="1"/>
    </xf>
    <xf numFmtId="0" fontId="31" fillId="0" borderId="31" xfId="0" applyFont="1" applyFill="1" applyBorder="1" applyAlignment="1">
      <alignment horizontal="center" vertical="center" wrapText="1"/>
    </xf>
    <xf numFmtId="0" fontId="31" fillId="0" borderId="31" xfId="0" applyFont="1" applyBorder="1" applyAlignment="1">
      <alignment horizontal="center" vertical="center" wrapText="1"/>
    </xf>
    <xf numFmtId="166" fontId="6" fillId="0" borderId="0" xfId="119" applyFont="1" applyBorder="1" applyAlignment="1">
      <alignment horizontal="center" vertical="center" wrapText="1"/>
    </xf>
    <xf numFmtId="166" fontId="6" fillId="0" borderId="0" xfId="119" applyFont="1" applyFill="1" applyBorder="1" applyAlignment="1">
      <alignment horizontal="center" vertical="center" wrapText="1"/>
    </xf>
    <xf numFmtId="166" fontId="6" fillId="42" borderId="0" xfId="119" applyFont="1" applyFill="1" applyBorder="1" applyAlignment="1">
      <alignment horizontal="center" vertical="center" wrapText="1"/>
    </xf>
    <xf numFmtId="166" fontId="6" fillId="0" borderId="19" xfId="119" applyFont="1" applyBorder="1" applyAlignment="1">
      <alignment horizontal="center" vertical="center" wrapText="1"/>
    </xf>
    <xf numFmtId="0" fontId="30" fillId="0" borderId="19" xfId="0" applyFont="1" applyFill="1" applyBorder="1" applyAlignment="1">
      <alignment horizontal="center" vertical="center" wrapText="1"/>
    </xf>
    <xf numFmtId="1" fontId="104" fillId="41" borderId="19" xfId="0" applyNumberFormat="1" applyFont="1" applyFill="1" applyBorder="1" applyAlignment="1">
      <alignment horizontal="center" vertical="center" wrapText="1"/>
    </xf>
    <xf numFmtId="166" fontId="25" fillId="41" borderId="19" xfId="119" applyFont="1" applyFill="1" applyBorder="1" applyAlignment="1">
      <alignment vertical="center" wrapText="1"/>
    </xf>
    <xf numFmtId="166" fontId="30" fillId="41" borderId="19" xfId="119" applyFont="1" applyFill="1" applyBorder="1" applyAlignment="1">
      <alignment horizontal="center" vertical="center"/>
    </xf>
    <xf numFmtId="166" fontId="30" fillId="41" borderId="19" xfId="119" applyFont="1" applyFill="1" applyBorder="1" applyAlignment="1">
      <alignment vertical="center"/>
    </xf>
    <xf numFmtId="166" fontId="30" fillId="41" borderId="19" xfId="119" applyFont="1" applyFill="1" applyBorder="1" applyAlignment="1">
      <alignment horizontal="right" vertical="center"/>
    </xf>
    <xf numFmtId="165" fontId="30" fillId="41" borderId="58" xfId="99" applyFont="1" applyFill="1" applyBorder="1" applyAlignment="1">
      <alignment horizontal="right" vertical="center"/>
    </xf>
    <xf numFmtId="165" fontId="30" fillId="41" borderId="61" xfId="99" applyFont="1" applyFill="1" applyBorder="1" applyAlignment="1">
      <alignment horizontal="right" vertical="center"/>
    </xf>
    <xf numFmtId="167" fontId="25" fillId="40" borderId="19" xfId="0" applyNumberFormat="1" applyFont="1" applyFill="1" applyBorder="1" applyAlignment="1">
      <alignment horizontal="left" vertical="center" wrapText="1"/>
    </xf>
    <xf numFmtId="1" fontId="104" fillId="40" borderId="19" xfId="0" applyNumberFormat="1" applyFont="1" applyFill="1" applyBorder="1" applyAlignment="1">
      <alignment horizontal="center" vertical="center" wrapText="1"/>
    </xf>
    <xf numFmtId="166" fontId="25" fillId="40" borderId="19" xfId="119" applyFont="1" applyFill="1" applyBorder="1" applyAlignment="1">
      <alignment vertical="center" wrapText="1"/>
    </xf>
    <xf numFmtId="166" fontId="30" fillId="40" borderId="19" xfId="119" applyFont="1" applyFill="1" applyBorder="1" applyAlignment="1">
      <alignment horizontal="center" vertical="center"/>
    </xf>
    <xf numFmtId="166" fontId="30" fillId="40" borderId="19" xfId="119" applyFont="1" applyFill="1" applyBorder="1" applyAlignment="1">
      <alignment vertical="center"/>
    </xf>
    <xf numFmtId="166" fontId="30" fillId="40" borderId="19" xfId="119" applyFont="1" applyFill="1" applyBorder="1" applyAlignment="1">
      <alignment horizontal="right" vertical="center"/>
    </xf>
    <xf numFmtId="165" fontId="30" fillId="40" borderId="19" xfId="99" applyFont="1" applyFill="1" applyBorder="1" applyAlignment="1">
      <alignment horizontal="right" vertical="center"/>
    </xf>
    <xf numFmtId="165" fontId="30" fillId="40" borderId="61" xfId="99" applyFont="1" applyFill="1" applyBorder="1" applyAlignment="1">
      <alignment horizontal="right" vertical="center"/>
    </xf>
    <xf numFmtId="165" fontId="30" fillId="40" borderId="58" xfId="99" applyFont="1" applyFill="1" applyBorder="1" applyAlignment="1">
      <alignment horizontal="right" vertical="center"/>
    </xf>
    <xf numFmtId="1" fontId="31" fillId="0" borderId="0" xfId="0" applyNumberFormat="1" applyFont="1" applyAlignment="1">
      <alignment horizontal="center"/>
    </xf>
    <xf numFmtId="167" fontId="25" fillId="40" borderId="19" xfId="0" applyNumberFormat="1" applyFont="1" applyFill="1" applyBorder="1" applyAlignment="1">
      <alignment horizontal="center" vertical="center" wrapText="1"/>
    </xf>
    <xf numFmtId="1" fontId="31" fillId="0" borderId="0" xfId="0" applyNumberFormat="1" applyFont="1" applyBorder="1" applyAlignment="1">
      <alignment horizontal="center"/>
    </xf>
    <xf numFmtId="0" fontId="31" fillId="0" borderId="0" xfId="0" applyFont="1" applyFill="1" applyAlignment="1">
      <alignment horizontal="center"/>
    </xf>
    <xf numFmtId="0" fontId="31" fillId="0" borderId="0" xfId="0" applyFont="1" applyFill="1" applyBorder="1" applyAlignment="1">
      <alignment horizontal="center"/>
    </xf>
    <xf numFmtId="166" fontId="22" fillId="0" borderId="31" xfId="119" applyFont="1" applyFill="1" applyBorder="1" applyAlignment="1">
      <alignment horizontal="left" vertical="center" wrapText="1"/>
    </xf>
    <xf numFmtId="166" fontId="22" fillId="0" borderId="0" xfId="119" applyFont="1" applyFill="1" applyBorder="1" applyAlignment="1">
      <alignment horizontal="left" vertical="center" wrapText="1"/>
    </xf>
    <xf numFmtId="166" fontId="22" fillId="0" borderId="28" xfId="119" applyFont="1" applyFill="1" applyBorder="1" applyAlignment="1">
      <alignment horizontal="left" vertical="center" wrapText="1"/>
    </xf>
    <xf numFmtId="0" fontId="31" fillId="0" borderId="31" xfId="0" applyFont="1" applyFill="1" applyBorder="1" applyAlignment="1">
      <alignment horizontal="center" vertical="center" wrapText="1"/>
    </xf>
    <xf numFmtId="0" fontId="31" fillId="0" borderId="31" xfId="0" applyFont="1" applyBorder="1" applyAlignment="1">
      <alignment horizontal="center" vertical="center" wrapText="1"/>
    </xf>
    <xf numFmtId="166" fontId="6" fillId="0" borderId="0" xfId="119" applyFont="1" applyBorder="1" applyAlignment="1">
      <alignment horizontal="center" vertical="center" wrapText="1"/>
    </xf>
    <xf numFmtId="166" fontId="6" fillId="0" borderId="0" xfId="119" applyFont="1" applyFill="1" applyBorder="1" applyAlignment="1">
      <alignment horizontal="center" vertical="center" wrapText="1"/>
    </xf>
    <xf numFmtId="166" fontId="6" fillId="0" borderId="28" xfId="119" applyFont="1" applyBorder="1" applyAlignment="1">
      <alignment horizontal="center" vertical="center"/>
    </xf>
    <xf numFmtId="166" fontId="6" fillId="42" borderId="0" xfId="119" applyFont="1" applyFill="1" applyBorder="1" applyAlignment="1">
      <alignment horizontal="center" vertical="center" wrapText="1"/>
    </xf>
    <xf numFmtId="166" fontId="22" fillId="0" borderId="0" xfId="119" applyFont="1" applyFill="1" applyBorder="1" applyAlignment="1">
      <alignment horizontal="left" vertical="center"/>
    </xf>
    <xf numFmtId="166" fontId="22" fillId="0" borderId="28" xfId="119" applyFont="1" applyFill="1" applyBorder="1" applyAlignment="1">
      <alignment horizontal="left" vertical="center"/>
    </xf>
    <xf numFmtId="166" fontId="22" fillId="0" borderId="31" xfId="119" applyFont="1" applyFill="1" applyBorder="1" applyAlignment="1">
      <alignment horizontal="left" vertical="center" wrapText="1"/>
    </xf>
    <xf numFmtId="166" fontId="22" fillId="0" borderId="0" xfId="119" applyFont="1" applyFill="1" applyBorder="1" applyAlignment="1">
      <alignment horizontal="left" vertical="center" wrapText="1"/>
    </xf>
    <xf numFmtId="166" fontId="22" fillId="0" borderId="28" xfId="119" applyFont="1" applyFill="1" applyBorder="1" applyAlignment="1">
      <alignment horizontal="left" vertical="center" wrapText="1"/>
    </xf>
    <xf numFmtId="0" fontId="31" fillId="0" borderId="31" xfId="0" applyFont="1" applyBorder="1" applyAlignment="1">
      <alignment horizontal="center" vertical="center" wrapText="1"/>
    </xf>
    <xf numFmtId="166" fontId="22" fillId="0" borderId="31" xfId="119" applyFont="1" applyFill="1" applyBorder="1" applyAlignment="1">
      <alignment horizontal="left" vertical="center"/>
    </xf>
    <xf numFmtId="166" fontId="22" fillId="0" borderId="0" xfId="119" applyFont="1" applyFill="1" applyBorder="1" applyAlignment="1">
      <alignment horizontal="left" vertical="center"/>
    </xf>
    <xf numFmtId="166" fontId="22" fillId="0" borderId="28" xfId="119" applyFont="1" applyFill="1" applyBorder="1" applyAlignment="1">
      <alignment horizontal="left" vertical="center"/>
    </xf>
    <xf numFmtId="166" fontId="74" fillId="0" borderId="0" xfId="119" applyNumberFormat="1" applyFont="1" applyBorder="1" applyAlignment="1">
      <alignment horizontal="right" vertical="center"/>
    </xf>
    <xf numFmtId="0" fontId="31" fillId="0" borderId="0" xfId="0" applyFont="1" applyFill="1" applyBorder="1" applyAlignment="1">
      <alignment horizontal="center" vertical="center" wrapText="1"/>
    </xf>
    <xf numFmtId="0" fontId="6" fillId="0" borderId="58" xfId="0" applyFont="1" applyBorder="1" applyAlignment="1">
      <alignment horizontal="center" vertical="center" readingOrder="1"/>
    </xf>
    <xf numFmtId="0" fontId="6" fillId="0" borderId="25" xfId="0" applyFont="1" applyBorder="1" applyAlignment="1">
      <alignment horizontal="center" vertical="center"/>
    </xf>
    <xf numFmtId="171" fontId="6" fillId="0" borderId="25" xfId="119" applyNumberFormat="1" applyFont="1" applyBorder="1" applyAlignment="1">
      <alignment horizontal="center" vertical="center"/>
    </xf>
    <xf numFmtId="165" fontId="6" fillId="0" borderId="24" xfId="99" applyNumberFormat="1" applyFont="1" applyBorder="1" applyAlignment="1">
      <alignment horizontal="center" vertical="center"/>
    </xf>
    <xf numFmtId="0" fontId="31" fillId="0" borderId="31" xfId="0" applyFont="1" applyFill="1" applyBorder="1" applyAlignment="1">
      <alignment horizontal="center" vertical="center" wrapText="1"/>
    </xf>
    <xf numFmtId="0" fontId="6" fillId="0" borderId="19" xfId="171" applyNumberFormat="1" applyFont="1" applyFill="1" applyBorder="1" applyAlignment="1">
      <alignment horizontal="center" vertical="center"/>
    </xf>
    <xf numFmtId="0" fontId="102" fillId="0" borderId="19" xfId="0" applyFont="1" applyBorder="1" applyAlignment="1">
      <alignment horizontal="center" vertical="center" wrapText="1"/>
    </xf>
    <xf numFmtId="165" fontId="102" fillId="0" borderId="19" xfId="150" applyFont="1" applyFill="1" applyBorder="1" applyAlignment="1">
      <alignment horizontal="center" vertical="center" wrapText="1"/>
    </xf>
    <xf numFmtId="0" fontId="31" fillId="0" borderId="31" xfId="0" applyFont="1" applyFill="1" applyBorder="1" applyAlignment="1">
      <alignment horizontal="center" vertical="center" wrapText="1"/>
    </xf>
    <xf numFmtId="0" fontId="31" fillId="0" borderId="31" xfId="0" applyFont="1" applyBorder="1" applyAlignment="1">
      <alignment horizontal="center" vertical="center" wrapText="1"/>
    </xf>
    <xf numFmtId="166" fontId="6" fillId="0" borderId="28" xfId="119" applyFont="1" applyBorder="1" applyAlignment="1">
      <alignment horizontal="center" vertical="center"/>
    </xf>
    <xf numFmtId="166" fontId="22" fillId="0" borderId="31" xfId="119" applyFont="1" applyFill="1" applyBorder="1" applyAlignment="1">
      <alignment horizontal="left" vertical="center" wrapText="1"/>
    </xf>
    <xf numFmtId="166" fontId="22" fillId="0" borderId="0" xfId="119" applyFont="1" applyFill="1" applyBorder="1" applyAlignment="1">
      <alignment horizontal="left" vertical="center" wrapText="1"/>
    </xf>
    <xf numFmtId="166" fontId="22" fillId="0" borderId="28" xfId="119" applyFont="1" applyFill="1" applyBorder="1" applyAlignment="1">
      <alignment horizontal="left" vertical="center" wrapText="1"/>
    </xf>
    <xf numFmtId="0" fontId="31" fillId="0" borderId="31" xfId="0" applyFont="1" applyBorder="1" applyAlignment="1">
      <alignment horizontal="center" vertical="center" wrapText="1"/>
    </xf>
    <xf numFmtId="0" fontId="31" fillId="0" borderId="31" xfId="0" applyFont="1" applyFill="1" applyBorder="1" applyAlignment="1">
      <alignment horizontal="center" vertical="center" wrapText="1"/>
    </xf>
    <xf numFmtId="49" fontId="22" fillId="0" borderId="31" xfId="119" applyNumberFormat="1" applyFont="1" applyFill="1" applyBorder="1" applyAlignment="1">
      <alignment horizontal="left" vertical="center" wrapText="1"/>
    </xf>
    <xf numFmtId="49" fontId="22" fillId="0" borderId="0" xfId="119" applyNumberFormat="1" applyFont="1" applyFill="1" applyBorder="1" applyAlignment="1">
      <alignment horizontal="left" vertical="center" wrapText="1"/>
    </xf>
    <xf numFmtId="49" fontId="22" fillId="0" borderId="28" xfId="119" applyNumberFormat="1" applyFont="1" applyFill="1" applyBorder="1" applyAlignment="1">
      <alignment horizontal="left" vertical="center" wrapText="1"/>
    </xf>
    <xf numFmtId="166" fontId="6" fillId="0" borderId="0" xfId="119" applyFont="1" applyFill="1" applyBorder="1" applyAlignment="1">
      <alignment horizontal="center" vertical="center" wrapText="1"/>
    </xf>
    <xf numFmtId="43" fontId="76" fillId="0" borderId="0" xfId="0" applyNumberFormat="1" applyFont="1" applyBorder="1" applyAlignment="1">
      <alignment vertical="center"/>
    </xf>
    <xf numFmtId="166" fontId="6" fillId="0" borderId="0" xfId="119" applyNumberFormat="1" applyFont="1" applyFill="1" applyBorder="1" applyAlignment="1">
      <alignment horizontal="right" vertical="center"/>
    </xf>
    <xf numFmtId="165" fontId="0" fillId="0" borderId="0" xfId="99" applyNumberFormat="1" applyFont="1" applyAlignment="1">
      <alignment vertical="center" wrapText="1"/>
    </xf>
    <xf numFmtId="189" fontId="6" fillId="0" borderId="0" xfId="0" applyNumberFormat="1" applyFont="1" applyFill="1" applyBorder="1"/>
    <xf numFmtId="0" fontId="6" fillId="0" borderId="58" xfId="0" applyFont="1" applyBorder="1" applyAlignment="1">
      <alignment horizontal="center" vertical="center"/>
    </xf>
    <xf numFmtId="1" fontId="6" fillId="0" borderId="25" xfId="0" applyNumberFormat="1" applyFont="1" applyBorder="1" applyAlignment="1">
      <alignment horizontal="center" vertical="center"/>
    </xf>
    <xf numFmtId="186" fontId="6" fillId="0" borderId="25" xfId="119" applyNumberFormat="1" applyFont="1" applyBorder="1" applyAlignment="1">
      <alignment horizontal="center" vertical="center" wrapText="1"/>
    </xf>
    <xf numFmtId="165" fontId="6" fillId="0" borderId="24" xfId="99" applyNumberFormat="1" applyFont="1" applyBorder="1" applyAlignment="1">
      <alignment horizontal="center" vertical="center" wrapText="1"/>
    </xf>
    <xf numFmtId="166" fontId="22" fillId="0" borderId="31" xfId="119" applyFont="1" applyFill="1" applyBorder="1" applyAlignment="1">
      <alignment horizontal="left" vertical="center" wrapText="1"/>
    </xf>
    <xf numFmtId="166" fontId="22" fillId="0" borderId="0" xfId="119" applyFont="1" applyFill="1" applyBorder="1" applyAlignment="1">
      <alignment horizontal="left" vertical="center" wrapText="1"/>
    </xf>
    <xf numFmtId="166" fontId="22" fillId="0" borderId="28" xfId="119" applyFont="1" applyFill="1" applyBorder="1" applyAlignment="1">
      <alignment horizontal="left" vertical="center" wrapText="1"/>
    </xf>
    <xf numFmtId="0" fontId="31" fillId="0" borderId="31" xfId="0" applyFont="1" applyFill="1" applyBorder="1" applyAlignment="1">
      <alignment horizontal="center" vertical="center" wrapText="1"/>
    </xf>
    <xf numFmtId="0" fontId="31" fillId="0" borderId="31" xfId="0" applyFont="1" applyBorder="1" applyAlignment="1">
      <alignment horizontal="center" vertical="center" wrapText="1"/>
    </xf>
    <xf numFmtId="166" fontId="6" fillId="0" borderId="0" xfId="119" applyFont="1" applyFill="1" applyBorder="1" applyAlignment="1">
      <alignment horizontal="center" vertical="center" wrapText="1"/>
    </xf>
    <xf numFmtId="166" fontId="22" fillId="0" borderId="0" xfId="119" applyFont="1" applyFill="1" applyBorder="1" applyAlignment="1">
      <alignment horizontal="left" vertical="center"/>
    </xf>
    <xf numFmtId="166" fontId="22" fillId="0" borderId="28" xfId="119" applyFont="1" applyFill="1" applyBorder="1" applyAlignment="1">
      <alignment horizontal="left" vertical="center"/>
    </xf>
    <xf numFmtId="0" fontId="31" fillId="37" borderId="31" xfId="0" applyFont="1" applyFill="1" applyBorder="1" applyAlignment="1">
      <alignment horizontal="center" vertical="center"/>
    </xf>
    <xf numFmtId="166" fontId="6" fillId="37" borderId="0" xfId="119" applyFont="1" applyFill="1" applyBorder="1" applyAlignment="1">
      <alignment horizontal="right" vertical="center"/>
    </xf>
    <xf numFmtId="43" fontId="79" fillId="0" borderId="0" xfId="0" applyNumberFormat="1" applyFont="1" applyFill="1" applyBorder="1" applyAlignment="1">
      <alignment horizontal="center" vertical="center" wrapText="1"/>
    </xf>
    <xf numFmtId="166" fontId="76" fillId="0" borderId="0" xfId="0" applyNumberFormat="1" applyFont="1" applyFill="1" applyBorder="1" applyAlignment="1">
      <alignment horizontal="center" vertical="center"/>
    </xf>
    <xf numFmtId="44" fontId="6" fillId="0" borderId="0" xfId="0" applyNumberFormat="1" applyFont="1" applyFill="1" applyBorder="1"/>
    <xf numFmtId="166" fontId="0" fillId="52" borderId="0" xfId="119" applyFont="1" applyFill="1" applyBorder="1" applyAlignment="1">
      <alignment horizontal="left" vertical="center"/>
    </xf>
    <xf numFmtId="166" fontId="116" fillId="0" borderId="0" xfId="0" applyNumberFormat="1" applyFont="1" applyFill="1" applyBorder="1" applyAlignment="1">
      <alignment vertical="center" wrapText="1"/>
    </xf>
    <xf numFmtId="49" fontId="22" fillId="0" borderId="31" xfId="119" applyNumberFormat="1" applyFont="1" applyFill="1" applyBorder="1" applyAlignment="1">
      <alignment horizontal="left" vertical="center" wrapText="1"/>
    </xf>
    <xf numFmtId="49" fontId="22" fillId="0" borderId="0" xfId="119" applyNumberFormat="1" applyFont="1" applyFill="1" applyBorder="1" applyAlignment="1">
      <alignment horizontal="left" vertical="center" wrapText="1"/>
    </xf>
    <xf numFmtId="49" fontId="22" fillId="0" borderId="28" xfId="119" applyNumberFormat="1" applyFont="1" applyFill="1" applyBorder="1" applyAlignment="1">
      <alignment horizontal="left" vertical="center" wrapText="1"/>
    </xf>
    <xf numFmtId="166" fontId="22" fillId="0" borderId="31" xfId="119" applyFont="1" applyFill="1" applyBorder="1" applyAlignment="1">
      <alignment horizontal="left" vertical="center" wrapText="1"/>
    </xf>
    <xf numFmtId="166" fontId="22" fillId="0" borderId="0" xfId="119" applyFont="1" applyFill="1" applyBorder="1" applyAlignment="1">
      <alignment horizontal="left" vertical="center" wrapText="1"/>
    </xf>
    <xf numFmtId="166" fontId="22" fillId="0" borderId="28" xfId="119" applyFont="1" applyFill="1" applyBorder="1" applyAlignment="1">
      <alignment horizontal="left" vertical="center" wrapText="1"/>
    </xf>
    <xf numFmtId="166" fontId="22" fillId="0" borderId="31" xfId="119" applyFont="1" applyFill="1" applyBorder="1" applyAlignment="1">
      <alignment horizontal="left" vertical="center"/>
    </xf>
    <xf numFmtId="166" fontId="22" fillId="0" borderId="0" xfId="119" applyFont="1" applyFill="1" applyBorder="1" applyAlignment="1">
      <alignment horizontal="left" vertical="center"/>
    </xf>
    <xf numFmtId="166" fontId="22" fillId="0" borderId="28" xfId="119" applyFont="1" applyFill="1" applyBorder="1" applyAlignment="1">
      <alignment horizontal="left" vertical="center"/>
    </xf>
    <xf numFmtId="0" fontId="31" fillId="0" borderId="31" xfId="0" applyFont="1" applyFill="1" applyBorder="1" applyAlignment="1">
      <alignment horizontal="center" vertical="center" wrapText="1"/>
    </xf>
    <xf numFmtId="0" fontId="31" fillId="0" borderId="31" xfId="0" applyFont="1" applyBorder="1" applyAlignment="1">
      <alignment horizontal="center" vertical="center" wrapText="1"/>
    </xf>
    <xf numFmtId="166" fontId="22" fillId="0" borderId="31" xfId="119" applyFont="1" applyFill="1" applyBorder="1" applyAlignment="1">
      <alignment horizontal="left" vertical="center" wrapText="1"/>
    </xf>
    <xf numFmtId="166" fontId="22" fillId="0" borderId="0" xfId="119" applyFont="1" applyFill="1" applyBorder="1" applyAlignment="1">
      <alignment horizontal="left" vertical="center" wrapText="1"/>
    </xf>
    <xf numFmtId="166" fontId="22" fillId="0" borderId="28" xfId="119" applyFont="1" applyFill="1" applyBorder="1" applyAlignment="1">
      <alignment horizontal="left" vertical="center" wrapText="1"/>
    </xf>
    <xf numFmtId="166" fontId="6" fillId="0" borderId="0" xfId="119" applyFont="1" applyFill="1" applyBorder="1" applyAlignment="1">
      <alignment horizontal="center" vertical="center" wrapText="1"/>
    </xf>
    <xf numFmtId="0" fontId="31" fillId="0" borderId="31" xfId="0" applyFont="1" applyBorder="1" applyAlignment="1">
      <alignment horizontal="center" vertical="center" wrapText="1"/>
    </xf>
    <xf numFmtId="166" fontId="22" fillId="0" borderId="31" xfId="119" applyFont="1" applyFill="1" applyBorder="1" applyAlignment="1">
      <alignment horizontal="left" vertical="center"/>
    </xf>
    <xf numFmtId="166" fontId="22" fillId="0" borderId="0" xfId="119" applyFont="1" applyFill="1" applyBorder="1" applyAlignment="1">
      <alignment horizontal="left" vertical="center"/>
    </xf>
    <xf numFmtId="166" fontId="22" fillId="0" borderId="28" xfId="119" applyFont="1" applyFill="1" applyBorder="1" applyAlignment="1">
      <alignment horizontal="left" vertical="center"/>
    </xf>
    <xf numFmtId="0" fontId="6" fillId="0" borderId="58" xfId="106" applyFont="1" applyBorder="1" applyAlignment="1">
      <alignment horizontal="center" vertical="center"/>
    </xf>
    <xf numFmtId="0" fontId="102" fillId="0" borderId="19" xfId="0" applyFont="1" applyFill="1" applyBorder="1" applyAlignment="1">
      <alignment horizontal="left" vertical="center" wrapText="1"/>
    </xf>
    <xf numFmtId="0" fontId="6" fillId="0" borderId="33" xfId="0" applyFont="1" applyBorder="1" applyAlignment="1">
      <alignment horizontal="center" vertical="center"/>
    </xf>
    <xf numFmtId="0" fontId="6" fillId="0" borderId="22" xfId="0" applyFont="1" applyBorder="1" applyAlignment="1">
      <alignment horizontal="center" vertical="center"/>
    </xf>
    <xf numFmtId="0" fontId="6" fillId="0" borderId="22" xfId="0" applyFont="1" applyFill="1" applyBorder="1" applyAlignment="1">
      <alignment horizontal="center" vertical="center"/>
    </xf>
    <xf numFmtId="0" fontId="6" fillId="0" borderId="59" xfId="0" applyFont="1" applyBorder="1" applyAlignment="1">
      <alignment horizontal="center" vertical="center"/>
    </xf>
    <xf numFmtId="0" fontId="6" fillId="0" borderId="23" xfId="0" applyFont="1" applyBorder="1" applyAlignment="1">
      <alignment horizontal="center" vertical="center"/>
    </xf>
    <xf numFmtId="190" fontId="6" fillId="0" borderId="22" xfId="119" applyNumberFormat="1" applyFont="1" applyBorder="1" applyAlignment="1">
      <alignment horizontal="center" vertical="center" wrapText="1"/>
    </xf>
    <xf numFmtId="190" fontId="6" fillId="0" borderId="19" xfId="119" applyNumberFormat="1" applyFont="1" applyBorder="1" applyAlignment="1">
      <alignment horizontal="center" vertical="center" wrapText="1"/>
    </xf>
    <xf numFmtId="190" fontId="6" fillId="0" borderId="23" xfId="119" applyNumberFormat="1" applyFont="1" applyBorder="1" applyAlignment="1">
      <alignment horizontal="center" vertical="center" wrapText="1"/>
    </xf>
    <xf numFmtId="0" fontId="6" fillId="0" borderId="50" xfId="0" applyFont="1" applyBorder="1" applyAlignment="1">
      <alignment horizontal="center" vertical="center"/>
    </xf>
    <xf numFmtId="0" fontId="6" fillId="36" borderId="19" xfId="106" applyFont="1" applyFill="1" applyBorder="1" applyAlignment="1">
      <alignment horizontal="center" vertical="center"/>
    </xf>
    <xf numFmtId="0" fontId="6" fillId="36" borderId="19" xfId="0" applyFont="1" applyFill="1" applyBorder="1" applyAlignment="1">
      <alignment horizontal="center" vertical="center"/>
    </xf>
    <xf numFmtId="0" fontId="103" fillId="36" borderId="19" xfId="0" applyFont="1" applyFill="1" applyBorder="1" applyAlignment="1">
      <alignment horizontal="left" vertical="center" wrapText="1"/>
    </xf>
    <xf numFmtId="0" fontId="102" fillId="36" borderId="19" xfId="0" applyFont="1" applyFill="1" applyBorder="1" applyAlignment="1">
      <alignment horizontal="center" vertical="center" wrapText="1"/>
    </xf>
    <xf numFmtId="171" fontId="6" fillId="36" borderId="19" xfId="119" applyNumberFormat="1" applyFont="1" applyFill="1" applyBorder="1" applyAlignment="1">
      <alignment horizontal="center" vertical="center"/>
    </xf>
    <xf numFmtId="165" fontId="102" fillId="36" borderId="19" xfId="150" applyFont="1" applyFill="1" applyBorder="1" applyAlignment="1">
      <alignment horizontal="center" vertical="center" wrapText="1"/>
    </xf>
    <xf numFmtId="165" fontId="6" fillId="36" borderId="21" xfId="150" applyFont="1" applyFill="1" applyBorder="1" applyAlignment="1">
      <alignment horizontal="center" vertical="center"/>
    </xf>
    <xf numFmtId="171" fontId="6" fillId="0" borderId="25" xfId="119" applyNumberFormat="1" applyFont="1" applyBorder="1" applyAlignment="1">
      <alignment horizontal="center" vertical="center" wrapText="1"/>
    </xf>
    <xf numFmtId="0" fontId="31" fillId="37" borderId="31" xfId="0" applyFont="1" applyFill="1" applyBorder="1" applyAlignment="1">
      <alignment horizontal="center" vertical="center" wrapText="1"/>
    </xf>
    <xf numFmtId="0" fontId="6" fillId="0" borderId="0" xfId="0" applyFont="1" applyFill="1" applyAlignment="1">
      <alignment vertical="center"/>
    </xf>
    <xf numFmtId="0" fontId="23" fillId="0" borderId="31" xfId="0" applyFont="1" applyFill="1" applyBorder="1" applyAlignment="1">
      <alignment horizontal="center" vertical="center" wrapText="1"/>
    </xf>
    <xf numFmtId="0" fontId="117" fillId="0" borderId="0" xfId="151" applyFont="1" applyBorder="1" applyAlignment="1">
      <alignment vertical="center"/>
    </xf>
    <xf numFmtId="1" fontId="22" fillId="39" borderId="19" xfId="0" quotePrefix="1" applyNumberFormat="1" applyFont="1" applyFill="1" applyBorder="1" applyAlignment="1">
      <alignment vertical="center" wrapText="1"/>
    </xf>
    <xf numFmtId="0" fontId="31" fillId="0" borderId="31" xfId="0" applyFont="1" applyFill="1" applyBorder="1" applyAlignment="1">
      <alignment horizontal="center" vertical="center" wrapText="1"/>
    </xf>
    <xf numFmtId="0" fontId="31" fillId="53" borderId="0" xfId="0" applyFont="1" applyFill="1" applyBorder="1" applyAlignment="1">
      <alignment vertical="center" wrapText="1"/>
    </xf>
    <xf numFmtId="166" fontId="30" fillId="0" borderId="19" xfId="119" applyNumberFormat="1" applyFont="1" applyFill="1" applyBorder="1" applyAlignment="1">
      <alignment vertical="center"/>
    </xf>
    <xf numFmtId="0" fontId="25" fillId="35" borderId="59" xfId="0" applyFont="1" applyFill="1" applyBorder="1" applyAlignment="1">
      <alignment horizontal="center" vertical="center" wrapText="1"/>
    </xf>
    <xf numFmtId="0" fontId="25" fillId="35" borderId="23" xfId="0" applyFont="1" applyFill="1" applyBorder="1" applyAlignment="1">
      <alignment horizontal="center" vertical="center" wrapText="1"/>
    </xf>
    <xf numFmtId="165" fontId="28" fillId="38" borderId="39" xfId="99" applyFont="1" applyFill="1" applyBorder="1" applyAlignment="1">
      <alignment horizontal="right" vertical="center"/>
    </xf>
    <xf numFmtId="0" fontId="30" fillId="0" borderId="66" xfId="0" applyFont="1" applyBorder="1" applyAlignment="1">
      <alignment horizontal="right"/>
    </xf>
    <xf numFmtId="165" fontId="25" fillId="38" borderId="39" xfId="99" applyFont="1" applyFill="1" applyBorder="1" applyAlignment="1">
      <alignment horizontal="right" vertical="center"/>
    </xf>
    <xf numFmtId="0" fontId="31" fillId="0" borderId="31" xfId="0" applyFont="1" applyBorder="1"/>
    <xf numFmtId="165" fontId="25" fillId="38" borderId="39" xfId="99" applyFont="1" applyFill="1" applyBorder="1" applyAlignment="1">
      <alignment vertical="center"/>
    </xf>
    <xf numFmtId="0" fontId="25" fillId="40" borderId="20" xfId="0" applyFont="1" applyFill="1" applyBorder="1" applyAlignment="1">
      <alignment horizontal="center" vertical="center" wrapText="1"/>
    </xf>
    <xf numFmtId="0" fontId="25" fillId="41" borderId="20" xfId="0" applyFont="1" applyFill="1" applyBorder="1" applyAlignment="1">
      <alignment horizontal="center" vertical="center" wrapText="1"/>
    </xf>
    <xf numFmtId="166" fontId="22" fillId="0" borderId="31" xfId="119" applyFont="1" applyFill="1" applyBorder="1" applyAlignment="1">
      <alignment horizontal="left" vertical="center" wrapText="1"/>
    </xf>
    <xf numFmtId="166" fontId="22" fillId="0" borderId="0" xfId="119" applyFont="1" applyFill="1" applyBorder="1" applyAlignment="1">
      <alignment horizontal="left" vertical="center" wrapText="1"/>
    </xf>
    <xf numFmtId="166" fontId="22" fillId="0" borderId="28" xfId="119" applyFont="1" applyFill="1" applyBorder="1" applyAlignment="1">
      <alignment horizontal="left" vertical="center" wrapText="1"/>
    </xf>
    <xf numFmtId="0" fontId="31" fillId="0" borderId="31" xfId="0" applyFont="1" applyFill="1" applyBorder="1" applyAlignment="1">
      <alignment horizontal="center" vertical="center" wrapText="1"/>
    </xf>
    <xf numFmtId="0" fontId="31" fillId="0" borderId="31" xfId="0" applyFont="1" applyBorder="1" applyAlignment="1">
      <alignment horizontal="center" vertical="center" wrapText="1"/>
    </xf>
    <xf numFmtId="0" fontId="6" fillId="0" borderId="58" xfId="0" applyFont="1" applyFill="1" applyBorder="1" applyAlignment="1">
      <alignment horizontal="center" vertical="center"/>
    </xf>
    <xf numFmtId="0" fontId="6" fillId="0" borderId="25" xfId="0" applyFont="1" applyFill="1" applyBorder="1" applyAlignment="1">
      <alignment horizontal="center" vertical="center"/>
    </xf>
    <xf numFmtId="0" fontId="6" fillId="0" borderId="25" xfId="0" applyNumberFormat="1" applyFont="1" applyFill="1" applyBorder="1" applyAlignment="1">
      <alignment horizontal="center" vertical="center"/>
    </xf>
    <xf numFmtId="166" fontId="6" fillId="0" borderId="25" xfId="119" applyNumberFormat="1" applyFont="1" applyFill="1" applyBorder="1" applyAlignment="1">
      <alignment horizontal="center" vertical="center" wrapText="1"/>
    </xf>
    <xf numFmtId="165" fontId="6" fillId="0" borderId="24" xfId="99" applyNumberFormat="1" applyFont="1" applyFill="1" applyBorder="1" applyAlignment="1">
      <alignment horizontal="center" vertical="center"/>
    </xf>
    <xf numFmtId="1" fontId="6" fillId="0" borderId="0" xfId="151" applyNumberFormat="1" applyFont="1" applyBorder="1" applyAlignment="1">
      <alignment horizontal="center" vertical="center"/>
    </xf>
    <xf numFmtId="171" fontId="6" fillId="0" borderId="0" xfId="119" applyNumberFormat="1" applyFont="1" applyBorder="1" applyAlignment="1">
      <alignment horizontal="center" vertical="center" wrapText="1"/>
    </xf>
    <xf numFmtId="1" fontId="6" fillId="0" borderId="22" xfId="0" applyNumberFormat="1" applyFont="1" applyFill="1" applyBorder="1" applyAlignment="1">
      <alignment horizontal="center" vertical="center"/>
    </xf>
    <xf numFmtId="0" fontId="6" fillId="0" borderId="20" xfId="0" applyFont="1" applyBorder="1" applyAlignment="1">
      <alignment horizontal="left" vertical="center"/>
    </xf>
    <xf numFmtId="190" fontId="6" fillId="0" borderId="22" xfId="119" applyNumberFormat="1" applyFont="1" applyFill="1" applyBorder="1" applyAlignment="1">
      <alignment horizontal="center" vertical="center" wrapText="1"/>
    </xf>
    <xf numFmtId="190" fontId="6" fillId="0" borderId="19" xfId="119" applyNumberFormat="1" applyFont="1" applyFill="1" applyBorder="1" applyAlignment="1">
      <alignment horizontal="center" vertical="center" wrapText="1"/>
    </xf>
    <xf numFmtId="190" fontId="6" fillId="0" borderId="19" xfId="119" applyNumberFormat="1" applyFont="1" applyBorder="1" applyAlignment="1">
      <alignment horizontal="center" vertical="center"/>
    </xf>
    <xf numFmtId="43" fontId="27" fillId="0" borderId="0" xfId="0" applyNumberFormat="1" applyFont="1"/>
    <xf numFmtId="10" fontId="27" fillId="0" borderId="0" xfId="0" applyNumberFormat="1" applyFont="1"/>
    <xf numFmtId="0" fontId="110" fillId="0" borderId="31" xfId="0" applyFont="1" applyBorder="1" applyAlignment="1">
      <alignment horizontal="center" vertical="center" wrapText="1"/>
    </xf>
    <xf numFmtId="166" fontId="22" fillId="0" borderId="31" xfId="119" applyFont="1" applyFill="1" applyBorder="1" applyAlignment="1">
      <alignment horizontal="left" vertical="center" wrapText="1"/>
    </xf>
    <xf numFmtId="166" fontId="22" fillId="0" borderId="0" xfId="119" applyFont="1" applyFill="1" applyBorder="1" applyAlignment="1">
      <alignment horizontal="left" vertical="center" wrapText="1"/>
    </xf>
    <xf numFmtId="166" fontId="22" fillId="0" borderId="28" xfId="119" applyFont="1" applyFill="1" applyBorder="1" applyAlignment="1">
      <alignment horizontal="left" vertical="center" wrapText="1"/>
    </xf>
    <xf numFmtId="0" fontId="31" fillId="0" borderId="31" xfId="0" applyFont="1" applyFill="1" applyBorder="1" applyAlignment="1">
      <alignment horizontal="center" vertical="center" wrapText="1"/>
    </xf>
    <xf numFmtId="0" fontId="31" fillId="0" borderId="31" xfId="0" applyFont="1" applyBorder="1" applyAlignment="1">
      <alignment horizontal="center" vertical="center" wrapText="1"/>
    </xf>
    <xf numFmtId="0" fontId="0" fillId="0" borderId="28" xfId="0" applyBorder="1"/>
    <xf numFmtId="10" fontId="27" fillId="0" borderId="19" xfId="0" applyNumberFormat="1" applyFont="1" applyFill="1" applyBorder="1" applyAlignment="1">
      <alignment horizontal="center"/>
    </xf>
    <xf numFmtId="10" fontId="27" fillId="0" borderId="58" xfId="0" applyNumberFormat="1" applyFont="1" applyFill="1" applyBorder="1" applyAlignment="1">
      <alignment horizontal="center"/>
    </xf>
    <xf numFmtId="165" fontId="27" fillId="0" borderId="58" xfId="0" applyNumberFormat="1" applyFont="1" applyFill="1" applyBorder="1" applyAlignment="1">
      <alignment horizontal="center"/>
    </xf>
    <xf numFmtId="166" fontId="27" fillId="0" borderId="21" xfId="119" applyFont="1" applyBorder="1" applyAlignment="1">
      <alignment horizontal="center"/>
    </xf>
    <xf numFmtId="165" fontId="28" fillId="0" borderId="71" xfId="99" applyFont="1" applyBorder="1" applyAlignment="1">
      <alignment horizontal="center"/>
    </xf>
    <xf numFmtId="0" fontId="25" fillId="0" borderId="82" xfId="201" applyFont="1" applyBorder="1" applyAlignment="1">
      <alignment horizontal="center" vertical="center" wrapText="1"/>
    </xf>
    <xf numFmtId="0" fontId="25" fillId="0" borderId="28" xfId="201" applyFont="1" applyBorder="1" applyAlignment="1">
      <alignment horizontal="center" vertical="center" wrapText="1"/>
    </xf>
    <xf numFmtId="0" fontId="25" fillId="0" borderId="78" xfId="201" applyFont="1" applyBorder="1" applyAlignment="1">
      <alignment horizontal="center" vertical="center" wrapText="1"/>
    </xf>
    <xf numFmtId="0" fontId="25" fillId="0" borderId="79" xfId="201" applyFont="1" applyBorder="1" applyAlignment="1">
      <alignment horizontal="center" vertical="center" wrapText="1"/>
    </xf>
    <xf numFmtId="0" fontId="30" fillId="0" borderId="83" xfId="201" applyFont="1" applyBorder="1" applyAlignment="1">
      <alignment horizontal="center" vertical="center" wrapText="1"/>
    </xf>
    <xf numFmtId="0" fontId="30" fillId="0" borderId="78" xfId="201" applyFont="1" applyBorder="1" applyAlignment="1">
      <alignment horizontal="center" vertical="center" wrapText="1"/>
    </xf>
    <xf numFmtId="10" fontId="30" fillId="0" borderId="78" xfId="201" applyNumberFormat="1" applyFont="1" applyBorder="1" applyAlignment="1">
      <alignment horizontal="center" vertical="center" wrapText="1"/>
    </xf>
    <xf numFmtId="10" fontId="30" fillId="0" borderId="79" xfId="201" applyNumberFormat="1" applyFont="1" applyBorder="1" applyAlignment="1">
      <alignment horizontal="center" vertical="center" wrapText="1"/>
    </xf>
    <xf numFmtId="0" fontId="120" fillId="57" borderId="83" xfId="201" applyFont="1" applyFill="1" applyBorder="1" applyAlignment="1">
      <alignment horizontal="center" vertical="center" wrapText="1"/>
    </xf>
    <xf numFmtId="0" fontId="120" fillId="57" borderId="78" xfId="201" applyFont="1" applyFill="1" applyBorder="1" applyAlignment="1">
      <alignment horizontal="center" vertical="center" wrapText="1"/>
    </xf>
    <xf numFmtId="10" fontId="120" fillId="57" borderId="78" xfId="201" applyNumberFormat="1" applyFont="1" applyFill="1" applyBorder="1" applyAlignment="1">
      <alignment horizontal="center" vertical="center" wrapText="1"/>
    </xf>
    <xf numFmtId="10" fontId="120" fillId="57" borderId="79" xfId="201" applyNumberFormat="1" applyFont="1" applyFill="1" applyBorder="1" applyAlignment="1">
      <alignment horizontal="center" vertical="center" wrapText="1"/>
    </xf>
    <xf numFmtId="0" fontId="121" fillId="57" borderId="83" xfId="201" applyFont="1" applyFill="1" applyBorder="1" applyAlignment="1">
      <alignment horizontal="center" vertical="center" wrapText="1"/>
    </xf>
    <xf numFmtId="0" fontId="121" fillId="57" borderId="78" xfId="201" applyFont="1" applyFill="1" applyBorder="1" applyAlignment="1">
      <alignment horizontal="center" vertical="center" wrapText="1"/>
    </xf>
    <xf numFmtId="10" fontId="121" fillId="57" borderId="78" xfId="201" applyNumberFormat="1" applyFont="1" applyFill="1" applyBorder="1" applyAlignment="1">
      <alignment horizontal="center" vertical="center" wrapText="1"/>
    </xf>
    <xf numFmtId="0" fontId="30" fillId="0" borderId="79" xfId="201" applyFont="1" applyBorder="1" applyAlignment="1">
      <alignment horizontal="center" vertical="center" wrapText="1"/>
    </xf>
    <xf numFmtId="0" fontId="120" fillId="57" borderId="79" xfId="201" applyFont="1" applyFill="1" applyBorder="1" applyAlignment="1">
      <alignment horizontal="center" vertical="center" wrapText="1"/>
    </xf>
    <xf numFmtId="0" fontId="25" fillId="0" borderId="83" xfId="201" applyFont="1" applyBorder="1" applyAlignment="1">
      <alignment horizontal="center" vertical="center" wrapText="1"/>
    </xf>
    <xf numFmtId="10" fontId="25" fillId="0" borderId="78" xfId="201" applyNumberFormat="1" applyFont="1" applyBorder="1" applyAlignment="1">
      <alignment horizontal="center" vertical="center" wrapText="1"/>
    </xf>
    <xf numFmtId="10" fontId="121" fillId="57" borderId="79" xfId="201" applyNumberFormat="1" applyFont="1" applyFill="1" applyBorder="1" applyAlignment="1">
      <alignment horizontal="center" vertical="center" wrapText="1"/>
    </xf>
    <xf numFmtId="0" fontId="25" fillId="57" borderId="80" xfId="201" applyFont="1" applyFill="1" applyBorder="1" applyAlignment="1">
      <alignment horizontal="center" vertical="center" wrapText="1"/>
    </xf>
    <xf numFmtId="0" fontId="120" fillId="57" borderId="82" xfId="201" applyFont="1" applyFill="1" applyBorder="1" applyAlignment="1">
      <alignment horizontal="center" vertical="center" wrapText="1"/>
    </xf>
    <xf numFmtId="0" fontId="25" fillId="0" borderId="80" xfId="201" applyFont="1" applyBorder="1" applyAlignment="1">
      <alignment horizontal="center" vertical="center" wrapText="1"/>
    </xf>
    <xf numFmtId="10" fontId="25" fillId="0" borderId="82" xfId="201" applyNumberFormat="1" applyFont="1" applyBorder="1" applyAlignment="1">
      <alignment horizontal="center" vertical="center" wrapText="1"/>
    </xf>
    <xf numFmtId="10" fontId="25" fillId="0" borderId="28" xfId="201" applyNumberFormat="1" applyFont="1" applyBorder="1" applyAlignment="1">
      <alignment horizontal="center" vertical="center" wrapText="1"/>
    </xf>
    <xf numFmtId="10" fontId="119" fillId="55" borderId="91" xfId="201" applyNumberFormat="1" applyFont="1" applyFill="1" applyBorder="1" applyAlignment="1">
      <alignment horizontal="center" vertical="center" wrapText="1"/>
    </xf>
    <xf numFmtId="10" fontId="119" fillId="55" borderId="36" xfId="201" applyNumberFormat="1" applyFont="1" applyFill="1" applyBorder="1" applyAlignment="1">
      <alignment horizontal="center" vertical="center" wrapText="1"/>
    </xf>
    <xf numFmtId="0" fontId="118" fillId="58" borderId="19" xfId="0" applyFont="1" applyFill="1" applyBorder="1" applyAlignment="1">
      <alignment horizontal="center" vertical="center"/>
    </xf>
    <xf numFmtId="0" fontId="118" fillId="58" borderId="19" xfId="0" applyFont="1" applyFill="1" applyBorder="1" applyAlignment="1">
      <alignment horizontal="left" wrapText="1"/>
    </xf>
    <xf numFmtId="44" fontId="118" fillId="58" borderId="19" xfId="0" applyNumberFormat="1" applyFont="1" applyFill="1" applyBorder="1" applyAlignment="1">
      <alignment horizontal="center" vertical="center"/>
    </xf>
    <xf numFmtId="0" fontId="0" fillId="59" borderId="19" xfId="0" applyFill="1" applyBorder="1" applyAlignment="1">
      <alignment horizontal="center" vertical="center"/>
    </xf>
    <xf numFmtId="0" fontId="0" fillId="59" borderId="19" xfId="0" applyFill="1" applyBorder="1" applyAlignment="1">
      <alignment wrapText="1"/>
    </xf>
    <xf numFmtId="44" fontId="0" fillId="59" borderId="19" xfId="0" applyNumberFormat="1" applyFill="1" applyBorder="1" applyAlignment="1">
      <alignment horizontal="center" vertical="center"/>
    </xf>
    <xf numFmtId="166" fontId="6" fillId="0" borderId="19" xfId="153" applyNumberFormat="1" applyFont="1" applyBorder="1" applyAlignment="1">
      <alignment horizontal="right" vertical="center"/>
    </xf>
    <xf numFmtId="0" fontId="122" fillId="60" borderId="0" xfId="0" applyFont="1" applyFill="1" applyAlignment="1">
      <alignment horizontal="left" vertical="top" wrapText="1"/>
    </xf>
    <xf numFmtId="0" fontId="123" fillId="60" borderId="0" xfId="0" applyFont="1" applyFill="1" applyAlignment="1">
      <alignment horizontal="left" vertical="top" wrapText="1"/>
    </xf>
    <xf numFmtId="0" fontId="0" fillId="0" borderId="0" xfId="0"/>
    <xf numFmtId="0" fontId="122" fillId="60" borderId="92" xfId="0" applyFont="1" applyFill="1" applyBorder="1" applyAlignment="1">
      <alignment horizontal="right" vertical="top" wrapText="1"/>
    </xf>
    <xf numFmtId="0" fontId="122" fillId="60" borderId="92" xfId="0" applyFont="1" applyFill="1" applyBorder="1" applyAlignment="1">
      <alignment horizontal="left" vertical="top" wrapText="1"/>
    </xf>
    <xf numFmtId="0" fontId="122" fillId="60" borderId="92" xfId="0" applyFont="1" applyFill="1" applyBorder="1" applyAlignment="1">
      <alignment horizontal="center" vertical="top" wrapText="1"/>
    </xf>
    <xf numFmtId="0" fontId="124" fillId="61" borderId="92" xfId="0" applyFont="1" applyFill="1" applyBorder="1" applyAlignment="1">
      <alignment horizontal="right" vertical="top" wrapText="1"/>
    </xf>
    <xf numFmtId="0" fontId="124" fillId="61" borderId="92" xfId="0" applyFont="1" applyFill="1" applyBorder="1" applyAlignment="1">
      <alignment horizontal="left" vertical="top" wrapText="1"/>
    </xf>
    <xf numFmtId="0" fontId="124" fillId="61" borderId="92" xfId="0" applyFont="1" applyFill="1" applyBorder="1" applyAlignment="1">
      <alignment horizontal="center" vertical="top" wrapText="1"/>
    </xf>
    <xf numFmtId="191" fontId="124" fillId="61" borderId="92" xfId="0" applyNumberFormat="1" applyFont="1" applyFill="1" applyBorder="1" applyAlignment="1">
      <alignment horizontal="right" vertical="top" wrapText="1"/>
    </xf>
    <xf numFmtId="4" fontId="124" fillId="61" borderId="92" xfId="0" applyNumberFormat="1" applyFont="1" applyFill="1" applyBorder="1" applyAlignment="1">
      <alignment horizontal="right" vertical="top" wrapText="1"/>
    </xf>
    <xf numFmtId="0" fontId="125" fillId="62" borderId="92" xfId="0" applyFont="1" applyFill="1" applyBorder="1" applyAlignment="1">
      <alignment horizontal="right" vertical="top" wrapText="1"/>
    </xf>
    <xf numFmtId="0" fontId="125" fillId="62" borderId="92" xfId="0" applyFont="1" applyFill="1" applyBorder="1" applyAlignment="1">
      <alignment horizontal="left" vertical="top" wrapText="1"/>
    </xf>
    <xf numFmtId="0" fontId="125" fillId="62" borderId="92" xfId="0" applyFont="1" applyFill="1" applyBorder="1" applyAlignment="1">
      <alignment horizontal="center" vertical="top" wrapText="1"/>
    </xf>
    <xf numFmtId="191" fontId="125" fillId="62" borderId="92" xfId="0" applyNumberFormat="1" applyFont="1" applyFill="1" applyBorder="1" applyAlignment="1">
      <alignment horizontal="right" vertical="top" wrapText="1"/>
    </xf>
    <xf numFmtId="4" fontId="125" fillId="62" borderId="92" xfId="0" applyNumberFormat="1" applyFont="1" applyFill="1" applyBorder="1" applyAlignment="1">
      <alignment horizontal="right" vertical="top" wrapText="1"/>
    </xf>
    <xf numFmtId="0" fontId="125" fillId="63" borderId="92" xfId="0" applyFont="1" applyFill="1" applyBorder="1" applyAlignment="1">
      <alignment horizontal="right" vertical="top" wrapText="1"/>
    </xf>
    <xf numFmtId="0" fontId="125" fillId="63" borderId="92" xfId="0" applyFont="1" applyFill="1" applyBorder="1" applyAlignment="1">
      <alignment horizontal="left" vertical="top" wrapText="1"/>
    </xf>
    <xf numFmtId="0" fontId="125" fillId="63" borderId="92" xfId="0" applyFont="1" applyFill="1" applyBorder="1" applyAlignment="1">
      <alignment horizontal="center" vertical="top" wrapText="1"/>
    </xf>
    <xf numFmtId="191" fontId="125" fillId="63" borderId="92" xfId="0" applyNumberFormat="1" applyFont="1" applyFill="1" applyBorder="1" applyAlignment="1">
      <alignment horizontal="right" vertical="top" wrapText="1"/>
    </xf>
    <xf numFmtId="4" fontId="125" fillId="63" borderId="92" xfId="0" applyNumberFormat="1" applyFont="1" applyFill="1" applyBorder="1" applyAlignment="1">
      <alignment horizontal="right" vertical="top" wrapText="1"/>
    </xf>
    <xf numFmtId="4" fontId="125" fillId="60" borderId="0" xfId="0" applyNumberFormat="1" applyFont="1" applyFill="1" applyAlignment="1">
      <alignment horizontal="right" vertical="top" wrapText="1"/>
    </xf>
    <xf numFmtId="0" fontId="125" fillId="60" borderId="0" xfId="0" applyFont="1" applyFill="1" applyAlignment="1">
      <alignment horizontal="right" vertical="top" wrapText="1"/>
    </xf>
    <xf numFmtId="0" fontId="124" fillId="61" borderId="93" xfId="0" applyFont="1" applyFill="1" applyBorder="1" applyAlignment="1">
      <alignment horizontal="left" vertical="top" wrapText="1"/>
    </xf>
    <xf numFmtId="0" fontId="125" fillId="60" borderId="0" xfId="0" applyFont="1" applyFill="1" applyAlignment="1">
      <alignment horizontal="left" vertical="top" wrapText="1"/>
    </xf>
    <xf numFmtId="0" fontId="123" fillId="60" borderId="0" xfId="0" applyFont="1" applyFill="1" applyAlignment="1">
      <alignment horizontal="right" vertical="top" wrapText="1"/>
    </xf>
    <xf numFmtId="0" fontId="123" fillId="60" borderId="0" xfId="0" applyFont="1" applyFill="1" applyAlignment="1">
      <alignment horizontal="center" vertical="top" wrapText="1"/>
    </xf>
    <xf numFmtId="0" fontId="125" fillId="60" borderId="0" xfId="0" applyFont="1" applyFill="1" applyAlignment="1">
      <alignment horizontal="center" vertical="top" wrapText="1"/>
    </xf>
    <xf numFmtId="166" fontId="22" fillId="0" borderId="31" xfId="119" applyFont="1" applyFill="1" applyBorder="1" applyAlignment="1">
      <alignment horizontal="left" vertical="center" wrapText="1"/>
    </xf>
    <xf numFmtId="166" fontId="22" fillId="0" borderId="0" xfId="119" applyFont="1" applyFill="1" applyBorder="1" applyAlignment="1">
      <alignment horizontal="left" vertical="center" wrapText="1"/>
    </xf>
    <xf numFmtId="166" fontId="22" fillId="0" borderId="28" xfId="119" applyFont="1" applyFill="1" applyBorder="1" applyAlignment="1">
      <alignment horizontal="left" vertical="center" wrapText="1"/>
    </xf>
    <xf numFmtId="166" fontId="22" fillId="33" borderId="34" xfId="119" applyFont="1" applyFill="1" applyBorder="1" applyAlignment="1">
      <alignment horizontal="left" vertical="center"/>
    </xf>
    <xf numFmtId="166" fontId="22" fillId="33" borderId="35" xfId="119" applyFont="1" applyFill="1" applyBorder="1" applyAlignment="1">
      <alignment horizontal="left" vertical="center"/>
    </xf>
    <xf numFmtId="166" fontId="22" fillId="33" borderId="36" xfId="119" applyFont="1" applyFill="1" applyBorder="1" applyAlignment="1">
      <alignment horizontal="left" vertical="center"/>
    </xf>
    <xf numFmtId="166" fontId="22" fillId="48" borderId="40" xfId="119" applyFont="1" applyFill="1" applyBorder="1" applyAlignment="1">
      <alignment horizontal="left" vertical="center"/>
    </xf>
    <xf numFmtId="166" fontId="22" fillId="48" borderId="41" xfId="119" applyFont="1" applyFill="1" applyBorder="1" applyAlignment="1">
      <alignment horizontal="left" vertical="center"/>
    </xf>
    <xf numFmtId="166" fontId="22" fillId="48" borderId="42" xfId="119" applyFont="1" applyFill="1" applyBorder="1" applyAlignment="1">
      <alignment horizontal="left" vertical="center"/>
    </xf>
    <xf numFmtId="49" fontId="22" fillId="0" borderId="31" xfId="119" applyNumberFormat="1" applyFont="1" applyFill="1" applyBorder="1" applyAlignment="1">
      <alignment horizontal="left" vertical="center" wrapText="1"/>
    </xf>
    <xf numFmtId="49" fontId="22" fillId="0" borderId="0" xfId="119" applyNumberFormat="1" applyFont="1" applyFill="1" applyBorder="1" applyAlignment="1">
      <alignment horizontal="left" vertical="center" wrapText="1"/>
    </xf>
    <xf numFmtId="49" fontId="22" fillId="0" borderId="28" xfId="119" applyNumberFormat="1" applyFont="1" applyFill="1" applyBorder="1" applyAlignment="1">
      <alignment horizontal="left" vertical="center" wrapText="1"/>
    </xf>
    <xf numFmtId="166" fontId="22" fillId="48" borderId="34" xfId="119" applyFont="1" applyFill="1" applyBorder="1" applyAlignment="1">
      <alignment horizontal="left" vertical="center"/>
    </xf>
    <xf numFmtId="166" fontId="22" fillId="48" borderId="35" xfId="119" applyFont="1" applyFill="1" applyBorder="1" applyAlignment="1">
      <alignment horizontal="left" vertical="center"/>
    </xf>
    <xf numFmtId="166" fontId="22" fillId="48" borderId="36" xfId="119" applyFont="1" applyFill="1" applyBorder="1" applyAlignment="1">
      <alignment horizontal="left" vertical="center"/>
    </xf>
    <xf numFmtId="166" fontId="22" fillId="40" borderId="34" xfId="119" applyFont="1" applyFill="1" applyBorder="1" applyAlignment="1">
      <alignment horizontal="left" vertical="center"/>
    </xf>
    <xf numFmtId="166" fontId="22" fillId="40" borderId="35" xfId="119" applyFont="1" applyFill="1" applyBorder="1" applyAlignment="1">
      <alignment horizontal="left" vertical="center"/>
    </xf>
    <xf numFmtId="166" fontId="22" fillId="40" borderId="36" xfId="119" applyFont="1" applyFill="1" applyBorder="1" applyAlignment="1">
      <alignment horizontal="left" vertical="center"/>
    </xf>
    <xf numFmtId="166" fontId="22" fillId="48" borderId="34" xfId="119" applyFont="1" applyFill="1" applyBorder="1" applyAlignment="1">
      <alignment horizontal="left" vertical="center" wrapText="1"/>
    </xf>
    <xf numFmtId="166" fontId="22" fillId="48" borderId="35" xfId="119" applyFont="1" applyFill="1" applyBorder="1" applyAlignment="1">
      <alignment horizontal="left" vertical="center" wrapText="1"/>
    </xf>
    <xf numFmtId="166" fontId="22" fillId="48" borderId="36" xfId="119" applyFont="1" applyFill="1" applyBorder="1" applyAlignment="1">
      <alignment horizontal="left" vertical="center" wrapText="1"/>
    </xf>
    <xf numFmtId="166" fontId="22" fillId="36" borderId="40" xfId="119" applyFont="1" applyFill="1" applyBorder="1" applyAlignment="1">
      <alignment horizontal="left" vertical="center"/>
    </xf>
    <xf numFmtId="166" fontId="22" fillId="36" borderId="41" xfId="119" applyFont="1" applyFill="1" applyBorder="1" applyAlignment="1">
      <alignment horizontal="left" vertical="center"/>
    </xf>
    <xf numFmtId="166" fontId="22" fillId="36" borderId="42" xfId="119" applyFont="1" applyFill="1" applyBorder="1" applyAlignment="1">
      <alignment horizontal="left" vertical="center"/>
    </xf>
    <xf numFmtId="166" fontId="22" fillId="33" borderId="54" xfId="119" applyFont="1" applyFill="1" applyBorder="1" applyAlignment="1">
      <alignment horizontal="left" vertical="center"/>
    </xf>
    <xf numFmtId="166" fontId="22" fillId="33" borderId="26" xfId="119" applyFont="1" applyFill="1" applyBorder="1" applyAlignment="1">
      <alignment horizontal="left" vertical="center"/>
    </xf>
    <xf numFmtId="166" fontId="22" fillId="33" borderId="53" xfId="119" applyFont="1" applyFill="1" applyBorder="1" applyAlignment="1">
      <alignment horizontal="left" vertical="center"/>
    </xf>
    <xf numFmtId="166" fontId="22" fillId="0" borderId="31" xfId="119" applyFont="1" applyFill="1" applyBorder="1" applyAlignment="1">
      <alignment horizontal="left" vertical="center"/>
    </xf>
    <xf numFmtId="166" fontId="22" fillId="0" borderId="0" xfId="119" applyFont="1" applyFill="1" applyBorder="1" applyAlignment="1">
      <alignment horizontal="left" vertical="center"/>
    </xf>
    <xf numFmtId="166" fontId="22" fillId="0" borderId="28" xfId="119" applyFont="1" applyFill="1" applyBorder="1" applyAlignment="1">
      <alignment horizontal="left" vertical="center"/>
    </xf>
    <xf numFmtId="0" fontId="28" fillId="0" borderId="34" xfId="0" applyFont="1" applyBorder="1" applyAlignment="1">
      <alignment horizontal="left" vertical="center" wrapText="1"/>
    </xf>
    <xf numFmtId="0" fontId="28" fillId="0" borderId="35" xfId="0" applyFont="1" applyBorder="1" applyAlignment="1">
      <alignment horizontal="left" vertical="center" wrapText="1"/>
    </xf>
    <xf numFmtId="0" fontId="28" fillId="0" borderId="36" xfId="0" applyFont="1" applyBorder="1" applyAlignment="1">
      <alignment horizontal="left" vertical="center" wrapText="1"/>
    </xf>
    <xf numFmtId="0" fontId="75" fillId="0" borderId="34" xfId="0" applyFont="1" applyBorder="1" applyAlignment="1">
      <alignment horizontal="left" vertical="center" wrapText="1"/>
    </xf>
    <xf numFmtId="0" fontId="75" fillId="0" borderId="35" xfId="0" applyFont="1" applyBorder="1" applyAlignment="1">
      <alignment horizontal="left" vertical="center" wrapText="1"/>
    </xf>
    <xf numFmtId="0" fontId="75" fillId="0" borderId="36" xfId="0" applyFont="1" applyBorder="1" applyAlignment="1">
      <alignment horizontal="left" vertical="center" wrapText="1"/>
    </xf>
    <xf numFmtId="166" fontId="22" fillId="0" borderId="34" xfId="119" applyFont="1" applyBorder="1" applyAlignment="1">
      <alignment horizontal="center" vertical="center"/>
    </xf>
    <xf numFmtId="166" fontId="22" fillId="0" borderId="35" xfId="119" applyFont="1" applyBorder="1" applyAlignment="1">
      <alignment horizontal="center" vertical="center"/>
    </xf>
    <xf numFmtId="166" fontId="22" fillId="0" borderId="36" xfId="119" applyFont="1" applyBorder="1" applyAlignment="1">
      <alignment horizontal="center" vertical="center"/>
    </xf>
    <xf numFmtId="166" fontId="22" fillId="33" borderId="34" xfId="119" applyFont="1" applyFill="1" applyBorder="1" applyAlignment="1">
      <alignment horizontal="left" vertical="center" wrapText="1"/>
    </xf>
    <xf numFmtId="166" fontId="22" fillId="33" borderId="35" xfId="119" applyFont="1" applyFill="1" applyBorder="1" applyAlignment="1">
      <alignment horizontal="left" vertical="center" wrapText="1"/>
    </xf>
    <xf numFmtId="166" fontId="22" fillId="33" borderId="36" xfId="119" applyFont="1" applyFill="1" applyBorder="1" applyAlignment="1">
      <alignment horizontal="left" vertical="center" wrapText="1"/>
    </xf>
    <xf numFmtId="166" fontId="6" fillId="0" borderId="0" xfId="119" applyFont="1" applyBorder="1" applyAlignment="1">
      <alignment horizontal="center" vertical="center" wrapText="1"/>
    </xf>
    <xf numFmtId="166" fontId="6" fillId="42" borderId="0" xfId="119" applyFont="1" applyFill="1" applyBorder="1" applyAlignment="1">
      <alignment horizontal="center" vertical="center" wrapText="1"/>
    </xf>
    <xf numFmtId="0" fontId="31" fillId="0" borderId="31" xfId="0" applyFont="1" applyFill="1" applyBorder="1" applyAlignment="1">
      <alignment horizontal="center" vertical="center" wrapText="1"/>
    </xf>
    <xf numFmtId="0" fontId="31" fillId="0" borderId="31" xfId="0" applyFont="1" applyBorder="1" applyAlignment="1">
      <alignment horizontal="center" vertical="center" wrapText="1"/>
    </xf>
    <xf numFmtId="166" fontId="6" fillId="0" borderId="0" xfId="119" applyFont="1" applyFill="1" applyBorder="1" applyAlignment="1">
      <alignment horizontal="center" vertical="center" wrapText="1"/>
    </xf>
    <xf numFmtId="169" fontId="28" fillId="0" borderId="20" xfId="0" applyNumberFormat="1" applyFont="1" applyFill="1" applyBorder="1" applyAlignment="1">
      <alignment horizontal="center" vertical="center" wrapText="1"/>
    </xf>
    <xf numFmtId="0" fontId="27" fillId="0" borderId="23" xfId="0" applyFont="1" applyFill="1" applyBorder="1" applyAlignment="1">
      <alignment horizontal="left" vertical="center" wrapText="1"/>
    </xf>
    <xf numFmtId="0" fontId="27" fillId="0" borderId="22" xfId="0" applyFont="1" applyFill="1" applyBorder="1" applyAlignment="1">
      <alignment horizontal="left" vertical="center" wrapText="1"/>
    </xf>
    <xf numFmtId="165" fontId="27" fillId="34" borderId="23" xfId="99" applyFont="1" applyFill="1" applyBorder="1" applyAlignment="1">
      <alignment horizontal="center" vertical="center"/>
    </xf>
    <xf numFmtId="165" fontId="27" fillId="34" borderId="22" xfId="99" applyFont="1" applyFill="1" applyBorder="1" applyAlignment="1">
      <alignment horizontal="center" vertical="center"/>
    </xf>
    <xf numFmtId="10" fontId="27" fillId="0" borderId="55" xfId="120" applyNumberFormat="1" applyFont="1" applyBorder="1" applyAlignment="1">
      <alignment horizontal="center" vertical="center"/>
    </xf>
    <xf numFmtId="10" fontId="27" fillId="0" borderId="21" xfId="120" applyNumberFormat="1" applyFont="1" applyBorder="1" applyAlignment="1">
      <alignment horizontal="center" vertical="center"/>
    </xf>
    <xf numFmtId="0" fontId="23" fillId="0" borderId="74" xfId="105" applyFont="1" applyFill="1" applyBorder="1" applyAlignment="1">
      <alignment horizontal="left" vertical="center" readingOrder="1"/>
    </xf>
    <xf numFmtId="0" fontId="6" fillId="0" borderId="34" xfId="0" applyFont="1" applyFill="1" applyBorder="1" applyAlignment="1">
      <alignment horizontal="center" vertical="center"/>
    </xf>
    <xf numFmtId="0" fontId="6" fillId="0" borderId="35" xfId="0" applyFont="1" applyFill="1" applyBorder="1" applyAlignment="1">
      <alignment horizontal="center" vertical="center"/>
    </xf>
    <xf numFmtId="0" fontId="6" fillId="0" borderId="36" xfId="0" applyFont="1" applyFill="1" applyBorder="1" applyAlignment="1">
      <alignment horizontal="center" vertical="center"/>
    </xf>
    <xf numFmtId="0" fontId="23" fillId="0" borderId="71" xfId="105" applyFont="1" applyFill="1" applyBorder="1" applyAlignment="1">
      <alignment horizontal="left" vertical="center" readingOrder="1"/>
    </xf>
    <xf numFmtId="0" fontId="23" fillId="0" borderId="72" xfId="105" applyFont="1" applyFill="1" applyBorder="1" applyAlignment="1">
      <alignment horizontal="left" vertical="center" readingOrder="1"/>
    </xf>
    <xf numFmtId="0" fontId="23" fillId="0" borderId="73" xfId="105" applyFont="1" applyFill="1" applyBorder="1" applyAlignment="1">
      <alignment horizontal="left" vertical="center" readingOrder="1"/>
    </xf>
    <xf numFmtId="0" fontId="26" fillId="0" borderId="40" xfId="0" applyFont="1" applyBorder="1" applyAlignment="1">
      <alignment horizontal="center" vertical="center" wrapText="1"/>
    </xf>
    <xf numFmtId="0" fontId="26" fillId="0" borderId="41" xfId="0" applyFont="1" applyBorder="1" applyAlignment="1">
      <alignment horizontal="center" vertical="center" wrapText="1"/>
    </xf>
    <xf numFmtId="0" fontId="26" fillId="0" borderId="42" xfId="0" applyFont="1" applyBorder="1" applyAlignment="1">
      <alignment horizontal="center" vertical="center" wrapText="1"/>
    </xf>
    <xf numFmtId="0" fontId="25" fillId="0" borderId="45" xfId="0" applyFont="1" applyBorder="1" applyAlignment="1">
      <alignment horizontal="center" vertical="center"/>
    </xf>
    <xf numFmtId="0" fontId="25" fillId="0" borderId="46" xfId="0" applyFont="1" applyBorder="1" applyAlignment="1">
      <alignment horizontal="center" vertical="center"/>
    </xf>
    <xf numFmtId="0" fontId="25" fillId="0" borderId="44" xfId="0" applyFont="1" applyBorder="1" applyAlignment="1">
      <alignment horizontal="center" vertical="center"/>
    </xf>
    <xf numFmtId="0" fontId="25" fillId="0" borderId="42" xfId="0" applyFont="1" applyBorder="1" applyAlignment="1">
      <alignment horizontal="center" vertical="center"/>
    </xf>
    <xf numFmtId="169" fontId="28" fillId="0" borderId="33" xfId="0" applyNumberFormat="1" applyFont="1" applyFill="1" applyBorder="1" applyAlignment="1">
      <alignment horizontal="center" vertical="center" wrapText="1"/>
    </xf>
    <xf numFmtId="0" fontId="27" fillId="0" borderId="19" xfId="0" applyFont="1" applyFill="1" applyBorder="1" applyAlignment="1">
      <alignment horizontal="left" vertical="center" wrapText="1"/>
    </xf>
    <xf numFmtId="165" fontId="27" fillId="0" borderId="22" xfId="99" applyFont="1" applyFill="1" applyBorder="1" applyAlignment="1">
      <alignment horizontal="center" vertical="center"/>
    </xf>
    <xf numFmtId="165" fontId="27" fillId="0" borderId="19" xfId="99" applyFont="1" applyFill="1" applyBorder="1" applyAlignment="1">
      <alignment horizontal="center" vertical="center"/>
    </xf>
    <xf numFmtId="169" fontId="28" fillId="0" borderId="37" xfId="0" applyNumberFormat="1" applyFont="1" applyFill="1" applyBorder="1" applyAlignment="1">
      <alignment horizontal="center" vertical="center" wrapText="1"/>
    </xf>
    <xf numFmtId="169" fontId="27" fillId="0" borderId="23" xfId="0" applyNumberFormat="1" applyFont="1" applyFill="1" applyBorder="1" applyAlignment="1">
      <alignment horizontal="left" vertical="center" wrapText="1"/>
    </xf>
    <xf numFmtId="169" fontId="27" fillId="0" borderId="22" xfId="0" applyNumberFormat="1" applyFont="1" applyFill="1" applyBorder="1" applyAlignment="1">
      <alignment horizontal="left" vertical="center" wrapText="1"/>
    </xf>
    <xf numFmtId="165" fontId="27" fillId="0" borderId="23" xfId="99" applyFont="1" applyFill="1" applyBorder="1" applyAlignment="1">
      <alignment horizontal="center" vertical="center"/>
    </xf>
    <xf numFmtId="169" fontId="28" fillId="0" borderId="59" xfId="0" applyNumberFormat="1" applyFont="1" applyFill="1" applyBorder="1" applyAlignment="1">
      <alignment horizontal="center" vertical="center" wrapText="1"/>
    </xf>
    <xf numFmtId="166" fontId="27" fillId="0" borderId="23" xfId="0" applyNumberFormat="1" applyFont="1" applyFill="1" applyBorder="1" applyAlignment="1">
      <alignment horizontal="left" vertical="center" wrapText="1"/>
    </xf>
    <xf numFmtId="4" fontId="27" fillId="0" borderId="19" xfId="0" applyNumberFormat="1" applyFont="1" applyFill="1" applyBorder="1" applyAlignment="1">
      <alignment horizontal="left" vertical="center" wrapText="1"/>
    </xf>
    <xf numFmtId="0" fontId="82" fillId="0" borderId="0" xfId="0" applyFont="1" applyFill="1" applyBorder="1" applyAlignment="1">
      <alignment horizontal="center" wrapText="1"/>
    </xf>
    <xf numFmtId="0" fontId="28" fillId="40" borderId="34" xfId="0" applyFont="1" applyFill="1" applyBorder="1" applyAlignment="1">
      <alignment horizontal="right" vertical="center" wrapText="1"/>
    </xf>
    <xf numFmtId="0" fontId="28" fillId="40" borderId="36" xfId="0" applyFont="1" applyFill="1" applyBorder="1" applyAlignment="1">
      <alignment horizontal="right" vertical="center" wrapText="1"/>
    </xf>
    <xf numFmtId="165" fontId="25" fillId="33" borderId="37" xfId="99" applyFont="1" applyFill="1" applyBorder="1" applyAlignment="1">
      <alignment horizontal="right" vertical="center" wrapText="1"/>
    </xf>
    <xf numFmtId="165" fontId="25" fillId="33" borderId="25" xfId="99" applyFont="1" applyFill="1" applyBorder="1" applyAlignment="1">
      <alignment horizontal="right" vertical="center" wrapText="1"/>
    </xf>
    <xf numFmtId="165" fontId="25" fillId="33" borderId="24" xfId="99" applyFont="1" applyFill="1" applyBorder="1" applyAlignment="1">
      <alignment horizontal="right" vertical="center" wrapText="1"/>
    </xf>
    <xf numFmtId="0" fontId="25" fillId="0" borderId="63" xfId="105" applyFont="1" applyFill="1" applyBorder="1" applyAlignment="1">
      <alignment horizontal="left" vertical="center" readingOrder="1"/>
    </xf>
    <xf numFmtId="0" fontId="25" fillId="0" borderId="64" xfId="105" applyFont="1" applyFill="1" applyBorder="1" applyAlignment="1">
      <alignment horizontal="left" vertical="center" readingOrder="1"/>
    </xf>
    <xf numFmtId="0" fontId="25" fillId="0" borderId="65" xfId="105" applyFont="1" applyFill="1" applyBorder="1" applyAlignment="1">
      <alignment horizontal="left" vertical="center" readingOrder="1"/>
    </xf>
    <xf numFmtId="165" fontId="28" fillId="38" borderId="34" xfId="99" applyFont="1" applyFill="1" applyBorder="1" applyAlignment="1">
      <alignment horizontal="right" vertical="center"/>
    </xf>
    <xf numFmtId="165" fontId="28" fillId="38" borderId="35" xfId="99" applyFont="1" applyFill="1" applyBorder="1" applyAlignment="1">
      <alignment horizontal="right" vertical="center"/>
    </xf>
    <xf numFmtId="165" fontId="28" fillId="38" borderId="36" xfId="99" applyFont="1" applyFill="1" applyBorder="1" applyAlignment="1">
      <alignment horizontal="right" vertical="center"/>
    </xf>
    <xf numFmtId="0" fontId="28" fillId="38" borderId="34" xfId="0" applyNumberFormat="1" applyFont="1" applyFill="1" applyBorder="1" applyAlignment="1">
      <alignment horizontal="right" vertical="center"/>
    </xf>
    <xf numFmtId="0" fontId="28" fillId="38" borderId="35" xfId="0" applyNumberFormat="1" applyFont="1" applyFill="1" applyBorder="1" applyAlignment="1">
      <alignment horizontal="right" vertical="center"/>
    </xf>
    <xf numFmtId="0" fontId="28" fillId="38" borderId="36" xfId="0" applyNumberFormat="1" applyFont="1" applyFill="1" applyBorder="1" applyAlignment="1">
      <alignment horizontal="right" vertical="center"/>
    </xf>
    <xf numFmtId="0" fontId="30" fillId="0" borderId="34" xfId="0" applyFont="1" applyFill="1" applyBorder="1" applyAlignment="1">
      <alignment horizontal="center"/>
    </xf>
    <xf numFmtId="0" fontId="30" fillId="0" borderId="35" xfId="0" applyFont="1" applyFill="1" applyBorder="1" applyAlignment="1">
      <alignment horizontal="center"/>
    </xf>
    <xf numFmtId="0" fontId="30" fillId="0" borderId="36" xfId="0" applyFont="1" applyFill="1" applyBorder="1" applyAlignment="1">
      <alignment horizontal="center"/>
    </xf>
    <xf numFmtId="0" fontId="25" fillId="0" borderId="34" xfId="105" applyFont="1" applyFill="1" applyBorder="1" applyAlignment="1">
      <alignment horizontal="left" vertical="center" readingOrder="1"/>
    </xf>
    <xf numFmtId="0" fontId="25" fillId="0" borderId="35" xfId="105" applyFont="1" applyFill="1" applyBorder="1" applyAlignment="1">
      <alignment horizontal="left" vertical="center" readingOrder="1"/>
    </xf>
    <xf numFmtId="0" fontId="25" fillId="0" borderId="36" xfId="105" applyFont="1" applyFill="1" applyBorder="1" applyAlignment="1">
      <alignment horizontal="left" vertical="center" readingOrder="1"/>
    </xf>
    <xf numFmtId="10" fontId="27" fillId="0" borderId="22" xfId="120" applyNumberFormat="1" applyFont="1" applyBorder="1" applyAlignment="1">
      <alignment horizontal="center" vertical="center"/>
    </xf>
    <xf numFmtId="10" fontId="27" fillId="0" borderId="19" xfId="120" applyNumberFormat="1" applyFont="1" applyBorder="1" applyAlignment="1">
      <alignment horizontal="center" vertical="center"/>
    </xf>
    <xf numFmtId="0" fontId="26" fillId="0" borderId="67" xfId="0" applyFont="1" applyBorder="1" applyAlignment="1">
      <alignment horizontal="center" vertical="center" wrapText="1"/>
    </xf>
    <xf numFmtId="0" fontId="26" fillId="0" borderId="68" xfId="0" applyFont="1" applyBorder="1" applyAlignment="1">
      <alignment horizontal="center" vertical="center" wrapText="1"/>
    </xf>
    <xf numFmtId="0" fontId="26" fillId="0" borderId="69" xfId="0" applyFont="1" applyBorder="1" applyAlignment="1">
      <alignment horizontal="center" vertical="center" wrapText="1"/>
    </xf>
    <xf numFmtId="0" fontId="26" fillId="0" borderId="70" xfId="0" applyFont="1" applyBorder="1" applyAlignment="1">
      <alignment horizontal="center" vertical="center" wrapText="1"/>
    </xf>
    <xf numFmtId="0" fontId="25" fillId="0" borderId="43" xfId="0" applyFont="1" applyBorder="1" applyAlignment="1">
      <alignment horizontal="center" vertical="center"/>
    </xf>
    <xf numFmtId="0" fontId="25" fillId="0" borderId="37" xfId="0" applyFont="1" applyBorder="1" applyAlignment="1">
      <alignment horizontal="center" vertical="center"/>
    </xf>
    <xf numFmtId="0" fontId="25" fillId="0" borderId="44" xfId="0" applyFont="1" applyBorder="1" applyAlignment="1">
      <alignment horizontal="center"/>
    </xf>
    <xf numFmtId="0" fontId="25" fillId="0" borderId="42" xfId="0" applyFont="1" applyBorder="1" applyAlignment="1">
      <alignment horizontal="center"/>
    </xf>
    <xf numFmtId="0" fontId="26" fillId="0" borderId="40" xfId="0" applyFont="1" applyBorder="1" applyAlignment="1">
      <alignment horizontal="center" wrapText="1"/>
    </xf>
    <xf numFmtId="0" fontId="26" fillId="0" borderId="41" xfId="0" applyFont="1" applyBorder="1" applyAlignment="1">
      <alignment horizontal="center" wrapText="1"/>
    </xf>
    <xf numFmtId="0" fontId="26" fillId="0" borderId="60" xfId="0" applyFont="1" applyBorder="1" applyAlignment="1">
      <alignment horizontal="center" wrapText="1"/>
    </xf>
    <xf numFmtId="0" fontId="26" fillId="0" borderId="42" xfId="0" applyFont="1" applyBorder="1" applyAlignment="1">
      <alignment horizontal="center" wrapText="1"/>
    </xf>
    <xf numFmtId="0" fontId="6" fillId="0" borderId="54" xfId="0" applyFont="1" applyFill="1" applyBorder="1" applyAlignment="1">
      <alignment horizontal="center"/>
    </xf>
    <xf numFmtId="0" fontId="6" fillId="0" borderId="26" xfId="0" applyFont="1" applyFill="1" applyBorder="1" applyAlignment="1">
      <alignment horizontal="center"/>
    </xf>
    <xf numFmtId="0" fontId="6" fillId="0" borderId="53" xfId="0" applyFont="1" applyFill="1" applyBorder="1" applyAlignment="1">
      <alignment horizontal="center"/>
    </xf>
    <xf numFmtId="0" fontId="28" fillId="40" borderId="34" xfId="0" applyFont="1" applyFill="1" applyBorder="1" applyAlignment="1">
      <alignment horizontal="right" wrapText="1"/>
    </xf>
    <xf numFmtId="0" fontId="28" fillId="40" borderId="36" xfId="0" applyFont="1" applyFill="1" applyBorder="1" applyAlignment="1">
      <alignment horizontal="right" wrapText="1"/>
    </xf>
    <xf numFmtId="0" fontId="28" fillId="40" borderId="34" xfId="0" applyFont="1" applyFill="1" applyBorder="1" applyAlignment="1">
      <alignment horizontal="right"/>
    </xf>
    <xf numFmtId="0" fontId="28" fillId="40" borderId="36" xfId="0" applyFont="1" applyFill="1" applyBorder="1" applyAlignment="1">
      <alignment horizontal="right"/>
    </xf>
    <xf numFmtId="0" fontId="25" fillId="0" borderId="20" xfId="105" applyFont="1" applyFill="1" applyBorder="1" applyAlignment="1">
      <alignment horizontal="left" vertical="center" readingOrder="1"/>
    </xf>
    <xf numFmtId="0" fontId="25" fillId="0" borderId="19" xfId="105" applyFont="1" applyFill="1" applyBorder="1" applyAlignment="1">
      <alignment horizontal="left" vertical="center" readingOrder="1"/>
    </xf>
    <xf numFmtId="0" fontId="25" fillId="0" borderId="21" xfId="105" applyFont="1" applyFill="1" applyBorder="1" applyAlignment="1">
      <alignment horizontal="left" vertical="center" readingOrder="1"/>
    </xf>
    <xf numFmtId="0" fontId="72" fillId="34" borderId="19" xfId="0" applyFont="1" applyFill="1" applyBorder="1" applyAlignment="1" applyProtection="1">
      <alignment horizontal="left" vertical="center" wrapText="1"/>
    </xf>
    <xf numFmtId="0" fontId="63" fillId="0" borderId="48" xfId="0" applyFont="1" applyBorder="1" applyAlignment="1">
      <alignment horizontal="center" vertical="center"/>
    </xf>
    <xf numFmtId="0" fontId="63" fillId="0" borderId="49" xfId="0" applyFont="1" applyBorder="1" applyAlignment="1">
      <alignment horizontal="center" vertical="center"/>
    </xf>
    <xf numFmtId="0" fontId="63" fillId="0" borderId="50" xfId="0" applyFont="1" applyBorder="1" applyAlignment="1">
      <alignment horizontal="center" vertical="center"/>
    </xf>
    <xf numFmtId="0" fontId="63" fillId="0" borderId="27" xfId="0" applyFont="1" applyBorder="1" applyAlignment="1">
      <alignment horizontal="center" vertical="center"/>
    </xf>
    <xf numFmtId="0" fontId="63" fillId="0" borderId="0" xfId="0" applyFont="1" applyBorder="1" applyAlignment="1">
      <alignment horizontal="center" vertical="center"/>
    </xf>
    <xf numFmtId="0" fontId="63" fillId="0" borderId="51" xfId="0" applyFont="1" applyBorder="1" applyAlignment="1">
      <alignment horizontal="center" vertical="center"/>
    </xf>
    <xf numFmtId="0" fontId="63" fillId="0" borderId="52" xfId="0" applyFont="1" applyBorder="1" applyAlignment="1">
      <alignment horizontal="center" vertical="center"/>
    </xf>
    <xf numFmtId="0" fontId="63" fillId="0" borderId="38" xfId="0" applyFont="1" applyBorder="1" applyAlignment="1">
      <alignment horizontal="center" vertical="center"/>
    </xf>
    <xf numFmtId="0" fontId="63" fillId="0" borderId="47" xfId="0" applyFont="1" applyBorder="1" applyAlignment="1">
      <alignment horizontal="center" vertical="center"/>
    </xf>
    <xf numFmtId="0" fontId="64" fillId="36" borderId="19" xfId="0" applyFont="1" applyFill="1" applyBorder="1" applyAlignment="1">
      <alignment horizontal="center" vertical="center" wrapText="1"/>
    </xf>
    <xf numFmtId="0" fontId="64" fillId="34" borderId="19" xfId="0" applyFont="1" applyFill="1" applyBorder="1" applyAlignment="1">
      <alignment horizontal="center" vertical="center"/>
    </xf>
    <xf numFmtId="0" fontId="22" fillId="40" borderId="58" xfId="0" applyFont="1" applyFill="1" applyBorder="1" applyAlignment="1">
      <alignment horizontal="left" vertical="center"/>
    </xf>
    <xf numFmtId="0" fontId="22" fillId="40" borderId="25" xfId="0" applyFont="1" applyFill="1" applyBorder="1" applyAlignment="1">
      <alignment horizontal="left" vertical="center"/>
    </xf>
    <xf numFmtId="0" fontId="22" fillId="40" borderId="24" xfId="0" applyFont="1" applyFill="1" applyBorder="1" applyAlignment="1">
      <alignment horizontal="left" vertical="center"/>
    </xf>
    <xf numFmtId="166" fontId="22" fillId="40" borderId="19" xfId="0" applyNumberFormat="1" applyFont="1" applyFill="1" applyBorder="1" applyAlignment="1">
      <alignment horizontal="left" vertical="center" wrapText="1"/>
    </xf>
    <xf numFmtId="166" fontId="22" fillId="40" borderId="58" xfId="0" applyNumberFormat="1" applyFont="1" applyFill="1" applyBorder="1" applyAlignment="1">
      <alignment horizontal="left" vertical="center" wrapText="1"/>
    </xf>
    <xf numFmtId="166" fontId="22" fillId="40" borderId="25" xfId="0" applyNumberFormat="1" applyFont="1" applyFill="1" applyBorder="1" applyAlignment="1">
      <alignment horizontal="left" vertical="center" wrapText="1"/>
    </xf>
    <xf numFmtId="166" fontId="22" fillId="40" borderId="24" xfId="0" applyNumberFormat="1" applyFont="1" applyFill="1" applyBorder="1" applyAlignment="1">
      <alignment horizontal="left" vertical="center" wrapText="1"/>
    </xf>
    <xf numFmtId="0" fontId="6" fillId="0" borderId="38" xfId="0" applyFont="1" applyFill="1" applyBorder="1" applyAlignment="1">
      <alignment horizontal="center" vertical="center"/>
    </xf>
    <xf numFmtId="166" fontId="22" fillId="40" borderId="58" xfId="119" applyFont="1" applyFill="1" applyBorder="1" applyAlignment="1">
      <alignment horizontal="left" vertical="center"/>
    </xf>
    <xf numFmtId="166" fontId="22" fillId="40" borderId="25" xfId="119" applyFont="1" applyFill="1" applyBorder="1" applyAlignment="1">
      <alignment horizontal="left" vertical="center"/>
    </xf>
    <xf numFmtId="166" fontId="22" fillId="40" borderId="24" xfId="119" applyFont="1" applyFill="1" applyBorder="1" applyAlignment="1">
      <alignment horizontal="left" vertical="center"/>
    </xf>
    <xf numFmtId="0" fontId="6" fillId="0" borderId="19" xfId="0" applyFont="1" applyFill="1" applyBorder="1" applyAlignment="1">
      <alignment horizontal="center"/>
    </xf>
    <xf numFmtId="0" fontId="22" fillId="0" borderId="19" xfId="105" applyFont="1" applyFill="1" applyBorder="1" applyAlignment="1">
      <alignment horizontal="left" vertical="center" readingOrder="1"/>
    </xf>
    <xf numFmtId="0" fontId="23" fillId="40" borderId="19" xfId="0" applyFont="1" applyFill="1" applyBorder="1" applyAlignment="1">
      <alignment horizontal="center" vertical="center" wrapText="1"/>
    </xf>
    <xf numFmtId="0" fontId="119" fillId="55" borderId="34" xfId="201" applyFont="1" applyFill="1" applyBorder="1" applyAlignment="1">
      <alignment horizontal="center" vertical="center" wrapText="1"/>
    </xf>
    <xf numFmtId="0" fontId="119" fillId="55" borderId="91" xfId="201" applyFont="1" applyFill="1" applyBorder="1" applyAlignment="1">
      <alignment horizontal="center" vertical="center" wrapText="1"/>
    </xf>
    <xf numFmtId="0" fontId="23" fillId="0" borderId="34" xfId="201" applyFont="1" applyBorder="1" applyAlignment="1">
      <alignment horizontal="left" vertical="center" wrapText="1"/>
    </xf>
    <xf numFmtId="0" fontId="22" fillId="0" borderId="35" xfId="201" applyFont="1" applyBorder="1" applyAlignment="1">
      <alignment horizontal="left" vertical="center" wrapText="1"/>
    </xf>
    <xf numFmtId="0" fontId="22" fillId="0" borderId="36" xfId="201" applyFont="1" applyBorder="1" applyAlignment="1">
      <alignment horizontal="left" vertical="center" wrapText="1"/>
    </xf>
    <xf numFmtId="0" fontId="0" fillId="0" borderId="26" xfId="0" applyBorder="1" applyAlignment="1">
      <alignment horizontal="center" wrapText="1"/>
    </xf>
    <xf numFmtId="0" fontId="0" fillId="0" borderId="0" xfId="0" applyAlignment="1">
      <alignment horizontal="center" wrapText="1"/>
    </xf>
    <xf numFmtId="0" fontId="117" fillId="0" borderId="0" xfId="151" applyFont="1" applyBorder="1" applyAlignment="1">
      <alignment horizontal="center" vertical="center" wrapText="1"/>
    </xf>
    <xf numFmtId="0" fontId="25" fillId="54" borderId="34" xfId="201" applyFont="1" applyFill="1" applyBorder="1" applyAlignment="1">
      <alignment horizontal="center" vertical="center" wrapText="1"/>
    </xf>
    <xf numFmtId="0" fontId="25" fillId="54" borderId="35" xfId="201" applyFont="1" applyFill="1" applyBorder="1" applyAlignment="1">
      <alignment horizontal="center" vertical="center" wrapText="1"/>
    </xf>
    <xf numFmtId="0" fontId="25" fillId="54" borderId="36" xfId="201" applyFont="1" applyFill="1" applyBorder="1" applyAlignment="1">
      <alignment horizontal="center" vertical="center" wrapText="1"/>
    </xf>
    <xf numFmtId="0" fontId="119" fillId="55" borderId="35" xfId="201" applyFont="1" applyFill="1" applyBorder="1" applyAlignment="1">
      <alignment horizontal="center" vertical="center" wrapText="1"/>
    </xf>
    <xf numFmtId="0" fontId="119" fillId="55" borderId="36" xfId="201" applyFont="1" applyFill="1" applyBorder="1" applyAlignment="1">
      <alignment horizontal="center" vertical="center" wrapText="1"/>
    </xf>
    <xf numFmtId="0" fontId="25" fillId="0" borderId="75" xfId="201" applyFont="1" applyBorder="1" applyAlignment="1">
      <alignment horizontal="center" vertical="center" wrapText="1"/>
    </xf>
    <xf numFmtId="0" fontId="25" fillId="0" borderId="80" xfId="201" applyFont="1" applyBorder="1" applyAlignment="1">
      <alignment horizontal="center" vertical="center" wrapText="1"/>
    </xf>
    <xf numFmtId="0" fontId="25" fillId="0" borderId="83" xfId="201" applyFont="1" applyBorder="1" applyAlignment="1">
      <alignment horizontal="center" vertical="center" wrapText="1"/>
    </xf>
    <xf numFmtId="0" fontId="25" fillId="0" borderId="76" xfId="201" applyFont="1" applyBorder="1" applyAlignment="1">
      <alignment horizontal="center" vertical="center" wrapText="1"/>
    </xf>
    <xf numFmtId="0" fontId="25" fillId="0" borderId="81" xfId="201" applyFont="1" applyBorder="1" applyAlignment="1">
      <alignment horizontal="center" vertical="center" wrapText="1"/>
    </xf>
    <xf numFmtId="0" fontId="25" fillId="0" borderId="84" xfId="201" applyFont="1" applyBorder="1" applyAlignment="1">
      <alignment horizontal="center" vertical="center" wrapText="1"/>
    </xf>
    <xf numFmtId="0" fontId="119" fillId="56" borderId="77" xfId="201" applyFont="1" applyFill="1" applyBorder="1" applyAlignment="1">
      <alignment horizontal="center" vertical="center" wrapText="1"/>
    </xf>
    <xf numFmtId="0" fontId="119" fillId="56" borderId="78" xfId="201" applyFont="1" applyFill="1" applyBorder="1" applyAlignment="1">
      <alignment horizontal="center" vertical="center" wrapText="1"/>
    </xf>
    <xf numFmtId="0" fontId="119" fillId="56" borderId="79" xfId="201" applyFont="1" applyFill="1" applyBorder="1" applyAlignment="1">
      <alignment horizontal="center" vertical="center" wrapText="1"/>
    </xf>
    <xf numFmtId="0" fontId="119" fillId="55" borderId="85" xfId="201" applyFont="1" applyFill="1" applyBorder="1" applyAlignment="1">
      <alignment horizontal="center" vertical="center" wrapText="1"/>
    </xf>
    <xf numFmtId="0" fontId="119" fillId="55" borderId="86" xfId="201" applyFont="1" applyFill="1" applyBorder="1" applyAlignment="1">
      <alignment horizontal="center" vertical="center" wrapText="1"/>
    </xf>
    <xf numFmtId="0" fontId="119" fillId="55" borderId="87" xfId="201" applyFont="1" applyFill="1" applyBorder="1" applyAlignment="1">
      <alignment horizontal="center" vertical="center" wrapText="1"/>
    </xf>
    <xf numFmtId="10" fontId="120" fillId="57" borderId="88" xfId="201" applyNumberFormat="1" applyFont="1" applyFill="1" applyBorder="1" applyAlignment="1">
      <alignment horizontal="center" vertical="center" wrapText="1"/>
    </xf>
    <xf numFmtId="10" fontId="120" fillId="57" borderId="84" xfId="201" applyNumberFormat="1" applyFont="1" applyFill="1" applyBorder="1" applyAlignment="1">
      <alignment horizontal="center" vertical="center" wrapText="1"/>
    </xf>
    <xf numFmtId="10" fontId="120" fillId="57" borderId="89" xfId="201" applyNumberFormat="1" applyFont="1" applyFill="1" applyBorder="1" applyAlignment="1">
      <alignment horizontal="center" vertical="center" wrapText="1"/>
    </xf>
    <xf numFmtId="10" fontId="120" fillId="57" borderId="90" xfId="201" applyNumberFormat="1" applyFont="1" applyFill="1" applyBorder="1" applyAlignment="1">
      <alignment horizontal="center" vertical="center" wrapText="1"/>
    </xf>
    <xf numFmtId="0" fontId="123" fillId="60" borderId="0" xfId="0" applyFont="1" applyFill="1" applyAlignment="1">
      <alignment horizontal="right" vertical="top" wrapText="1"/>
    </xf>
    <xf numFmtId="0" fontId="123" fillId="60" borderId="0" xfId="0" applyFont="1" applyFill="1" applyAlignment="1">
      <alignment horizontal="left" vertical="top" wrapText="1"/>
    </xf>
    <xf numFmtId="4" fontId="123" fillId="60" borderId="0" xfId="0" applyNumberFormat="1" applyFont="1" applyFill="1" applyAlignment="1">
      <alignment horizontal="right" vertical="top" wrapText="1"/>
    </xf>
    <xf numFmtId="0" fontId="125" fillId="60" borderId="0" xfId="0" applyFont="1" applyFill="1" applyAlignment="1">
      <alignment horizontal="center" vertical="top" wrapText="1"/>
    </xf>
    <xf numFmtId="0" fontId="0" fillId="0" borderId="0" xfId="0"/>
    <xf numFmtId="0" fontId="125" fillId="63" borderId="92" xfId="0" applyFont="1" applyFill="1" applyBorder="1" applyAlignment="1">
      <alignment horizontal="left" vertical="top" wrapText="1"/>
    </xf>
    <xf numFmtId="0" fontId="125" fillId="60" borderId="0" xfId="0" applyFont="1" applyFill="1" applyAlignment="1">
      <alignment horizontal="right" vertical="top" wrapText="1"/>
    </xf>
    <xf numFmtId="0" fontId="122" fillId="60" borderId="92" xfId="0" applyFont="1" applyFill="1" applyBorder="1" applyAlignment="1">
      <alignment horizontal="left" vertical="top" wrapText="1"/>
    </xf>
    <xf numFmtId="0" fontId="124" fillId="61" borderId="92" xfId="0" applyFont="1" applyFill="1" applyBorder="1" applyAlignment="1">
      <alignment horizontal="left" vertical="top" wrapText="1"/>
    </xf>
    <xf numFmtId="0" fontId="125" fillId="62" borderId="92" xfId="0" applyFont="1" applyFill="1" applyBorder="1" applyAlignment="1">
      <alignment horizontal="left" vertical="top" wrapText="1"/>
    </xf>
    <xf numFmtId="0" fontId="122" fillId="60" borderId="0" xfId="0" applyFont="1" applyFill="1" applyAlignment="1">
      <alignment horizontal="center" wrapText="1"/>
    </xf>
    <xf numFmtId="0" fontId="122" fillId="60" borderId="0" xfId="0" applyFont="1" applyFill="1" applyAlignment="1">
      <alignment horizontal="left" vertical="top" wrapText="1"/>
    </xf>
  </cellXfs>
  <cellStyles count="324">
    <cellStyle name="_x000d__x000a_JournalTemplate=C:\COMFO\CTALK\JOURSTD.TPL_x000d__x000a_LbStateAddress=3 3 0 251 1 89 2 311_x000d__x000a_LbStateJou" xfId="216"/>
    <cellStyle name="20% - Accent1" xfId="1"/>
    <cellStyle name="20% - Accent1 2" xfId="279"/>
    <cellStyle name="20% - Accent2" xfId="2"/>
    <cellStyle name="20% - Accent2 2" xfId="280"/>
    <cellStyle name="20% - Accent3" xfId="3"/>
    <cellStyle name="20% - Accent3 2" xfId="281"/>
    <cellStyle name="20% - Accent4" xfId="4"/>
    <cellStyle name="20% - Accent4 2" xfId="282"/>
    <cellStyle name="20% - Accent5" xfId="5"/>
    <cellStyle name="20% - Accent5 2" xfId="283"/>
    <cellStyle name="20% - Accent6" xfId="6"/>
    <cellStyle name="20% - Accent6 2" xfId="284"/>
    <cellStyle name="20% - Ênfase1" xfId="7" builtinId="30" customBuiltin="1"/>
    <cellStyle name="20% - Ênfase1 100" xfId="158"/>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1 2" xfId="285"/>
    <cellStyle name="40% - Accent2" xfId="20"/>
    <cellStyle name="40% - Accent2 2" xfId="286"/>
    <cellStyle name="40% - Accent3" xfId="21"/>
    <cellStyle name="40% - Accent3 2" xfId="287"/>
    <cellStyle name="40% - Accent4" xfId="22"/>
    <cellStyle name="40% - Accent4 2" xfId="288"/>
    <cellStyle name="40% - Accent5" xfId="23"/>
    <cellStyle name="40% - Accent5 2" xfId="289"/>
    <cellStyle name="40% - Accent6" xfId="24"/>
    <cellStyle name="40% - Accent6 2" xfId="290"/>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1 2" xfId="291"/>
    <cellStyle name="60% - Accent2" xfId="38"/>
    <cellStyle name="60% - Accent2 2" xfId="292"/>
    <cellStyle name="60% - Accent3" xfId="39"/>
    <cellStyle name="60% - Accent3 2" xfId="293"/>
    <cellStyle name="60% - Accent4" xfId="40"/>
    <cellStyle name="60% - Accent4 2" xfId="294"/>
    <cellStyle name="60% - Accent5" xfId="41"/>
    <cellStyle name="60% - Accent5 2" xfId="295"/>
    <cellStyle name="60% - Accent6" xfId="42"/>
    <cellStyle name="60% - Accent6 2" xfId="296"/>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60% - Ênfase6 37" xfId="159"/>
    <cellStyle name="Accent1" xfId="55"/>
    <cellStyle name="Accent1 2" xfId="297"/>
    <cellStyle name="Accent2" xfId="56"/>
    <cellStyle name="Accent2 2" xfId="298"/>
    <cellStyle name="Accent3" xfId="57"/>
    <cellStyle name="Accent3 2" xfId="299"/>
    <cellStyle name="Accent4" xfId="58"/>
    <cellStyle name="Accent4 2" xfId="300"/>
    <cellStyle name="Accent5" xfId="59"/>
    <cellStyle name="Accent5 2" xfId="301"/>
    <cellStyle name="Accent6" xfId="60"/>
    <cellStyle name="Accent6 2" xfId="302"/>
    <cellStyle name="Bad" xfId="61"/>
    <cellStyle name="Bad 2" xfId="303"/>
    <cellStyle name="Bom" xfId="62" builtinId="26" customBuiltin="1"/>
    <cellStyle name="Bom 2" xfId="63"/>
    <cellStyle name="Calculation" xfId="64"/>
    <cellStyle name="Calculation 2" xfId="30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_Arauco Piping list" xfId="217"/>
    <cellStyle name="Comma0" xfId="72"/>
    <cellStyle name="Comma0 2" xfId="218"/>
    <cellStyle name="CORES" xfId="219"/>
    <cellStyle name="Currency [0]_Arauco Piping list" xfId="220"/>
    <cellStyle name="Currency_Arauco Piping list" xfId="221"/>
    <cellStyle name="Currency0" xfId="73"/>
    <cellStyle name="Currency0 2" xfId="222"/>
    <cellStyle name="Data" xfId="223"/>
    <cellStyle name="Date" xfId="224"/>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Excel Built-in Excel Built-in Excel Built-in Excel Built-in Excel Built-in Excel Built-in Excel Built-in Separador de milhares 4" xfId="160"/>
    <cellStyle name="Excel Built-in Excel Built-in Excel Built-in Excel Built-in Excel Built-in Excel Built-in Excel Built-in Separador de milhares 4" xfId="161"/>
    <cellStyle name="Excel Built-in Normal" xfId="88"/>
    <cellStyle name="Excel Built-in Normal 1" xfId="163"/>
    <cellStyle name="Excel Built-in Normal 2" xfId="185"/>
    <cellStyle name="Excel Built-in Normal 3" xfId="196"/>
    <cellStyle name="Excel Built-in Normal 4" xfId="162"/>
    <cellStyle name="Excel_BuiltIn_Comma" xfId="164"/>
    <cellStyle name="Explanatory Text" xfId="89"/>
    <cellStyle name="Explanatory Text 2" xfId="305"/>
    <cellStyle name="Fixed" xfId="225"/>
    <cellStyle name="Fixo" xfId="226"/>
    <cellStyle name="Followed Hyperlink" xfId="227"/>
    <cellStyle name="Good" xfId="90"/>
    <cellStyle name="Grey" xfId="228"/>
    <cellStyle name="Heading" xfId="165"/>
    <cellStyle name="Heading 1" xfId="91"/>
    <cellStyle name="Heading 1 2" xfId="229"/>
    <cellStyle name="Heading 2" xfId="92"/>
    <cellStyle name="Heading 2 2" xfId="230"/>
    <cellStyle name="Heading 3" xfId="93"/>
    <cellStyle name="Heading 3 2" xfId="306"/>
    <cellStyle name="Heading 4" xfId="94"/>
    <cellStyle name="Heading 4 2" xfId="307"/>
    <cellStyle name="Heading1" xfId="166"/>
    <cellStyle name="Hiperlink 2" xfId="186"/>
    <cellStyle name="Incorreto" xfId="95" builtinId="27" customBuiltin="1"/>
    <cellStyle name="Incorreto 2" xfId="96"/>
    <cellStyle name="Indefinido" xfId="231"/>
    <cellStyle name="Input" xfId="97"/>
    <cellStyle name="Input [yellow]" xfId="232"/>
    <cellStyle name="Linked Cell" xfId="98"/>
    <cellStyle name="material" xfId="233"/>
    <cellStyle name="MINIPG" xfId="234"/>
    <cellStyle name="Moeda" xfId="99" builtinId="4"/>
    <cellStyle name="Moeda 2" xfId="100"/>
    <cellStyle name="Moeda 2 2" xfId="149"/>
    <cellStyle name="Moeda 2 3" xfId="187"/>
    <cellStyle name="Moeda 3" xfId="101"/>
    <cellStyle name="Moeda 3 2" xfId="308"/>
    <cellStyle name="Moeda 4" xfId="152"/>
    <cellStyle name="Moeda 4 2" xfId="309"/>
    <cellStyle name="Moeda 4 3" xfId="274"/>
    <cellStyle name="Moeda 5" xfId="150"/>
    <cellStyle name="Moeda 6" xfId="273"/>
    <cellStyle name="Neutra" xfId="102" builtinId="28" customBuiltin="1"/>
    <cellStyle name="Neutra 2" xfId="103"/>
    <cellStyle name="Neutral" xfId="104"/>
    <cellStyle name="Normal" xfId="0" builtinId="0"/>
    <cellStyle name="Normal - Style1" xfId="235"/>
    <cellStyle name="Normal 10" xfId="201"/>
    <cellStyle name="Normal 11" xfId="151"/>
    <cellStyle name="Normal 11 2" xfId="272"/>
    <cellStyle name="Normal 12" xfId="208"/>
    <cellStyle name="Normal 13" xfId="209"/>
    <cellStyle name="Normal 14" xfId="211"/>
    <cellStyle name="Normal 15" xfId="214"/>
    <cellStyle name="Normal 16" xfId="249"/>
    <cellStyle name="Normal 17" xfId="252"/>
    <cellStyle name="Normal 18" xfId="253"/>
    <cellStyle name="Normal 180" xfId="276"/>
    <cellStyle name="Normal 181" xfId="155"/>
    <cellStyle name="Normal 19" xfId="254"/>
    <cellStyle name="Normal 2" xfId="105"/>
    <cellStyle name="Normal 2 2" xfId="173"/>
    <cellStyle name="Normal 2 2 2" xfId="321"/>
    <cellStyle name="Normal 20" xfId="255"/>
    <cellStyle name="Normal 21" xfId="154"/>
    <cellStyle name="Normal 22" xfId="256"/>
    <cellStyle name="Normal 23" xfId="257"/>
    <cellStyle name="Normal 24" xfId="258"/>
    <cellStyle name="Normal 25" xfId="259"/>
    <cellStyle name="Normal 26" xfId="260"/>
    <cellStyle name="Normal 27" xfId="261"/>
    <cellStyle name="Normal 28" xfId="262"/>
    <cellStyle name="Normal 29" xfId="263"/>
    <cellStyle name="Normal 3" xfId="145"/>
    <cellStyle name="Normal 3 2" xfId="147"/>
    <cellStyle name="Normal 3 2 2" xfId="175"/>
    <cellStyle name="Normal 3 3" xfId="106"/>
    <cellStyle name="Normal 3 4" xfId="174"/>
    <cellStyle name="Normal 30" xfId="107"/>
    <cellStyle name="Normal 31" xfId="264"/>
    <cellStyle name="Normal 32" xfId="265"/>
    <cellStyle name="Normal 33" xfId="266"/>
    <cellStyle name="Normal 34" xfId="267"/>
    <cellStyle name="Normal 35" xfId="268"/>
    <cellStyle name="Normal 36" xfId="269"/>
    <cellStyle name="Normal 37" xfId="271"/>
    <cellStyle name="Normal 38" xfId="277"/>
    <cellStyle name="Normal 38 2" xfId="319"/>
    <cellStyle name="Normal 39" xfId="310"/>
    <cellStyle name="Normal 4" xfId="108"/>
    <cellStyle name="Normal 4 2" xfId="144"/>
    <cellStyle name="Normal 4 2 2" xfId="311"/>
    <cellStyle name="Normal 4 3" xfId="176"/>
    <cellStyle name="Normal 40" xfId="167"/>
    <cellStyle name="Normal 41" xfId="318"/>
    <cellStyle name="Normal 42" xfId="317"/>
    <cellStyle name="Normal 43" xfId="316"/>
    <cellStyle name="Normal 5" xfId="146"/>
    <cellStyle name="Normal 5 2" xfId="203"/>
    <cellStyle name="Normal 5 3" xfId="179"/>
    <cellStyle name="Normal 6" xfId="109"/>
    <cellStyle name="Normal 6 2" xfId="197"/>
    <cellStyle name="Normal 6 2 2" xfId="206"/>
    <cellStyle name="Normal 6 3" xfId="204"/>
    <cellStyle name="Normal 6 4" xfId="180"/>
    <cellStyle name="Normal 7" xfId="181"/>
    <cellStyle name="Normal 7 2" xfId="194"/>
    <cellStyle name="Normal 8" xfId="195"/>
    <cellStyle name="Normal 8 2" xfId="205"/>
    <cellStyle name="Normal 85" xfId="322"/>
    <cellStyle name="Normal 87" xfId="320"/>
    <cellStyle name="Normal 9" xfId="202"/>
    <cellStyle name="Normal_Pesquisa no referencial 10 de maio de 2013 2" xfId="323"/>
    <cellStyle name="Normal1" xfId="236"/>
    <cellStyle name="Normal2" xfId="237"/>
    <cellStyle name="Normal3" xfId="238"/>
    <cellStyle name="Nota" xfId="110" builtinId="10" customBuiltin="1"/>
    <cellStyle name="Nota 2" xfId="111"/>
    <cellStyle name="Nota 2 2" xfId="312"/>
    <cellStyle name="Note" xfId="112"/>
    <cellStyle name="Output" xfId="113"/>
    <cellStyle name="Output 2" xfId="313"/>
    <cellStyle name="Percent [2]" xfId="239"/>
    <cellStyle name="Percent_Sheet1" xfId="240"/>
    <cellStyle name="Percentual" xfId="241"/>
    <cellStyle name="Ponto" xfId="242"/>
    <cellStyle name="Porcentagem" xfId="114" builtinId="5"/>
    <cellStyle name="Porcentagem 2" xfId="115"/>
    <cellStyle name="Porcentagem 3" xfId="116"/>
    <cellStyle name="Porcentagem 3 2" xfId="198"/>
    <cellStyle name="Porcentagem 3 3" xfId="188"/>
    <cellStyle name="Porcentagem 4" xfId="184"/>
    <cellStyle name="Porcentagem 4 2" xfId="189"/>
    <cellStyle name="Porcentagem 5" xfId="215"/>
    <cellStyle name="Porcentagem 6" xfId="251"/>
    <cellStyle name="Porcentagem 7" xfId="278"/>
    <cellStyle name="Result" xfId="168"/>
    <cellStyle name="Result2" xfId="169"/>
    <cellStyle name="Saída" xfId="117" builtinId="21" customBuiltin="1"/>
    <cellStyle name="Saída 2" xfId="118"/>
    <cellStyle name="Sep. milhar [0]" xfId="243"/>
    <cellStyle name="Separador de m" xfId="244"/>
    <cellStyle name="Separador de milhares 2" xfId="120"/>
    <cellStyle name="Separador de milhares 2 10" xfId="275"/>
    <cellStyle name="Separador de milhares 2 2" xfId="177"/>
    <cellStyle name="Separador de milhares 2 3" xfId="171"/>
    <cellStyle name="Separador de milhares 3" xfId="121"/>
    <cellStyle name="Separador de milhares 3 2" xfId="122"/>
    <cellStyle name="Separador de milhares 3 3" xfId="178"/>
    <cellStyle name="Separador de milhares 4" xfId="153"/>
    <cellStyle name="Separador de milhares 4 2" xfId="172"/>
    <cellStyle name="Sepavador de milhares [0]_Pasta2" xfId="245"/>
    <cellStyle name="Standard_RP100_01 (metr.)" xfId="246"/>
    <cellStyle name="Texto de Aviso" xfId="123" builtinId="11" customBuiltin="1"/>
    <cellStyle name="Texto de Aviso 2" xfId="124"/>
    <cellStyle name="Texto Explicativo" xfId="125" builtinId="53" customBuiltin="1"/>
    <cellStyle name="Texto Explicativo 2" xfId="126"/>
    <cellStyle name="Title" xfId="127"/>
    <cellStyle name="Title 2" xfId="314"/>
    <cellStyle name="Título" xfId="128" builtinId="15" customBuiltin="1"/>
    <cellStyle name="Título 1" xfId="129" builtinId="16" customBuiltin="1"/>
    <cellStyle name="Título 1 2" xfId="130"/>
    <cellStyle name="Título 2" xfId="131" builtinId="17" customBuiltin="1"/>
    <cellStyle name="Título 2 2" xfId="132"/>
    <cellStyle name="Título 3" xfId="133" builtinId="18" customBuiltin="1"/>
    <cellStyle name="Título 3 2" xfId="134"/>
    <cellStyle name="Título 4" xfId="135" builtinId="19" customBuiltin="1"/>
    <cellStyle name="Título 4 2" xfId="136"/>
    <cellStyle name="Título 5" xfId="137"/>
    <cellStyle name="Titulo1" xfId="247"/>
    <cellStyle name="Titulo2" xfId="248"/>
    <cellStyle name="Total" xfId="138" builtinId="25" customBuiltin="1"/>
    <cellStyle name="Total 2" xfId="139"/>
    <cellStyle name="Vírgula" xfId="119" builtinId="3"/>
    <cellStyle name="Vírgula 10" xfId="250"/>
    <cellStyle name="Vírgula 11" xfId="270"/>
    <cellStyle name="Vírgula 12" xfId="170"/>
    <cellStyle name="Vírgula 13" xfId="156"/>
    <cellStyle name="Vírgula 2" xfId="140"/>
    <cellStyle name="Vírgula 2 2" xfId="148"/>
    <cellStyle name="Vírgula 2 2 2" xfId="315"/>
    <cellStyle name="Vírgula 2 2 3" xfId="200"/>
    <cellStyle name="Vírgula 2 3" xfId="182"/>
    <cellStyle name="Vírgula 3" xfId="141"/>
    <cellStyle name="Vírgula 3 2" xfId="191"/>
    <cellStyle name="Vírgula 3 3" xfId="190"/>
    <cellStyle name="Vírgula 4" xfId="192"/>
    <cellStyle name="Vírgula 5" xfId="142"/>
    <cellStyle name="Vírgula 5 2" xfId="193"/>
    <cellStyle name="Vírgula 5 3" xfId="183"/>
    <cellStyle name="Vírgula 6" xfId="199"/>
    <cellStyle name="Vírgula 6 2" xfId="157"/>
    <cellStyle name="Vírgula 6 2 2" xfId="207"/>
    <cellStyle name="Vírgula 7" xfId="210"/>
    <cellStyle name="Vírgula 8" xfId="212"/>
    <cellStyle name="Vírgula 9" xfId="213"/>
    <cellStyle name="Warning Text" xfId="143"/>
  </cellStyles>
  <dxfs count="57">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fill>
        <patternFill>
          <bgColor theme="0" tint="-0.24994659260841701"/>
        </patternFill>
      </fill>
    </dxf>
    <dxf>
      <fill>
        <patternFill>
          <bgColor theme="0" tint="-0.24994659260841701"/>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ill>
        <patternFill>
          <bgColor theme="0"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739588</xdr:colOff>
      <xdr:row>1052</xdr:row>
      <xdr:rowOff>0</xdr:rowOff>
    </xdr:from>
    <xdr:ext cx="184731" cy="264560"/>
    <xdr:sp macro="" textlink="">
      <xdr:nvSpPr>
        <xdr:cNvPr id="3" name="CaixaDeTexto 2">
          <a:extLst>
            <a:ext uri="{FF2B5EF4-FFF2-40B4-BE49-F238E27FC236}">
              <a16:creationId xmlns:a16="http://schemas.microsoft.com/office/drawing/2014/main" id="{CAFB800B-BB1B-4DB6-9C61-B28955373538}"/>
            </a:ext>
          </a:extLst>
        </xdr:cNvPr>
        <xdr:cNvSpPr txBox="1"/>
      </xdr:nvSpPr>
      <xdr:spPr>
        <a:xfrm>
          <a:off x="4090147" y="3384848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2342030</xdr:colOff>
      <xdr:row>1052</xdr:row>
      <xdr:rowOff>0</xdr:rowOff>
    </xdr:from>
    <xdr:ext cx="184731" cy="264560"/>
    <xdr:sp macro="" textlink="">
      <xdr:nvSpPr>
        <xdr:cNvPr id="4" name="CaixaDeTexto 3">
          <a:extLst>
            <a:ext uri="{FF2B5EF4-FFF2-40B4-BE49-F238E27FC236}">
              <a16:creationId xmlns:a16="http://schemas.microsoft.com/office/drawing/2014/main" id="{DEE9C0CF-C19C-4AFD-9761-E555BA327C39}"/>
            </a:ext>
          </a:extLst>
        </xdr:cNvPr>
        <xdr:cNvSpPr txBox="1"/>
      </xdr:nvSpPr>
      <xdr:spPr>
        <a:xfrm>
          <a:off x="2801471" y="3378573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63" name="CaixaDeTexto 62">
          <a:extLst>
            <a:ext uri="{FF2B5EF4-FFF2-40B4-BE49-F238E27FC236}">
              <a16:creationId xmlns:a16="http://schemas.microsoft.com/office/drawing/2014/main" id="{2791B18D-18CF-4EC5-A187-8EA1B959AF87}"/>
            </a:ext>
          </a:extLst>
        </xdr:cNvPr>
        <xdr:cNvSpPr txBox="1"/>
      </xdr:nvSpPr>
      <xdr:spPr>
        <a:xfrm>
          <a:off x="2259106" y="916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64" name="CaixaDeTexto 63">
          <a:extLst>
            <a:ext uri="{FF2B5EF4-FFF2-40B4-BE49-F238E27FC236}">
              <a16:creationId xmlns:a16="http://schemas.microsoft.com/office/drawing/2014/main" id="{DFB0855D-72FA-46B9-9DC5-EC795FE5165B}"/>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65" name="CaixaDeTexto 64">
          <a:extLst>
            <a:ext uri="{FF2B5EF4-FFF2-40B4-BE49-F238E27FC236}">
              <a16:creationId xmlns:a16="http://schemas.microsoft.com/office/drawing/2014/main" id="{DB19EDBA-F56B-44E6-964E-F1A63CBD7B5E}"/>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66" name="CaixaDeTexto 65">
          <a:extLst>
            <a:ext uri="{FF2B5EF4-FFF2-40B4-BE49-F238E27FC236}">
              <a16:creationId xmlns:a16="http://schemas.microsoft.com/office/drawing/2014/main" id="{9C818E92-C0A6-4FDF-9F84-51F18871471C}"/>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67" name="CaixaDeTexto 66">
          <a:extLst>
            <a:ext uri="{FF2B5EF4-FFF2-40B4-BE49-F238E27FC236}">
              <a16:creationId xmlns:a16="http://schemas.microsoft.com/office/drawing/2014/main" id="{FE381758-FBB2-46E9-AFC9-5AF860B9F6F1}"/>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68" name="CaixaDeTexto 67">
          <a:extLst>
            <a:ext uri="{FF2B5EF4-FFF2-40B4-BE49-F238E27FC236}">
              <a16:creationId xmlns:a16="http://schemas.microsoft.com/office/drawing/2014/main" id="{DF80C780-F445-4FC4-8A7B-615A6FB42CA1}"/>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69" name="CaixaDeTexto 68">
          <a:extLst>
            <a:ext uri="{FF2B5EF4-FFF2-40B4-BE49-F238E27FC236}">
              <a16:creationId xmlns:a16="http://schemas.microsoft.com/office/drawing/2014/main" id="{CA5F100B-EDCD-4B79-9821-D72E3365259C}"/>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70" name="CaixaDeTexto 69">
          <a:extLst>
            <a:ext uri="{FF2B5EF4-FFF2-40B4-BE49-F238E27FC236}">
              <a16:creationId xmlns:a16="http://schemas.microsoft.com/office/drawing/2014/main" id="{662808AB-3CF5-4714-A814-90B8C671295D}"/>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71" name="CaixaDeTexto 70">
          <a:extLst>
            <a:ext uri="{FF2B5EF4-FFF2-40B4-BE49-F238E27FC236}">
              <a16:creationId xmlns:a16="http://schemas.microsoft.com/office/drawing/2014/main" id="{B71FA848-BEAB-46DF-8EDA-CABD7D16999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72" name="CaixaDeTexto 71">
          <a:extLst>
            <a:ext uri="{FF2B5EF4-FFF2-40B4-BE49-F238E27FC236}">
              <a16:creationId xmlns:a16="http://schemas.microsoft.com/office/drawing/2014/main" id="{C0A2464C-A7FB-4E65-8299-F7C857120F21}"/>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74" name="CaixaDeTexto 73">
          <a:extLst>
            <a:ext uri="{FF2B5EF4-FFF2-40B4-BE49-F238E27FC236}">
              <a16:creationId xmlns:a16="http://schemas.microsoft.com/office/drawing/2014/main" id="{D7ED480B-DF3E-4D46-B7E1-96DB9A6201B5}"/>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75" name="CaixaDeTexto 74">
          <a:extLst>
            <a:ext uri="{FF2B5EF4-FFF2-40B4-BE49-F238E27FC236}">
              <a16:creationId xmlns:a16="http://schemas.microsoft.com/office/drawing/2014/main" id="{C1024EC5-17AB-46E0-9C67-7AF657DCF7E8}"/>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76" name="CaixaDeTexto 75">
          <a:extLst>
            <a:ext uri="{FF2B5EF4-FFF2-40B4-BE49-F238E27FC236}">
              <a16:creationId xmlns:a16="http://schemas.microsoft.com/office/drawing/2014/main" id="{5402C79A-FF0B-4C0B-A237-E333FF711B8C}"/>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77" name="CaixaDeTexto 76">
          <a:extLst>
            <a:ext uri="{FF2B5EF4-FFF2-40B4-BE49-F238E27FC236}">
              <a16:creationId xmlns:a16="http://schemas.microsoft.com/office/drawing/2014/main" id="{D3F5AB93-4796-49FB-90FB-E74893BA6C0A}"/>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78" name="CaixaDeTexto 77">
          <a:extLst>
            <a:ext uri="{FF2B5EF4-FFF2-40B4-BE49-F238E27FC236}">
              <a16:creationId xmlns:a16="http://schemas.microsoft.com/office/drawing/2014/main" id="{7F66D5C8-7936-44A6-965F-8D21E922C47C}"/>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79" name="CaixaDeTexto 78">
          <a:extLst>
            <a:ext uri="{FF2B5EF4-FFF2-40B4-BE49-F238E27FC236}">
              <a16:creationId xmlns:a16="http://schemas.microsoft.com/office/drawing/2014/main" id="{D3809782-3C22-4C49-B60D-3110C54295DA}"/>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80" name="CaixaDeTexto 79">
          <a:extLst>
            <a:ext uri="{FF2B5EF4-FFF2-40B4-BE49-F238E27FC236}">
              <a16:creationId xmlns:a16="http://schemas.microsoft.com/office/drawing/2014/main" id="{51F042F7-036E-4EAE-8C5A-EB0A3A8A9BF6}"/>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81" name="CaixaDeTexto 80">
          <a:extLst>
            <a:ext uri="{FF2B5EF4-FFF2-40B4-BE49-F238E27FC236}">
              <a16:creationId xmlns:a16="http://schemas.microsoft.com/office/drawing/2014/main" id="{F16A11F0-EB59-41B3-9A8A-DB5C19CE1006}"/>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82" name="CaixaDeTexto 81">
          <a:extLst>
            <a:ext uri="{FF2B5EF4-FFF2-40B4-BE49-F238E27FC236}">
              <a16:creationId xmlns:a16="http://schemas.microsoft.com/office/drawing/2014/main" id="{A839F946-C188-4EF4-9D32-2F69F8139249}"/>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84" name="CaixaDeTexto 83">
          <a:extLst>
            <a:ext uri="{FF2B5EF4-FFF2-40B4-BE49-F238E27FC236}">
              <a16:creationId xmlns:a16="http://schemas.microsoft.com/office/drawing/2014/main" id="{3CF801A1-3870-4F83-88B3-D84DF0922D64}"/>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85" name="CaixaDeTexto 84">
          <a:extLst>
            <a:ext uri="{FF2B5EF4-FFF2-40B4-BE49-F238E27FC236}">
              <a16:creationId xmlns:a16="http://schemas.microsoft.com/office/drawing/2014/main" id="{D3A946CD-2200-452B-855C-62F7E9514CDD}"/>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86" name="CaixaDeTexto 85">
          <a:extLst>
            <a:ext uri="{FF2B5EF4-FFF2-40B4-BE49-F238E27FC236}">
              <a16:creationId xmlns:a16="http://schemas.microsoft.com/office/drawing/2014/main" id="{F2948F5D-DF43-4E77-9902-E03DA91BC5D3}"/>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87" name="CaixaDeTexto 86">
          <a:extLst>
            <a:ext uri="{FF2B5EF4-FFF2-40B4-BE49-F238E27FC236}">
              <a16:creationId xmlns:a16="http://schemas.microsoft.com/office/drawing/2014/main" id="{A27D7384-5AB7-41FA-871A-1D78CFFAD172}"/>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88" name="CaixaDeTexto 87">
          <a:extLst>
            <a:ext uri="{FF2B5EF4-FFF2-40B4-BE49-F238E27FC236}">
              <a16:creationId xmlns:a16="http://schemas.microsoft.com/office/drawing/2014/main" id="{B9D87ACA-4D5A-414A-9E1C-D88F1F46C78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89" name="CaixaDeTexto 88">
          <a:extLst>
            <a:ext uri="{FF2B5EF4-FFF2-40B4-BE49-F238E27FC236}">
              <a16:creationId xmlns:a16="http://schemas.microsoft.com/office/drawing/2014/main" id="{D55EE2F2-1F2E-4A5F-98B3-D38E310CC61D}"/>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90" name="CaixaDeTexto 89">
          <a:extLst>
            <a:ext uri="{FF2B5EF4-FFF2-40B4-BE49-F238E27FC236}">
              <a16:creationId xmlns:a16="http://schemas.microsoft.com/office/drawing/2014/main" id="{481B9F9D-4376-47DA-8D66-FA7D7CBCD299}"/>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91" name="CaixaDeTexto 90">
          <a:extLst>
            <a:ext uri="{FF2B5EF4-FFF2-40B4-BE49-F238E27FC236}">
              <a16:creationId xmlns:a16="http://schemas.microsoft.com/office/drawing/2014/main" id="{C7336CF3-CD71-4CE4-AC82-DF4175DD1933}"/>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92" name="CaixaDeTexto 91">
          <a:extLst>
            <a:ext uri="{FF2B5EF4-FFF2-40B4-BE49-F238E27FC236}">
              <a16:creationId xmlns:a16="http://schemas.microsoft.com/office/drawing/2014/main" id="{7A4F2572-4A87-41C8-B874-642EF489BB6E}"/>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93" name="CaixaDeTexto 92">
          <a:extLst>
            <a:ext uri="{FF2B5EF4-FFF2-40B4-BE49-F238E27FC236}">
              <a16:creationId xmlns:a16="http://schemas.microsoft.com/office/drawing/2014/main" id="{D2B99560-5543-432B-9DB8-A17E1EA77D26}"/>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94" name="CaixaDeTexto 93">
          <a:extLst>
            <a:ext uri="{FF2B5EF4-FFF2-40B4-BE49-F238E27FC236}">
              <a16:creationId xmlns:a16="http://schemas.microsoft.com/office/drawing/2014/main" id="{75CA13C7-7237-4864-AFC6-54A80C499712}"/>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95" name="CaixaDeTexto 94">
          <a:extLst>
            <a:ext uri="{FF2B5EF4-FFF2-40B4-BE49-F238E27FC236}">
              <a16:creationId xmlns:a16="http://schemas.microsoft.com/office/drawing/2014/main" id="{3FA32D72-0A20-410D-B4F8-853C4E704379}"/>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96" name="CaixaDeTexto 95">
          <a:extLst>
            <a:ext uri="{FF2B5EF4-FFF2-40B4-BE49-F238E27FC236}">
              <a16:creationId xmlns:a16="http://schemas.microsoft.com/office/drawing/2014/main" id="{D0A07768-8753-48AA-9AAB-33CF8A8A1C03}"/>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97" name="CaixaDeTexto 96">
          <a:extLst>
            <a:ext uri="{FF2B5EF4-FFF2-40B4-BE49-F238E27FC236}">
              <a16:creationId xmlns:a16="http://schemas.microsoft.com/office/drawing/2014/main" id="{CA3821A7-853A-429A-B57C-A1BAAC1738FC}"/>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98" name="CaixaDeTexto 97">
          <a:extLst>
            <a:ext uri="{FF2B5EF4-FFF2-40B4-BE49-F238E27FC236}">
              <a16:creationId xmlns:a16="http://schemas.microsoft.com/office/drawing/2014/main" id="{2F33CF6D-D83D-4DDF-81AA-F4E279DEBE68}"/>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99" name="CaixaDeTexto 98">
          <a:extLst>
            <a:ext uri="{FF2B5EF4-FFF2-40B4-BE49-F238E27FC236}">
              <a16:creationId xmlns:a16="http://schemas.microsoft.com/office/drawing/2014/main" id="{096174CE-639E-4B7A-A438-6551B0424B8F}"/>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00" name="CaixaDeTexto 99">
          <a:extLst>
            <a:ext uri="{FF2B5EF4-FFF2-40B4-BE49-F238E27FC236}">
              <a16:creationId xmlns:a16="http://schemas.microsoft.com/office/drawing/2014/main" id="{47176EEF-0756-4BA3-8040-6A1CF33B7D86}"/>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01" name="CaixaDeTexto 100">
          <a:extLst>
            <a:ext uri="{FF2B5EF4-FFF2-40B4-BE49-F238E27FC236}">
              <a16:creationId xmlns:a16="http://schemas.microsoft.com/office/drawing/2014/main" id="{8AED9A37-C78C-4ADD-BE03-6C5F0D4595E7}"/>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02" name="CaixaDeTexto 101">
          <a:extLst>
            <a:ext uri="{FF2B5EF4-FFF2-40B4-BE49-F238E27FC236}">
              <a16:creationId xmlns:a16="http://schemas.microsoft.com/office/drawing/2014/main" id="{271BB0EA-7FEE-439F-B96A-A31AD0AFD043}"/>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03" name="CaixaDeTexto 102">
          <a:extLst>
            <a:ext uri="{FF2B5EF4-FFF2-40B4-BE49-F238E27FC236}">
              <a16:creationId xmlns:a16="http://schemas.microsoft.com/office/drawing/2014/main" id="{8668AB41-D48F-4CA5-85DE-205FF25C68CE}"/>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04" name="CaixaDeTexto 103">
          <a:extLst>
            <a:ext uri="{FF2B5EF4-FFF2-40B4-BE49-F238E27FC236}">
              <a16:creationId xmlns:a16="http://schemas.microsoft.com/office/drawing/2014/main" id="{55A10802-FBCA-47E8-A9C3-124F7C95121A}"/>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05" name="CaixaDeTexto 104">
          <a:extLst>
            <a:ext uri="{FF2B5EF4-FFF2-40B4-BE49-F238E27FC236}">
              <a16:creationId xmlns:a16="http://schemas.microsoft.com/office/drawing/2014/main" id="{7A9715B8-2C51-4637-A12F-111955F769C2}"/>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06" name="CaixaDeTexto 105">
          <a:extLst>
            <a:ext uri="{FF2B5EF4-FFF2-40B4-BE49-F238E27FC236}">
              <a16:creationId xmlns:a16="http://schemas.microsoft.com/office/drawing/2014/main" id="{EC41E8A8-4315-4833-BAAA-C09ADF88F10E}"/>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07" name="CaixaDeTexto 106">
          <a:extLst>
            <a:ext uri="{FF2B5EF4-FFF2-40B4-BE49-F238E27FC236}">
              <a16:creationId xmlns:a16="http://schemas.microsoft.com/office/drawing/2014/main" id="{9219578C-79F4-4EA0-85BC-E9BF5FD30077}"/>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08" name="CaixaDeTexto 107">
          <a:extLst>
            <a:ext uri="{FF2B5EF4-FFF2-40B4-BE49-F238E27FC236}">
              <a16:creationId xmlns:a16="http://schemas.microsoft.com/office/drawing/2014/main" id="{E54209B2-E0B2-4B6B-AA4B-734E0EF10118}"/>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09" name="CaixaDeTexto 108">
          <a:extLst>
            <a:ext uri="{FF2B5EF4-FFF2-40B4-BE49-F238E27FC236}">
              <a16:creationId xmlns:a16="http://schemas.microsoft.com/office/drawing/2014/main" id="{93DF947E-B89C-4F3B-BC5D-AC62108C46B9}"/>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10" name="CaixaDeTexto 109">
          <a:extLst>
            <a:ext uri="{FF2B5EF4-FFF2-40B4-BE49-F238E27FC236}">
              <a16:creationId xmlns:a16="http://schemas.microsoft.com/office/drawing/2014/main" id="{A219F373-F43F-42DC-9F4E-F428B1FA8209}"/>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11" name="CaixaDeTexto 110">
          <a:extLst>
            <a:ext uri="{FF2B5EF4-FFF2-40B4-BE49-F238E27FC236}">
              <a16:creationId xmlns:a16="http://schemas.microsoft.com/office/drawing/2014/main" id="{1EB05232-0E8C-4F02-A399-1321F91B8F68}"/>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12" name="CaixaDeTexto 111">
          <a:extLst>
            <a:ext uri="{FF2B5EF4-FFF2-40B4-BE49-F238E27FC236}">
              <a16:creationId xmlns:a16="http://schemas.microsoft.com/office/drawing/2014/main" id="{48A71692-F8E6-4BCC-94AA-43D6099C5229}"/>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13" name="CaixaDeTexto 112">
          <a:extLst>
            <a:ext uri="{FF2B5EF4-FFF2-40B4-BE49-F238E27FC236}">
              <a16:creationId xmlns:a16="http://schemas.microsoft.com/office/drawing/2014/main" id="{EA89641A-2FAC-4747-B269-719B6E567357}"/>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14" name="CaixaDeTexto 113">
          <a:extLst>
            <a:ext uri="{FF2B5EF4-FFF2-40B4-BE49-F238E27FC236}">
              <a16:creationId xmlns:a16="http://schemas.microsoft.com/office/drawing/2014/main" id="{9A9B787C-DD79-4064-B072-6A132CCD543D}"/>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15" name="CaixaDeTexto 114">
          <a:extLst>
            <a:ext uri="{FF2B5EF4-FFF2-40B4-BE49-F238E27FC236}">
              <a16:creationId xmlns:a16="http://schemas.microsoft.com/office/drawing/2014/main" id="{0854E6BF-F99B-4394-B070-370677C60ED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16" name="CaixaDeTexto 115">
          <a:extLst>
            <a:ext uri="{FF2B5EF4-FFF2-40B4-BE49-F238E27FC236}">
              <a16:creationId xmlns:a16="http://schemas.microsoft.com/office/drawing/2014/main" id="{DD647248-C2B3-4E25-898A-28F3174EE6EF}"/>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17" name="CaixaDeTexto 116">
          <a:extLst>
            <a:ext uri="{FF2B5EF4-FFF2-40B4-BE49-F238E27FC236}">
              <a16:creationId xmlns:a16="http://schemas.microsoft.com/office/drawing/2014/main" id="{890D43E3-DDFF-4661-B5CA-01D5572D6509}"/>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18" name="CaixaDeTexto 117">
          <a:extLst>
            <a:ext uri="{FF2B5EF4-FFF2-40B4-BE49-F238E27FC236}">
              <a16:creationId xmlns:a16="http://schemas.microsoft.com/office/drawing/2014/main" id="{E550763B-71C9-4BB6-9E3F-AA0069DD369F}"/>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19" name="CaixaDeTexto 118">
          <a:extLst>
            <a:ext uri="{FF2B5EF4-FFF2-40B4-BE49-F238E27FC236}">
              <a16:creationId xmlns:a16="http://schemas.microsoft.com/office/drawing/2014/main" id="{8D9D702D-CA09-4CE6-AFBC-06E31DF7C66A}"/>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20" name="CaixaDeTexto 119">
          <a:extLst>
            <a:ext uri="{FF2B5EF4-FFF2-40B4-BE49-F238E27FC236}">
              <a16:creationId xmlns:a16="http://schemas.microsoft.com/office/drawing/2014/main" id="{7BDEB1B4-A7B7-4B2B-AD97-84CF74E293CD}"/>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21" name="CaixaDeTexto 120">
          <a:extLst>
            <a:ext uri="{FF2B5EF4-FFF2-40B4-BE49-F238E27FC236}">
              <a16:creationId xmlns:a16="http://schemas.microsoft.com/office/drawing/2014/main" id="{5D75ECA5-24C4-449B-80AD-CDD3A3C34F75}"/>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22" name="CaixaDeTexto 121">
          <a:extLst>
            <a:ext uri="{FF2B5EF4-FFF2-40B4-BE49-F238E27FC236}">
              <a16:creationId xmlns:a16="http://schemas.microsoft.com/office/drawing/2014/main" id="{EA289EAB-0C24-41F6-86AD-AD3171BC4BD3}"/>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23" name="CaixaDeTexto 122">
          <a:extLst>
            <a:ext uri="{FF2B5EF4-FFF2-40B4-BE49-F238E27FC236}">
              <a16:creationId xmlns:a16="http://schemas.microsoft.com/office/drawing/2014/main" id="{E3F9A861-6D5A-4FC4-8E1E-09397EADBDAA}"/>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24" name="CaixaDeTexto 123">
          <a:extLst>
            <a:ext uri="{FF2B5EF4-FFF2-40B4-BE49-F238E27FC236}">
              <a16:creationId xmlns:a16="http://schemas.microsoft.com/office/drawing/2014/main" id="{60C2F385-1A79-40AA-929F-C10068898AE9}"/>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25" name="CaixaDeTexto 124">
          <a:extLst>
            <a:ext uri="{FF2B5EF4-FFF2-40B4-BE49-F238E27FC236}">
              <a16:creationId xmlns:a16="http://schemas.microsoft.com/office/drawing/2014/main" id="{451E3E98-074E-4063-B341-0F346DDC04F4}"/>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26" name="CaixaDeTexto 125">
          <a:extLst>
            <a:ext uri="{FF2B5EF4-FFF2-40B4-BE49-F238E27FC236}">
              <a16:creationId xmlns:a16="http://schemas.microsoft.com/office/drawing/2014/main" id="{157CEEC0-1D8C-440B-9604-FED15184410D}"/>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27" name="CaixaDeTexto 126">
          <a:extLst>
            <a:ext uri="{FF2B5EF4-FFF2-40B4-BE49-F238E27FC236}">
              <a16:creationId xmlns:a16="http://schemas.microsoft.com/office/drawing/2014/main" id="{450D6956-3FE9-4DA1-9D98-58ECFD9210D1}"/>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28" name="CaixaDeTexto 127">
          <a:extLst>
            <a:ext uri="{FF2B5EF4-FFF2-40B4-BE49-F238E27FC236}">
              <a16:creationId xmlns:a16="http://schemas.microsoft.com/office/drawing/2014/main" id="{20B74099-6061-4BF2-9EB9-435FE2998618}"/>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29" name="CaixaDeTexto 128">
          <a:extLst>
            <a:ext uri="{FF2B5EF4-FFF2-40B4-BE49-F238E27FC236}">
              <a16:creationId xmlns:a16="http://schemas.microsoft.com/office/drawing/2014/main" id="{71D07C0A-9F10-476B-A684-051C79DF9FE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30" name="CaixaDeTexto 129">
          <a:extLst>
            <a:ext uri="{FF2B5EF4-FFF2-40B4-BE49-F238E27FC236}">
              <a16:creationId xmlns:a16="http://schemas.microsoft.com/office/drawing/2014/main" id="{9E5E2ACA-9FA4-467A-9CF0-62B9A0B5C6C8}"/>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31" name="CaixaDeTexto 130">
          <a:extLst>
            <a:ext uri="{FF2B5EF4-FFF2-40B4-BE49-F238E27FC236}">
              <a16:creationId xmlns:a16="http://schemas.microsoft.com/office/drawing/2014/main" id="{FAB378AD-BD5A-4915-862D-3674FCD9F718}"/>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32" name="CaixaDeTexto 131">
          <a:extLst>
            <a:ext uri="{FF2B5EF4-FFF2-40B4-BE49-F238E27FC236}">
              <a16:creationId xmlns:a16="http://schemas.microsoft.com/office/drawing/2014/main" id="{DF61E1F9-7D71-4342-BD1A-E80D9BD17AB9}"/>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33" name="CaixaDeTexto 132">
          <a:extLst>
            <a:ext uri="{FF2B5EF4-FFF2-40B4-BE49-F238E27FC236}">
              <a16:creationId xmlns:a16="http://schemas.microsoft.com/office/drawing/2014/main" id="{B9897B13-A5EC-4AE8-A15D-9E59D8426787}"/>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34" name="CaixaDeTexto 133">
          <a:extLst>
            <a:ext uri="{FF2B5EF4-FFF2-40B4-BE49-F238E27FC236}">
              <a16:creationId xmlns:a16="http://schemas.microsoft.com/office/drawing/2014/main" id="{9DC23F19-AE31-4F52-8518-3CD7BA1531DB}"/>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35" name="CaixaDeTexto 134">
          <a:extLst>
            <a:ext uri="{FF2B5EF4-FFF2-40B4-BE49-F238E27FC236}">
              <a16:creationId xmlns:a16="http://schemas.microsoft.com/office/drawing/2014/main" id="{52E49A80-166B-40C6-A9EA-08591ACBC5B9}"/>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36" name="CaixaDeTexto 135">
          <a:extLst>
            <a:ext uri="{FF2B5EF4-FFF2-40B4-BE49-F238E27FC236}">
              <a16:creationId xmlns:a16="http://schemas.microsoft.com/office/drawing/2014/main" id="{2B4FAB76-FF15-4663-B841-D167AEAFF187}"/>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37" name="CaixaDeTexto 136">
          <a:extLst>
            <a:ext uri="{FF2B5EF4-FFF2-40B4-BE49-F238E27FC236}">
              <a16:creationId xmlns:a16="http://schemas.microsoft.com/office/drawing/2014/main" id="{D1D6D7E0-D6B7-492C-974E-274FDAFEC3B1}"/>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38" name="CaixaDeTexto 137">
          <a:extLst>
            <a:ext uri="{FF2B5EF4-FFF2-40B4-BE49-F238E27FC236}">
              <a16:creationId xmlns:a16="http://schemas.microsoft.com/office/drawing/2014/main" id="{94E2159A-8C5E-4B3E-BED4-1C4D4D4A2A31}"/>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39" name="CaixaDeTexto 138">
          <a:extLst>
            <a:ext uri="{FF2B5EF4-FFF2-40B4-BE49-F238E27FC236}">
              <a16:creationId xmlns:a16="http://schemas.microsoft.com/office/drawing/2014/main" id="{026ECEFD-19C2-4500-80A1-83BCD7A35764}"/>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40" name="CaixaDeTexto 139">
          <a:extLst>
            <a:ext uri="{FF2B5EF4-FFF2-40B4-BE49-F238E27FC236}">
              <a16:creationId xmlns:a16="http://schemas.microsoft.com/office/drawing/2014/main" id="{8D8BEBC3-A6DC-4A0F-B2BB-7511E97180CA}"/>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41" name="CaixaDeTexto 140">
          <a:extLst>
            <a:ext uri="{FF2B5EF4-FFF2-40B4-BE49-F238E27FC236}">
              <a16:creationId xmlns:a16="http://schemas.microsoft.com/office/drawing/2014/main" id="{03571EF1-F810-491A-8A76-CEC0CD58E9F1}"/>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42" name="CaixaDeTexto 141">
          <a:extLst>
            <a:ext uri="{FF2B5EF4-FFF2-40B4-BE49-F238E27FC236}">
              <a16:creationId xmlns:a16="http://schemas.microsoft.com/office/drawing/2014/main" id="{638EE652-6B8F-4A23-866D-E5E8F516CF29}"/>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43" name="CaixaDeTexto 142">
          <a:extLst>
            <a:ext uri="{FF2B5EF4-FFF2-40B4-BE49-F238E27FC236}">
              <a16:creationId xmlns:a16="http://schemas.microsoft.com/office/drawing/2014/main" id="{B703C137-5292-4671-A062-38CBCBE91EE7}"/>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44" name="CaixaDeTexto 143">
          <a:extLst>
            <a:ext uri="{FF2B5EF4-FFF2-40B4-BE49-F238E27FC236}">
              <a16:creationId xmlns:a16="http://schemas.microsoft.com/office/drawing/2014/main" id="{99C60F74-3289-4473-AE8F-B3EE2595ED23}"/>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45" name="CaixaDeTexto 144">
          <a:extLst>
            <a:ext uri="{FF2B5EF4-FFF2-40B4-BE49-F238E27FC236}">
              <a16:creationId xmlns:a16="http://schemas.microsoft.com/office/drawing/2014/main" id="{730FE423-41F2-461F-A1D1-0847D66286D2}"/>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46" name="CaixaDeTexto 145">
          <a:extLst>
            <a:ext uri="{FF2B5EF4-FFF2-40B4-BE49-F238E27FC236}">
              <a16:creationId xmlns:a16="http://schemas.microsoft.com/office/drawing/2014/main" id="{6FBED863-9B42-4D26-BAFA-285EF8CBC784}"/>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47" name="CaixaDeTexto 146">
          <a:extLst>
            <a:ext uri="{FF2B5EF4-FFF2-40B4-BE49-F238E27FC236}">
              <a16:creationId xmlns:a16="http://schemas.microsoft.com/office/drawing/2014/main" id="{A5475E67-0426-4840-B62D-714B76530A92}"/>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48" name="CaixaDeTexto 147">
          <a:extLst>
            <a:ext uri="{FF2B5EF4-FFF2-40B4-BE49-F238E27FC236}">
              <a16:creationId xmlns:a16="http://schemas.microsoft.com/office/drawing/2014/main" id="{58F43F18-E220-425F-9E70-517C47756B3B}"/>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49" name="CaixaDeTexto 148">
          <a:extLst>
            <a:ext uri="{FF2B5EF4-FFF2-40B4-BE49-F238E27FC236}">
              <a16:creationId xmlns:a16="http://schemas.microsoft.com/office/drawing/2014/main" id="{1C053B3B-E06B-40D0-BB7C-C0C45A1C51F5}"/>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50" name="CaixaDeTexto 149">
          <a:extLst>
            <a:ext uri="{FF2B5EF4-FFF2-40B4-BE49-F238E27FC236}">
              <a16:creationId xmlns:a16="http://schemas.microsoft.com/office/drawing/2014/main" id="{13B5B808-D6EE-4628-B456-0D5EB7484A5F}"/>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51" name="CaixaDeTexto 150">
          <a:extLst>
            <a:ext uri="{FF2B5EF4-FFF2-40B4-BE49-F238E27FC236}">
              <a16:creationId xmlns:a16="http://schemas.microsoft.com/office/drawing/2014/main" id="{80CE076A-DB0E-4050-A13D-DBA1F839D1D9}"/>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52" name="CaixaDeTexto 151">
          <a:extLst>
            <a:ext uri="{FF2B5EF4-FFF2-40B4-BE49-F238E27FC236}">
              <a16:creationId xmlns:a16="http://schemas.microsoft.com/office/drawing/2014/main" id="{EB465B72-3D9C-436B-AA69-43D5369853F4}"/>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53" name="CaixaDeTexto 152">
          <a:extLst>
            <a:ext uri="{FF2B5EF4-FFF2-40B4-BE49-F238E27FC236}">
              <a16:creationId xmlns:a16="http://schemas.microsoft.com/office/drawing/2014/main" id="{6FAC0237-2D95-49FB-B5ED-2D723AB2ED3B}"/>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54" name="CaixaDeTexto 153">
          <a:extLst>
            <a:ext uri="{FF2B5EF4-FFF2-40B4-BE49-F238E27FC236}">
              <a16:creationId xmlns:a16="http://schemas.microsoft.com/office/drawing/2014/main" id="{5DE3A982-C534-4912-902F-A88BA889F0E2}"/>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55" name="CaixaDeTexto 154">
          <a:extLst>
            <a:ext uri="{FF2B5EF4-FFF2-40B4-BE49-F238E27FC236}">
              <a16:creationId xmlns:a16="http://schemas.microsoft.com/office/drawing/2014/main" id="{11D2B132-3917-4912-982D-6B4D916C6B78}"/>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56" name="CaixaDeTexto 155">
          <a:extLst>
            <a:ext uri="{FF2B5EF4-FFF2-40B4-BE49-F238E27FC236}">
              <a16:creationId xmlns:a16="http://schemas.microsoft.com/office/drawing/2014/main" id="{9F5C68A4-F4A7-4482-9A8C-F9DD57A17151}"/>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57" name="CaixaDeTexto 156">
          <a:extLst>
            <a:ext uri="{FF2B5EF4-FFF2-40B4-BE49-F238E27FC236}">
              <a16:creationId xmlns:a16="http://schemas.microsoft.com/office/drawing/2014/main" id="{D5D019AB-3142-47BE-A9F6-DFE1859983CF}"/>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58" name="CaixaDeTexto 157">
          <a:extLst>
            <a:ext uri="{FF2B5EF4-FFF2-40B4-BE49-F238E27FC236}">
              <a16:creationId xmlns:a16="http://schemas.microsoft.com/office/drawing/2014/main" id="{85175E33-4861-4332-B7FA-55AAFB140BF9}"/>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59" name="CaixaDeTexto 158">
          <a:extLst>
            <a:ext uri="{FF2B5EF4-FFF2-40B4-BE49-F238E27FC236}">
              <a16:creationId xmlns:a16="http://schemas.microsoft.com/office/drawing/2014/main" id="{72BEE1AB-22CD-4B14-AA61-9321B01CEE41}"/>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60" name="CaixaDeTexto 159">
          <a:extLst>
            <a:ext uri="{FF2B5EF4-FFF2-40B4-BE49-F238E27FC236}">
              <a16:creationId xmlns:a16="http://schemas.microsoft.com/office/drawing/2014/main" id="{17644EBC-638D-49C3-B4C2-3393D020DDF8}"/>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61" name="CaixaDeTexto 160">
          <a:extLst>
            <a:ext uri="{FF2B5EF4-FFF2-40B4-BE49-F238E27FC236}">
              <a16:creationId xmlns:a16="http://schemas.microsoft.com/office/drawing/2014/main" id="{489047F7-7AB8-4551-9741-A229C277BEAB}"/>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62" name="CaixaDeTexto 161">
          <a:extLst>
            <a:ext uri="{FF2B5EF4-FFF2-40B4-BE49-F238E27FC236}">
              <a16:creationId xmlns:a16="http://schemas.microsoft.com/office/drawing/2014/main" id="{23CA6F90-6320-4833-8B5E-3C7D5419C6B3}"/>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63" name="CaixaDeTexto 162">
          <a:extLst>
            <a:ext uri="{FF2B5EF4-FFF2-40B4-BE49-F238E27FC236}">
              <a16:creationId xmlns:a16="http://schemas.microsoft.com/office/drawing/2014/main" id="{1B8E85D5-42F9-4CD0-A44F-287601C2DD0F}"/>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64" name="CaixaDeTexto 163">
          <a:extLst>
            <a:ext uri="{FF2B5EF4-FFF2-40B4-BE49-F238E27FC236}">
              <a16:creationId xmlns:a16="http://schemas.microsoft.com/office/drawing/2014/main" id="{BDCA2D67-AB62-4895-AC64-0BA03C641B7C}"/>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65" name="CaixaDeTexto 164">
          <a:extLst>
            <a:ext uri="{FF2B5EF4-FFF2-40B4-BE49-F238E27FC236}">
              <a16:creationId xmlns:a16="http://schemas.microsoft.com/office/drawing/2014/main" id="{89D8E8D5-33BA-4D0B-A765-3D7036279406}"/>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66" name="CaixaDeTexto 165">
          <a:extLst>
            <a:ext uri="{FF2B5EF4-FFF2-40B4-BE49-F238E27FC236}">
              <a16:creationId xmlns:a16="http://schemas.microsoft.com/office/drawing/2014/main" id="{0851219F-409E-4EF9-8F95-2712DC18836B}"/>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67" name="CaixaDeTexto 166">
          <a:extLst>
            <a:ext uri="{FF2B5EF4-FFF2-40B4-BE49-F238E27FC236}">
              <a16:creationId xmlns:a16="http://schemas.microsoft.com/office/drawing/2014/main" id="{E0B739A0-532F-4841-920A-320ED59A645A}"/>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68" name="CaixaDeTexto 167">
          <a:extLst>
            <a:ext uri="{FF2B5EF4-FFF2-40B4-BE49-F238E27FC236}">
              <a16:creationId xmlns:a16="http://schemas.microsoft.com/office/drawing/2014/main" id="{E32C8E73-C2DC-41DB-90EE-DE2ADDBFCFE2}"/>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69" name="CaixaDeTexto 168">
          <a:extLst>
            <a:ext uri="{FF2B5EF4-FFF2-40B4-BE49-F238E27FC236}">
              <a16:creationId xmlns:a16="http://schemas.microsoft.com/office/drawing/2014/main" id="{B1F84577-37AF-48EF-81AB-2BE57CBDDEE2}"/>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70" name="CaixaDeTexto 169">
          <a:extLst>
            <a:ext uri="{FF2B5EF4-FFF2-40B4-BE49-F238E27FC236}">
              <a16:creationId xmlns:a16="http://schemas.microsoft.com/office/drawing/2014/main" id="{3860FCF4-90C3-47B2-8894-552499210B2D}"/>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71" name="CaixaDeTexto 170">
          <a:extLst>
            <a:ext uri="{FF2B5EF4-FFF2-40B4-BE49-F238E27FC236}">
              <a16:creationId xmlns:a16="http://schemas.microsoft.com/office/drawing/2014/main" id="{C40F3755-425C-4988-A20C-335A79E3FF25}"/>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72" name="CaixaDeTexto 171">
          <a:extLst>
            <a:ext uri="{FF2B5EF4-FFF2-40B4-BE49-F238E27FC236}">
              <a16:creationId xmlns:a16="http://schemas.microsoft.com/office/drawing/2014/main" id="{4AD7F626-AD58-48CB-8966-42C5A686DD2B}"/>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73" name="CaixaDeTexto 172">
          <a:extLst>
            <a:ext uri="{FF2B5EF4-FFF2-40B4-BE49-F238E27FC236}">
              <a16:creationId xmlns:a16="http://schemas.microsoft.com/office/drawing/2014/main" id="{43979B14-6BD1-4DA5-8D03-734FFAC8ABC4}"/>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74" name="CaixaDeTexto 173">
          <a:extLst>
            <a:ext uri="{FF2B5EF4-FFF2-40B4-BE49-F238E27FC236}">
              <a16:creationId xmlns:a16="http://schemas.microsoft.com/office/drawing/2014/main" id="{D4A57F09-E0A7-4AF4-A48E-332721350E31}"/>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75" name="CaixaDeTexto 174">
          <a:extLst>
            <a:ext uri="{FF2B5EF4-FFF2-40B4-BE49-F238E27FC236}">
              <a16:creationId xmlns:a16="http://schemas.microsoft.com/office/drawing/2014/main" id="{57FBBF76-FBF2-40C9-BF4E-F958676BE855}"/>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76" name="CaixaDeTexto 175">
          <a:extLst>
            <a:ext uri="{FF2B5EF4-FFF2-40B4-BE49-F238E27FC236}">
              <a16:creationId xmlns:a16="http://schemas.microsoft.com/office/drawing/2014/main" id="{FA7C3427-5FF6-4EF9-884F-7BBDFA6CFE7E}"/>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77" name="CaixaDeTexto 176">
          <a:extLst>
            <a:ext uri="{FF2B5EF4-FFF2-40B4-BE49-F238E27FC236}">
              <a16:creationId xmlns:a16="http://schemas.microsoft.com/office/drawing/2014/main" id="{6BF73625-D36C-4B83-9F8D-EFA8C8B7B5D5}"/>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78" name="CaixaDeTexto 177">
          <a:extLst>
            <a:ext uri="{FF2B5EF4-FFF2-40B4-BE49-F238E27FC236}">
              <a16:creationId xmlns:a16="http://schemas.microsoft.com/office/drawing/2014/main" id="{25FD3D84-DB4E-42FD-B5A8-80E3CD73375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79" name="CaixaDeTexto 178">
          <a:extLst>
            <a:ext uri="{FF2B5EF4-FFF2-40B4-BE49-F238E27FC236}">
              <a16:creationId xmlns:a16="http://schemas.microsoft.com/office/drawing/2014/main" id="{1C689962-725F-42A9-BB0B-07B3BBDADAA5}"/>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80" name="CaixaDeTexto 179">
          <a:extLst>
            <a:ext uri="{FF2B5EF4-FFF2-40B4-BE49-F238E27FC236}">
              <a16:creationId xmlns:a16="http://schemas.microsoft.com/office/drawing/2014/main" id="{71680CDC-BD1D-4FF2-A286-FD4E187B829A}"/>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81" name="CaixaDeTexto 180">
          <a:extLst>
            <a:ext uri="{FF2B5EF4-FFF2-40B4-BE49-F238E27FC236}">
              <a16:creationId xmlns:a16="http://schemas.microsoft.com/office/drawing/2014/main" id="{63378CF2-DE6E-4FCA-9BA2-3BF278A69CAC}"/>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82" name="CaixaDeTexto 181">
          <a:extLst>
            <a:ext uri="{FF2B5EF4-FFF2-40B4-BE49-F238E27FC236}">
              <a16:creationId xmlns:a16="http://schemas.microsoft.com/office/drawing/2014/main" id="{D147C9DC-68C6-43B0-BEF9-781974C20185}"/>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83" name="CaixaDeTexto 182">
          <a:extLst>
            <a:ext uri="{FF2B5EF4-FFF2-40B4-BE49-F238E27FC236}">
              <a16:creationId xmlns:a16="http://schemas.microsoft.com/office/drawing/2014/main" id="{9B9E5109-B797-43C6-97DA-4A47B7C0659B}"/>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84" name="CaixaDeTexto 183">
          <a:extLst>
            <a:ext uri="{FF2B5EF4-FFF2-40B4-BE49-F238E27FC236}">
              <a16:creationId xmlns:a16="http://schemas.microsoft.com/office/drawing/2014/main" id="{C6BB213F-6792-4C40-819E-479F2369FA1E}"/>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85" name="CaixaDeTexto 184">
          <a:extLst>
            <a:ext uri="{FF2B5EF4-FFF2-40B4-BE49-F238E27FC236}">
              <a16:creationId xmlns:a16="http://schemas.microsoft.com/office/drawing/2014/main" id="{D8EF7AED-E5D4-406B-B9D7-A370DF411E47}"/>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86" name="CaixaDeTexto 185">
          <a:extLst>
            <a:ext uri="{FF2B5EF4-FFF2-40B4-BE49-F238E27FC236}">
              <a16:creationId xmlns:a16="http://schemas.microsoft.com/office/drawing/2014/main" id="{7A49C896-4A74-4215-97C6-0045A3290BCB}"/>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87" name="CaixaDeTexto 186">
          <a:extLst>
            <a:ext uri="{FF2B5EF4-FFF2-40B4-BE49-F238E27FC236}">
              <a16:creationId xmlns:a16="http://schemas.microsoft.com/office/drawing/2014/main" id="{5A2CF2D6-4B86-4070-96FF-7CAC362A9C3E}"/>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88" name="CaixaDeTexto 187">
          <a:extLst>
            <a:ext uri="{FF2B5EF4-FFF2-40B4-BE49-F238E27FC236}">
              <a16:creationId xmlns:a16="http://schemas.microsoft.com/office/drawing/2014/main" id="{6806E72D-68EA-4876-8B1F-3BB51EF870D8}"/>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89" name="CaixaDeTexto 188">
          <a:extLst>
            <a:ext uri="{FF2B5EF4-FFF2-40B4-BE49-F238E27FC236}">
              <a16:creationId xmlns:a16="http://schemas.microsoft.com/office/drawing/2014/main" id="{43449DCF-386F-46AB-8EC7-B0D9521E7C5F}"/>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90" name="CaixaDeTexto 189">
          <a:extLst>
            <a:ext uri="{FF2B5EF4-FFF2-40B4-BE49-F238E27FC236}">
              <a16:creationId xmlns:a16="http://schemas.microsoft.com/office/drawing/2014/main" id="{0004F6AA-F5EA-499F-AC58-5E189429A793}"/>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91" name="CaixaDeTexto 190">
          <a:extLst>
            <a:ext uri="{FF2B5EF4-FFF2-40B4-BE49-F238E27FC236}">
              <a16:creationId xmlns:a16="http://schemas.microsoft.com/office/drawing/2014/main" id="{77909D97-4DC9-430F-B954-9C4698D3747A}"/>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92" name="CaixaDeTexto 191">
          <a:extLst>
            <a:ext uri="{FF2B5EF4-FFF2-40B4-BE49-F238E27FC236}">
              <a16:creationId xmlns:a16="http://schemas.microsoft.com/office/drawing/2014/main" id="{CED2DAFF-6675-465F-8473-62211895CF74}"/>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93" name="CaixaDeTexto 192">
          <a:extLst>
            <a:ext uri="{FF2B5EF4-FFF2-40B4-BE49-F238E27FC236}">
              <a16:creationId xmlns:a16="http://schemas.microsoft.com/office/drawing/2014/main" id="{BF553BF5-B887-4186-B8BE-980574E0F6E9}"/>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94" name="CaixaDeTexto 193">
          <a:extLst>
            <a:ext uri="{FF2B5EF4-FFF2-40B4-BE49-F238E27FC236}">
              <a16:creationId xmlns:a16="http://schemas.microsoft.com/office/drawing/2014/main" id="{2B06BDB8-8825-4D3E-96DC-A3AC06D39CDD}"/>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95" name="CaixaDeTexto 194">
          <a:extLst>
            <a:ext uri="{FF2B5EF4-FFF2-40B4-BE49-F238E27FC236}">
              <a16:creationId xmlns:a16="http://schemas.microsoft.com/office/drawing/2014/main" id="{34DF3DEE-7833-4D5C-99FF-355DC856DC7A}"/>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96" name="CaixaDeTexto 195">
          <a:extLst>
            <a:ext uri="{FF2B5EF4-FFF2-40B4-BE49-F238E27FC236}">
              <a16:creationId xmlns:a16="http://schemas.microsoft.com/office/drawing/2014/main" id="{F16A6A1D-6620-4E62-A992-358AF83B8850}"/>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97" name="CaixaDeTexto 196">
          <a:extLst>
            <a:ext uri="{FF2B5EF4-FFF2-40B4-BE49-F238E27FC236}">
              <a16:creationId xmlns:a16="http://schemas.microsoft.com/office/drawing/2014/main" id="{32C127A8-3F80-4BFB-8F33-0ED03AA6BAEC}"/>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98" name="CaixaDeTexto 197">
          <a:extLst>
            <a:ext uri="{FF2B5EF4-FFF2-40B4-BE49-F238E27FC236}">
              <a16:creationId xmlns:a16="http://schemas.microsoft.com/office/drawing/2014/main" id="{05CDBB6F-AD60-4B14-88B9-5AAB3F06A53A}"/>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199" name="CaixaDeTexto 198">
          <a:extLst>
            <a:ext uri="{FF2B5EF4-FFF2-40B4-BE49-F238E27FC236}">
              <a16:creationId xmlns:a16="http://schemas.microsoft.com/office/drawing/2014/main" id="{05E1910C-0BBD-4EB2-94E0-C23CDBC37722}"/>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00" name="CaixaDeTexto 199">
          <a:extLst>
            <a:ext uri="{FF2B5EF4-FFF2-40B4-BE49-F238E27FC236}">
              <a16:creationId xmlns:a16="http://schemas.microsoft.com/office/drawing/2014/main" id="{F58B93FE-73F3-4743-BC6B-23F873781658}"/>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01" name="CaixaDeTexto 200">
          <a:extLst>
            <a:ext uri="{FF2B5EF4-FFF2-40B4-BE49-F238E27FC236}">
              <a16:creationId xmlns:a16="http://schemas.microsoft.com/office/drawing/2014/main" id="{5539FD9B-8163-49E5-89EE-B674461DD385}"/>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02" name="CaixaDeTexto 201">
          <a:extLst>
            <a:ext uri="{FF2B5EF4-FFF2-40B4-BE49-F238E27FC236}">
              <a16:creationId xmlns:a16="http://schemas.microsoft.com/office/drawing/2014/main" id="{2158AE40-4BD8-47AF-965F-643606E3F3F0}"/>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03" name="CaixaDeTexto 202">
          <a:extLst>
            <a:ext uri="{FF2B5EF4-FFF2-40B4-BE49-F238E27FC236}">
              <a16:creationId xmlns:a16="http://schemas.microsoft.com/office/drawing/2014/main" id="{5B7B65C8-99CC-4142-86E3-C2DDE3C48D64}"/>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04" name="CaixaDeTexto 203">
          <a:extLst>
            <a:ext uri="{FF2B5EF4-FFF2-40B4-BE49-F238E27FC236}">
              <a16:creationId xmlns:a16="http://schemas.microsoft.com/office/drawing/2014/main" id="{024B4E34-678A-4185-B77A-FA97BD17CD01}"/>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05" name="CaixaDeTexto 204">
          <a:extLst>
            <a:ext uri="{FF2B5EF4-FFF2-40B4-BE49-F238E27FC236}">
              <a16:creationId xmlns:a16="http://schemas.microsoft.com/office/drawing/2014/main" id="{8E1C9B35-DF14-411D-A2C2-E9A0898DF796}"/>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06" name="CaixaDeTexto 205">
          <a:extLst>
            <a:ext uri="{FF2B5EF4-FFF2-40B4-BE49-F238E27FC236}">
              <a16:creationId xmlns:a16="http://schemas.microsoft.com/office/drawing/2014/main" id="{DAC5CE74-3D56-4852-B359-B6E06A6ECD86}"/>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07" name="CaixaDeTexto 206">
          <a:extLst>
            <a:ext uri="{FF2B5EF4-FFF2-40B4-BE49-F238E27FC236}">
              <a16:creationId xmlns:a16="http://schemas.microsoft.com/office/drawing/2014/main" id="{F826BAD1-872F-44A3-9BB3-260D3607105F}"/>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08" name="CaixaDeTexto 207">
          <a:extLst>
            <a:ext uri="{FF2B5EF4-FFF2-40B4-BE49-F238E27FC236}">
              <a16:creationId xmlns:a16="http://schemas.microsoft.com/office/drawing/2014/main" id="{4E16B192-4484-43B3-A049-736D05C038F3}"/>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09" name="CaixaDeTexto 208">
          <a:extLst>
            <a:ext uri="{FF2B5EF4-FFF2-40B4-BE49-F238E27FC236}">
              <a16:creationId xmlns:a16="http://schemas.microsoft.com/office/drawing/2014/main" id="{C0ABCF20-AAE5-4172-9C75-FF9202B031C5}"/>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10" name="CaixaDeTexto 209">
          <a:extLst>
            <a:ext uri="{FF2B5EF4-FFF2-40B4-BE49-F238E27FC236}">
              <a16:creationId xmlns:a16="http://schemas.microsoft.com/office/drawing/2014/main" id="{19D39E73-8B71-412E-9A86-9BD5D06977C1}"/>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11" name="CaixaDeTexto 210">
          <a:extLst>
            <a:ext uri="{FF2B5EF4-FFF2-40B4-BE49-F238E27FC236}">
              <a16:creationId xmlns:a16="http://schemas.microsoft.com/office/drawing/2014/main" id="{538D6D22-35B5-4127-BB4F-D990270AE440}"/>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12" name="CaixaDeTexto 211">
          <a:extLst>
            <a:ext uri="{FF2B5EF4-FFF2-40B4-BE49-F238E27FC236}">
              <a16:creationId xmlns:a16="http://schemas.microsoft.com/office/drawing/2014/main" id="{4BB87278-14A1-42BA-87A5-64E34C002BBE}"/>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13" name="CaixaDeTexto 212">
          <a:extLst>
            <a:ext uri="{FF2B5EF4-FFF2-40B4-BE49-F238E27FC236}">
              <a16:creationId xmlns:a16="http://schemas.microsoft.com/office/drawing/2014/main" id="{4CE0B125-B61A-4052-9276-B68E6BCD13A8}"/>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14" name="CaixaDeTexto 213">
          <a:extLst>
            <a:ext uri="{FF2B5EF4-FFF2-40B4-BE49-F238E27FC236}">
              <a16:creationId xmlns:a16="http://schemas.microsoft.com/office/drawing/2014/main" id="{A0CE1178-D093-4CA5-A606-724C8F38467B}"/>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15" name="CaixaDeTexto 214">
          <a:extLst>
            <a:ext uri="{FF2B5EF4-FFF2-40B4-BE49-F238E27FC236}">
              <a16:creationId xmlns:a16="http://schemas.microsoft.com/office/drawing/2014/main" id="{16E81B3A-4D5E-4E76-97A2-18D5F64F06C1}"/>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16" name="CaixaDeTexto 215">
          <a:extLst>
            <a:ext uri="{FF2B5EF4-FFF2-40B4-BE49-F238E27FC236}">
              <a16:creationId xmlns:a16="http://schemas.microsoft.com/office/drawing/2014/main" id="{86968493-C18E-4DC3-99CC-7EA6665BB6B5}"/>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17" name="CaixaDeTexto 216">
          <a:extLst>
            <a:ext uri="{FF2B5EF4-FFF2-40B4-BE49-F238E27FC236}">
              <a16:creationId xmlns:a16="http://schemas.microsoft.com/office/drawing/2014/main" id="{C3B94D54-E5D1-46BE-BA4B-274C530A2D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18" name="CaixaDeTexto 217">
          <a:extLst>
            <a:ext uri="{FF2B5EF4-FFF2-40B4-BE49-F238E27FC236}">
              <a16:creationId xmlns:a16="http://schemas.microsoft.com/office/drawing/2014/main" id="{93D7F65E-DB4B-49B0-AC4D-E4B4040D1076}"/>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19" name="CaixaDeTexto 218">
          <a:extLst>
            <a:ext uri="{FF2B5EF4-FFF2-40B4-BE49-F238E27FC236}">
              <a16:creationId xmlns:a16="http://schemas.microsoft.com/office/drawing/2014/main" id="{CA8CB505-4633-445D-9D73-18315AE72F8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20" name="CaixaDeTexto 219">
          <a:extLst>
            <a:ext uri="{FF2B5EF4-FFF2-40B4-BE49-F238E27FC236}">
              <a16:creationId xmlns:a16="http://schemas.microsoft.com/office/drawing/2014/main" id="{1E3EAFC3-7779-4D1A-A31B-C99532E6A93A}"/>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21" name="CaixaDeTexto 220">
          <a:extLst>
            <a:ext uri="{FF2B5EF4-FFF2-40B4-BE49-F238E27FC236}">
              <a16:creationId xmlns:a16="http://schemas.microsoft.com/office/drawing/2014/main" id="{3DFC09E6-83B5-4197-AC72-9F0C8B8E442E}"/>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22" name="CaixaDeTexto 221">
          <a:extLst>
            <a:ext uri="{FF2B5EF4-FFF2-40B4-BE49-F238E27FC236}">
              <a16:creationId xmlns:a16="http://schemas.microsoft.com/office/drawing/2014/main" id="{0045BEB0-1AB4-4ABD-B966-0BF6DD299764}"/>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23" name="CaixaDeTexto 222">
          <a:extLst>
            <a:ext uri="{FF2B5EF4-FFF2-40B4-BE49-F238E27FC236}">
              <a16:creationId xmlns:a16="http://schemas.microsoft.com/office/drawing/2014/main" id="{7CB55327-DE7D-498E-926E-1BB44D6E868F}"/>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24" name="CaixaDeTexto 223">
          <a:extLst>
            <a:ext uri="{FF2B5EF4-FFF2-40B4-BE49-F238E27FC236}">
              <a16:creationId xmlns:a16="http://schemas.microsoft.com/office/drawing/2014/main" id="{71AC71C7-76B0-4A47-A1CC-4733DE1BAC9E}"/>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25" name="CaixaDeTexto 224">
          <a:extLst>
            <a:ext uri="{FF2B5EF4-FFF2-40B4-BE49-F238E27FC236}">
              <a16:creationId xmlns:a16="http://schemas.microsoft.com/office/drawing/2014/main" id="{B60EE248-DE07-490F-A2AA-005C5C152F5C}"/>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26" name="CaixaDeTexto 225">
          <a:extLst>
            <a:ext uri="{FF2B5EF4-FFF2-40B4-BE49-F238E27FC236}">
              <a16:creationId xmlns:a16="http://schemas.microsoft.com/office/drawing/2014/main" id="{29E9CDAE-C8B1-4BA5-86A3-A37263B54F8E}"/>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27" name="CaixaDeTexto 226">
          <a:extLst>
            <a:ext uri="{FF2B5EF4-FFF2-40B4-BE49-F238E27FC236}">
              <a16:creationId xmlns:a16="http://schemas.microsoft.com/office/drawing/2014/main" id="{F62A3E00-9ABE-4854-BF18-C98F1191EACE}"/>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28" name="CaixaDeTexto 227">
          <a:extLst>
            <a:ext uri="{FF2B5EF4-FFF2-40B4-BE49-F238E27FC236}">
              <a16:creationId xmlns:a16="http://schemas.microsoft.com/office/drawing/2014/main" id="{0E3CDA62-FCF7-4D21-AF90-FB6B545747CC}"/>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29" name="CaixaDeTexto 228">
          <a:extLst>
            <a:ext uri="{FF2B5EF4-FFF2-40B4-BE49-F238E27FC236}">
              <a16:creationId xmlns:a16="http://schemas.microsoft.com/office/drawing/2014/main" id="{0BAC9103-459C-434F-89BE-4261B38E79D9}"/>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30" name="CaixaDeTexto 229">
          <a:extLst>
            <a:ext uri="{FF2B5EF4-FFF2-40B4-BE49-F238E27FC236}">
              <a16:creationId xmlns:a16="http://schemas.microsoft.com/office/drawing/2014/main" id="{F7D14240-083E-4E23-873E-72D124020686}"/>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31" name="CaixaDeTexto 230">
          <a:extLst>
            <a:ext uri="{FF2B5EF4-FFF2-40B4-BE49-F238E27FC236}">
              <a16:creationId xmlns:a16="http://schemas.microsoft.com/office/drawing/2014/main" id="{E6989D27-2FC9-475F-B2C2-7FEE6DA4D426}"/>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32" name="CaixaDeTexto 231">
          <a:extLst>
            <a:ext uri="{FF2B5EF4-FFF2-40B4-BE49-F238E27FC236}">
              <a16:creationId xmlns:a16="http://schemas.microsoft.com/office/drawing/2014/main" id="{6E87842C-3374-44F6-A8F0-55B9B2ED89B1}"/>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33" name="CaixaDeTexto 232">
          <a:extLst>
            <a:ext uri="{FF2B5EF4-FFF2-40B4-BE49-F238E27FC236}">
              <a16:creationId xmlns:a16="http://schemas.microsoft.com/office/drawing/2014/main" id="{4FD28489-1F4A-4CEE-A4D1-F96608D53A86}"/>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34" name="CaixaDeTexto 233">
          <a:extLst>
            <a:ext uri="{FF2B5EF4-FFF2-40B4-BE49-F238E27FC236}">
              <a16:creationId xmlns:a16="http://schemas.microsoft.com/office/drawing/2014/main" id="{744F43DD-6732-48C1-BA8C-B1E308EA7FE5}"/>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35" name="CaixaDeTexto 234">
          <a:extLst>
            <a:ext uri="{FF2B5EF4-FFF2-40B4-BE49-F238E27FC236}">
              <a16:creationId xmlns:a16="http://schemas.microsoft.com/office/drawing/2014/main" id="{56A1B63D-3168-4F5B-A8D2-9D1EFAF72FA2}"/>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36" name="CaixaDeTexto 235">
          <a:extLst>
            <a:ext uri="{FF2B5EF4-FFF2-40B4-BE49-F238E27FC236}">
              <a16:creationId xmlns:a16="http://schemas.microsoft.com/office/drawing/2014/main" id="{E2453944-D977-4467-8995-39DCCF635B9F}"/>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37" name="CaixaDeTexto 236">
          <a:extLst>
            <a:ext uri="{FF2B5EF4-FFF2-40B4-BE49-F238E27FC236}">
              <a16:creationId xmlns:a16="http://schemas.microsoft.com/office/drawing/2014/main" id="{B8BF71E3-742C-49D5-9A44-1B4485681DFD}"/>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1052</xdr:row>
      <xdr:rowOff>0</xdr:rowOff>
    </xdr:from>
    <xdr:ext cx="184731" cy="264560"/>
    <xdr:sp macro="" textlink="">
      <xdr:nvSpPr>
        <xdr:cNvPr id="238" name="CaixaDeTexto 237">
          <a:extLst>
            <a:ext uri="{FF2B5EF4-FFF2-40B4-BE49-F238E27FC236}">
              <a16:creationId xmlns:a16="http://schemas.microsoft.com/office/drawing/2014/main" id="{26CB3C67-8BB4-434E-BC05-E6253D975DEA}"/>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1052</xdr:row>
      <xdr:rowOff>0</xdr:rowOff>
    </xdr:from>
    <xdr:ext cx="184731" cy="264560"/>
    <xdr:sp macro="" textlink="">
      <xdr:nvSpPr>
        <xdr:cNvPr id="239" name="CaixaDeTexto 238">
          <a:extLst>
            <a:ext uri="{FF2B5EF4-FFF2-40B4-BE49-F238E27FC236}">
              <a16:creationId xmlns:a16="http://schemas.microsoft.com/office/drawing/2014/main" id="{9BF29DE7-795D-4077-8DB1-846DDE01C16A}"/>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1052</xdr:row>
      <xdr:rowOff>0</xdr:rowOff>
    </xdr:from>
    <xdr:ext cx="184731" cy="264560"/>
    <xdr:sp macro="" textlink="">
      <xdr:nvSpPr>
        <xdr:cNvPr id="240" name="CaixaDeTexto 239">
          <a:extLst>
            <a:ext uri="{FF2B5EF4-FFF2-40B4-BE49-F238E27FC236}">
              <a16:creationId xmlns:a16="http://schemas.microsoft.com/office/drawing/2014/main" id="{FDED2C59-85F7-4794-98EE-6FD9DA5C4497}"/>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1052</xdr:row>
      <xdr:rowOff>0</xdr:rowOff>
    </xdr:from>
    <xdr:ext cx="184731" cy="264560"/>
    <xdr:sp macro="" textlink="">
      <xdr:nvSpPr>
        <xdr:cNvPr id="241" name="CaixaDeTexto 240">
          <a:extLst>
            <a:ext uri="{FF2B5EF4-FFF2-40B4-BE49-F238E27FC236}">
              <a16:creationId xmlns:a16="http://schemas.microsoft.com/office/drawing/2014/main" id="{F3AE9132-BF96-4D02-8E22-0E2D5A9E375B}"/>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1052</xdr:row>
      <xdr:rowOff>0</xdr:rowOff>
    </xdr:from>
    <xdr:ext cx="184731" cy="264560"/>
    <xdr:sp macro="" textlink="">
      <xdr:nvSpPr>
        <xdr:cNvPr id="242" name="CaixaDeTexto 241">
          <a:extLst>
            <a:ext uri="{FF2B5EF4-FFF2-40B4-BE49-F238E27FC236}">
              <a16:creationId xmlns:a16="http://schemas.microsoft.com/office/drawing/2014/main" id="{231256CB-9B91-4B21-87F2-57AC77EA7827}"/>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1052</xdr:row>
      <xdr:rowOff>0</xdr:rowOff>
    </xdr:from>
    <xdr:ext cx="184731" cy="264560"/>
    <xdr:sp macro="" textlink="">
      <xdr:nvSpPr>
        <xdr:cNvPr id="243" name="CaixaDeTexto 242">
          <a:extLst>
            <a:ext uri="{FF2B5EF4-FFF2-40B4-BE49-F238E27FC236}">
              <a16:creationId xmlns:a16="http://schemas.microsoft.com/office/drawing/2014/main" id="{DB947C51-6217-4959-9943-E34F67E51BA5}"/>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1052</xdr:row>
      <xdr:rowOff>0</xdr:rowOff>
    </xdr:from>
    <xdr:ext cx="184731" cy="264560"/>
    <xdr:sp macro="" textlink="">
      <xdr:nvSpPr>
        <xdr:cNvPr id="244" name="CaixaDeTexto 243">
          <a:extLst>
            <a:ext uri="{FF2B5EF4-FFF2-40B4-BE49-F238E27FC236}">
              <a16:creationId xmlns:a16="http://schemas.microsoft.com/office/drawing/2014/main" id="{13B8E38A-54C2-491C-A1FC-09D42E8631AD}"/>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1052</xdr:row>
      <xdr:rowOff>0</xdr:rowOff>
    </xdr:from>
    <xdr:ext cx="184731" cy="264560"/>
    <xdr:sp macro="" textlink="">
      <xdr:nvSpPr>
        <xdr:cNvPr id="245" name="CaixaDeTexto 244">
          <a:extLst>
            <a:ext uri="{FF2B5EF4-FFF2-40B4-BE49-F238E27FC236}">
              <a16:creationId xmlns:a16="http://schemas.microsoft.com/office/drawing/2014/main" id="{8D786592-1D0F-48F4-BFDF-7F6B4614720A}"/>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1052</xdr:row>
      <xdr:rowOff>0</xdr:rowOff>
    </xdr:from>
    <xdr:ext cx="184731" cy="264560"/>
    <xdr:sp macro="" textlink="">
      <xdr:nvSpPr>
        <xdr:cNvPr id="246" name="CaixaDeTexto 245">
          <a:extLst>
            <a:ext uri="{FF2B5EF4-FFF2-40B4-BE49-F238E27FC236}">
              <a16:creationId xmlns:a16="http://schemas.microsoft.com/office/drawing/2014/main" id="{94358B56-3E1E-4FC8-959D-C2E5C6510B4D}"/>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1052</xdr:row>
      <xdr:rowOff>0</xdr:rowOff>
    </xdr:from>
    <xdr:ext cx="184731" cy="264560"/>
    <xdr:sp macro="" textlink="">
      <xdr:nvSpPr>
        <xdr:cNvPr id="247" name="CaixaDeTexto 246">
          <a:extLst>
            <a:ext uri="{FF2B5EF4-FFF2-40B4-BE49-F238E27FC236}">
              <a16:creationId xmlns:a16="http://schemas.microsoft.com/office/drawing/2014/main" id="{CAB80797-245A-4E35-9DA6-A3FDC554F6EA}"/>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1052</xdr:row>
      <xdr:rowOff>0</xdr:rowOff>
    </xdr:from>
    <xdr:ext cx="184731" cy="264560"/>
    <xdr:sp macro="" textlink="">
      <xdr:nvSpPr>
        <xdr:cNvPr id="248" name="CaixaDeTexto 247">
          <a:extLst>
            <a:ext uri="{FF2B5EF4-FFF2-40B4-BE49-F238E27FC236}">
              <a16:creationId xmlns:a16="http://schemas.microsoft.com/office/drawing/2014/main" id="{7E3811E4-24A6-4599-AB86-D1D6EFE080CF}"/>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1052</xdr:row>
      <xdr:rowOff>0</xdr:rowOff>
    </xdr:from>
    <xdr:ext cx="184731" cy="264560"/>
    <xdr:sp macro="" textlink="">
      <xdr:nvSpPr>
        <xdr:cNvPr id="249" name="CaixaDeTexto 248">
          <a:extLst>
            <a:ext uri="{FF2B5EF4-FFF2-40B4-BE49-F238E27FC236}">
              <a16:creationId xmlns:a16="http://schemas.microsoft.com/office/drawing/2014/main" id="{C0DA0E10-C379-40FC-A897-AB82F097AF38}"/>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1052</xdr:row>
      <xdr:rowOff>0</xdr:rowOff>
    </xdr:from>
    <xdr:ext cx="184731" cy="264560"/>
    <xdr:sp macro="" textlink="">
      <xdr:nvSpPr>
        <xdr:cNvPr id="250" name="CaixaDeTexto 249">
          <a:extLst>
            <a:ext uri="{FF2B5EF4-FFF2-40B4-BE49-F238E27FC236}">
              <a16:creationId xmlns:a16="http://schemas.microsoft.com/office/drawing/2014/main" id="{2ACFC2C7-8603-40E4-875E-B8AC67DE5CA2}"/>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1052</xdr:row>
      <xdr:rowOff>0</xdr:rowOff>
    </xdr:from>
    <xdr:ext cx="184731" cy="264560"/>
    <xdr:sp macro="" textlink="">
      <xdr:nvSpPr>
        <xdr:cNvPr id="251" name="CaixaDeTexto 250">
          <a:extLst>
            <a:ext uri="{FF2B5EF4-FFF2-40B4-BE49-F238E27FC236}">
              <a16:creationId xmlns:a16="http://schemas.microsoft.com/office/drawing/2014/main" id="{71F07205-0D59-4548-A464-C55AB684D186}"/>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1052</xdr:row>
      <xdr:rowOff>0</xdr:rowOff>
    </xdr:from>
    <xdr:ext cx="184731" cy="264560"/>
    <xdr:sp macro="" textlink="">
      <xdr:nvSpPr>
        <xdr:cNvPr id="252" name="CaixaDeTexto 251">
          <a:extLst>
            <a:ext uri="{FF2B5EF4-FFF2-40B4-BE49-F238E27FC236}">
              <a16:creationId xmlns:a16="http://schemas.microsoft.com/office/drawing/2014/main" id="{908A4FFA-7C83-4FC8-8BC6-6946E668A50B}"/>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1052</xdr:row>
      <xdr:rowOff>0</xdr:rowOff>
    </xdr:from>
    <xdr:ext cx="184731" cy="264560"/>
    <xdr:sp macro="" textlink="">
      <xdr:nvSpPr>
        <xdr:cNvPr id="253" name="CaixaDeTexto 252">
          <a:extLst>
            <a:ext uri="{FF2B5EF4-FFF2-40B4-BE49-F238E27FC236}">
              <a16:creationId xmlns:a16="http://schemas.microsoft.com/office/drawing/2014/main" id="{2EFEE901-A384-4702-B246-7D9961B734B2}"/>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1052</xdr:row>
      <xdr:rowOff>0</xdr:rowOff>
    </xdr:from>
    <xdr:ext cx="184731" cy="264560"/>
    <xdr:sp macro="" textlink="">
      <xdr:nvSpPr>
        <xdr:cNvPr id="254" name="CaixaDeTexto 253">
          <a:extLst>
            <a:ext uri="{FF2B5EF4-FFF2-40B4-BE49-F238E27FC236}">
              <a16:creationId xmlns:a16="http://schemas.microsoft.com/office/drawing/2014/main" id="{7A7C2102-8139-4234-98CF-DCB734F3437F}"/>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1052</xdr:row>
      <xdr:rowOff>0</xdr:rowOff>
    </xdr:from>
    <xdr:ext cx="184731" cy="264560"/>
    <xdr:sp macro="" textlink="">
      <xdr:nvSpPr>
        <xdr:cNvPr id="255" name="CaixaDeTexto 254">
          <a:extLst>
            <a:ext uri="{FF2B5EF4-FFF2-40B4-BE49-F238E27FC236}">
              <a16:creationId xmlns:a16="http://schemas.microsoft.com/office/drawing/2014/main" id="{607EA57D-58D8-4E47-A67B-B110F9350AC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1052</xdr:row>
      <xdr:rowOff>0</xdr:rowOff>
    </xdr:from>
    <xdr:ext cx="184731" cy="264560"/>
    <xdr:sp macro="" textlink="">
      <xdr:nvSpPr>
        <xdr:cNvPr id="256" name="CaixaDeTexto 255">
          <a:extLst>
            <a:ext uri="{FF2B5EF4-FFF2-40B4-BE49-F238E27FC236}">
              <a16:creationId xmlns:a16="http://schemas.microsoft.com/office/drawing/2014/main" id="{6D784DA4-1828-451A-BC10-F06C0DEE0013}"/>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1052</xdr:row>
      <xdr:rowOff>0</xdr:rowOff>
    </xdr:from>
    <xdr:ext cx="184731" cy="264560"/>
    <xdr:sp macro="" textlink="">
      <xdr:nvSpPr>
        <xdr:cNvPr id="257" name="CaixaDeTexto 256">
          <a:extLst>
            <a:ext uri="{FF2B5EF4-FFF2-40B4-BE49-F238E27FC236}">
              <a16:creationId xmlns:a16="http://schemas.microsoft.com/office/drawing/2014/main" id="{16658025-F98C-40CD-9F1A-588DA5C29B77}"/>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1052</xdr:row>
      <xdr:rowOff>0</xdr:rowOff>
    </xdr:from>
    <xdr:ext cx="184731" cy="264560"/>
    <xdr:sp macro="" textlink="">
      <xdr:nvSpPr>
        <xdr:cNvPr id="258" name="CaixaDeTexto 257">
          <a:extLst>
            <a:ext uri="{FF2B5EF4-FFF2-40B4-BE49-F238E27FC236}">
              <a16:creationId xmlns:a16="http://schemas.microsoft.com/office/drawing/2014/main" id="{32C5D8D9-E8BD-41D4-BA25-42EAFA348D5F}"/>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1052</xdr:row>
      <xdr:rowOff>0</xdr:rowOff>
    </xdr:from>
    <xdr:ext cx="184731" cy="264560"/>
    <xdr:sp macro="" textlink="">
      <xdr:nvSpPr>
        <xdr:cNvPr id="259" name="CaixaDeTexto 258">
          <a:extLst>
            <a:ext uri="{FF2B5EF4-FFF2-40B4-BE49-F238E27FC236}">
              <a16:creationId xmlns:a16="http://schemas.microsoft.com/office/drawing/2014/main" id="{52C9C942-C50A-4FE6-BFAD-F28C368C3ECD}"/>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1052</xdr:row>
      <xdr:rowOff>0</xdr:rowOff>
    </xdr:from>
    <xdr:ext cx="184731" cy="264560"/>
    <xdr:sp macro="" textlink="">
      <xdr:nvSpPr>
        <xdr:cNvPr id="260" name="CaixaDeTexto 259">
          <a:extLst>
            <a:ext uri="{FF2B5EF4-FFF2-40B4-BE49-F238E27FC236}">
              <a16:creationId xmlns:a16="http://schemas.microsoft.com/office/drawing/2014/main" id="{8F3A7DF0-6EE5-4D4D-B32E-A1B461B85D4F}"/>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1052</xdr:row>
      <xdr:rowOff>0</xdr:rowOff>
    </xdr:from>
    <xdr:ext cx="184731" cy="264560"/>
    <xdr:sp macro="" textlink="">
      <xdr:nvSpPr>
        <xdr:cNvPr id="261" name="CaixaDeTexto 260">
          <a:extLst>
            <a:ext uri="{FF2B5EF4-FFF2-40B4-BE49-F238E27FC236}">
              <a16:creationId xmlns:a16="http://schemas.microsoft.com/office/drawing/2014/main" id="{0963C428-C8A7-46BE-B942-1B4D39BEE10D}"/>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1052</xdr:row>
      <xdr:rowOff>0</xdr:rowOff>
    </xdr:from>
    <xdr:ext cx="184731" cy="264560"/>
    <xdr:sp macro="" textlink="">
      <xdr:nvSpPr>
        <xdr:cNvPr id="262" name="CaixaDeTexto 261">
          <a:extLst>
            <a:ext uri="{FF2B5EF4-FFF2-40B4-BE49-F238E27FC236}">
              <a16:creationId xmlns:a16="http://schemas.microsoft.com/office/drawing/2014/main" id="{516B48DA-FAE4-42B6-9B98-E7D9960081B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1052</xdr:row>
      <xdr:rowOff>0</xdr:rowOff>
    </xdr:from>
    <xdr:ext cx="184731" cy="264560"/>
    <xdr:sp macro="" textlink="">
      <xdr:nvSpPr>
        <xdr:cNvPr id="263" name="CaixaDeTexto 262">
          <a:extLst>
            <a:ext uri="{FF2B5EF4-FFF2-40B4-BE49-F238E27FC236}">
              <a16:creationId xmlns:a16="http://schemas.microsoft.com/office/drawing/2014/main" id="{1F9D38E5-9842-4DCB-8CD9-167316FD059D}"/>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1052</xdr:row>
      <xdr:rowOff>0</xdr:rowOff>
    </xdr:from>
    <xdr:ext cx="184731" cy="264560"/>
    <xdr:sp macro="" textlink="">
      <xdr:nvSpPr>
        <xdr:cNvPr id="264" name="CaixaDeTexto 263">
          <a:extLst>
            <a:ext uri="{FF2B5EF4-FFF2-40B4-BE49-F238E27FC236}">
              <a16:creationId xmlns:a16="http://schemas.microsoft.com/office/drawing/2014/main" id="{91CEA8FA-449E-4C07-88B0-25F5BBAF92D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1052</xdr:row>
      <xdr:rowOff>0</xdr:rowOff>
    </xdr:from>
    <xdr:ext cx="184731" cy="264560"/>
    <xdr:sp macro="" textlink="">
      <xdr:nvSpPr>
        <xdr:cNvPr id="265" name="CaixaDeTexto 264">
          <a:extLst>
            <a:ext uri="{FF2B5EF4-FFF2-40B4-BE49-F238E27FC236}">
              <a16:creationId xmlns:a16="http://schemas.microsoft.com/office/drawing/2014/main" id="{1DD64684-E809-4F17-B67D-75C514C6FF97}"/>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66" name="CaixaDeTexto 265">
          <a:extLst>
            <a:ext uri="{FF2B5EF4-FFF2-40B4-BE49-F238E27FC236}">
              <a16:creationId xmlns:a16="http://schemas.microsoft.com/office/drawing/2014/main" id="{1A651A15-9A81-4BFE-B3E9-427FFA72207A}"/>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67" name="CaixaDeTexto 266">
          <a:extLst>
            <a:ext uri="{FF2B5EF4-FFF2-40B4-BE49-F238E27FC236}">
              <a16:creationId xmlns:a16="http://schemas.microsoft.com/office/drawing/2014/main" id="{8B4CE260-CBF2-4E89-87A2-427A74860EDC}"/>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68" name="CaixaDeTexto 267">
          <a:extLst>
            <a:ext uri="{FF2B5EF4-FFF2-40B4-BE49-F238E27FC236}">
              <a16:creationId xmlns:a16="http://schemas.microsoft.com/office/drawing/2014/main" id="{47BC4808-E16E-4BD7-A73D-90935A912254}"/>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69" name="CaixaDeTexto 268">
          <a:extLst>
            <a:ext uri="{FF2B5EF4-FFF2-40B4-BE49-F238E27FC236}">
              <a16:creationId xmlns:a16="http://schemas.microsoft.com/office/drawing/2014/main" id="{CA45F8C8-93E1-4AD1-A702-EF2C58D093A4}"/>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70" name="CaixaDeTexto 269">
          <a:extLst>
            <a:ext uri="{FF2B5EF4-FFF2-40B4-BE49-F238E27FC236}">
              <a16:creationId xmlns:a16="http://schemas.microsoft.com/office/drawing/2014/main" id="{3EF226F1-E593-4704-93F7-3405D0704429}"/>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71" name="CaixaDeTexto 270">
          <a:extLst>
            <a:ext uri="{FF2B5EF4-FFF2-40B4-BE49-F238E27FC236}">
              <a16:creationId xmlns:a16="http://schemas.microsoft.com/office/drawing/2014/main" id="{BA7433A6-90C1-422B-BC4C-375A1E646246}"/>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72" name="CaixaDeTexto 271">
          <a:extLst>
            <a:ext uri="{FF2B5EF4-FFF2-40B4-BE49-F238E27FC236}">
              <a16:creationId xmlns:a16="http://schemas.microsoft.com/office/drawing/2014/main" id="{7935F39B-59EB-4BC9-8B99-5FD0033FF890}"/>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73" name="CaixaDeTexto 272">
          <a:extLst>
            <a:ext uri="{FF2B5EF4-FFF2-40B4-BE49-F238E27FC236}">
              <a16:creationId xmlns:a16="http://schemas.microsoft.com/office/drawing/2014/main" id="{9FF9FBC2-9379-4CEA-A47F-A22B621F9AF0}"/>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74" name="CaixaDeTexto 273">
          <a:extLst>
            <a:ext uri="{FF2B5EF4-FFF2-40B4-BE49-F238E27FC236}">
              <a16:creationId xmlns:a16="http://schemas.microsoft.com/office/drawing/2014/main" id="{803B8A62-6852-410C-B122-C51CFEFB3A0C}"/>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75" name="CaixaDeTexto 274">
          <a:extLst>
            <a:ext uri="{FF2B5EF4-FFF2-40B4-BE49-F238E27FC236}">
              <a16:creationId xmlns:a16="http://schemas.microsoft.com/office/drawing/2014/main" id="{BE023873-F887-4184-81EC-5D214224838C}"/>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76" name="CaixaDeTexto 275">
          <a:extLst>
            <a:ext uri="{FF2B5EF4-FFF2-40B4-BE49-F238E27FC236}">
              <a16:creationId xmlns:a16="http://schemas.microsoft.com/office/drawing/2014/main" id="{54C4AE6C-FFAC-47F8-B0D0-6F83FE45C45F}"/>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77" name="CaixaDeTexto 276">
          <a:extLst>
            <a:ext uri="{FF2B5EF4-FFF2-40B4-BE49-F238E27FC236}">
              <a16:creationId xmlns:a16="http://schemas.microsoft.com/office/drawing/2014/main" id="{9EBFDA78-A0E8-48FE-A57F-0AA1CB1B9D48}"/>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78" name="CaixaDeTexto 277">
          <a:extLst>
            <a:ext uri="{FF2B5EF4-FFF2-40B4-BE49-F238E27FC236}">
              <a16:creationId xmlns:a16="http://schemas.microsoft.com/office/drawing/2014/main" id="{B2958FE8-F980-42B8-BB0D-8E25FF76095B}"/>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79" name="CaixaDeTexto 278">
          <a:extLst>
            <a:ext uri="{FF2B5EF4-FFF2-40B4-BE49-F238E27FC236}">
              <a16:creationId xmlns:a16="http://schemas.microsoft.com/office/drawing/2014/main" id="{739683C1-963D-4D14-8120-CA1AF02AFCCE}"/>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80" name="CaixaDeTexto 279">
          <a:extLst>
            <a:ext uri="{FF2B5EF4-FFF2-40B4-BE49-F238E27FC236}">
              <a16:creationId xmlns:a16="http://schemas.microsoft.com/office/drawing/2014/main" id="{E071118A-3A75-4363-89C7-C90CB714E95D}"/>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81" name="CaixaDeTexto 280">
          <a:extLst>
            <a:ext uri="{FF2B5EF4-FFF2-40B4-BE49-F238E27FC236}">
              <a16:creationId xmlns:a16="http://schemas.microsoft.com/office/drawing/2014/main" id="{6353A6AC-0AFE-4514-A4B2-DE91FCBDD8C7}"/>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82" name="CaixaDeTexto 281">
          <a:extLst>
            <a:ext uri="{FF2B5EF4-FFF2-40B4-BE49-F238E27FC236}">
              <a16:creationId xmlns:a16="http://schemas.microsoft.com/office/drawing/2014/main" id="{A634B809-9516-4016-BE1C-244A72CD0977}"/>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83" name="CaixaDeTexto 282">
          <a:extLst>
            <a:ext uri="{FF2B5EF4-FFF2-40B4-BE49-F238E27FC236}">
              <a16:creationId xmlns:a16="http://schemas.microsoft.com/office/drawing/2014/main" id="{247C9112-D675-45DA-87D5-9163AC754FAF}"/>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84" name="CaixaDeTexto 283">
          <a:extLst>
            <a:ext uri="{FF2B5EF4-FFF2-40B4-BE49-F238E27FC236}">
              <a16:creationId xmlns:a16="http://schemas.microsoft.com/office/drawing/2014/main" id="{12DB4827-83C6-4DFE-8921-38DF80620BA3}"/>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85" name="CaixaDeTexto 284">
          <a:extLst>
            <a:ext uri="{FF2B5EF4-FFF2-40B4-BE49-F238E27FC236}">
              <a16:creationId xmlns:a16="http://schemas.microsoft.com/office/drawing/2014/main" id="{42C9A592-8E1F-4A78-AD0B-5B91D01C33CB}"/>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86" name="CaixaDeTexto 285">
          <a:extLst>
            <a:ext uri="{FF2B5EF4-FFF2-40B4-BE49-F238E27FC236}">
              <a16:creationId xmlns:a16="http://schemas.microsoft.com/office/drawing/2014/main" id="{029F7D78-278A-4ED7-9AEF-7AF393E808C8}"/>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87" name="CaixaDeTexto 286">
          <a:extLst>
            <a:ext uri="{FF2B5EF4-FFF2-40B4-BE49-F238E27FC236}">
              <a16:creationId xmlns:a16="http://schemas.microsoft.com/office/drawing/2014/main" id="{7B0E777F-C5EC-40EC-A9C2-131CB9573736}"/>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88" name="CaixaDeTexto 287">
          <a:extLst>
            <a:ext uri="{FF2B5EF4-FFF2-40B4-BE49-F238E27FC236}">
              <a16:creationId xmlns:a16="http://schemas.microsoft.com/office/drawing/2014/main" id="{F0821573-E400-4A30-9FB7-F93A2077F1B1}"/>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89" name="CaixaDeTexto 288">
          <a:extLst>
            <a:ext uri="{FF2B5EF4-FFF2-40B4-BE49-F238E27FC236}">
              <a16:creationId xmlns:a16="http://schemas.microsoft.com/office/drawing/2014/main" id="{54FAA8A3-F7A3-4EB0-9EC3-2B4F69F83746}"/>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90" name="CaixaDeTexto 289">
          <a:extLst>
            <a:ext uri="{FF2B5EF4-FFF2-40B4-BE49-F238E27FC236}">
              <a16:creationId xmlns:a16="http://schemas.microsoft.com/office/drawing/2014/main" id="{8E773F12-ECDC-40A4-AFFF-A84ED319C952}"/>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91" name="CaixaDeTexto 290">
          <a:extLst>
            <a:ext uri="{FF2B5EF4-FFF2-40B4-BE49-F238E27FC236}">
              <a16:creationId xmlns:a16="http://schemas.microsoft.com/office/drawing/2014/main" id="{73894057-8F2B-4D0C-AB6C-5493665929DB}"/>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92" name="CaixaDeTexto 291">
          <a:extLst>
            <a:ext uri="{FF2B5EF4-FFF2-40B4-BE49-F238E27FC236}">
              <a16:creationId xmlns:a16="http://schemas.microsoft.com/office/drawing/2014/main" id="{22849E81-8909-43D9-8B2E-5A3E5FA8C5EB}"/>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93" name="CaixaDeTexto 292">
          <a:extLst>
            <a:ext uri="{FF2B5EF4-FFF2-40B4-BE49-F238E27FC236}">
              <a16:creationId xmlns:a16="http://schemas.microsoft.com/office/drawing/2014/main" id="{F30D7953-D3CA-4613-8370-BFB423641FA6}"/>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94" name="CaixaDeTexto 293">
          <a:extLst>
            <a:ext uri="{FF2B5EF4-FFF2-40B4-BE49-F238E27FC236}">
              <a16:creationId xmlns:a16="http://schemas.microsoft.com/office/drawing/2014/main" id="{2C3A4676-6E3B-492D-872C-3026AA996D94}"/>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95" name="CaixaDeTexto 294">
          <a:extLst>
            <a:ext uri="{FF2B5EF4-FFF2-40B4-BE49-F238E27FC236}">
              <a16:creationId xmlns:a16="http://schemas.microsoft.com/office/drawing/2014/main" id="{2A9D5311-B6D8-4340-B94E-482110ADE539}"/>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96" name="CaixaDeTexto 295">
          <a:extLst>
            <a:ext uri="{FF2B5EF4-FFF2-40B4-BE49-F238E27FC236}">
              <a16:creationId xmlns:a16="http://schemas.microsoft.com/office/drawing/2014/main" id="{58C55C43-DED9-442B-8EC6-3C5F13065193}"/>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97" name="CaixaDeTexto 296">
          <a:extLst>
            <a:ext uri="{FF2B5EF4-FFF2-40B4-BE49-F238E27FC236}">
              <a16:creationId xmlns:a16="http://schemas.microsoft.com/office/drawing/2014/main" id="{C41FACE0-4411-4DD9-8A96-0BD6409DBB63}"/>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98" name="CaixaDeTexto 297">
          <a:extLst>
            <a:ext uri="{FF2B5EF4-FFF2-40B4-BE49-F238E27FC236}">
              <a16:creationId xmlns:a16="http://schemas.microsoft.com/office/drawing/2014/main" id="{12CBCFA0-4185-4A85-9CDB-6407CBF3974C}"/>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299" name="CaixaDeTexto 298">
          <a:extLst>
            <a:ext uri="{FF2B5EF4-FFF2-40B4-BE49-F238E27FC236}">
              <a16:creationId xmlns:a16="http://schemas.microsoft.com/office/drawing/2014/main" id="{F610653C-10B5-486E-9776-41E92CDFF7CA}"/>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00" name="CaixaDeTexto 299">
          <a:extLst>
            <a:ext uri="{FF2B5EF4-FFF2-40B4-BE49-F238E27FC236}">
              <a16:creationId xmlns:a16="http://schemas.microsoft.com/office/drawing/2014/main" id="{FE2B8575-6C7A-42EB-ABED-E39667E42605}"/>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01" name="CaixaDeTexto 300">
          <a:extLst>
            <a:ext uri="{FF2B5EF4-FFF2-40B4-BE49-F238E27FC236}">
              <a16:creationId xmlns:a16="http://schemas.microsoft.com/office/drawing/2014/main" id="{F9445C94-E827-4D33-A9AD-58C1F67403BD}"/>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02" name="CaixaDeTexto 301">
          <a:extLst>
            <a:ext uri="{FF2B5EF4-FFF2-40B4-BE49-F238E27FC236}">
              <a16:creationId xmlns:a16="http://schemas.microsoft.com/office/drawing/2014/main" id="{F0FF2A5B-CFE1-453C-9339-7BAA2F871A4C}"/>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03" name="CaixaDeTexto 302">
          <a:extLst>
            <a:ext uri="{FF2B5EF4-FFF2-40B4-BE49-F238E27FC236}">
              <a16:creationId xmlns:a16="http://schemas.microsoft.com/office/drawing/2014/main" id="{7F95E782-BFA3-4213-9B42-9E34A399B6E9}"/>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04" name="CaixaDeTexto 303">
          <a:extLst>
            <a:ext uri="{FF2B5EF4-FFF2-40B4-BE49-F238E27FC236}">
              <a16:creationId xmlns:a16="http://schemas.microsoft.com/office/drawing/2014/main" id="{C8428341-2AEB-4957-A7A8-FFF2D9FD4DAD}"/>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05" name="CaixaDeTexto 304">
          <a:extLst>
            <a:ext uri="{FF2B5EF4-FFF2-40B4-BE49-F238E27FC236}">
              <a16:creationId xmlns:a16="http://schemas.microsoft.com/office/drawing/2014/main" id="{B452DD47-DE13-4027-A7E7-04A19C0CC9DB}"/>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06" name="CaixaDeTexto 305">
          <a:extLst>
            <a:ext uri="{FF2B5EF4-FFF2-40B4-BE49-F238E27FC236}">
              <a16:creationId xmlns:a16="http://schemas.microsoft.com/office/drawing/2014/main" id="{826A085B-3921-40B6-9DE7-525B5F6CC246}"/>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07" name="CaixaDeTexto 306">
          <a:extLst>
            <a:ext uri="{FF2B5EF4-FFF2-40B4-BE49-F238E27FC236}">
              <a16:creationId xmlns:a16="http://schemas.microsoft.com/office/drawing/2014/main" id="{BB7E63F5-A69E-4D88-93FF-7B916D94476F}"/>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08" name="CaixaDeTexto 307">
          <a:extLst>
            <a:ext uri="{FF2B5EF4-FFF2-40B4-BE49-F238E27FC236}">
              <a16:creationId xmlns:a16="http://schemas.microsoft.com/office/drawing/2014/main" id="{903D071C-7BAE-42BF-8D4F-7C447DBD7ADA}"/>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09" name="CaixaDeTexto 308">
          <a:extLst>
            <a:ext uri="{FF2B5EF4-FFF2-40B4-BE49-F238E27FC236}">
              <a16:creationId xmlns:a16="http://schemas.microsoft.com/office/drawing/2014/main" id="{DF09F6BF-7311-4331-932E-BD6CC3FF0864}"/>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10" name="CaixaDeTexto 309">
          <a:extLst>
            <a:ext uri="{FF2B5EF4-FFF2-40B4-BE49-F238E27FC236}">
              <a16:creationId xmlns:a16="http://schemas.microsoft.com/office/drawing/2014/main" id="{83A0E392-5E26-4001-B9B6-B4AA7E81DD21}"/>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11" name="CaixaDeTexto 310">
          <a:extLst>
            <a:ext uri="{FF2B5EF4-FFF2-40B4-BE49-F238E27FC236}">
              <a16:creationId xmlns:a16="http://schemas.microsoft.com/office/drawing/2014/main" id="{0437E570-F60A-4803-B223-8AF4004EB3C9}"/>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12" name="CaixaDeTexto 311">
          <a:extLst>
            <a:ext uri="{FF2B5EF4-FFF2-40B4-BE49-F238E27FC236}">
              <a16:creationId xmlns:a16="http://schemas.microsoft.com/office/drawing/2014/main" id="{1D177D35-946A-4C7F-89D9-660B389A41B9}"/>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13" name="CaixaDeTexto 312">
          <a:extLst>
            <a:ext uri="{FF2B5EF4-FFF2-40B4-BE49-F238E27FC236}">
              <a16:creationId xmlns:a16="http://schemas.microsoft.com/office/drawing/2014/main" id="{CFE6E933-282E-4286-BE8B-55FDB1423E38}"/>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14" name="CaixaDeTexto 313">
          <a:extLst>
            <a:ext uri="{FF2B5EF4-FFF2-40B4-BE49-F238E27FC236}">
              <a16:creationId xmlns:a16="http://schemas.microsoft.com/office/drawing/2014/main" id="{95D57B08-224C-4FFD-93CF-51C2648C205E}"/>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15" name="CaixaDeTexto 314">
          <a:extLst>
            <a:ext uri="{FF2B5EF4-FFF2-40B4-BE49-F238E27FC236}">
              <a16:creationId xmlns:a16="http://schemas.microsoft.com/office/drawing/2014/main" id="{D3ADC6D2-FD1B-48DE-A533-9D1AD50520AA}"/>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16" name="CaixaDeTexto 315">
          <a:extLst>
            <a:ext uri="{FF2B5EF4-FFF2-40B4-BE49-F238E27FC236}">
              <a16:creationId xmlns:a16="http://schemas.microsoft.com/office/drawing/2014/main" id="{9962BE43-F5D7-4B9C-8127-6EC9686D2063}"/>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17" name="CaixaDeTexto 316">
          <a:extLst>
            <a:ext uri="{FF2B5EF4-FFF2-40B4-BE49-F238E27FC236}">
              <a16:creationId xmlns:a16="http://schemas.microsoft.com/office/drawing/2014/main" id="{DFC58EB1-0BDF-44AA-91FE-23812CA568AC}"/>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18" name="CaixaDeTexto 317">
          <a:extLst>
            <a:ext uri="{FF2B5EF4-FFF2-40B4-BE49-F238E27FC236}">
              <a16:creationId xmlns:a16="http://schemas.microsoft.com/office/drawing/2014/main" id="{1F1E8761-302F-4FDA-9D02-4400EBD2C4D9}"/>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19" name="CaixaDeTexto 318">
          <a:extLst>
            <a:ext uri="{FF2B5EF4-FFF2-40B4-BE49-F238E27FC236}">
              <a16:creationId xmlns:a16="http://schemas.microsoft.com/office/drawing/2014/main" id="{474B19FC-E591-43A2-8D17-FE72BEB2E4D3}"/>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20" name="CaixaDeTexto 319">
          <a:extLst>
            <a:ext uri="{FF2B5EF4-FFF2-40B4-BE49-F238E27FC236}">
              <a16:creationId xmlns:a16="http://schemas.microsoft.com/office/drawing/2014/main" id="{4678BEF0-926E-45B9-8973-286A2F543543}"/>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21" name="CaixaDeTexto 320">
          <a:extLst>
            <a:ext uri="{FF2B5EF4-FFF2-40B4-BE49-F238E27FC236}">
              <a16:creationId xmlns:a16="http://schemas.microsoft.com/office/drawing/2014/main" id="{3FAB29C9-FB25-4139-AF2D-3DCB20F3CF49}"/>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22" name="CaixaDeTexto 321">
          <a:extLst>
            <a:ext uri="{FF2B5EF4-FFF2-40B4-BE49-F238E27FC236}">
              <a16:creationId xmlns:a16="http://schemas.microsoft.com/office/drawing/2014/main" id="{1372C65F-2767-4C60-B045-90396BA666D1}"/>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23" name="CaixaDeTexto 322">
          <a:extLst>
            <a:ext uri="{FF2B5EF4-FFF2-40B4-BE49-F238E27FC236}">
              <a16:creationId xmlns:a16="http://schemas.microsoft.com/office/drawing/2014/main" id="{56744F97-4CA5-4712-80CC-7F970ADEA03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24" name="CaixaDeTexto 323">
          <a:extLst>
            <a:ext uri="{FF2B5EF4-FFF2-40B4-BE49-F238E27FC236}">
              <a16:creationId xmlns:a16="http://schemas.microsoft.com/office/drawing/2014/main" id="{8703E53E-6157-4071-A8C6-FECE3CC91CAA}"/>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25" name="CaixaDeTexto 324">
          <a:extLst>
            <a:ext uri="{FF2B5EF4-FFF2-40B4-BE49-F238E27FC236}">
              <a16:creationId xmlns:a16="http://schemas.microsoft.com/office/drawing/2014/main" id="{FD33C5C4-3894-4FDD-9F88-DC1DCE67856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26" name="CaixaDeTexto 325">
          <a:extLst>
            <a:ext uri="{FF2B5EF4-FFF2-40B4-BE49-F238E27FC236}">
              <a16:creationId xmlns:a16="http://schemas.microsoft.com/office/drawing/2014/main" id="{0C31BD31-8208-4254-88E9-C281EC853725}"/>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27" name="CaixaDeTexto 326">
          <a:extLst>
            <a:ext uri="{FF2B5EF4-FFF2-40B4-BE49-F238E27FC236}">
              <a16:creationId xmlns:a16="http://schemas.microsoft.com/office/drawing/2014/main" id="{7447CBBA-C7B1-403F-B944-A9CF52D2AE85}"/>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28" name="CaixaDeTexto 327">
          <a:extLst>
            <a:ext uri="{FF2B5EF4-FFF2-40B4-BE49-F238E27FC236}">
              <a16:creationId xmlns:a16="http://schemas.microsoft.com/office/drawing/2014/main" id="{1DEB5B1D-1781-4396-B02B-CBF3E83246BA}"/>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29" name="CaixaDeTexto 328">
          <a:extLst>
            <a:ext uri="{FF2B5EF4-FFF2-40B4-BE49-F238E27FC236}">
              <a16:creationId xmlns:a16="http://schemas.microsoft.com/office/drawing/2014/main" id="{72C83AE4-EE4A-49C6-BC4B-C71320E2D5B9}"/>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30" name="CaixaDeTexto 329">
          <a:extLst>
            <a:ext uri="{FF2B5EF4-FFF2-40B4-BE49-F238E27FC236}">
              <a16:creationId xmlns:a16="http://schemas.microsoft.com/office/drawing/2014/main" id="{08C9125B-9D91-4C4D-9E5C-C2260E50326F}"/>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31" name="CaixaDeTexto 330">
          <a:extLst>
            <a:ext uri="{FF2B5EF4-FFF2-40B4-BE49-F238E27FC236}">
              <a16:creationId xmlns:a16="http://schemas.microsoft.com/office/drawing/2014/main" id="{38096872-D987-44DE-8F66-F810641703D2}"/>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32" name="CaixaDeTexto 331">
          <a:extLst>
            <a:ext uri="{FF2B5EF4-FFF2-40B4-BE49-F238E27FC236}">
              <a16:creationId xmlns:a16="http://schemas.microsoft.com/office/drawing/2014/main" id="{54628625-925B-4118-837C-CAEC7713D358}"/>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33" name="CaixaDeTexto 332">
          <a:extLst>
            <a:ext uri="{FF2B5EF4-FFF2-40B4-BE49-F238E27FC236}">
              <a16:creationId xmlns:a16="http://schemas.microsoft.com/office/drawing/2014/main" id="{20A5B10D-277C-40E4-B499-073CBE3A48CB}"/>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34" name="CaixaDeTexto 333">
          <a:extLst>
            <a:ext uri="{FF2B5EF4-FFF2-40B4-BE49-F238E27FC236}">
              <a16:creationId xmlns:a16="http://schemas.microsoft.com/office/drawing/2014/main" id="{5735A100-864F-43D5-B016-2C61204EC550}"/>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35" name="CaixaDeTexto 334">
          <a:extLst>
            <a:ext uri="{FF2B5EF4-FFF2-40B4-BE49-F238E27FC236}">
              <a16:creationId xmlns:a16="http://schemas.microsoft.com/office/drawing/2014/main" id="{21E01242-B7E5-4CEF-BC2E-D3786B5715B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36" name="CaixaDeTexto 335">
          <a:extLst>
            <a:ext uri="{FF2B5EF4-FFF2-40B4-BE49-F238E27FC236}">
              <a16:creationId xmlns:a16="http://schemas.microsoft.com/office/drawing/2014/main" id="{B1C8C369-0E50-4338-870B-17E6EFF4CEF5}"/>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37" name="CaixaDeTexto 336">
          <a:extLst>
            <a:ext uri="{FF2B5EF4-FFF2-40B4-BE49-F238E27FC236}">
              <a16:creationId xmlns:a16="http://schemas.microsoft.com/office/drawing/2014/main" id="{26D490FA-02BC-43B8-9A31-E3746B56128E}"/>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38" name="CaixaDeTexto 337">
          <a:extLst>
            <a:ext uri="{FF2B5EF4-FFF2-40B4-BE49-F238E27FC236}">
              <a16:creationId xmlns:a16="http://schemas.microsoft.com/office/drawing/2014/main" id="{ED744B8A-5F52-400C-A39C-A70F23A09DB9}"/>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39" name="CaixaDeTexto 338">
          <a:extLst>
            <a:ext uri="{FF2B5EF4-FFF2-40B4-BE49-F238E27FC236}">
              <a16:creationId xmlns:a16="http://schemas.microsoft.com/office/drawing/2014/main" id="{6D898A14-AC67-45CB-BAEA-353760ACCB35}"/>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40" name="CaixaDeTexto 339">
          <a:extLst>
            <a:ext uri="{FF2B5EF4-FFF2-40B4-BE49-F238E27FC236}">
              <a16:creationId xmlns:a16="http://schemas.microsoft.com/office/drawing/2014/main" id="{2ADE6BAE-00B7-4750-8E77-B313359CEE6F}"/>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41" name="CaixaDeTexto 340">
          <a:extLst>
            <a:ext uri="{FF2B5EF4-FFF2-40B4-BE49-F238E27FC236}">
              <a16:creationId xmlns:a16="http://schemas.microsoft.com/office/drawing/2014/main" id="{E438C56D-0B52-4B86-AA0E-0071A0BD6E03}"/>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42" name="CaixaDeTexto 341">
          <a:extLst>
            <a:ext uri="{FF2B5EF4-FFF2-40B4-BE49-F238E27FC236}">
              <a16:creationId xmlns:a16="http://schemas.microsoft.com/office/drawing/2014/main" id="{55D1BFFC-9A5A-49D7-9152-B3283B77197E}"/>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43" name="CaixaDeTexto 342">
          <a:extLst>
            <a:ext uri="{FF2B5EF4-FFF2-40B4-BE49-F238E27FC236}">
              <a16:creationId xmlns:a16="http://schemas.microsoft.com/office/drawing/2014/main" id="{38548EEC-306E-4448-ACC1-F466B5A37AE5}"/>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44" name="CaixaDeTexto 343">
          <a:extLst>
            <a:ext uri="{FF2B5EF4-FFF2-40B4-BE49-F238E27FC236}">
              <a16:creationId xmlns:a16="http://schemas.microsoft.com/office/drawing/2014/main" id="{A13CB943-7550-4036-A731-370415FCDEBC}"/>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45" name="CaixaDeTexto 344">
          <a:extLst>
            <a:ext uri="{FF2B5EF4-FFF2-40B4-BE49-F238E27FC236}">
              <a16:creationId xmlns:a16="http://schemas.microsoft.com/office/drawing/2014/main" id="{63D54E6A-CF5D-48D2-A8DC-5110B4F072D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46" name="CaixaDeTexto 345">
          <a:extLst>
            <a:ext uri="{FF2B5EF4-FFF2-40B4-BE49-F238E27FC236}">
              <a16:creationId xmlns:a16="http://schemas.microsoft.com/office/drawing/2014/main" id="{98C37448-BA67-42D7-B8BA-106C0B64A388}"/>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47" name="CaixaDeTexto 346">
          <a:extLst>
            <a:ext uri="{FF2B5EF4-FFF2-40B4-BE49-F238E27FC236}">
              <a16:creationId xmlns:a16="http://schemas.microsoft.com/office/drawing/2014/main" id="{B44E23C1-2545-4C77-8E90-C4F6E505109F}"/>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48" name="CaixaDeTexto 347">
          <a:extLst>
            <a:ext uri="{FF2B5EF4-FFF2-40B4-BE49-F238E27FC236}">
              <a16:creationId xmlns:a16="http://schemas.microsoft.com/office/drawing/2014/main" id="{CF2361E0-47EE-4F4D-A02D-E7CBF63A1CB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49" name="CaixaDeTexto 348">
          <a:extLst>
            <a:ext uri="{FF2B5EF4-FFF2-40B4-BE49-F238E27FC236}">
              <a16:creationId xmlns:a16="http://schemas.microsoft.com/office/drawing/2014/main" id="{D77A406B-092C-4487-A70A-B9A5D4051799}"/>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50" name="CaixaDeTexto 349">
          <a:extLst>
            <a:ext uri="{FF2B5EF4-FFF2-40B4-BE49-F238E27FC236}">
              <a16:creationId xmlns:a16="http://schemas.microsoft.com/office/drawing/2014/main" id="{E688B00D-6C38-42D4-97CB-65215882CD2E}"/>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51" name="CaixaDeTexto 350">
          <a:extLst>
            <a:ext uri="{FF2B5EF4-FFF2-40B4-BE49-F238E27FC236}">
              <a16:creationId xmlns:a16="http://schemas.microsoft.com/office/drawing/2014/main" id="{8188ECDC-1752-4784-A669-4EC374DC9636}"/>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52" name="CaixaDeTexto 351">
          <a:extLst>
            <a:ext uri="{FF2B5EF4-FFF2-40B4-BE49-F238E27FC236}">
              <a16:creationId xmlns:a16="http://schemas.microsoft.com/office/drawing/2014/main" id="{D36C4B76-311A-490F-90BC-AFD75517CC9C}"/>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53" name="CaixaDeTexto 352">
          <a:extLst>
            <a:ext uri="{FF2B5EF4-FFF2-40B4-BE49-F238E27FC236}">
              <a16:creationId xmlns:a16="http://schemas.microsoft.com/office/drawing/2014/main" id="{D2D14C05-4902-4BDC-8E8C-27D9515F642E}"/>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54" name="CaixaDeTexto 353">
          <a:extLst>
            <a:ext uri="{FF2B5EF4-FFF2-40B4-BE49-F238E27FC236}">
              <a16:creationId xmlns:a16="http://schemas.microsoft.com/office/drawing/2014/main" id="{E83A4688-5A8E-44B8-B728-E36AEC425938}"/>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55" name="CaixaDeTexto 354">
          <a:extLst>
            <a:ext uri="{FF2B5EF4-FFF2-40B4-BE49-F238E27FC236}">
              <a16:creationId xmlns:a16="http://schemas.microsoft.com/office/drawing/2014/main" id="{EF4E51FB-9B21-47AB-9062-46A5A59CE364}"/>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56" name="CaixaDeTexto 355">
          <a:extLst>
            <a:ext uri="{FF2B5EF4-FFF2-40B4-BE49-F238E27FC236}">
              <a16:creationId xmlns:a16="http://schemas.microsoft.com/office/drawing/2014/main" id="{FFB5DB1E-6BE8-4B43-B973-F0CF6B130CCB}"/>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57" name="CaixaDeTexto 356">
          <a:extLst>
            <a:ext uri="{FF2B5EF4-FFF2-40B4-BE49-F238E27FC236}">
              <a16:creationId xmlns:a16="http://schemas.microsoft.com/office/drawing/2014/main" id="{F5E244BC-F34F-481D-A5B0-7968DA9EE9E6}"/>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58" name="CaixaDeTexto 357">
          <a:extLst>
            <a:ext uri="{FF2B5EF4-FFF2-40B4-BE49-F238E27FC236}">
              <a16:creationId xmlns:a16="http://schemas.microsoft.com/office/drawing/2014/main" id="{3FEA6579-FEA7-4041-81F0-C89E99D11C0D}"/>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59" name="CaixaDeTexto 358">
          <a:extLst>
            <a:ext uri="{FF2B5EF4-FFF2-40B4-BE49-F238E27FC236}">
              <a16:creationId xmlns:a16="http://schemas.microsoft.com/office/drawing/2014/main" id="{4E0605F5-D664-4516-B6A3-8893AF3D31FF}"/>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60" name="CaixaDeTexto 359">
          <a:extLst>
            <a:ext uri="{FF2B5EF4-FFF2-40B4-BE49-F238E27FC236}">
              <a16:creationId xmlns:a16="http://schemas.microsoft.com/office/drawing/2014/main" id="{AD906769-76BF-4EEB-8F34-CC196B79B0FD}"/>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61" name="CaixaDeTexto 360">
          <a:extLst>
            <a:ext uri="{FF2B5EF4-FFF2-40B4-BE49-F238E27FC236}">
              <a16:creationId xmlns:a16="http://schemas.microsoft.com/office/drawing/2014/main" id="{F96E3CB5-0B53-4EA5-835A-C70621B13008}"/>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62" name="CaixaDeTexto 361">
          <a:extLst>
            <a:ext uri="{FF2B5EF4-FFF2-40B4-BE49-F238E27FC236}">
              <a16:creationId xmlns:a16="http://schemas.microsoft.com/office/drawing/2014/main" id="{92C5BAED-2A6E-4F32-9D70-ECCAD467768A}"/>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63" name="CaixaDeTexto 362">
          <a:extLst>
            <a:ext uri="{FF2B5EF4-FFF2-40B4-BE49-F238E27FC236}">
              <a16:creationId xmlns:a16="http://schemas.microsoft.com/office/drawing/2014/main" id="{BC66B1FB-959A-4400-87C2-7F78E9DF2BED}"/>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64" name="CaixaDeTexto 363">
          <a:extLst>
            <a:ext uri="{FF2B5EF4-FFF2-40B4-BE49-F238E27FC236}">
              <a16:creationId xmlns:a16="http://schemas.microsoft.com/office/drawing/2014/main" id="{709417C0-03C6-47E0-8F39-7FD5B4247B8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65" name="CaixaDeTexto 364">
          <a:extLst>
            <a:ext uri="{FF2B5EF4-FFF2-40B4-BE49-F238E27FC236}">
              <a16:creationId xmlns:a16="http://schemas.microsoft.com/office/drawing/2014/main" id="{FAFD0615-0DAD-4710-BE88-B8C84B079D2D}"/>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66" name="CaixaDeTexto 365">
          <a:extLst>
            <a:ext uri="{FF2B5EF4-FFF2-40B4-BE49-F238E27FC236}">
              <a16:creationId xmlns:a16="http://schemas.microsoft.com/office/drawing/2014/main" id="{AE9E82EC-6695-4B2C-B95C-B87260FB24C3}"/>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67" name="CaixaDeTexto 366">
          <a:extLst>
            <a:ext uri="{FF2B5EF4-FFF2-40B4-BE49-F238E27FC236}">
              <a16:creationId xmlns:a16="http://schemas.microsoft.com/office/drawing/2014/main" id="{BDE12C45-6E36-434D-913C-610547C4C21F}"/>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68" name="CaixaDeTexto 367">
          <a:extLst>
            <a:ext uri="{FF2B5EF4-FFF2-40B4-BE49-F238E27FC236}">
              <a16:creationId xmlns:a16="http://schemas.microsoft.com/office/drawing/2014/main" id="{86C00602-4116-4E0C-BC58-588E11B8135F}"/>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69" name="CaixaDeTexto 368">
          <a:extLst>
            <a:ext uri="{FF2B5EF4-FFF2-40B4-BE49-F238E27FC236}">
              <a16:creationId xmlns:a16="http://schemas.microsoft.com/office/drawing/2014/main" id="{06EC13E0-1F51-4CAC-8A15-A6DC8B0E1115}"/>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70" name="CaixaDeTexto 369">
          <a:extLst>
            <a:ext uri="{FF2B5EF4-FFF2-40B4-BE49-F238E27FC236}">
              <a16:creationId xmlns:a16="http://schemas.microsoft.com/office/drawing/2014/main" id="{2E3B844F-2DFF-43FC-9EDD-C90393B503AB}"/>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71" name="CaixaDeTexto 370">
          <a:extLst>
            <a:ext uri="{FF2B5EF4-FFF2-40B4-BE49-F238E27FC236}">
              <a16:creationId xmlns:a16="http://schemas.microsoft.com/office/drawing/2014/main" id="{8956780B-8C26-4B84-AAF1-BFC0F266C106}"/>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72" name="CaixaDeTexto 371">
          <a:extLst>
            <a:ext uri="{FF2B5EF4-FFF2-40B4-BE49-F238E27FC236}">
              <a16:creationId xmlns:a16="http://schemas.microsoft.com/office/drawing/2014/main" id="{63B3516C-C971-426E-93B8-F91E091B3E0A}"/>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73" name="CaixaDeTexto 372">
          <a:extLst>
            <a:ext uri="{FF2B5EF4-FFF2-40B4-BE49-F238E27FC236}">
              <a16:creationId xmlns:a16="http://schemas.microsoft.com/office/drawing/2014/main" id="{FE6792C1-3E19-4F74-B327-D9A2EAE1D5AD}"/>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74" name="CaixaDeTexto 373">
          <a:extLst>
            <a:ext uri="{FF2B5EF4-FFF2-40B4-BE49-F238E27FC236}">
              <a16:creationId xmlns:a16="http://schemas.microsoft.com/office/drawing/2014/main" id="{CFCE7C99-4E62-4EEF-90AD-FA6B8D96112F}"/>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75" name="CaixaDeTexto 374">
          <a:extLst>
            <a:ext uri="{FF2B5EF4-FFF2-40B4-BE49-F238E27FC236}">
              <a16:creationId xmlns:a16="http://schemas.microsoft.com/office/drawing/2014/main" id="{82E5AFBC-6DA8-4F71-87F1-FFD2F57B87B9}"/>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76" name="CaixaDeTexto 375">
          <a:extLst>
            <a:ext uri="{FF2B5EF4-FFF2-40B4-BE49-F238E27FC236}">
              <a16:creationId xmlns:a16="http://schemas.microsoft.com/office/drawing/2014/main" id="{BC548EF6-D8D7-42D9-B266-65458D6188AC}"/>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77" name="CaixaDeTexto 376">
          <a:extLst>
            <a:ext uri="{FF2B5EF4-FFF2-40B4-BE49-F238E27FC236}">
              <a16:creationId xmlns:a16="http://schemas.microsoft.com/office/drawing/2014/main" id="{87D757CA-9F33-42D7-9DAB-19E518A4B0D3}"/>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78" name="CaixaDeTexto 377">
          <a:extLst>
            <a:ext uri="{FF2B5EF4-FFF2-40B4-BE49-F238E27FC236}">
              <a16:creationId xmlns:a16="http://schemas.microsoft.com/office/drawing/2014/main" id="{5E19E084-7E77-4DB0-AD6F-DE057E8CE2B8}"/>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79" name="CaixaDeTexto 378">
          <a:extLst>
            <a:ext uri="{FF2B5EF4-FFF2-40B4-BE49-F238E27FC236}">
              <a16:creationId xmlns:a16="http://schemas.microsoft.com/office/drawing/2014/main" id="{BC4900D8-9FAE-4CB9-8A97-E0C7D62FFD9A}"/>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80" name="CaixaDeTexto 379">
          <a:extLst>
            <a:ext uri="{FF2B5EF4-FFF2-40B4-BE49-F238E27FC236}">
              <a16:creationId xmlns:a16="http://schemas.microsoft.com/office/drawing/2014/main" id="{58129F82-508A-4AFC-B26C-0405F30A094F}"/>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81" name="CaixaDeTexto 380">
          <a:extLst>
            <a:ext uri="{FF2B5EF4-FFF2-40B4-BE49-F238E27FC236}">
              <a16:creationId xmlns:a16="http://schemas.microsoft.com/office/drawing/2014/main" id="{6D19FBA1-48D9-4CC3-9B58-AA0B91D917BA}"/>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82" name="CaixaDeTexto 381">
          <a:extLst>
            <a:ext uri="{FF2B5EF4-FFF2-40B4-BE49-F238E27FC236}">
              <a16:creationId xmlns:a16="http://schemas.microsoft.com/office/drawing/2014/main" id="{06A8D0E5-3051-454A-BA14-AB0EB030D820}"/>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83" name="CaixaDeTexto 382">
          <a:extLst>
            <a:ext uri="{FF2B5EF4-FFF2-40B4-BE49-F238E27FC236}">
              <a16:creationId xmlns:a16="http://schemas.microsoft.com/office/drawing/2014/main" id="{4E3E531A-A013-4874-A924-B2B338FA4BBD}"/>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84" name="CaixaDeTexto 383">
          <a:extLst>
            <a:ext uri="{FF2B5EF4-FFF2-40B4-BE49-F238E27FC236}">
              <a16:creationId xmlns:a16="http://schemas.microsoft.com/office/drawing/2014/main" id="{D4FCA009-5DCC-47BD-89A1-22D4AAA7A0FB}"/>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85" name="CaixaDeTexto 384">
          <a:extLst>
            <a:ext uri="{FF2B5EF4-FFF2-40B4-BE49-F238E27FC236}">
              <a16:creationId xmlns:a16="http://schemas.microsoft.com/office/drawing/2014/main" id="{FE272443-5337-43B6-AB7F-B230FD756D53}"/>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86" name="CaixaDeTexto 385">
          <a:extLst>
            <a:ext uri="{FF2B5EF4-FFF2-40B4-BE49-F238E27FC236}">
              <a16:creationId xmlns:a16="http://schemas.microsoft.com/office/drawing/2014/main" id="{C61AE134-5EAB-4361-A3E2-B9CF43A0A44A}"/>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87" name="CaixaDeTexto 386">
          <a:extLst>
            <a:ext uri="{FF2B5EF4-FFF2-40B4-BE49-F238E27FC236}">
              <a16:creationId xmlns:a16="http://schemas.microsoft.com/office/drawing/2014/main" id="{3A347DDA-C880-4E95-B105-7C80CB1DBEFC}"/>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88" name="CaixaDeTexto 387">
          <a:extLst>
            <a:ext uri="{FF2B5EF4-FFF2-40B4-BE49-F238E27FC236}">
              <a16:creationId xmlns:a16="http://schemas.microsoft.com/office/drawing/2014/main" id="{AE9CB030-5050-46F9-8021-A3512124CDEA}"/>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89" name="CaixaDeTexto 388">
          <a:extLst>
            <a:ext uri="{FF2B5EF4-FFF2-40B4-BE49-F238E27FC236}">
              <a16:creationId xmlns:a16="http://schemas.microsoft.com/office/drawing/2014/main" id="{A0DB3097-6A04-45A4-A19E-4160F98B3FEB}"/>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90" name="CaixaDeTexto 389">
          <a:extLst>
            <a:ext uri="{FF2B5EF4-FFF2-40B4-BE49-F238E27FC236}">
              <a16:creationId xmlns:a16="http://schemas.microsoft.com/office/drawing/2014/main" id="{FA43FD1F-50F8-4FBA-9E87-6B9D8D4B379E}"/>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91" name="CaixaDeTexto 390">
          <a:extLst>
            <a:ext uri="{FF2B5EF4-FFF2-40B4-BE49-F238E27FC236}">
              <a16:creationId xmlns:a16="http://schemas.microsoft.com/office/drawing/2014/main" id="{CCF16E1D-3078-4287-AB16-1F01F8192DE9}"/>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92" name="CaixaDeTexto 391">
          <a:extLst>
            <a:ext uri="{FF2B5EF4-FFF2-40B4-BE49-F238E27FC236}">
              <a16:creationId xmlns:a16="http://schemas.microsoft.com/office/drawing/2014/main" id="{20659057-C56D-4262-BDE7-71A29EFE9DAD}"/>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93" name="CaixaDeTexto 392">
          <a:extLst>
            <a:ext uri="{FF2B5EF4-FFF2-40B4-BE49-F238E27FC236}">
              <a16:creationId xmlns:a16="http://schemas.microsoft.com/office/drawing/2014/main" id="{C012226A-B3F8-4C7E-BF11-EDFD7D324F6A}"/>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94" name="CaixaDeTexto 393">
          <a:extLst>
            <a:ext uri="{FF2B5EF4-FFF2-40B4-BE49-F238E27FC236}">
              <a16:creationId xmlns:a16="http://schemas.microsoft.com/office/drawing/2014/main" id="{CF719D68-15A3-4B9F-8D38-0B872EB94B46}"/>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95" name="CaixaDeTexto 394">
          <a:extLst>
            <a:ext uri="{FF2B5EF4-FFF2-40B4-BE49-F238E27FC236}">
              <a16:creationId xmlns:a16="http://schemas.microsoft.com/office/drawing/2014/main" id="{662DF36F-2545-495A-BD8E-05C934CCA24E}"/>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96" name="CaixaDeTexto 395">
          <a:extLst>
            <a:ext uri="{FF2B5EF4-FFF2-40B4-BE49-F238E27FC236}">
              <a16:creationId xmlns:a16="http://schemas.microsoft.com/office/drawing/2014/main" id="{780A6DEE-83FD-4874-8911-B15A2AA7C509}"/>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97" name="CaixaDeTexto 396">
          <a:extLst>
            <a:ext uri="{FF2B5EF4-FFF2-40B4-BE49-F238E27FC236}">
              <a16:creationId xmlns:a16="http://schemas.microsoft.com/office/drawing/2014/main" id="{6B928967-7F44-486F-9C99-F1E8513F854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98" name="CaixaDeTexto 397">
          <a:extLst>
            <a:ext uri="{FF2B5EF4-FFF2-40B4-BE49-F238E27FC236}">
              <a16:creationId xmlns:a16="http://schemas.microsoft.com/office/drawing/2014/main" id="{754A0703-8239-479C-95BE-7B945F67DBFA}"/>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399" name="CaixaDeTexto 398">
          <a:extLst>
            <a:ext uri="{FF2B5EF4-FFF2-40B4-BE49-F238E27FC236}">
              <a16:creationId xmlns:a16="http://schemas.microsoft.com/office/drawing/2014/main" id="{F5DAF672-A8F3-4048-84BE-CE73519E4E57}"/>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400" name="CaixaDeTexto 399">
          <a:extLst>
            <a:ext uri="{FF2B5EF4-FFF2-40B4-BE49-F238E27FC236}">
              <a16:creationId xmlns:a16="http://schemas.microsoft.com/office/drawing/2014/main" id="{C0DD50B0-3883-4F45-94AE-E5B0AABB1CE7}"/>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401" name="CaixaDeTexto 400">
          <a:extLst>
            <a:ext uri="{FF2B5EF4-FFF2-40B4-BE49-F238E27FC236}">
              <a16:creationId xmlns:a16="http://schemas.microsoft.com/office/drawing/2014/main" id="{BD06AF5E-CF4F-4BFB-A2D0-FBEFDEC0E529}"/>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402" name="CaixaDeTexto 401">
          <a:extLst>
            <a:ext uri="{FF2B5EF4-FFF2-40B4-BE49-F238E27FC236}">
              <a16:creationId xmlns:a16="http://schemas.microsoft.com/office/drawing/2014/main" id="{0E2A582A-CC1C-46B4-8750-0EA65A5334F3}"/>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403" name="CaixaDeTexto 402">
          <a:extLst>
            <a:ext uri="{FF2B5EF4-FFF2-40B4-BE49-F238E27FC236}">
              <a16:creationId xmlns:a16="http://schemas.microsoft.com/office/drawing/2014/main" id="{29B90D8C-8CDA-4146-B791-505D4599A543}"/>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404" name="CaixaDeTexto 403">
          <a:extLst>
            <a:ext uri="{FF2B5EF4-FFF2-40B4-BE49-F238E27FC236}">
              <a16:creationId xmlns:a16="http://schemas.microsoft.com/office/drawing/2014/main" id="{F1C882CE-02F7-49A1-BA19-9AC547238C49}"/>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405" name="CaixaDeTexto 404">
          <a:extLst>
            <a:ext uri="{FF2B5EF4-FFF2-40B4-BE49-F238E27FC236}">
              <a16:creationId xmlns:a16="http://schemas.microsoft.com/office/drawing/2014/main" id="{D89FD430-278A-481F-9A6B-89AA3CC9CFE6}"/>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406" name="CaixaDeTexto 405">
          <a:extLst>
            <a:ext uri="{FF2B5EF4-FFF2-40B4-BE49-F238E27FC236}">
              <a16:creationId xmlns:a16="http://schemas.microsoft.com/office/drawing/2014/main" id="{162A20E0-5B82-4330-B4A8-61385824F3B1}"/>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407" name="CaixaDeTexto 406">
          <a:extLst>
            <a:ext uri="{FF2B5EF4-FFF2-40B4-BE49-F238E27FC236}">
              <a16:creationId xmlns:a16="http://schemas.microsoft.com/office/drawing/2014/main" id="{909B4B64-264D-42D9-B3F9-1ABA5439A587}"/>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408" name="CaixaDeTexto 407">
          <a:extLst>
            <a:ext uri="{FF2B5EF4-FFF2-40B4-BE49-F238E27FC236}">
              <a16:creationId xmlns:a16="http://schemas.microsoft.com/office/drawing/2014/main" id="{D28D19C6-FC9B-4839-B9F3-1E0D35280E28}"/>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409" name="CaixaDeTexto 408">
          <a:extLst>
            <a:ext uri="{FF2B5EF4-FFF2-40B4-BE49-F238E27FC236}">
              <a16:creationId xmlns:a16="http://schemas.microsoft.com/office/drawing/2014/main" id="{0CE7151C-3F8D-4106-B338-BB084ED30C01}"/>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410" name="CaixaDeTexto 409">
          <a:extLst>
            <a:ext uri="{FF2B5EF4-FFF2-40B4-BE49-F238E27FC236}">
              <a16:creationId xmlns:a16="http://schemas.microsoft.com/office/drawing/2014/main" id="{F5CAF189-EEBC-4468-9BC1-8C47C22A2435}"/>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411" name="CaixaDeTexto 410">
          <a:extLst>
            <a:ext uri="{FF2B5EF4-FFF2-40B4-BE49-F238E27FC236}">
              <a16:creationId xmlns:a16="http://schemas.microsoft.com/office/drawing/2014/main" id="{52476DDC-6B01-4B6D-BC2B-3BD2C10D7F59}"/>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412" name="CaixaDeTexto 411">
          <a:extLst>
            <a:ext uri="{FF2B5EF4-FFF2-40B4-BE49-F238E27FC236}">
              <a16:creationId xmlns:a16="http://schemas.microsoft.com/office/drawing/2014/main" id="{0A2E1671-9C46-49DE-A59F-6C8122ACF3B4}"/>
            </a:ext>
          </a:extLst>
        </xdr:cNvPr>
        <xdr:cNvSpPr txBox="1"/>
      </xdr:nvSpPr>
      <xdr:spPr>
        <a:xfrm>
          <a:off x="2259106"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413" name="CaixaDeTexto 412">
          <a:extLst>
            <a:ext uri="{FF2B5EF4-FFF2-40B4-BE49-F238E27FC236}">
              <a16:creationId xmlns:a16="http://schemas.microsoft.com/office/drawing/2014/main" id="{D499D4C6-0CE6-4684-BED7-4B409082E5C0}"/>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414" name="CaixaDeTexto 413">
          <a:extLst>
            <a:ext uri="{FF2B5EF4-FFF2-40B4-BE49-F238E27FC236}">
              <a16:creationId xmlns:a16="http://schemas.microsoft.com/office/drawing/2014/main" id="{E68D90E9-701B-458F-99A6-6C00CCD3DB97}"/>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415" name="CaixaDeTexto 414">
          <a:extLst>
            <a:ext uri="{FF2B5EF4-FFF2-40B4-BE49-F238E27FC236}">
              <a16:creationId xmlns:a16="http://schemas.microsoft.com/office/drawing/2014/main" id="{233536C8-1C87-481B-8430-46AE4ACDA7DF}"/>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416" name="CaixaDeTexto 415">
          <a:extLst>
            <a:ext uri="{FF2B5EF4-FFF2-40B4-BE49-F238E27FC236}">
              <a16:creationId xmlns:a16="http://schemas.microsoft.com/office/drawing/2014/main" id="{3E583FE9-D3FD-4C62-9641-0E4DB92A3113}"/>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417" name="CaixaDeTexto 416">
          <a:extLst>
            <a:ext uri="{FF2B5EF4-FFF2-40B4-BE49-F238E27FC236}">
              <a16:creationId xmlns:a16="http://schemas.microsoft.com/office/drawing/2014/main" id="{59D6F445-D6A0-4401-A350-79656C0ECE11}"/>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418" name="CaixaDeTexto 417">
          <a:extLst>
            <a:ext uri="{FF2B5EF4-FFF2-40B4-BE49-F238E27FC236}">
              <a16:creationId xmlns:a16="http://schemas.microsoft.com/office/drawing/2014/main" id="{C3ACDFB3-BA9A-4F27-AE6F-E1AE2648ABD8}"/>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419" name="CaixaDeTexto 418">
          <a:extLst>
            <a:ext uri="{FF2B5EF4-FFF2-40B4-BE49-F238E27FC236}">
              <a16:creationId xmlns:a16="http://schemas.microsoft.com/office/drawing/2014/main" id="{AC95D06F-67A8-444A-9B88-06D18FD40CDB}"/>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420" name="CaixaDeTexto 419">
          <a:extLst>
            <a:ext uri="{FF2B5EF4-FFF2-40B4-BE49-F238E27FC236}">
              <a16:creationId xmlns:a16="http://schemas.microsoft.com/office/drawing/2014/main" id="{DB1D44C8-8E06-4F91-BB50-13B6A737FD4E}"/>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421" name="CaixaDeTexto 420">
          <a:extLst>
            <a:ext uri="{FF2B5EF4-FFF2-40B4-BE49-F238E27FC236}">
              <a16:creationId xmlns:a16="http://schemas.microsoft.com/office/drawing/2014/main" id="{3532AC26-7A66-4E63-9B5C-D1D57FAC6EA1}"/>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422" name="CaixaDeTexto 421">
          <a:extLst>
            <a:ext uri="{FF2B5EF4-FFF2-40B4-BE49-F238E27FC236}">
              <a16:creationId xmlns:a16="http://schemas.microsoft.com/office/drawing/2014/main" id="{B47DB0A3-45F4-4D38-B6B7-977173287744}"/>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423" name="CaixaDeTexto 422">
          <a:extLst>
            <a:ext uri="{FF2B5EF4-FFF2-40B4-BE49-F238E27FC236}">
              <a16:creationId xmlns:a16="http://schemas.microsoft.com/office/drawing/2014/main" id="{CE09A0C8-D2DF-4E8B-AFE4-4902A3AB4931}"/>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424" name="CaixaDeTexto 423">
          <a:extLst>
            <a:ext uri="{FF2B5EF4-FFF2-40B4-BE49-F238E27FC236}">
              <a16:creationId xmlns:a16="http://schemas.microsoft.com/office/drawing/2014/main" id="{7AF77617-962C-4F08-B124-76E39F8E779A}"/>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425" name="CaixaDeTexto 424">
          <a:extLst>
            <a:ext uri="{FF2B5EF4-FFF2-40B4-BE49-F238E27FC236}">
              <a16:creationId xmlns:a16="http://schemas.microsoft.com/office/drawing/2014/main" id="{8412AB5E-653C-4566-92CC-9FB62C760D6B}"/>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426" name="CaixaDeTexto 425">
          <a:extLst>
            <a:ext uri="{FF2B5EF4-FFF2-40B4-BE49-F238E27FC236}">
              <a16:creationId xmlns:a16="http://schemas.microsoft.com/office/drawing/2014/main" id="{F54099A4-24FA-41F4-B35C-8B8AB547485D}"/>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427" name="CaixaDeTexto 426">
          <a:extLst>
            <a:ext uri="{FF2B5EF4-FFF2-40B4-BE49-F238E27FC236}">
              <a16:creationId xmlns:a16="http://schemas.microsoft.com/office/drawing/2014/main" id="{82348580-F5C5-4356-8F03-3981B3A24C4E}"/>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428" name="CaixaDeTexto 427">
          <a:extLst>
            <a:ext uri="{FF2B5EF4-FFF2-40B4-BE49-F238E27FC236}">
              <a16:creationId xmlns:a16="http://schemas.microsoft.com/office/drawing/2014/main" id="{4031FC1D-CD0B-4CAE-B3B4-C522BE559A0E}"/>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429" name="CaixaDeTexto 428">
          <a:extLst>
            <a:ext uri="{FF2B5EF4-FFF2-40B4-BE49-F238E27FC236}">
              <a16:creationId xmlns:a16="http://schemas.microsoft.com/office/drawing/2014/main" id="{0370CF32-7682-4800-A72A-A338E91E6F24}"/>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430" name="CaixaDeTexto 429">
          <a:extLst>
            <a:ext uri="{FF2B5EF4-FFF2-40B4-BE49-F238E27FC236}">
              <a16:creationId xmlns:a16="http://schemas.microsoft.com/office/drawing/2014/main" id="{EE1D3E33-0EE2-4DEC-94DF-32E325C16E14}"/>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431" name="CaixaDeTexto 430">
          <a:extLst>
            <a:ext uri="{FF2B5EF4-FFF2-40B4-BE49-F238E27FC236}">
              <a16:creationId xmlns:a16="http://schemas.microsoft.com/office/drawing/2014/main" id="{BA5628B2-18DC-4376-BC17-B52CB29C804E}"/>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432" name="CaixaDeTexto 431">
          <a:extLst>
            <a:ext uri="{FF2B5EF4-FFF2-40B4-BE49-F238E27FC236}">
              <a16:creationId xmlns:a16="http://schemas.microsoft.com/office/drawing/2014/main" id="{8ECAB024-7ACD-40CF-9462-450C413EABA0}"/>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433" name="CaixaDeTexto 432">
          <a:extLst>
            <a:ext uri="{FF2B5EF4-FFF2-40B4-BE49-F238E27FC236}">
              <a16:creationId xmlns:a16="http://schemas.microsoft.com/office/drawing/2014/main" id="{DE7F900D-97A6-4D06-AC5D-448E8788D155}"/>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434" name="CaixaDeTexto 433">
          <a:extLst>
            <a:ext uri="{FF2B5EF4-FFF2-40B4-BE49-F238E27FC236}">
              <a16:creationId xmlns:a16="http://schemas.microsoft.com/office/drawing/2014/main" id="{4F758A88-B64C-45CC-8198-B2CCB0552E9D}"/>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435" name="CaixaDeTexto 434">
          <a:extLst>
            <a:ext uri="{FF2B5EF4-FFF2-40B4-BE49-F238E27FC236}">
              <a16:creationId xmlns:a16="http://schemas.microsoft.com/office/drawing/2014/main" id="{67B72E2B-B134-4724-BF54-CE2525EA6323}"/>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436" name="CaixaDeTexto 435">
          <a:extLst>
            <a:ext uri="{FF2B5EF4-FFF2-40B4-BE49-F238E27FC236}">
              <a16:creationId xmlns:a16="http://schemas.microsoft.com/office/drawing/2014/main" id="{806D375C-E48B-4EC5-8D29-3C7C92438502}"/>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437" name="CaixaDeTexto 436">
          <a:extLst>
            <a:ext uri="{FF2B5EF4-FFF2-40B4-BE49-F238E27FC236}">
              <a16:creationId xmlns:a16="http://schemas.microsoft.com/office/drawing/2014/main" id="{7A3BBFDA-FC80-49F0-8312-99838329A3C8}"/>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438" name="CaixaDeTexto 437">
          <a:extLst>
            <a:ext uri="{FF2B5EF4-FFF2-40B4-BE49-F238E27FC236}">
              <a16:creationId xmlns:a16="http://schemas.microsoft.com/office/drawing/2014/main" id="{34364683-A52C-42FF-BF9C-33F0BA09ECF3}"/>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439" name="CaixaDeTexto 438">
          <a:extLst>
            <a:ext uri="{FF2B5EF4-FFF2-40B4-BE49-F238E27FC236}">
              <a16:creationId xmlns:a16="http://schemas.microsoft.com/office/drawing/2014/main" id="{6C6A2F6F-EEA9-4CBA-9265-372765863E7D}"/>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440" name="CaixaDeTexto 439">
          <a:extLst>
            <a:ext uri="{FF2B5EF4-FFF2-40B4-BE49-F238E27FC236}">
              <a16:creationId xmlns:a16="http://schemas.microsoft.com/office/drawing/2014/main" id="{683C1670-7434-442C-8110-08F9A454F808}"/>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441" name="CaixaDeTexto 440">
          <a:extLst>
            <a:ext uri="{FF2B5EF4-FFF2-40B4-BE49-F238E27FC236}">
              <a16:creationId xmlns:a16="http://schemas.microsoft.com/office/drawing/2014/main" id="{C1617DE4-5F95-4649-8329-229B3A2A07BA}"/>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442" name="CaixaDeTexto 441">
          <a:extLst>
            <a:ext uri="{FF2B5EF4-FFF2-40B4-BE49-F238E27FC236}">
              <a16:creationId xmlns:a16="http://schemas.microsoft.com/office/drawing/2014/main" id="{8697A1B9-B6FC-4D7D-AE74-05FB94C0E21C}"/>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443" name="CaixaDeTexto 442">
          <a:extLst>
            <a:ext uri="{FF2B5EF4-FFF2-40B4-BE49-F238E27FC236}">
              <a16:creationId xmlns:a16="http://schemas.microsoft.com/office/drawing/2014/main" id="{7F964E8D-DBE7-4EA5-A5A6-3A55B26D5AD5}"/>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444" name="CaixaDeTexto 443">
          <a:extLst>
            <a:ext uri="{FF2B5EF4-FFF2-40B4-BE49-F238E27FC236}">
              <a16:creationId xmlns:a16="http://schemas.microsoft.com/office/drawing/2014/main" id="{B832D7CA-F4CB-44D2-A77C-FDE8062487FD}"/>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445" name="CaixaDeTexto 444">
          <a:extLst>
            <a:ext uri="{FF2B5EF4-FFF2-40B4-BE49-F238E27FC236}">
              <a16:creationId xmlns:a16="http://schemas.microsoft.com/office/drawing/2014/main" id="{9C29DA1D-5E98-4641-98EE-3EE3D2C4B199}"/>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446" name="CaixaDeTexto 445">
          <a:extLst>
            <a:ext uri="{FF2B5EF4-FFF2-40B4-BE49-F238E27FC236}">
              <a16:creationId xmlns:a16="http://schemas.microsoft.com/office/drawing/2014/main" id="{4B2B8354-E6FD-4826-A2BA-EA89F79E982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447" name="CaixaDeTexto 446">
          <a:extLst>
            <a:ext uri="{FF2B5EF4-FFF2-40B4-BE49-F238E27FC236}">
              <a16:creationId xmlns:a16="http://schemas.microsoft.com/office/drawing/2014/main" id="{0B834C42-C6F4-4858-8CF6-A73255BCB1DA}"/>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448" name="CaixaDeTexto 447">
          <a:extLst>
            <a:ext uri="{FF2B5EF4-FFF2-40B4-BE49-F238E27FC236}">
              <a16:creationId xmlns:a16="http://schemas.microsoft.com/office/drawing/2014/main" id="{B6C010F5-EB66-4B47-ADE4-4D60905C78A8}"/>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449" name="CaixaDeTexto 448">
          <a:extLst>
            <a:ext uri="{FF2B5EF4-FFF2-40B4-BE49-F238E27FC236}">
              <a16:creationId xmlns:a16="http://schemas.microsoft.com/office/drawing/2014/main" id="{EC0BE51C-FA3C-43FD-AAA8-3D1EF609AC19}"/>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450" name="CaixaDeTexto 449">
          <a:extLst>
            <a:ext uri="{FF2B5EF4-FFF2-40B4-BE49-F238E27FC236}">
              <a16:creationId xmlns:a16="http://schemas.microsoft.com/office/drawing/2014/main" id="{8C99C960-0E88-457B-BECE-558A323AB20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1052</xdr:row>
      <xdr:rowOff>0</xdr:rowOff>
    </xdr:from>
    <xdr:ext cx="184731" cy="264560"/>
    <xdr:sp macro="" textlink="">
      <xdr:nvSpPr>
        <xdr:cNvPr id="451" name="CaixaDeTexto 450">
          <a:extLst>
            <a:ext uri="{FF2B5EF4-FFF2-40B4-BE49-F238E27FC236}">
              <a16:creationId xmlns:a16="http://schemas.microsoft.com/office/drawing/2014/main" id="{52923D5C-4FC0-4DBA-821E-FCF36FD773C9}"/>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134471</xdr:colOff>
      <xdr:row>1</xdr:row>
      <xdr:rowOff>89646</xdr:rowOff>
    </xdr:from>
    <xdr:to>
      <xdr:col>3</xdr:col>
      <xdr:colOff>414618</xdr:colOff>
      <xdr:row>1</xdr:row>
      <xdr:rowOff>843579</xdr:rowOff>
    </xdr:to>
    <xdr:pic>
      <xdr:nvPicPr>
        <xdr:cNvPr id="2" name="Imagem 1">
          <a:extLst>
            <a:ext uri="{FF2B5EF4-FFF2-40B4-BE49-F238E27FC236}">
              <a16:creationId xmlns:a16="http://schemas.microsoft.com/office/drawing/2014/main" id="{F58AD387-AFAF-4881-9960-43FBC39164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589" y="257734"/>
          <a:ext cx="5165911" cy="7539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1333500</xdr:colOff>
      <xdr:row>1</xdr:row>
      <xdr:rowOff>78441</xdr:rowOff>
    </xdr:from>
    <xdr:to>
      <xdr:col>4</xdr:col>
      <xdr:colOff>818029</xdr:colOff>
      <xdr:row>1</xdr:row>
      <xdr:rowOff>842253</xdr:rowOff>
    </xdr:to>
    <xdr:pic>
      <xdr:nvPicPr>
        <xdr:cNvPr id="3" name="Imagem 2">
          <a:extLst>
            <a:ext uri="{FF2B5EF4-FFF2-40B4-BE49-F238E27FC236}">
              <a16:creationId xmlns:a16="http://schemas.microsoft.com/office/drawing/2014/main" id="{04E861D2-A642-49CC-AD1B-30D6F8B733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24382" y="246529"/>
          <a:ext cx="1042147" cy="763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665489</xdr:colOff>
      <xdr:row>1</xdr:row>
      <xdr:rowOff>55049</xdr:rowOff>
    </xdr:from>
    <xdr:to>
      <xdr:col>7</xdr:col>
      <xdr:colOff>309149</xdr:colOff>
      <xdr:row>1</xdr:row>
      <xdr:rowOff>1354931</xdr:rowOff>
    </xdr:to>
    <xdr:pic>
      <xdr:nvPicPr>
        <xdr:cNvPr id="6" name="Imagem 5">
          <a:extLst>
            <a:ext uri="{FF2B5EF4-FFF2-40B4-BE49-F238E27FC236}">
              <a16:creationId xmlns:a16="http://schemas.microsoft.com/office/drawing/2014/main" id="{58963B65-EB7A-46A1-8984-C32134D2B3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9464" y="321749"/>
          <a:ext cx="8901960" cy="1299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857250</xdr:colOff>
      <xdr:row>1</xdr:row>
      <xdr:rowOff>122705</xdr:rowOff>
    </xdr:from>
    <xdr:to>
      <xdr:col>9</xdr:col>
      <xdr:colOff>495300</xdr:colOff>
      <xdr:row>1</xdr:row>
      <xdr:rowOff>1325067</xdr:rowOff>
    </xdr:to>
    <xdr:pic>
      <xdr:nvPicPr>
        <xdr:cNvPr id="7" name="Imagem 6">
          <a:extLst>
            <a:ext uri="{FF2B5EF4-FFF2-40B4-BE49-F238E27FC236}">
              <a16:creationId xmlns:a16="http://schemas.microsoft.com/office/drawing/2014/main" id="{E1432072-401B-495B-9EA1-CF061685FA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9525" y="389405"/>
          <a:ext cx="1638300" cy="12023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109320</xdr:colOff>
      <xdr:row>1</xdr:row>
      <xdr:rowOff>92003</xdr:rowOff>
    </xdr:from>
    <xdr:to>
      <xdr:col>10</xdr:col>
      <xdr:colOff>581241</xdr:colOff>
      <xdr:row>1</xdr:row>
      <xdr:rowOff>1564377</xdr:rowOff>
    </xdr:to>
    <xdr:pic>
      <xdr:nvPicPr>
        <xdr:cNvPr id="2" name="Imagem 1">
          <a:extLst>
            <a:ext uri="{FF2B5EF4-FFF2-40B4-BE49-F238E27FC236}">
              <a16:creationId xmlns:a16="http://schemas.microsoft.com/office/drawing/2014/main" id="{E36BE14F-7DE0-4B7D-B606-6EB2AEE9CF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58633" y="437284"/>
          <a:ext cx="2019733" cy="1472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1382206</xdr:colOff>
      <xdr:row>1</xdr:row>
      <xdr:rowOff>68190</xdr:rowOff>
    </xdr:from>
    <xdr:to>
      <xdr:col>8</xdr:col>
      <xdr:colOff>1069327</xdr:colOff>
      <xdr:row>1</xdr:row>
      <xdr:rowOff>1619250</xdr:rowOff>
    </xdr:to>
    <xdr:pic>
      <xdr:nvPicPr>
        <xdr:cNvPr id="3" name="Imagem 2">
          <a:extLst>
            <a:ext uri="{FF2B5EF4-FFF2-40B4-BE49-F238E27FC236}">
              <a16:creationId xmlns:a16="http://schemas.microsoft.com/office/drawing/2014/main" id="{8E6C94B7-8D8F-49B5-A2C6-1B22230DDA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41862" y="413471"/>
          <a:ext cx="10628965" cy="1551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252414</xdr:colOff>
      <xdr:row>1</xdr:row>
      <xdr:rowOff>45245</xdr:rowOff>
    </xdr:from>
    <xdr:to>
      <xdr:col>7</xdr:col>
      <xdr:colOff>554832</xdr:colOff>
      <xdr:row>1</xdr:row>
      <xdr:rowOff>1258121</xdr:rowOff>
    </xdr:to>
    <xdr:pic>
      <xdr:nvPicPr>
        <xdr:cNvPr id="2" name="Imagem 1">
          <a:extLst>
            <a:ext uri="{FF2B5EF4-FFF2-40B4-BE49-F238E27FC236}">
              <a16:creationId xmlns:a16="http://schemas.microsoft.com/office/drawing/2014/main" id="{97FAB068-8CAB-43C3-A2E9-E1C1CA6CCD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7264" y="207170"/>
          <a:ext cx="8312943" cy="1212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130969</xdr:colOff>
      <xdr:row>1</xdr:row>
      <xdr:rowOff>69056</xdr:rowOff>
    </xdr:from>
    <xdr:to>
      <xdr:col>8</xdr:col>
      <xdr:colOff>781049</xdr:colOff>
      <xdr:row>1</xdr:row>
      <xdr:rowOff>1212207</xdr:rowOff>
    </xdr:to>
    <xdr:pic>
      <xdr:nvPicPr>
        <xdr:cNvPr id="3" name="Imagem 2">
          <a:extLst>
            <a:ext uri="{FF2B5EF4-FFF2-40B4-BE49-F238E27FC236}">
              <a16:creationId xmlns:a16="http://schemas.microsoft.com/office/drawing/2014/main" id="{8C5D3236-2DF6-4858-ACEA-FEA5016F84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713119" y="230981"/>
          <a:ext cx="1564480" cy="1143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405"/>
  <sheetViews>
    <sheetView topLeftCell="A2556" workbookViewId="0">
      <selection activeCell="A2566" sqref="A2566"/>
    </sheetView>
  </sheetViews>
  <sheetFormatPr defaultRowHeight="12.75"/>
  <cols>
    <col min="1" max="1" width="10.7109375" style="267" customWidth="1"/>
    <col min="2" max="2" width="64.28515625" style="252" customWidth="1"/>
    <col min="3" max="3" width="7" style="251" bestFit="1" customWidth="1"/>
    <col min="4" max="4" width="19.5703125" style="664" bestFit="1" customWidth="1"/>
    <col min="5" max="6" width="13.28515625" style="7" bestFit="1" customWidth="1"/>
    <col min="7" max="7" width="12" style="7" bestFit="1" customWidth="1"/>
    <col min="8" max="16384" width="9.140625" style="7"/>
  </cols>
  <sheetData>
    <row r="1" spans="1:4" ht="54">
      <c r="A1" s="798">
        <v>97141</v>
      </c>
      <c r="B1" s="799" t="s">
        <v>3134</v>
      </c>
      <c r="C1" s="798" t="s">
        <v>14</v>
      </c>
      <c r="D1" s="800">
        <v>5.99</v>
      </c>
    </row>
    <row r="2" spans="1:4" ht="54">
      <c r="A2" s="798">
        <v>97142</v>
      </c>
      <c r="B2" s="799" t="s">
        <v>3135</v>
      </c>
      <c r="C2" s="798" t="s">
        <v>14</v>
      </c>
      <c r="D2" s="800">
        <v>6.67</v>
      </c>
    </row>
    <row r="3" spans="1:4" ht="54">
      <c r="A3" s="798">
        <v>97143</v>
      </c>
      <c r="B3" s="799" t="s">
        <v>3136</v>
      </c>
      <c r="C3" s="798" t="s">
        <v>14</v>
      </c>
      <c r="D3" s="800">
        <v>8.34</v>
      </c>
    </row>
    <row r="4" spans="1:4" ht="54">
      <c r="A4" s="798">
        <v>97144</v>
      </c>
      <c r="B4" s="799" t="s">
        <v>3137</v>
      </c>
      <c r="C4" s="798" t="s">
        <v>14</v>
      </c>
      <c r="D4" s="800">
        <v>10.02</v>
      </c>
    </row>
    <row r="5" spans="1:4" ht="54">
      <c r="A5" s="798">
        <v>97145</v>
      </c>
      <c r="B5" s="799" t="s">
        <v>3138</v>
      </c>
      <c r="C5" s="798" t="s">
        <v>14</v>
      </c>
      <c r="D5" s="800">
        <v>11.73</v>
      </c>
    </row>
    <row r="6" spans="1:4" ht="54">
      <c r="A6" s="798">
        <v>97146</v>
      </c>
      <c r="B6" s="799" t="s">
        <v>3139</v>
      </c>
      <c r="C6" s="798" t="s">
        <v>14</v>
      </c>
      <c r="D6" s="800">
        <v>13.43</v>
      </c>
    </row>
    <row r="7" spans="1:4" ht="54">
      <c r="A7" s="798">
        <v>97147</v>
      </c>
      <c r="B7" s="799" t="s">
        <v>3140</v>
      </c>
      <c r="C7" s="798" t="s">
        <v>14</v>
      </c>
      <c r="D7" s="800">
        <v>15.15</v>
      </c>
    </row>
    <row r="8" spans="1:4" ht="54">
      <c r="A8" s="798">
        <v>97148</v>
      </c>
      <c r="B8" s="799" t="s">
        <v>3141</v>
      </c>
      <c r="C8" s="798" t="s">
        <v>14</v>
      </c>
      <c r="D8" s="800">
        <v>16.86</v>
      </c>
    </row>
    <row r="9" spans="1:4" ht="54">
      <c r="A9" s="798">
        <v>97149</v>
      </c>
      <c r="B9" s="799" t="s">
        <v>3142</v>
      </c>
      <c r="C9" s="798" t="s">
        <v>14</v>
      </c>
      <c r="D9" s="800">
        <v>18.600000000000001</v>
      </c>
    </row>
    <row r="10" spans="1:4" ht="54">
      <c r="A10" s="798">
        <v>97150</v>
      </c>
      <c r="B10" s="799" t="s">
        <v>3143</v>
      </c>
      <c r="C10" s="798" t="s">
        <v>14</v>
      </c>
      <c r="D10" s="800">
        <v>25.45</v>
      </c>
    </row>
    <row r="11" spans="1:4" ht="54">
      <c r="A11" s="798">
        <v>97151</v>
      </c>
      <c r="B11" s="799" t="s">
        <v>3144</v>
      </c>
      <c r="C11" s="798" t="s">
        <v>14</v>
      </c>
      <c r="D11" s="800">
        <v>29.65</v>
      </c>
    </row>
    <row r="12" spans="1:4" ht="54">
      <c r="A12" s="798">
        <v>97152</v>
      </c>
      <c r="B12" s="799" t="s">
        <v>3145</v>
      </c>
      <c r="C12" s="798" t="s">
        <v>14</v>
      </c>
      <c r="D12" s="800">
        <v>33.549999999999997</v>
      </c>
    </row>
    <row r="13" spans="1:4" ht="54">
      <c r="A13" s="798">
        <v>97153</v>
      </c>
      <c r="B13" s="799" t="s">
        <v>3146</v>
      </c>
      <c r="C13" s="798" t="s">
        <v>14</v>
      </c>
      <c r="D13" s="800">
        <v>37.630000000000003</v>
      </c>
    </row>
    <row r="14" spans="1:4" ht="54">
      <c r="A14" s="798">
        <v>97154</v>
      </c>
      <c r="B14" s="799" t="s">
        <v>3147</v>
      </c>
      <c r="C14" s="798" t="s">
        <v>14</v>
      </c>
      <c r="D14" s="800">
        <v>41.75</v>
      </c>
    </row>
    <row r="15" spans="1:4" ht="54">
      <c r="A15" s="798">
        <v>97155</v>
      </c>
      <c r="B15" s="799" t="s">
        <v>3148</v>
      </c>
      <c r="C15" s="798" t="s">
        <v>14</v>
      </c>
      <c r="D15" s="800">
        <v>45.88</v>
      </c>
    </row>
    <row r="16" spans="1:4" ht="54">
      <c r="A16" s="798">
        <v>97156</v>
      </c>
      <c r="B16" s="799" t="s">
        <v>3149</v>
      </c>
      <c r="C16" s="798" t="s">
        <v>14</v>
      </c>
      <c r="D16" s="800">
        <v>54.65</v>
      </c>
    </row>
    <row r="17" spans="1:4" ht="54">
      <c r="A17" s="798">
        <v>97157</v>
      </c>
      <c r="B17" s="799" t="s">
        <v>3150</v>
      </c>
      <c r="C17" s="798" t="s">
        <v>14</v>
      </c>
      <c r="D17" s="800">
        <v>3.74</v>
      </c>
    </row>
    <row r="18" spans="1:4" ht="54">
      <c r="A18" s="798">
        <v>97158</v>
      </c>
      <c r="B18" s="799" t="s">
        <v>3151</v>
      </c>
      <c r="C18" s="798" t="s">
        <v>14</v>
      </c>
      <c r="D18" s="800">
        <v>4.1500000000000004</v>
      </c>
    </row>
    <row r="19" spans="1:4" ht="54">
      <c r="A19" s="798">
        <v>97159</v>
      </c>
      <c r="B19" s="799" t="s">
        <v>3152</v>
      </c>
      <c r="C19" s="798" t="s">
        <v>14</v>
      </c>
      <c r="D19" s="800">
        <v>5.21</v>
      </c>
    </row>
    <row r="20" spans="1:4" ht="54">
      <c r="A20" s="798">
        <v>97160</v>
      </c>
      <c r="B20" s="799" t="s">
        <v>3153</v>
      </c>
      <c r="C20" s="798" t="s">
        <v>14</v>
      </c>
      <c r="D20" s="800">
        <v>6.24</v>
      </c>
    </row>
    <row r="21" spans="1:4" ht="54">
      <c r="A21" s="798">
        <v>97161</v>
      </c>
      <c r="B21" s="799" t="s">
        <v>3154</v>
      </c>
      <c r="C21" s="798" t="s">
        <v>14</v>
      </c>
      <c r="D21" s="800">
        <v>7.33</v>
      </c>
    </row>
    <row r="22" spans="1:4" ht="54">
      <c r="A22" s="798">
        <v>97162</v>
      </c>
      <c r="B22" s="799" t="s">
        <v>3155</v>
      </c>
      <c r="C22" s="798" t="s">
        <v>14</v>
      </c>
      <c r="D22" s="800">
        <v>8.39</v>
      </c>
    </row>
    <row r="23" spans="1:4" ht="54">
      <c r="A23" s="798">
        <v>97163</v>
      </c>
      <c r="B23" s="799" t="s">
        <v>3156</v>
      </c>
      <c r="C23" s="798" t="s">
        <v>14</v>
      </c>
      <c r="D23" s="800">
        <v>9.4700000000000006</v>
      </c>
    </row>
    <row r="24" spans="1:4" ht="54">
      <c r="A24" s="798">
        <v>97164</v>
      </c>
      <c r="B24" s="799" t="s">
        <v>3157</v>
      </c>
      <c r="C24" s="798" t="s">
        <v>14</v>
      </c>
      <c r="D24" s="800">
        <v>10.56</v>
      </c>
    </row>
    <row r="25" spans="1:4" ht="54">
      <c r="A25" s="798">
        <v>97165</v>
      </c>
      <c r="B25" s="799" t="s">
        <v>3158</v>
      </c>
      <c r="C25" s="798" t="s">
        <v>14</v>
      </c>
      <c r="D25" s="800">
        <v>11.66</v>
      </c>
    </row>
    <row r="26" spans="1:4" ht="54">
      <c r="A26" s="798">
        <v>97166</v>
      </c>
      <c r="B26" s="799" t="s">
        <v>3159</v>
      </c>
      <c r="C26" s="798" t="s">
        <v>14</v>
      </c>
      <c r="D26" s="800">
        <v>15.86</v>
      </c>
    </row>
    <row r="27" spans="1:4" ht="54">
      <c r="A27" s="798">
        <v>97167</v>
      </c>
      <c r="B27" s="799" t="s">
        <v>3160</v>
      </c>
      <c r="C27" s="798" t="s">
        <v>14</v>
      </c>
      <c r="D27" s="800">
        <v>18.489999999999998</v>
      </c>
    </row>
    <row r="28" spans="1:4" ht="54">
      <c r="A28" s="798">
        <v>97168</v>
      </c>
      <c r="B28" s="799" t="s">
        <v>3161</v>
      </c>
      <c r="C28" s="798" t="s">
        <v>14</v>
      </c>
      <c r="D28" s="800">
        <v>20.85</v>
      </c>
    </row>
    <row r="29" spans="1:4" ht="54">
      <c r="A29" s="798">
        <v>97169</v>
      </c>
      <c r="B29" s="799" t="s">
        <v>3162</v>
      </c>
      <c r="C29" s="798" t="s">
        <v>14</v>
      </c>
      <c r="D29" s="800">
        <v>23.37</v>
      </c>
    </row>
    <row r="30" spans="1:4" ht="54">
      <c r="A30" s="798">
        <v>97170</v>
      </c>
      <c r="B30" s="799" t="s">
        <v>3163</v>
      </c>
      <c r="C30" s="798" t="s">
        <v>14</v>
      </c>
      <c r="D30" s="800">
        <v>25.94</v>
      </c>
    </row>
    <row r="31" spans="1:4" ht="54">
      <c r="A31" s="798">
        <v>97171</v>
      </c>
      <c r="B31" s="799" t="s">
        <v>3164</v>
      </c>
      <c r="C31" s="798" t="s">
        <v>14</v>
      </c>
      <c r="D31" s="800">
        <v>28.53</v>
      </c>
    </row>
    <row r="32" spans="1:4" ht="54">
      <c r="A32" s="798">
        <v>97172</v>
      </c>
      <c r="B32" s="799" t="s">
        <v>3165</v>
      </c>
      <c r="C32" s="798" t="s">
        <v>14</v>
      </c>
      <c r="D32" s="800">
        <v>34.19</v>
      </c>
    </row>
    <row r="33" spans="1:4" ht="54">
      <c r="A33" s="798">
        <v>97173</v>
      </c>
      <c r="B33" s="799" t="s">
        <v>3166</v>
      </c>
      <c r="C33" s="798" t="s">
        <v>14</v>
      </c>
      <c r="D33" s="800">
        <v>29</v>
      </c>
    </row>
    <row r="34" spans="1:4" ht="54">
      <c r="A34" s="798">
        <v>97174</v>
      </c>
      <c r="B34" s="799" t="s">
        <v>3167</v>
      </c>
      <c r="C34" s="798" t="s">
        <v>14</v>
      </c>
      <c r="D34" s="800">
        <v>33.58</v>
      </c>
    </row>
    <row r="35" spans="1:4" ht="54">
      <c r="A35" s="798">
        <v>97175</v>
      </c>
      <c r="B35" s="799" t="s">
        <v>3168</v>
      </c>
      <c r="C35" s="798" t="s">
        <v>14</v>
      </c>
      <c r="D35" s="800">
        <v>38.17</v>
      </c>
    </row>
    <row r="36" spans="1:4" ht="54">
      <c r="A36" s="798">
        <v>97176</v>
      </c>
      <c r="B36" s="799" t="s">
        <v>3169</v>
      </c>
      <c r="C36" s="798" t="s">
        <v>14</v>
      </c>
      <c r="D36" s="800">
        <v>42.77</v>
      </c>
    </row>
    <row r="37" spans="1:4" ht="54">
      <c r="A37" s="798">
        <v>97177</v>
      </c>
      <c r="B37" s="799" t="s">
        <v>3170</v>
      </c>
      <c r="C37" s="798" t="s">
        <v>14</v>
      </c>
      <c r="D37" s="800">
        <v>51.97</v>
      </c>
    </row>
    <row r="38" spans="1:4" ht="54">
      <c r="A38" s="798">
        <v>97178</v>
      </c>
      <c r="B38" s="799" t="s">
        <v>3171</v>
      </c>
      <c r="C38" s="798" t="s">
        <v>14</v>
      </c>
      <c r="D38" s="800">
        <v>61.15</v>
      </c>
    </row>
    <row r="39" spans="1:4" ht="54">
      <c r="A39" s="798">
        <v>97179</v>
      </c>
      <c r="B39" s="799" t="s">
        <v>3172</v>
      </c>
      <c r="C39" s="798" t="s">
        <v>14</v>
      </c>
      <c r="D39" s="800">
        <v>70.36</v>
      </c>
    </row>
    <row r="40" spans="1:4" ht="54">
      <c r="A40" s="798">
        <v>97180</v>
      </c>
      <c r="B40" s="799" t="s">
        <v>3173</v>
      </c>
      <c r="C40" s="798" t="s">
        <v>14</v>
      </c>
      <c r="D40" s="800">
        <v>79.55</v>
      </c>
    </row>
    <row r="41" spans="1:4" ht="54">
      <c r="A41" s="798">
        <v>97181</v>
      </c>
      <c r="B41" s="799" t="s">
        <v>3174</v>
      </c>
      <c r="C41" s="798" t="s">
        <v>14</v>
      </c>
      <c r="D41" s="800">
        <v>93.04</v>
      </c>
    </row>
    <row r="42" spans="1:4" ht="54">
      <c r="A42" s="798">
        <v>97182</v>
      </c>
      <c r="B42" s="799" t="s">
        <v>3175</v>
      </c>
      <c r="C42" s="798" t="s">
        <v>14</v>
      </c>
      <c r="D42" s="800">
        <v>102.7</v>
      </c>
    </row>
    <row r="43" spans="1:4" ht="54">
      <c r="A43" s="798">
        <v>97183</v>
      </c>
      <c r="B43" s="799" t="s">
        <v>3176</v>
      </c>
      <c r="C43" s="798" t="s">
        <v>14</v>
      </c>
      <c r="D43" s="800">
        <v>23.5</v>
      </c>
    </row>
    <row r="44" spans="1:4" ht="54">
      <c r="A44" s="798">
        <v>97184</v>
      </c>
      <c r="B44" s="799" t="s">
        <v>3177</v>
      </c>
      <c r="C44" s="798" t="s">
        <v>14</v>
      </c>
      <c r="D44" s="800">
        <v>27.27</v>
      </c>
    </row>
    <row r="45" spans="1:4" ht="54">
      <c r="A45" s="798">
        <v>97185</v>
      </c>
      <c r="B45" s="799" t="s">
        <v>3178</v>
      </c>
      <c r="C45" s="798" t="s">
        <v>14</v>
      </c>
      <c r="D45" s="800">
        <v>31.03</v>
      </c>
    </row>
    <row r="46" spans="1:4" ht="54">
      <c r="A46" s="798">
        <v>97186</v>
      </c>
      <c r="B46" s="799" t="s">
        <v>3179</v>
      </c>
      <c r="C46" s="798" t="s">
        <v>14</v>
      </c>
      <c r="D46" s="800">
        <v>34.81</v>
      </c>
    </row>
    <row r="47" spans="1:4" ht="54">
      <c r="A47" s="798">
        <v>97187</v>
      </c>
      <c r="B47" s="799" t="s">
        <v>3381</v>
      </c>
      <c r="C47" s="798" t="s">
        <v>14</v>
      </c>
      <c r="D47" s="800">
        <v>42.37</v>
      </c>
    </row>
    <row r="48" spans="1:4" ht="54">
      <c r="A48" s="798">
        <v>97188</v>
      </c>
      <c r="B48" s="799" t="s">
        <v>3180</v>
      </c>
      <c r="C48" s="798" t="s">
        <v>14</v>
      </c>
      <c r="D48" s="800">
        <v>49.91</v>
      </c>
    </row>
    <row r="49" spans="1:4" ht="54">
      <c r="A49" s="798">
        <v>97189</v>
      </c>
      <c r="B49" s="799" t="s">
        <v>3181</v>
      </c>
      <c r="C49" s="798" t="s">
        <v>14</v>
      </c>
      <c r="D49" s="800">
        <v>57.46</v>
      </c>
    </row>
    <row r="50" spans="1:4" ht="54">
      <c r="A50" s="798">
        <v>97190</v>
      </c>
      <c r="B50" s="799" t="s">
        <v>3182</v>
      </c>
      <c r="C50" s="798" t="s">
        <v>14</v>
      </c>
      <c r="D50" s="800">
        <v>65.02</v>
      </c>
    </row>
    <row r="51" spans="1:4" ht="54">
      <c r="A51" s="798">
        <v>97191</v>
      </c>
      <c r="B51" s="799" t="s">
        <v>3183</v>
      </c>
      <c r="C51" s="798" t="s">
        <v>14</v>
      </c>
      <c r="D51" s="800">
        <v>75.760000000000005</v>
      </c>
    </row>
    <row r="52" spans="1:4" ht="54">
      <c r="A52" s="798">
        <v>97192</v>
      </c>
      <c r="B52" s="799" t="s">
        <v>3184</v>
      </c>
      <c r="C52" s="798" t="s">
        <v>14</v>
      </c>
      <c r="D52" s="800">
        <v>83.66</v>
      </c>
    </row>
    <row r="53" spans="1:4" ht="40.5">
      <c r="A53" s="798">
        <v>90694</v>
      </c>
      <c r="B53" s="799" t="s">
        <v>6173</v>
      </c>
      <c r="C53" s="798" t="s">
        <v>14</v>
      </c>
      <c r="D53" s="800">
        <v>44.07</v>
      </c>
    </row>
    <row r="54" spans="1:4" ht="40.5">
      <c r="A54" s="798">
        <v>90695</v>
      </c>
      <c r="B54" s="799" t="s">
        <v>6174</v>
      </c>
      <c r="C54" s="798" t="s">
        <v>14</v>
      </c>
      <c r="D54" s="800">
        <v>92.52</v>
      </c>
    </row>
    <row r="55" spans="1:4" ht="40.5">
      <c r="A55" s="798">
        <v>90696</v>
      </c>
      <c r="B55" s="799" t="s">
        <v>6175</v>
      </c>
      <c r="C55" s="798" t="s">
        <v>14</v>
      </c>
      <c r="D55" s="800">
        <v>137.77000000000001</v>
      </c>
    </row>
    <row r="56" spans="1:4" ht="40.5">
      <c r="A56" s="798">
        <v>90697</v>
      </c>
      <c r="B56" s="799" t="s">
        <v>6176</v>
      </c>
      <c r="C56" s="798" t="s">
        <v>14</v>
      </c>
      <c r="D56" s="800">
        <v>232.87</v>
      </c>
    </row>
    <row r="57" spans="1:4" ht="40.5">
      <c r="A57" s="798">
        <v>90698</v>
      </c>
      <c r="B57" s="799" t="s">
        <v>6177</v>
      </c>
      <c r="C57" s="798" t="s">
        <v>14</v>
      </c>
      <c r="D57" s="800">
        <v>374.06</v>
      </c>
    </row>
    <row r="58" spans="1:4" ht="40.5">
      <c r="A58" s="798">
        <v>90699</v>
      </c>
      <c r="B58" s="799" t="s">
        <v>6178</v>
      </c>
      <c r="C58" s="798" t="s">
        <v>14</v>
      </c>
      <c r="D58" s="800">
        <v>462.68</v>
      </c>
    </row>
    <row r="59" spans="1:4" ht="40.5">
      <c r="A59" s="798">
        <v>90700</v>
      </c>
      <c r="B59" s="799" t="s">
        <v>6179</v>
      </c>
      <c r="C59" s="798" t="s">
        <v>14</v>
      </c>
      <c r="D59" s="800">
        <v>600</v>
      </c>
    </row>
    <row r="60" spans="1:4" ht="40.5">
      <c r="A60" s="798">
        <v>90701</v>
      </c>
      <c r="B60" s="799" t="s">
        <v>6180</v>
      </c>
      <c r="C60" s="798" t="s">
        <v>14</v>
      </c>
      <c r="D60" s="800">
        <v>75.569999999999993</v>
      </c>
    </row>
    <row r="61" spans="1:4" ht="40.5">
      <c r="A61" s="798">
        <v>90702</v>
      </c>
      <c r="B61" s="799" t="s">
        <v>6181</v>
      </c>
      <c r="C61" s="798" t="s">
        <v>14</v>
      </c>
      <c r="D61" s="800">
        <v>121.59</v>
      </c>
    </row>
    <row r="62" spans="1:4" ht="40.5">
      <c r="A62" s="798">
        <v>90703</v>
      </c>
      <c r="B62" s="799" t="s">
        <v>6182</v>
      </c>
      <c r="C62" s="798" t="s">
        <v>14</v>
      </c>
      <c r="D62" s="800">
        <v>202.72</v>
      </c>
    </row>
    <row r="63" spans="1:4" ht="40.5">
      <c r="A63" s="798">
        <v>90704</v>
      </c>
      <c r="B63" s="799" t="s">
        <v>6183</v>
      </c>
      <c r="C63" s="798" t="s">
        <v>14</v>
      </c>
      <c r="D63" s="800">
        <v>290.25</v>
      </c>
    </row>
    <row r="64" spans="1:4" ht="40.5">
      <c r="A64" s="798">
        <v>90705</v>
      </c>
      <c r="B64" s="799" t="s">
        <v>6184</v>
      </c>
      <c r="C64" s="798" t="s">
        <v>14</v>
      </c>
      <c r="D64" s="800">
        <v>391.69</v>
      </c>
    </row>
    <row r="65" spans="1:4" ht="40.5">
      <c r="A65" s="798">
        <v>90706</v>
      </c>
      <c r="B65" s="799" t="s">
        <v>6185</v>
      </c>
      <c r="C65" s="798" t="s">
        <v>14</v>
      </c>
      <c r="D65" s="800">
        <v>459.99</v>
      </c>
    </row>
    <row r="66" spans="1:4" ht="40.5">
      <c r="A66" s="798">
        <v>90708</v>
      </c>
      <c r="B66" s="799" t="s">
        <v>6186</v>
      </c>
      <c r="C66" s="798" t="s">
        <v>14</v>
      </c>
      <c r="D66" s="800">
        <v>1274.71</v>
      </c>
    </row>
    <row r="67" spans="1:4" ht="40.5">
      <c r="A67" s="798">
        <v>90724</v>
      </c>
      <c r="B67" s="799" t="s">
        <v>6187</v>
      </c>
      <c r="C67" s="798" t="s">
        <v>24</v>
      </c>
      <c r="D67" s="800">
        <v>16.809999999999999</v>
      </c>
    </row>
    <row r="68" spans="1:4" ht="40.5">
      <c r="A68" s="798">
        <v>90725</v>
      </c>
      <c r="B68" s="799" t="s">
        <v>6188</v>
      </c>
      <c r="C68" s="798" t="s">
        <v>24</v>
      </c>
      <c r="D68" s="800">
        <v>20.7</v>
      </c>
    </row>
    <row r="69" spans="1:4" ht="40.5">
      <c r="A69" s="798">
        <v>90726</v>
      </c>
      <c r="B69" s="799" t="s">
        <v>6189</v>
      </c>
      <c r="C69" s="798" t="s">
        <v>24</v>
      </c>
      <c r="D69" s="800">
        <v>24.67</v>
      </c>
    </row>
    <row r="70" spans="1:4" ht="40.5">
      <c r="A70" s="798">
        <v>90727</v>
      </c>
      <c r="B70" s="799" t="s">
        <v>6190</v>
      </c>
      <c r="C70" s="798" t="s">
        <v>24</v>
      </c>
      <c r="D70" s="800">
        <v>28.58</v>
      </c>
    </row>
    <row r="71" spans="1:4" ht="40.5">
      <c r="A71" s="798">
        <v>90728</v>
      </c>
      <c r="B71" s="799" t="s">
        <v>6191</v>
      </c>
      <c r="C71" s="798" t="s">
        <v>24</v>
      </c>
      <c r="D71" s="800">
        <v>32.49</v>
      </c>
    </row>
    <row r="72" spans="1:4" ht="40.5">
      <c r="A72" s="798">
        <v>90729</v>
      </c>
      <c r="B72" s="799" t="s">
        <v>6192</v>
      </c>
      <c r="C72" s="798" t="s">
        <v>24</v>
      </c>
      <c r="D72" s="800">
        <v>36.4</v>
      </c>
    </row>
    <row r="73" spans="1:4" ht="40.5">
      <c r="A73" s="798">
        <v>90730</v>
      </c>
      <c r="B73" s="799" t="s">
        <v>6193</v>
      </c>
      <c r="C73" s="798" t="s">
        <v>24</v>
      </c>
      <c r="D73" s="800">
        <v>40.299999999999997</v>
      </c>
    </row>
    <row r="74" spans="1:4" ht="40.5">
      <c r="A74" s="798">
        <v>90731</v>
      </c>
      <c r="B74" s="799" t="s">
        <v>6194</v>
      </c>
      <c r="C74" s="798" t="s">
        <v>24</v>
      </c>
      <c r="D74" s="800">
        <v>44.22</v>
      </c>
    </row>
    <row r="75" spans="1:4" ht="40.5">
      <c r="A75" s="798">
        <v>90732</v>
      </c>
      <c r="B75" s="799" t="s">
        <v>6195</v>
      </c>
      <c r="C75" s="798" t="s">
        <v>24</v>
      </c>
      <c r="D75" s="800">
        <v>55.94</v>
      </c>
    </row>
    <row r="76" spans="1:4" ht="40.5">
      <c r="A76" s="798">
        <v>90733</v>
      </c>
      <c r="B76" s="799" t="s">
        <v>6196</v>
      </c>
      <c r="C76" s="798" t="s">
        <v>14</v>
      </c>
      <c r="D76" s="800">
        <v>2.33</v>
      </c>
    </row>
    <row r="77" spans="1:4" ht="40.5">
      <c r="A77" s="798">
        <v>90734</v>
      </c>
      <c r="B77" s="799" t="s">
        <v>6197</v>
      </c>
      <c r="C77" s="798" t="s">
        <v>14</v>
      </c>
      <c r="D77" s="800">
        <v>2.76</v>
      </c>
    </row>
    <row r="78" spans="1:4" ht="40.5">
      <c r="A78" s="798">
        <v>90735</v>
      </c>
      <c r="B78" s="799" t="s">
        <v>6198</v>
      </c>
      <c r="C78" s="798" t="s">
        <v>14</v>
      </c>
      <c r="D78" s="800">
        <v>3.19</v>
      </c>
    </row>
    <row r="79" spans="1:4" ht="40.5">
      <c r="A79" s="798">
        <v>90736</v>
      </c>
      <c r="B79" s="799" t="s">
        <v>6199</v>
      </c>
      <c r="C79" s="798" t="s">
        <v>14</v>
      </c>
      <c r="D79" s="800">
        <v>3.62</v>
      </c>
    </row>
    <row r="80" spans="1:4" ht="40.5">
      <c r="A80" s="798">
        <v>90737</v>
      </c>
      <c r="B80" s="799" t="s">
        <v>6200</v>
      </c>
      <c r="C80" s="798" t="s">
        <v>14</v>
      </c>
      <c r="D80" s="800">
        <v>4.05</v>
      </c>
    </row>
    <row r="81" spans="1:4" ht="40.5">
      <c r="A81" s="798">
        <v>90738</v>
      </c>
      <c r="B81" s="799" t="s">
        <v>6201</v>
      </c>
      <c r="C81" s="798" t="s">
        <v>14</v>
      </c>
      <c r="D81" s="800">
        <v>4.4800000000000004</v>
      </c>
    </row>
    <row r="82" spans="1:4" ht="40.5">
      <c r="A82" s="798">
        <v>90739</v>
      </c>
      <c r="B82" s="799" t="s">
        <v>6202</v>
      </c>
      <c r="C82" s="798" t="s">
        <v>14</v>
      </c>
      <c r="D82" s="800">
        <v>6.66</v>
      </c>
    </row>
    <row r="83" spans="1:4" ht="40.5">
      <c r="A83" s="798">
        <v>90740</v>
      </c>
      <c r="B83" s="799" t="s">
        <v>6203</v>
      </c>
      <c r="C83" s="798" t="s">
        <v>14</v>
      </c>
      <c r="D83" s="800">
        <v>3.07</v>
      </c>
    </row>
    <row r="84" spans="1:4" ht="40.5">
      <c r="A84" s="798">
        <v>90741</v>
      </c>
      <c r="B84" s="799" t="s">
        <v>6204</v>
      </c>
      <c r="C84" s="798" t="s">
        <v>14</v>
      </c>
      <c r="D84" s="800">
        <v>3.5</v>
      </c>
    </row>
    <row r="85" spans="1:4" ht="40.5">
      <c r="A85" s="798">
        <v>90742</v>
      </c>
      <c r="B85" s="799" t="s">
        <v>6205</v>
      </c>
      <c r="C85" s="798" t="s">
        <v>14</v>
      </c>
      <c r="D85" s="800">
        <v>3.93</v>
      </c>
    </row>
    <row r="86" spans="1:4" ht="40.5">
      <c r="A86" s="798">
        <v>90743</v>
      </c>
      <c r="B86" s="799" t="s">
        <v>6206</v>
      </c>
      <c r="C86" s="798" t="s">
        <v>14</v>
      </c>
      <c r="D86" s="800">
        <v>4.37</v>
      </c>
    </row>
    <row r="87" spans="1:4" ht="40.5">
      <c r="A87" s="798">
        <v>90744</v>
      </c>
      <c r="B87" s="799" t="s">
        <v>6207</v>
      </c>
      <c r="C87" s="798" t="s">
        <v>14</v>
      </c>
      <c r="D87" s="800">
        <v>4.8</v>
      </c>
    </row>
    <row r="88" spans="1:4" ht="40.5">
      <c r="A88" s="798">
        <v>90745</v>
      </c>
      <c r="B88" s="799" t="s">
        <v>6208</v>
      </c>
      <c r="C88" s="798" t="s">
        <v>14</v>
      </c>
      <c r="D88" s="800">
        <v>7.43</v>
      </c>
    </row>
    <row r="89" spans="1:4" ht="54">
      <c r="A89" s="798">
        <v>90746</v>
      </c>
      <c r="B89" s="799" t="s">
        <v>6209</v>
      </c>
      <c r="C89" s="798" t="s">
        <v>14</v>
      </c>
      <c r="D89" s="800">
        <v>2.52</v>
      </c>
    </row>
    <row r="90" spans="1:4" ht="54">
      <c r="A90" s="798">
        <v>90747</v>
      </c>
      <c r="B90" s="799" t="s">
        <v>6210</v>
      </c>
      <c r="C90" s="798" t="s">
        <v>14</v>
      </c>
      <c r="D90" s="800">
        <v>13.76</v>
      </c>
    </row>
    <row r="91" spans="1:4" ht="40.5">
      <c r="A91" s="798">
        <v>94869</v>
      </c>
      <c r="B91" s="799" t="s">
        <v>6211</v>
      </c>
      <c r="C91" s="798" t="s">
        <v>14</v>
      </c>
      <c r="D91" s="800">
        <v>259.98</v>
      </c>
    </row>
    <row r="92" spans="1:4" ht="54">
      <c r="A92" s="798">
        <v>94870</v>
      </c>
      <c r="B92" s="799" t="s">
        <v>6212</v>
      </c>
      <c r="C92" s="798" t="s">
        <v>14</v>
      </c>
      <c r="D92" s="800">
        <v>1.81</v>
      </c>
    </row>
    <row r="93" spans="1:4" ht="40.5">
      <c r="A93" s="798">
        <v>94871</v>
      </c>
      <c r="B93" s="799" t="s">
        <v>6213</v>
      </c>
      <c r="C93" s="798" t="s">
        <v>14</v>
      </c>
      <c r="D93" s="800">
        <v>307.74</v>
      </c>
    </row>
    <row r="94" spans="1:4" ht="54">
      <c r="A94" s="798">
        <v>94872</v>
      </c>
      <c r="B94" s="799" t="s">
        <v>6214</v>
      </c>
      <c r="C94" s="798" t="s">
        <v>14</v>
      </c>
      <c r="D94" s="800">
        <v>2.39</v>
      </c>
    </row>
    <row r="95" spans="1:4" ht="40.5">
      <c r="A95" s="798">
        <v>94875</v>
      </c>
      <c r="B95" s="799" t="s">
        <v>6215</v>
      </c>
      <c r="C95" s="798" t="s">
        <v>14</v>
      </c>
      <c r="D95" s="800">
        <v>1800.48</v>
      </c>
    </row>
    <row r="96" spans="1:4" ht="54">
      <c r="A96" s="798">
        <v>94876</v>
      </c>
      <c r="B96" s="799" t="s">
        <v>6216</v>
      </c>
      <c r="C96" s="798" t="s">
        <v>14</v>
      </c>
      <c r="D96" s="800">
        <v>24.13</v>
      </c>
    </row>
    <row r="97" spans="1:4" ht="54">
      <c r="A97" s="798">
        <v>94878</v>
      </c>
      <c r="B97" s="799" t="s">
        <v>6217</v>
      </c>
      <c r="C97" s="798" t="s">
        <v>14</v>
      </c>
      <c r="D97" s="800">
        <v>27.75</v>
      </c>
    </row>
    <row r="98" spans="1:4" ht="40.5">
      <c r="A98" s="798">
        <v>94879</v>
      </c>
      <c r="B98" s="799" t="s">
        <v>6218</v>
      </c>
      <c r="C98" s="798" t="s">
        <v>14</v>
      </c>
      <c r="D98" s="800">
        <v>2397.6</v>
      </c>
    </row>
    <row r="99" spans="1:4" ht="54">
      <c r="A99" s="798">
        <v>94880</v>
      </c>
      <c r="B99" s="799" t="s">
        <v>6219</v>
      </c>
      <c r="C99" s="798" t="s">
        <v>14</v>
      </c>
      <c r="D99" s="800">
        <v>36.54</v>
      </c>
    </row>
    <row r="100" spans="1:4" ht="40.5">
      <c r="A100" s="798">
        <v>94881</v>
      </c>
      <c r="B100" s="799" t="s">
        <v>6220</v>
      </c>
      <c r="C100" s="798" t="s">
        <v>14</v>
      </c>
      <c r="D100" s="800">
        <v>3747.79</v>
      </c>
    </row>
    <row r="101" spans="1:4" ht="54">
      <c r="A101" s="798">
        <v>94882</v>
      </c>
      <c r="B101" s="799" t="s">
        <v>6221</v>
      </c>
      <c r="C101" s="798" t="s">
        <v>14</v>
      </c>
      <c r="D101" s="800">
        <v>42.12</v>
      </c>
    </row>
    <row r="102" spans="1:4" ht="54">
      <c r="A102" s="798">
        <v>94884</v>
      </c>
      <c r="B102" s="799" t="s">
        <v>6222</v>
      </c>
      <c r="C102" s="798" t="s">
        <v>14</v>
      </c>
      <c r="D102" s="800">
        <v>53.42</v>
      </c>
    </row>
    <row r="103" spans="1:4" ht="54">
      <c r="A103" s="798">
        <v>97121</v>
      </c>
      <c r="B103" s="799" t="s">
        <v>3114</v>
      </c>
      <c r="C103" s="798" t="s">
        <v>14</v>
      </c>
      <c r="D103" s="800">
        <v>1.44</v>
      </c>
    </row>
    <row r="104" spans="1:4" ht="54">
      <c r="A104" s="798">
        <v>97122</v>
      </c>
      <c r="B104" s="799" t="s">
        <v>3115</v>
      </c>
      <c r="C104" s="798" t="s">
        <v>14</v>
      </c>
      <c r="D104" s="800">
        <v>2.0299999999999998</v>
      </c>
    </row>
    <row r="105" spans="1:4" ht="54">
      <c r="A105" s="798">
        <v>97123</v>
      </c>
      <c r="B105" s="799" t="s">
        <v>3116</v>
      </c>
      <c r="C105" s="798" t="s">
        <v>14</v>
      </c>
      <c r="D105" s="800">
        <v>2.58</v>
      </c>
    </row>
    <row r="106" spans="1:4" ht="54">
      <c r="A106" s="798">
        <v>97124</v>
      </c>
      <c r="B106" s="799" t="s">
        <v>3117</v>
      </c>
      <c r="C106" s="798" t="s">
        <v>14</v>
      </c>
      <c r="D106" s="800">
        <v>0.66</v>
      </c>
    </row>
    <row r="107" spans="1:4" ht="54">
      <c r="A107" s="798">
        <v>97125</v>
      </c>
      <c r="B107" s="799" t="s">
        <v>3118</v>
      </c>
      <c r="C107" s="798" t="s">
        <v>14</v>
      </c>
      <c r="D107" s="800">
        <v>0.97</v>
      </c>
    </row>
    <row r="108" spans="1:4" ht="54">
      <c r="A108" s="798">
        <v>97126</v>
      </c>
      <c r="B108" s="799" t="s">
        <v>3119</v>
      </c>
      <c r="C108" s="798" t="s">
        <v>14</v>
      </c>
      <c r="D108" s="800">
        <v>1.24</v>
      </c>
    </row>
    <row r="109" spans="1:4" ht="40.5">
      <c r="A109" s="798">
        <v>102264</v>
      </c>
      <c r="B109" s="799" t="s">
        <v>6223</v>
      </c>
      <c r="C109" s="798" t="s">
        <v>14</v>
      </c>
      <c r="D109" s="800">
        <v>22.62</v>
      </c>
    </row>
    <row r="110" spans="1:4" ht="40.5">
      <c r="A110" s="798">
        <v>102265</v>
      </c>
      <c r="B110" s="799" t="s">
        <v>6224</v>
      </c>
      <c r="C110" s="798" t="s">
        <v>24</v>
      </c>
      <c r="D110" s="800">
        <v>71.58</v>
      </c>
    </row>
    <row r="111" spans="1:4" ht="40.5">
      <c r="A111" s="798">
        <v>102266</v>
      </c>
      <c r="B111" s="799" t="s">
        <v>6225</v>
      </c>
      <c r="C111" s="798" t="s">
        <v>24</v>
      </c>
      <c r="D111" s="800">
        <v>79.39</v>
      </c>
    </row>
    <row r="112" spans="1:4" ht="40.5">
      <c r="A112" s="798">
        <v>102267</v>
      </c>
      <c r="B112" s="799" t="s">
        <v>6226</v>
      </c>
      <c r="C112" s="798" t="s">
        <v>24</v>
      </c>
      <c r="D112" s="800">
        <v>91.17</v>
      </c>
    </row>
    <row r="113" spans="1:4" ht="40.5">
      <c r="A113" s="798">
        <v>102268</v>
      </c>
      <c r="B113" s="799" t="s">
        <v>6227</v>
      </c>
      <c r="C113" s="798" t="s">
        <v>24</v>
      </c>
      <c r="D113" s="800">
        <v>102.9</v>
      </c>
    </row>
    <row r="114" spans="1:4" ht="40.5">
      <c r="A114" s="798">
        <v>102269</v>
      </c>
      <c r="B114" s="799" t="s">
        <v>6228</v>
      </c>
      <c r="C114" s="798" t="s">
        <v>24</v>
      </c>
      <c r="D114" s="800">
        <v>126.35</v>
      </c>
    </row>
    <row r="115" spans="1:4" ht="54">
      <c r="A115" s="798">
        <v>92833</v>
      </c>
      <c r="B115" s="799" t="s">
        <v>2084</v>
      </c>
      <c r="C115" s="798" t="s">
        <v>14</v>
      </c>
      <c r="D115" s="800">
        <v>190.28</v>
      </c>
    </row>
    <row r="116" spans="1:4" ht="54">
      <c r="A116" s="798">
        <v>92834</v>
      </c>
      <c r="B116" s="799" t="s">
        <v>2085</v>
      </c>
      <c r="C116" s="798" t="s">
        <v>14</v>
      </c>
      <c r="D116" s="800">
        <v>7.17</v>
      </c>
    </row>
    <row r="117" spans="1:4" ht="54">
      <c r="A117" s="798">
        <v>92835</v>
      </c>
      <c r="B117" s="799" t="s">
        <v>2086</v>
      </c>
      <c r="C117" s="798" t="s">
        <v>14</v>
      </c>
      <c r="D117" s="800">
        <v>199.95</v>
      </c>
    </row>
    <row r="118" spans="1:4" ht="54">
      <c r="A118" s="798">
        <v>92836</v>
      </c>
      <c r="B118" s="799" t="s">
        <v>2087</v>
      </c>
      <c r="C118" s="798" t="s">
        <v>14</v>
      </c>
      <c r="D118" s="800">
        <v>9.17</v>
      </c>
    </row>
    <row r="119" spans="1:4" ht="54">
      <c r="A119" s="798">
        <v>92837</v>
      </c>
      <c r="B119" s="799" t="s">
        <v>2088</v>
      </c>
      <c r="C119" s="798" t="s">
        <v>14</v>
      </c>
      <c r="D119" s="800">
        <v>350.04</v>
      </c>
    </row>
    <row r="120" spans="1:4" ht="54">
      <c r="A120" s="798">
        <v>92838</v>
      </c>
      <c r="B120" s="799" t="s">
        <v>2089</v>
      </c>
      <c r="C120" s="798" t="s">
        <v>14</v>
      </c>
      <c r="D120" s="800">
        <v>10.99</v>
      </c>
    </row>
    <row r="121" spans="1:4" ht="54">
      <c r="A121" s="798">
        <v>92839</v>
      </c>
      <c r="B121" s="799" t="s">
        <v>2090</v>
      </c>
      <c r="C121" s="798" t="s">
        <v>14</v>
      </c>
      <c r="D121" s="800">
        <v>428.03</v>
      </c>
    </row>
    <row r="122" spans="1:4" ht="54">
      <c r="A122" s="798">
        <v>92840</v>
      </c>
      <c r="B122" s="799" t="s">
        <v>2091</v>
      </c>
      <c r="C122" s="798" t="s">
        <v>14</v>
      </c>
      <c r="D122" s="800">
        <v>13.05</v>
      </c>
    </row>
    <row r="123" spans="1:4" ht="54">
      <c r="A123" s="798">
        <v>92841</v>
      </c>
      <c r="B123" s="799" t="s">
        <v>2092</v>
      </c>
      <c r="C123" s="798" t="s">
        <v>14</v>
      </c>
      <c r="D123" s="800">
        <v>558.67999999999995</v>
      </c>
    </row>
    <row r="124" spans="1:4" ht="54">
      <c r="A124" s="798">
        <v>92842</v>
      </c>
      <c r="B124" s="799" t="s">
        <v>2093</v>
      </c>
      <c r="C124" s="798" t="s">
        <v>14</v>
      </c>
      <c r="D124" s="800">
        <v>14.89</v>
      </c>
    </row>
    <row r="125" spans="1:4" ht="54">
      <c r="A125" s="798">
        <v>92843</v>
      </c>
      <c r="B125" s="799" t="s">
        <v>5170</v>
      </c>
      <c r="C125" s="798" t="s">
        <v>14</v>
      </c>
      <c r="D125" s="800">
        <v>581.53</v>
      </c>
    </row>
    <row r="126" spans="1:4" ht="54">
      <c r="A126" s="798">
        <v>92844</v>
      </c>
      <c r="B126" s="799" t="s">
        <v>2094</v>
      </c>
      <c r="C126" s="798" t="s">
        <v>14</v>
      </c>
      <c r="D126" s="800">
        <v>16.940000000000001</v>
      </c>
    </row>
    <row r="127" spans="1:4" ht="54">
      <c r="A127" s="798">
        <v>92845</v>
      </c>
      <c r="B127" s="799" t="s">
        <v>5171</v>
      </c>
      <c r="C127" s="798" t="s">
        <v>14</v>
      </c>
      <c r="D127" s="800">
        <v>856.83</v>
      </c>
    </row>
    <row r="128" spans="1:4" ht="54">
      <c r="A128" s="798">
        <v>92846</v>
      </c>
      <c r="B128" s="799" t="s">
        <v>2095</v>
      </c>
      <c r="C128" s="798" t="s">
        <v>14</v>
      </c>
      <c r="D128" s="800">
        <v>18.75</v>
      </c>
    </row>
    <row r="129" spans="1:4" ht="54">
      <c r="A129" s="798">
        <v>92847</v>
      </c>
      <c r="B129" s="799" t="s">
        <v>2096</v>
      </c>
      <c r="C129" s="798" t="s">
        <v>14</v>
      </c>
      <c r="D129" s="800">
        <v>884.7</v>
      </c>
    </row>
    <row r="130" spans="1:4" ht="54">
      <c r="A130" s="798">
        <v>92848</v>
      </c>
      <c r="B130" s="799" t="s">
        <v>2097</v>
      </c>
      <c r="C130" s="798" t="s">
        <v>14</v>
      </c>
      <c r="D130" s="800">
        <v>20.83</v>
      </c>
    </row>
    <row r="131" spans="1:4" ht="54">
      <c r="A131" s="798">
        <v>92849</v>
      </c>
      <c r="B131" s="799" t="s">
        <v>2098</v>
      </c>
      <c r="C131" s="798" t="s">
        <v>14</v>
      </c>
      <c r="D131" s="800">
        <v>196.63</v>
      </c>
    </row>
    <row r="132" spans="1:4" ht="54">
      <c r="A132" s="798">
        <v>92850</v>
      </c>
      <c r="B132" s="799" t="s">
        <v>2099</v>
      </c>
      <c r="C132" s="798" t="s">
        <v>14</v>
      </c>
      <c r="D132" s="800">
        <v>13.6</v>
      </c>
    </row>
    <row r="133" spans="1:4" ht="54">
      <c r="A133" s="798">
        <v>92851</v>
      </c>
      <c r="B133" s="799" t="s">
        <v>2100</v>
      </c>
      <c r="C133" s="798" t="s">
        <v>14</v>
      </c>
      <c r="D133" s="800">
        <v>207.83</v>
      </c>
    </row>
    <row r="134" spans="1:4" ht="54">
      <c r="A134" s="798">
        <v>92852</v>
      </c>
      <c r="B134" s="799" t="s">
        <v>2101</v>
      </c>
      <c r="C134" s="798" t="s">
        <v>14</v>
      </c>
      <c r="D134" s="800">
        <v>17.149999999999999</v>
      </c>
    </row>
    <row r="135" spans="1:4" ht="54">
      <c r="A135" s="798">
        <v>92853</v>
      </c>
      <c r="B135" s="799" t="s">
        <v>2102</v>
      </c>
      <c r="C135" s="798" t="s">
        <v>14</v>
      </c>
      <c r="D135" s="800">
        <v>359.82</v>
      </c>
    </row>
    <row r="136" spans="1:4" ht="54">
      <c r="A136" s="798">
        <v>92854</v>
      </c>
      <c r="B136" s="799" t="s">
        <v>2103</v>
      </c>
      <c r="C136" s="798" t="s">
        <v>14</v>
      </c>
      <c r="D136" s="800">
        <v>20.89</v>
      </c>
    </row>
    <row r="137" spans="1:4" ht="54">
      <c r="A137" s="798">
        <v>92855</v>
      </c>
      <c r="B137" s="799" t="s">
        <v>2104</v>
      </c>
      <c r="C137" s="798" t="s">
        <v>14</v>
      </c>
      <c r="D137" s="800">
        <v>439.47</v>
      </c>
    </row>
    <row r="138" spans="1:4" ht="54">
      <c r="A138" s="798">
        <v>92856</v>
      </c>
      <c r="B138" s="799" t="s">
        <v>2105</v>
      </c>
      <c r="C138" s="798" t="s">
        <v>14</v>
      </c>
      <c r="D138" s="800">
        <v>24.63</v>
      </c>
    </row>
    <row r="139" spans="1:4" ht="54">
      <c r="A139" s="798">
        <v>92857</v>
      </c>
      <c r="B139" s="799" t="s">
        <v>2106</v>
      </c>
      <c r="C139" s="798" t="s">
        <v>14</v>
      </c>
      <c r="D139" s="800">
        <v>571.79</v>
      </c>
    </row>
    <row r="140" spans="1:4" ht="54">
      <c r="A140" s="798">
        <v>92858</v>
      </c>
      <c r="B140" s="799" t="s">
        <v>2107</v>
      </c>
      <c r="C140" s="798" t="s">
        <v>14</v>
      </c>
      <c r="D140" s="800">
        <v>28.16</v>
      </c>
    </row>
    <row r="141" spans="1:4" ht="54">
      <c r="A141" s="798">
        <v>92859</v>
      </c>
      <c r="B141" s="799" t="s">
        <v>5172</v>
      </c>
      <c r="C141" s="798" t="s">
        <v>14</v>
      </c>
      <c r="D141" s="800">
        <v>596.58000000000004</v>
      </c>
    </row>
    <row r="142" spans="1:4" ht="54">
      <c r="A142" s="798">
        <v>92860</v>
      </c>
      <c r="B142" s="799" t="s">
        <v>2108</v>
      </c>
      <c r="C142" s="798" t="s">
        <v>14</v>
      </c>
      <c r="D142" s="800">
        <v>31.99</v>
      </c>
    </row>
    <row r="143" spans="1:4" ht="54">
      <c r="A143" s="798">
        <v>92861</v>
      </c>
      <c r="B143" s="799" t="s">
        <v>5173</v>
      </c>
      <c r="C143" s="798" t="s">
        <v>14</v>
      </c>
      <c r="D143" s="800">
        <v>873.8</v>
      </c>
    </row>
    <row r="144" spans="1:4" ht="54">
      <c r="A144" s="798">
        <v>92862</v>
      </c>
      <c r="B144" s="799" t="s">
        <v>2109</v>
      </c>
      <c r="C144" s="798" t="s">
        <v>14</v>
      </c>
      <c r="D144" s="800">
        <v>35.72</v>
      </c>
    </row>
    <row r="145" spans="1:4" ht="54">
      <c r="A145" s="798">
        <v>92863</v>
      </c>
      <c r="B145" s="799" t="s">
        <v>2110</v>
      </c>
      <c r="C145" s="798" t="s">
        <v>14</v>
      </c>
      <c r="D145" s="800">
        <v>903.11</v>
      </c>
    </row>
    <row r="146" spans="1:4" ht="54">
      <c r="A146" s="798">
        <v>92864</v>
      </c>
      <c r="B146" s="799" t="s">
        <v>2111</v>
      </c>
      <c r="C146" s="798" t="s">
        <v>14</v>
      </c>
      <c r="D146" s="800">
        <v>39.46</v>
      </c>
    </row>
    <row r="147" spans="1:4" ht="54">
      <c r="A147" s="798">
        <v>92210</v>
      </c>
      <c r="B147" s="799" t="s">
        <v>1947</v>
      </c>
      <c r="C147" s="798" t="s">
        <v>14</v>
      </c>
      <c r="D147" s="800">
        <v>145.97</v>
      </c>
    </row>
    <row r="148" spans="1:4" ht="54">
      <c r="A148" s="798">
        <v>92211</v>
      </c>
      <c r="B148" s="799" t="s">
        <v>1948</v>
      </c>
      <c r="C148" s="798" t="s">
        <v>14</v>
      </c>
      <c r="D148" s="800">
        <v>175.4</v>
      </c>
    </row>
    <row r="149" spans="1:4" ht="54">
      <c r="A149" s="798">
        <v>92212</v>
      </c>
      <c r="B149" s="799" t="s">
        <v>1949</v>
      </c>
      <c r="C149" s="798" t="s">
        <v>14</v>
      </c>
      <c r="D149" s="800">
        <v>262.39</v>
      </c>
    </row>
    <row r="150" spans="1:4" ht="54">
      <c r="A150" s="798">
        <v>92213</v>
      </c>
      <c r="B150" s="799" t="s">
        <v>1950</v>
      </c>
      <c r="C150" s="798" t="s">
        <v>14</v>
      </c>
      <c r="D150" s="800">
        <v>345.28</v>
      </c>
    </row>
    <row r="151" spans="1:4" ht="54">
      <c r="A151" s="798">
        <v>92214</v>
      </c>
      <c r="B151" s="799" t="s">
        <v>1951</v>
      </c>
      <c r="C151" s="798" t="s">
        <v>14</v>
      </c>
      <c r="D151" s="800">
        <v>417.51</v>
      </c>
    </row>
    <row r="152" spans="1:4" ht="54">
      <c r="A152" s="798">
        <v>92215</v>
      </c>
      <c r="B152" s="799" t="s">
        <v>1952</v>
      </c>
      <c r="C152" s="798" t="s">
        <v>14</v>
      </c>
      <c r="D152" s="800">
        <v>479.65</v>
      </c>
    </row>
    <row r="153" spans="1:4" ht="54">
      <c r="A153" s="798">
        <v>92216</v>
      </c>
      <c r="B153" s="799" t="s">
        <v>1953</v>
      </c>
      <c r="C153" s="798" t="s">
        <v>14</v>
      </c>
      <c r="D153" s="800">
        <v>501.36</v>
      </c>
    </row>
    <row r="154" spans="1:4" ht="54">
      <c r="A154" s="798">
        <v>92219</v>
      </c>
      <c r="B154" s="799" t="s">
        <v>1954</v>
      </c>
      <c r="C154" s="798" t="s">
        <v>14</v>
      </c>
      <c r="D154" s="800">
        <v>153.94</v>
      </c>
    </row>
    <row r="155" spans="1:4" ht="54">
      <c r="A155" s="798">
        <v>92220</v>
      </c>
      <c r="B155" s="799" t="s">
        <v>1955</v>
      </c>
      <c r="C155" s="798" t="s">
        <v>14</v>
      </c>
      <c r="D155" s="800">
        <v>185.28</v>
      </c>
    </row>
    <row r="156" spans="1:4" ht="54">
      <c r="A156" s="798">
        <v>92221</v>
      </c>
      <c r="B156" s="799" t="s">
        <v>1956</v>
      </c>
      <c r="C156" s="798" t="s">
        <v>14</v>
      </c>
      <c r="D156" s="800">
        <v>273.97000000000003</v>
      </c>
    </row>
    <row r="157" spans="1:4" ht="54">
      <c r="A157" s="798">
        <v>92222</v>
      </c>
      <c r="B157" s="799" t="s">
        <v>1957</v>
      </c>
      <c r="C157" s="798" t="s">
        <v>14</v>
      </c>
      <c r="D157" s="800">
        <v>358.78</v>
      </c>
    </row>
    <row r="158" spans="1:4" ht="54">
      <c r="A158" s="798">
        <v>92223</v>
      </c>
      <c r="B158" s="799" t="s">
        <v>1958</v>
      </c>
      <c r="C158" s="798" t="s">
        <v>14</v>
      </c>
      <c r="D158" s="800">
        <v>432.57</v>
      </c>
    </row>
    <row r="159" spans="1:4" ht="54">
      <c r="A159" s="798">
        <v>92224</v>
      </c>
      <c r="B159" s="799" t="s">
        <v>1959</v>
      </c>
      <c r="C159" s="798" t="s">
        <v>14</v>
      </c>
      <c r="D159" s="800">
        <v>496.36</v>
      </c>
    </row>
    <row r="160" spans="1:4" ht="54">
      <c r="A160" s="798">
        <v>92226</v>
      </c>
      <c r="B160" s="799" t="s">
        <v>1960</v>
      </c>
      <c r="C160" s="798" t="s">
        <v>14</v>
      </c>
      <c r="D160" s="800">
        <v>520.07000000000005</v>
      </c>
    </row>
    <row r="161" spans="1:4" ht="54">
      <c r="A161" s="798">
        <v>92808</v>
      </c>
      <c r="B161" s="799" t="s">
        <v>2060</v>
      </c>
      <c r="C161" s="798" t="s">
        <v>14</v>
      </c>
      <c r="D161" s="800">
        <v>32.42</v>
      </c>
    </row>
    <row r="162" spans="1:4" ht="54">
      <c r="A162" s="798">
        <v>92809</v>
      </c>
      <c r="B162" s="799" t="s">
        <v>2061</v>
      </c>
      <c r="C162" s="798" t="s">
        <v>14</v>
      </c>
      <c r="D162" s="800">
        <v>41.65</v>
      </c>
    </row>
    <row r="163" spans="1:4" ht="54">
      <c r="A163" s="798">
        <v>92810</v>
      </c>
      <c r="B163" s="799" t="s">
        <v>2062</v>
      </c>
      <c r="C163" s="798" t="s">
        <v>14</v>
      </c>
      <c r="D163" s="800">
        <v>50.72</v>
      </c>
    </row>
    <row r="164" spans="1:4" ht="54">
      <c r="A164" s="798">
        <v>92811</v>
      </c>
      <c r="B164" s="799" t="s">
        <v>2063</v>
      </c>
      <c r="C164" s="798" t="s">
        <v>14</v>
      </c>
      <c r="D164" s="800">
        <v>60.51</v>
      </c>
    </row>
    <row r="165" spans="1:4" ht="54">
      <c r="A165" s="798">
        <v>92812</v>
      </c>
      <c r="B165" s="799" t="s">
        <v>2064</v>
      </c>
      <c r="C165" s="798" t="s">
        <v>14</v>
      </c>
      <c r="D165" s="800">
        <v>70.12</v>
      </c>
    </row>
    <row r="166" spans="1:4" ht="54">
      <c r="A166" s="798">
        <v>92813</v>
      </c>
      <c r="B166" s="799" t="s">
        <v>2065</v>
      </c>
      <c r="C166" s="798" t="s">
        <v>14</v>
      </c>
      <c r="D166" s="800">
        <v>81.62</v>
      </c>
    </row>
    <row r="167" spans="1:4" ht="54">
      <c r="A167" s="798">
        <v>92814</v>
      </c>
      <c r="B167" s="799" t="s">
        <v>2066</v>
      </c>
      <c r="C167" s="798" t="s">
        <v>14</v>
      </c>
      <c r="D167" s="800">
        <v>93.71</v>
      </c>
    </row>
    <row r="168" spans="1:4" ht="54">
      <c r="A168" s="798">
        <v>92815</v>
      </c>
      <c r="B168" s="799" t="s">
        <v>2067</v>
      </c>
      <c r="C168" s="798" t="s">
        <v>14</v>
      </c>
      <c r="D168" s="800">
        <v>107.79</v>
      </c>
    </row>
    <row r="169" spans="1:4" ht="54">
      <c r="A169" s="798">
        <v>92816</v>
      </c>
      <c r="B169" s="799" t="s">
        <v>2068</v>
      </c>
      <c r="C169" s="798" t="s">
        <v>14</v>
      </c>
      <c r="D169" s="800">
        <v>722.7</v>
      </c>
    </row>
    <row r="170" spans="1:4" ht="54">
      <c r="A170" s="798">
        <v>92817</v>
      </c>
      <c r="B170" s="799" t="s">
        <v>2069</v>
      </c>
      <c r="C170" s="798" t="s">
        <v>14</v>
      </c>
      <c r="D170" s="800">
        <v>134.88</v>
      </c>
    </row>
    <row r="171" spans="1:4" ht="54">
      <c r="A171" s="798">
        <v>92818</v>
      </c>
      <c r="B171" s="799" t="s">
        <v>2070</v>
      </c>
      <c r="C171" s="798" t="s">
        <v>14</v>
      </c>
      <c r="D171" s="800">
        <v>1033.18</v>
      </c>
    </row>
    <row r="172" spans="1:4" ht="54">
      <c r="A172" s="798">
        <v>92819</v>
      </c>
      <c r="B172" s="799" t="s">
        <v>2071</v>
      </c>
      <c r="C172" s="798" t="s">
        <v>14</v>
      </c>
      <c r="D172" s="800">
        <v>181.56</v>
      </c>
    </row>
    <row r="173" spans="1:4" ht="54">
      <c r="A173" s="798">
        <v>92820</v>
      </c>
      <c r="B173" s="799" t="s">
        <v>2072</v>
      </c>
      <c r="C173" s="798" t="s">
        <v>14</v>
      </c>
      <c r="D173" s="800">
        <v>38.65</v>
      </c>
    </row>
    <row r="174" spans="1:4" ht="54">
      <c r="A174" s="798">
        <v>92821</v>
      </c>
      <c r="B174" s="799" t="s">
        <v>2073</v>
      </c>
      <c r="C174" s="798" t="s">
        <v>14</v>
      </c>
      <c r="D174" s="800">
        <v>49.62</v>
      </c>
    </row>
    <row r="175" spans="1:4" ht="54">
      <c r="A175" s="798">
        <v>92822</v>
      </c>
      <c r="B175" s="799" t="s">
        <v>2074</v>
      </c>
      <c r="C175" s="798" t="s">
        <v>14</v>
      </c>
      <c r="D175" s="800">
        <v>60.6</v>
      </c>
    </row>
    <row r="176" spans="1:4" ht="54">
      <c r="A176" s="798">
        <v>92824</v>
      </c>
      <c r="B176" s="799" t="s">
        <v>2075</v>
      </c>
      <c r="C176" s="798" t="s">
        <v>14</v>
      </c>
      <c r="D176" s="800">
        <v>72.09</v>
      </c>
    </row>
    <row r="177" spans="1:4" ht="54">
      <c r="A177" s="798">
        <v>92825</v>
      </c>
      <c r="B177" s="799" t="s">
        <v>2076</v>
      </c>
      <c r="C177" s="798" t="s">
        <v>14</v>
      </c>
      <c r="D177" s="800">
        <v>83.62</v>
      </c>
    </row>
    <row r="178" spans="1:4" ht="54">
      <c r="A178" s="798">
        <v>92826</v>
      </c>
      <c r="B178" s="799" t="s">
        <v>2077</v>
      </c>
      <c r="C178" s="798" t="s">
        <v>14</v>
      </c>
      <c r="D178" s="800">
        <v>96.68</v>
      </c>
    </row>
    <row r="179" spans="1:4" ht="54">
      <c r="A179" s="798">
        <v>92827</v>
      </c>
      <c r="B179" s="799" t="s">
        <v>2078</v>
      </c>
      <c r="C179" s="798" t="s">
        <v>14</v>
      </c>
      <c r="D179" s="800">
        <v>110.42</v>
      </c>
    </row>
    <row r="180" spans="1:4" ht="54">
      <c r="A180" s="798">
        <v>92828</v>
      </c>
      <c r="B180" s="799" t="s">
        <v>2079</v>
      </c>
      <c r="C180" s="798" t="s">
        <v>14</v>
      </c>
      <c r="D180" s="800">
        <v>126.5</v>
      </c>
    </row>
    <row r="181" spans="1:4" ht="54">
      <c r="A181" s="798">
        <v>92829</v>
      </c>
      <c r="B181" s="799" t="s">
        <v>2080</v>
      </c>
      <c r="C181" s="798" t="s">
        <v>14</v>
      </c>
      <c r="D181" s="800">
        <v>744.75</v>
      </c>
    </row>
    <row r="182" spans="1:4" ht="54">
      <c r="A182" s="798">
        <v>92830</v>
      </c>
      <c r="B182" s="799" t="s">
        <v>2081</v>
      </c>
      <c r="C182" s="798" t="s">
        <v>14</v>
      </c>
      <c r="D182" s="800">
        <v>156.93</v>
      </c>
    </row>
    <row r="183" spans="1:4" ht="54">
      <c r="A183" s="798">
        <v>92831</v>
      </c>
      <c r="B183" s="799" t="s">
        <v>2082</v>
      </c>
      <c r="C183" s="798" t="s">
        <v>14</v>
      </c>
      <c r="D183" s="800">
        <v>1060.23</v>
      </c>
    </row>
    <row r="184" spans="1:4" ht="54">
      <c r="A184" s="798">
        <v>92832</v>
      </c>
      <c r="B184" s="799" t="s">
        <v>2083</v>
      </c>
      <c r="C184" s="798" t="s">
        <v>14</v>
      </c>
      <c r="D184" s="800">
        <v>208.61</v>
      </c>
    </row>
    <row r="185" spans="1:4" ht="54">
      <c r="A185" s="798">
        <v>95565</v>
      </c>
      <c r="B185" s="799" t="s">
        <v>2612</v>
      </c>
      <c r="C185" s="798" t="s">
        <v>14</v>
      </c>
      <c r="D185" s="800">
        <v>124.49</v>
      </c>
    </row>
    <row r="186" spans="1:4" ht="54">
      <c r="A186" s="798">
        <v>95566</v>
      </c>
      <c r="B186" s="799" t="s">
        <v>2613</v>
      </c>
      <c r="C186" s="798" t="s">
        <v>14</v>
      </c>
      <c r="D186" s="800">
        <v>130.63999999999999</v>
      </c>
    </row>
    <row r="187" spans="1:4" ht="54">
      <c r="A187" s="798">
        <v>95567</v>
      </c>
      <c r="B187" s="799" t="s">
        <v>2614</v>
      </c>
      <c r="C187" s="798" t="s">
        <v>14</v>
      </c>
      <c r="D187" s="800">
        <v>75.28</v>
      </c>
    </row>
    <row r="188" spans="1:4" ht="54">
      <c r="A188" s="798">
        <v>95568</v>
      </c>
      <c r="B188" s="799" t="s">
        <v>2615</v>
      </c>
      <c r="C188" s="798" t="s">
        <v>14</v>
      </c>
      <c r="D188" s="800">
        <v>92.27</v>
      </c>
    </row>
    <row r="189" spans="1:4" ht="54">
      <c r="A189" s="798">
        <v>95569</v>
      </c>
      <c r="B189" s="799" t="s">
        <v>2616</v>
      </c>
      <c r="C189" s="798" t="s">
        <v>14</v>
      </c>
      <c r="D189" s="800">
        <v>126.19</v>
      </c>
    </row>
    <row r="190" spans="1:4" ht="54">
      <c r="A190" s="798">
        <v>95570</v>
      </c>
      <c r="B190" s="799" t="s">
        <v>2617</v>
      </c>
      <c r="C190" s="798" t="s">
        <v>14</v>
      </c>
      <c r="D190" s="800">
        <v>81.430000000000007</v>
      </c>
    </row>
    <row r="191" spans="1:4" ht="54">
      <c r="A191" s="798">
        <v>95571</v>
      </c>
      <c r="B191" s="799" t="s">
        <v>2618</v>
      </c>
      <c r="C191" s="798" t="s">
        <v>14</v>
      </c>
      <c r="D191" s="800">
        <v>100.14</v>
      </c>
    </row>
    <row r="192" spans="1:4" ht="54">
      <c r="A192" s="798">
        <v>95572</v>
      </c>
      <c r="B192" s="799" t="s">
        <v>2619</v>
      </c>
      <c r="C192" s="798" t="s">
        <v>14</v>
      </c>
      <c r="D192" s="800">
        <v>135.96</v>
      </c>
    </row>
    <row r="193" spans="1:4" ht="54">
      <c r="A193" s="798">
        <v>97127</v>
      </c>
      <c r="B193" s="799" t="s">
        <v>3120</v>
      </c>
      <c r="C193" s="798" t="s">
        <v>14</v>
      </c>
      <c r="D193" s="800">
        <v>3.71</v>
      </c>
    </row>
    <row r="194" spans="1:4" ht="54">
      <c r="A194" s="798">
        <v>97128</v>
      </c>
      <c r="B194" s="799" t="s">
        <v>3121</v>
      </c>
      <c r="C194" s="798" t="s">
        <v>14</v>
      </c>
      <c r="D194" s="800">
        <v>7.47</v>
      </c>
    </row>
    <row r="195" spans="1:4" ht="54">
      <c r="A195" s="798">
        <v>97129</v>
      </c>
      <c r="B195" s="799" t="s">
        <v>3122</v>
      </c>
      <c r="C195" s="798" t="s">
        <v>14</v>
      </c>
      <c r="D195" s="800">
        <v>9.1999999999999993</v>
      </c>
    </row>
    <row r="196" spans="1:4" ht="54">
      <c r="A196" s="798">
        <v>97130</v>
      </c>
      <c r="B196" s="799" t="s">
        <v>3123</v>
      </c>
      <c r="C196" s="798" t="s">
        <v>14</v>
      </c>
      <c r="D196" s="800">
        <v>10.91</v>
      </c>
    </row>
    <row r="197" spans="1:4" ht="54">
      <c r="A197" s="798">
        <v>97131</v>
      </c>
      <c r="B197" s="799" t="s">
        <v>3124</v>
      </c>
      <c r="C197" s="798" t="s">
        <v>14</v>
      </c>
      <c r="D197" s="800">
        <v>12.63</v>
      </c>
    </row>
    <row r="198" spans="1:4" ht="54">
      <c r="A198" s="798">
        <v>97132</v>
      </c>
      <c r="B198" s="799" t="s">
        <v>3125</v>
      </c>
      <c r="C198" s="798" t="s">
        <v>14</v>
      </c>
      <c r="D198" s="800">
        <v>14.33</v>
      </c>
    </row>
    <row r="199" spans="1:4" ht="54">
      <c r="A199" s="798">
        <v>97133</v>
      </c>
      <c r="B199" s="799" t="s">
        <v>3126</v>
      </c>
      <c r="C199" s="798" t="s">
        <v>14</v>
      </c>
      <c r="D199" s="800">
        <v>17.760000000000002</v>
      </c>
    </row>
    <row r="200" spans="1:4" ht="54">
      <c r="A200" s="798">
        <v>97134</v>
      </c>
      <c r="B200" s="799" t="s">
        <v>3127</v>
      </c>
      <c r="C200" s="798" t="s">
        <v>14</v>
      </c>
      <c r="D200" s="800">
        <v>1.8</v>
      </c>
    </row>
    <row r="201" spans="1:4" ht="54">
      <c r="A201" s="798">
        <v>97135</v>
      </c>
      <c r="B201" s="799" t="s">
        <v>3128</v>
      </c>
      <c r="C201" s="798" t="s">
        <v>14</v>
      </c>
      <c r="D201" s="800">
        <v>4</v>
      </c>
    </row>
    <row r="202" spans="1:4" ht="54">
      <c r="A202" s="798">
        <v>97136</v>
      </c>
      <c r="B202" s="799" t="s">
        <v>3129</v>
      </c>
      <c r="C202" s="798" t="s">
        <v>14</v>
      </c>
      <c r="D202" s="800">
        <v>4.92</v>
      </c>
    </row>
    <row r="203" spans="1:4" ht="54">
      <c r="A203" s="798">
        <v>97137</v>
      </c>
      <c r="B203" s="799" t="s">
        <v>3130</v>
      </c>
      <c r="C203" s="798" t="s">
        <v>14</v>
      </c>
      <c r="D203" s="800">
        <v>5.85</v>
      </c>
    </row>
    <row r="204" spans="1:4" ht="54">
      <c r="A204" s="798">
        <v>97138</v>
      </c>
      <c r="B204" s="799" t="s">
        <v>3131</v>
      </c>
      <c r="C204" s="798" t="s">
        <v>14</v>
      </c>
      <c r="D204" s="800">
        <v>6.76</v>
      </c>
    </row>
    <row r="205" spans="1:4" ht="54">
      <c r="A205" s="798">
        <v>97139</v>
      </c>
      <c r="B205" s="799" t="s">
        <v>3132</v>
      </c>
      <c r="C205" s="798" t="s">
        <v>14</v>
      </c>
      <c r="D205" s="800">
        <v>7.67</v>
      </c>
    </row>
    <row r="206" spans="1:4" ht="54">
      <c r="A206" s="798">
        <v>97140</v>
      </c>
      <c r="B206" s="799" t="s">
        <v>3133</v>
      </c>
      <c r="C206" s="798" t="s">
        <v>14</v>
      </c>
      <c r="D206" s="800">
        <v>9.52</v>
      </c>
    </row>
    <row r="207" spans="1:4" ht="40.5">
      <c r="A207" s="798">
        <v>103089</v>
      </c>
      <c r="B207" s="799" t="s">
        <v>7428</v>
      </c>
      <c r="C207" s="798" t="s">
        <v>14</v>
      </c>
      <c r="D207" s="800">
        <v>8.41</v>
      </c>
    </row>
    <row r="208" spans="1:4" ht="40.5">
      <c r="A208" s="798">
        <v>103090</v>
      </c>
      <c r="B208" s="799" t="s">
        <v>7429</v>
      </c>
      <c r="C208" s="798" t="s">
        <v>14</v>
      </c>
      <c r="D208" s="800">
        <v>10.050000000000001</v>
      </c>
    </row>
    <row r="209" spans="1:4" ht="40.5">
      <c r="A209" s="798">
        <v>103091</v>
      </c>
      <c r="B209" s="799" t="s">
        <v>7430</v>
      </c>
      <c r="C209" s="798" t="s">
        <v>14</v>
      </c>
      <c r="D209" s="800">
        <v>14.1</v>
      </c>
    </row>
    <row r="210" spans="1:4" ht="40.5">
      <c r="A210" s="798">
        <v>103092</v>
      </c>
      <c r="B210" s="799" t="s">
        <v>7431</v>
      </c>
      <c r="C210" s="798" t="s">
        <v>14</v>
      </c>
      <c r="D210" s="800">
        <v>18.18</v>
      </c>
    </row>
    <row r="211" spans="1:4" ht="40.5">
      <c r="A211" s="798">
        <v>103093</v>
      </c>
      <c r="B211" s="799" t="s">
        <v>7432</v>
      </c>
      <c r="C211" s="798" t="s">
        <v>14</v>
      </c>
      <c r="D211" s="800">
        <v>27.79</v>
      </c>
    </row>
    <row r="212" spans="1:4" ht="40.5">
      <c r="A212" s="798">
        <v>103094</v>
      </c>
      <c r="B212" s="799" t="s">
        <v>7433</v>
      </c>
      <c r="C212" s="798" t="s">
        <v>14</v>
      </c>
      <c r="D212" s="800">
        <v>31.88</v>
      </c>
    </row>
    <row r="213" spans="1:4" ht="40.5">
      <c r="A213" s="798">
        <v>103095</v>
      </c>
      <c r="B213" s="799" t="s">
        <v>7434</v>
      </c>
      <c r="C213" s="798" t="s">
        <v>14</v>
      </c>
      <c r="D213" s="800">
        <v>41.48</v>
      </c>
    </row>
    <row r="214" spans="1:4" ht="40.5">
      <c r="A214" s="798">
        <v>103096</v>
      </c>
      <c r="B214" s="799" t="s">
        <v>7435</v>
      </c>
      <c r="C214" s="798" t="s">
        <v>14</v>
      </c>
      <c r="D214" s="800">
        <v>45.57</v>
      </c>
    </row>
    <row r="215" spans="1:4" ht="40.5">
      <c r="A215" s="798">
        <v>103097</v>
      </c>
      <c r="B215" s="799" t="s">
        <v>7436</v>
      </c>
      <c r="C215" s="798" t="s">
        <v>14</v>
      </c>
      <c r="D215" s="800">
        <v>55.17</v>
      </c>
    </row>
    <row r="216" spans="1:4" ht="40.5">
      <c r="A216" s="798">
        <v>103098</v>
      </c>
      <c r="B216" s="799" t="s">
        <v>7437</v>
      </c>
      <c r="C216" s="798" t="s">
        <v>14</v>
      </c>
      <c r="D216" s="800">
        <v>59.25</v>
      </c>
    </row>
    <row r="217" spans="1:4" ht="40.5">
      <c r="A217" s="798">
        <v>103099</v>
      </c>
      <c r="B217" s="799" t="s">
        <v>7438</v>
      </c>
      <c r="C217" s="798" t="s">
        <v>14</v>
      </c>
      <c r="D217" s="800">
        <v>67.400000000000006</v>
      </c>
    </row>
    <row r="218" spans="1:4" ht="40.5">
      <c r="A218" s="798">
        <v>103100</v>
      </c>
      <c r="B218" s="799" t="s">
        <v>7439</v>
      </c>
      <c r="C218" s="798" t="s">
        <v>14</v>
      </c>
      <c r="D218" s="800">
        <v>71.900000000000006</v>
      </c>
    </row>
    <row r="219" spans="1:4" ht="40.5">
      <c r="A219" s="798">
        <v>103101</v>
      </c>
      <c r="B219" s="799" t="s">
        <v>7440</v>
      </c>
      <c r="C219" s="798" t="s">
        <v>14</v>
      </c>
      <c r="D219" s="800">
        <v>79.19</v>
      </c>
    </row>
    <row r="220" spans="1:4" ht="40.5">
      <c r="A220" s="798">
        <v>103102</v>
      </c>
      <c r="B220" s="799" t="s">
        <v>7441</v>
      </c>
      <c r="C220" s="798" t="s">
        <v>14</v>
      </c>
      <c r="D220" s="800">
        <v>91.18</v>
      </c>
    </row>
    <row r="221" spans="1:4" ht="40.5">
      <c r="A221" s="798">
        <v>103103</v>
      </c>
      <c r="B221" s="799" t="s">
        <v>7442</v>
      </c>
      <c r="C221" s="798" t="s">
        <v>14</v>
      </c>
      <c r="D221" s="800">
        <v>98.46</v>
      </c>
    </row>
    <row r="222" spans="1:4" ht="40.5">
      <c r="A222" s="798">
        <v>103104</v>
      </c>
      <c r="B222" s="799" t="s">
        <v>7443</v>
      </c>
      <c r="C222" s="798" t="s">
        <v>14</v>
      </c>
      <c r="D222" s="800">
        <v>117.75</v>
      </c>
    </row>
    <row r="223" spans="1:4" ht="40.5">
      <c r="A223" s="798">
        <v>103105</v>
      </c>
      <c r="B223" s="799" t="s">
        <v>7444</v>
      </c>
      <c r="C223" s="798" t="s">
        <v>24</v>
      </c>
      <c r="D223" s="800">
        <v>35.729999999999997</v>
      </c>
    </row>
    <row r="224" spans="1:4" ht="40.5">
      <c r="A224" s="798">
        <v>103106</v>
      </c>
      <c r="B224" s="799" t="s">
        <v>7445</v>
      </c>
      <c r="C224" s="798" t="s">
        <v>24</v>
      </c>
      <c r="D224" s="800">
        <v>42.58</v>
      </c>
    </row>
    <row r="225" spans="1:4" ht="40.5">
      <c r="A225" s="798">
        <v>103107</v>
      </c>
      <c r="B225" s="799" t="s">
        <v>7446</v>
      </c>
      <c r="C225" s="798" t="s">
        <v>24</v>
      </c>
      <c r="D225" s="800">
        <v>59.67</v>
      </c>
    </row>
    <row r="226" spans="1:4" ht="40.5">
      <c r="A226" s="798">
        <v>103108</v>
      </c>
      <c r="B226" s="799" t="s">
        <v>7447</v>
      </c>
      <c r="C226" s="798" t="s">
        <v>24</v>
      </c>
      <c r="D226" s="800">
        <v>76.77</v>
      </c>
    </row>
    <row r="227" spans="1:4" ht="40.5">
      <c r="A227" s="798">
        <v>103109</v>
      </c>
      <c r="B227" s="799" t="s">
        <v>7448</v>
      </c>
      <c r="C227" s="798" t="s">
        <v>24</v>
      </c>
      <c r="D227" s="800">
        <v>125.99</v>
      </c>
    </row>
    <row r="228" spans="1:4" ht="40.5">
      <c r="A228" s="798">
        <v>103110</v>
      </c>
      <c r="B228" s="799" t="s">
        <v>7449</v>
      </c>
      <c r="C228" s="798" t="s">
        <v>24</v>
      </c>
      <c r="D228" s="800">
        <v>143.07</v>
      </c>
    </row>
    <row r="229" spans="1:4" ht="40.5">
      <c r="A229" s="798">
        <v>103111</v>
      </c>
      <c r="B229" s="799" t="s">
        <v>7450</v>
      </c>
      <c r="C229" s="798" t="s">
        <v>24</v>
      </c>
      <c r="D229" s="800">
        <v>192.31</v>
      </c>
    </row>
    <row r="230" spans="1:4" ht="40.5">
      <c r="A230" s="798">
        <v>103112</v>
      </c>
      <c r="B230" s="799" t="s">
        <v>7451</v>
      </c>
      <c r="C230" s="798" t="s">
        <v>24</v>
      </c>
      <c r="D230" s="800">
        <v>209.4</v>
      </c>
    </row>
    <row r="231" spans="1:4" ht="40.5">
      <c r="A231" s="798">
        <v>103113</v>
      </c>
      <c r="B231" s="799" t="s">
        <v>7452</v>
      </c>
      <c r="C231" s="798" t="s">
        <v>24</v>
      </c>
      <c r="D231" s="800">
        <v>258.64</v>
      </c>
    </row>
    <row r="232" spans="1:4" ht="40.5">
      <c r="A232" s="798">
        <v>103114</v>
      </c>
      <c r="B232" s="799" t="s">
        <v>7453</v>
      </c>
      <c r="C232" s="798" t="s">
        <v>24</v>
      </c>
      <c r="D232" s="800">
        <v>275.72000000000003</v>
      </c>
    </row>
    <row r="233" spans="1:4" ht="40.5">
      <c r="A233" s="798">
        <v>103115</v>
      </c>
      <c r="B233" s="799" t="s">
        <v>7454</v>
      </c>
      <c r="C233" s="798" t="s">
        <v>24</v>
      </c>
      <c r="D233" s="800">
        <v>309.92</v>
      </c>
    </row>
    <row r="234" spans="1:4" ht="40.5">
      <c r="A234" s="798">
        <v>103116</v>
      </c>
      <c r="B234" s="799" t="s">
        <v>7455</v>
      </c>
      <c r="C234" s="798" t="s">
        <v>24</v>
      </c>
      <c r="D234" s="800">
        <v>376.23</v>
      </c>
    </row>
    <row r="235" spans="1:4" ht="40.5">
      <c r="A235" s="798">
        <v>103117</v>
      </c>
      <c r="B235" s="799" t="s">
        <v>7456</v>
      </c>
      <c r="C235" s="798" t="s">
        <v>24</v>
      </c>
      <c r="D235" s="800">
        <v>410.42</v>
      </c>
    </row>
    <row r="236" spans="1:4" ht="40.5">
      <c r="A236" s="798">
        <v>103118</v>
      </c>
      <c r="B236" s="799" t="s">
        <v>7457</v>
      </c>
      <c r="C236" s="798" t="s">
        <v>24</v>
      </c>
      <c r="D236" s="800">
        <v>476.75</v>
      </c>
    </row>
    <row r="237" spans="1:4" ht="40.5">
      <c r="A237" s="798">
        <v>103119</v>
      </c>
      <c r="B237" s="799" t="s">
        <v>7458</v>
      </c>
      <c r="C237" s="798" t="s">
        <v>24</v>
      </c>
      <c r="D237" s="800">
        <v>510.95</v>
      </c>
    </row>
    <row r="238" spans="1:4" ht="40.5">
      <c r="A238" s="798">
        <v>103120</v>
      </c>
      <c r="B238" s="799" t="s">
        <v>7459</v>
      </c>
      <c r="C238" s="798" t="s">
        <v>24</v>
      </c>
      <c r="D238" s="800">
        <v>611.46</v>
      </c>
    </row>
    <row r="239" spans="1:4" ht="40.5">
      <c r="A239" s="798">
        <v>103121</v>
      </c>
      <c r="B239" s="799" t="s">
        <v>7460</v>
      </c>
      <c r="C239" s="798" t="s">
        <v>24</v>
      </c>
      <c r="D239" s="800">
        <v>46.81</v>
      </c>
    </row>
    <row r="240" spans="1:4" ht="40.5">
      <c r="A240" s="798">
        <v>103122</v>
      </c>
      <c r="B240" s="799" t="s">
        <v>7461</v>
      </c>
      <c r="C240" s="798" t="s">
        <v>24</v>
      </c>
      <c r="D240" s="800">
        <v>57.06</v>
      </c>
    </row>
    <row r="241" spans="1:4" ht="40.5">
      <c r="A241" s="798">
        <v>103123</v>
      </c>
      <c r="B241" s="799" t="s">
        <v>7462</v>
      </c>
      <c r="C241" s="798" t="s">
        <v>24</v>
      </c>
      <c r="D241" s="800">
        <v>82.71</v>
      </c>
    </row>
    <row r="242" spans="1:4" ht="40.5">
      <c r="A242" s="798">
        <v>103124</v>
      </c>
      <c r="B242" s="799" t="s">
        <v>7463</v>
      </c>
      <c r="C242" s="798" t="s">
        <v>24</v>
      </c>
      <c r="D242" s="800">
        <v>108.35</v>
      </c>
    </row>
    <row r="243" spans="1:4" ht="40.5">
      <c r="A243" s="798">
        <v>103125</v>
      </c>
      <c r="B243" s="799" t="s">
        <v>7464</v>
      </c>
      <c r="C243" s="798" t="s">
        <v>24</v>
      </c>
      <c r="D243" s="800">
        <v>182.2</v>
      </c>
    </row>
    <row r="244" spans="1:4" ht="40.5">
      <c r="A244" s="798">
        <v>103126</v>
      </c>
      <c r="B244" s="799" t="s">
        <v>7465</v>
      </c>
      <c r="C244" s="798" t="s">
        <v>24</v>
      </c>
      <c r="D244" s="800">
        <v>207.83</v>
      </c>
    </row>
    <row r="245" spans="1:4" ht="40.5">
      <c r="A245" s="798">
        <v>103127</v>
      </c>
      <c r="B245" s="799" t="s">
        <v>7466</v>
      </c>
      <c r="C245" s="798" t="s">
        <v>24</v>
      </c>
      <c r="D245" s="800">
        <v>281.67</v>
      </c>
    </row>
    <row r="246" spans="1:4" ht="40.5">
      <c r="A246" s="798">
        <v>103128</v>
      </c>
      <c r="B246" s="799" t="s">
        <v>7467</v>
      </c>
      <c r="C246" s="798" t="s">
        <v>24</v>
      </c>
      <c r="D246" s="800">
        <v>307.3</v>
      </c>
    </row>
    <row r="247" spans="1:4" ht="40.5">
      <c r="A247" s="798">
        <v>103129</v>
      </c>
      <c r="B247" s="799" t="s">
        <v>7468</v>
      </c>
      <c r="C247" s="798" t="s">
        <v>24</v>
      </c>
      <c r="D247" s="800">
        <v>381.15</v>
      </c>
    </row>
    <row r="248" spans="1:4" ht="40.5">
      <c r="A248" s="798">
        <v>103130</v>
      </c>
      <c r="B248" s="799" t="s">
        <v>7469</v>
      </c>
      <c r="C248" s="798" t="s">
        <v>24</v>
      </c>
      <c r="D248" s="800">
        <v>406.79</v>
      </c>
    </row>
    <row r="249" spans="1:4" ht="40.5">
      <c r="A249" s="798">
        <v>103131</v>
      </c>
      <c r="B249" s="799" t="s">
        <v>7470</v>
      </c>
      <c r="C249" s="798" t="s">
        <v>24</v>
      </c>
      <c r="D249" s="800">
        <v>458.08</v>
      </c>
    </row>
    <row r="250" spans="1:4" ht="40.5">
      <c r="A250" s="798">
        <v>103132</v>
      </c>
      <c r="B250" s="799" t="s">
        <v>7471</v>
      </c>
      <c r="C250" s="798" t="s">
        <v>24</v>
      </c>
      <c r="D250" s="800">
        <v>557.55999999999995</v>
      </c>
    </row>
    <row r="251" spans="1:4" ht="40.5">
      <c r="A251" s="798">
        <v>103133</v>
      </c>
      <c r="B251" s="799" t="s">
        <v>7472</v>
      </c>
      <c r="C251" s="798" t="s">
        <v>24</v>
      </c>
      <c r="D251" s="800">
        <v>608.85</v>
      </c>
    </row>
    <row r="252" spans="1:4" ht="40.5">
      <c r="A252" s="798">
        <v>103134</v>
      </c>
      <c r="B252" s="799" t="s">
        <v>7473</v>
      </c>
      <c r="C252" s="798" t="s">
        <v>24</v>
      </c>
      <c r="D252" s="800">
        <v>708.32</v>
      </c>
    </row>
    <row r="253" spans="1:4" ht="40.5">
      <c r="A253" s="798">
        <v>103135</v>
      </c>
      <c r="B253" s="799" t="s">
        <v>7474</v>
      </c>
      <c r="C253" s="798" t="s">
        <v>24</v>
      </c>
      <c r="D253" s="800">
        <v>759.62</v>
      </c>
    </row>
    <row r="254" spans="1:4" ht="40.5">
      <c r="A254" s="798">
        <v>103136</v>
      </c>
      <c r="B254" s="799" t="s">
        <v>7475</v>
      </c>
      <c r="C254" s="798" t="s">
        <v>24</v>
      </c>
      <c r="D254" s="800">
        <v>910.38</v>
      </c>
    </row>
    <row r="255" spans="1:4" ht="40.5">
      <c r="A255" s="798">
        <v>103137</v>
      </c>
      <c r="B255" s="799" t="s">
        <v>7476</v>
      </c>
      <c r="C255" s="798" t="s">
        <v>24</v>
      </c>
      <c r="D255" s="800">
        <v>24.68</v>
      </c>
    </row>
    <row r="256" spans="1:4" ht="40.5">
      <c r="A256" s="798">
        <v>103138</v>
      </c>
      <c r="B256" s="799" t="s">
        <v>7477</v>
      </c>
      <c r="C256" s="798" t="s">
        <v>24</v>
      </c>
      <c r="D256" s="800">
        <v>28.09</v>
      </c>
    </row>
    <row r="257" spans="1:4" ht="40.5">
      <c r="A257" s="798">
        <v>103139</v>
      </c>
      <c r="B257" s="799" t="s">
        <v>7478</v>
      </c>
      <c r="C257" s="798" t="s">
        <v>24</v>
      </c>
      <c r="D257" s="800">
        <v>36.65</v>
      </c>
    </row>
    <row r="258" spans="1:4" ht="40.5">
      <c r="A258" s="798">
        <v>103140</v>
      </c>
      <c r="B258" s="799" t="s">
        <v>7479</v>
      </c>
      <c r="C258" s="798" t="s">
        <v>24</v>
      </c>
      <c r="D258" s="800">
        <v>45.19</v>
      </c>
    </row>
    <row r="259" spans="1:4" ht="40.5">
      <c r="A259" s="798">
        <v>103141</v>
      </c>
      <c r="B259" s="799" t="s">
        <v>7480</v>
      </c>
      <c r="C259" s="798" t="s">
        <v>24</v>
      </c>
      <c r="D259" s="800">
        <v>69.81</v>
      </c>
    </row>
    <row r="260" spans="1:4" ht="40.5">
      <c r="A260" s="798">
        <v>103142</v>
      </c>
      <c r="B260" s="799" t="s">
        <v>7481</v>
      </c>
      <c r="C260" s="798" t="s">
        <v>24</v>
      </c>
      <c r="D260" s="800">
        <v>78.34</v>
      </c>
    </row>
    <row r="261" spans="1:4" ht="40.5">
      <c r="A261" s="798">
        <v>103143</v>
      </c>
      <c r="B261" s="799" t="s">
        <v>7482</v>
      </c>
      <c r="C261" s="798" t="s">
        <v>24</v>
      </c>
      <c r="D261" s="800">
        <v>102.97</v>
      </c>
    </row>
    <row r="262" spans="1:4" ht="40.5">
      <c r="A262" s="798">
        <v>103144</v>
      </c>
      <c r="B262" s="799" t="s">
        <v>7483</v>
      </c>
      <c r="C262" s="798" t="s">
        <v>24</v>
      </c>
      <c r="D262" s="800">
        <v>111.5</v>
      </c>
    </row>
    <row r="263" spans="1:4" ht="40.5">
      <c r="A263" s="798">
        <v>103145</v>
      </c>
      <c r="B263" s="799" t="s">
        <v>7484</v>
      </c>
      <c r="C263" s="798" t="s">
        <v>24</v>
      </c>
      <c r="D263" s="800">
        <v>136.12</v>
      </c>
    </row>
    <row r="264" spans="1:4" ht="40.5">
      <c r="A264" s="798">
        <v>103146</v>
      </c>
      <c r="B264" s="799" t="s">
        <v>7485</v>
      </c>
      <c r="C264" s="798" t="s">
        <v>24</v>
      </c>
      <c r="D264" s="800">
        <v>144.66999999999999</v>
      </c>
    </row>
    <row r="265" spans="1:4" ht="40.5">
      <c r="A265" s="798">
        <v>103147</v>
      </c>
      <c r="B265" s="799" t="s">
        <v>7486</v>
      </c>
      <c r="C265" s="798" t="s">
        <v>24</v>
      </c>
      <c r="D265" s="800">
        <v>161.76</v>
      </c>
    </row>
    <row r="266" spans="1:4" ht="40.5">
      <c r="A266" s="798">
        <v>103148</v>
      </c>
      <c r="B266" s="799" t="s">
        <v>7487</v>
      </c>
      <c r="C266" s="798" t="s">
        <v>24</v>
      </c>
      <c r="D266" s="800">
        <v>194.92</v>
      </c>
    </row>
    <row r="267" spans="1:4" ht="40.5">
      <c r="A267" s="798">
        <v>103149</v>
      </c>
      <c r="B267" s="799" t="s">
        <v>7488</v>
      </c>
      <c r="C267" s="798" t="s">
        <v>24</v>
      </c>
      <c r="D267" s="800">
        <v>212.01</v>
      </c>
    </row>
    <row r="268" spans="1:4" ht="40.5">
      <c r="A268" s="798">
        <v>103150</v>
      </c>
      <c r="B268" s="799" t="s">
        <v>7489</v>
      </c>
      <c r="C268" s="798" t="s">
        <v>24</v>
      </c>
      <c r="D268" s="800">
        <v>245.13</v>
      </c>
    </row>
    <row r="269" spans="1:4" ht="40.5">
      <c r="A269" s="798">
        <v>103151</v>
      </c>
      <c r="B269" s="799" t="s">
        <v>7490</v>
      </c>
      <c r="C269" s="798" t="s">
        <v>24</v>
      </c>
      <c r="D269" s="800">
        <v>262.27</v>
      </c>
    </row>
    <row r="270" spans="1:4" ht="40.5">
      <c r="A270" s="798">
        <v>103152</v>
      </c>
      <c r="B270" s="799" t="s">
        <v>7491</v>
      </c>
      <c r="C270" s="798" t="s">
        <v>24</v>
      </c>
      <c r="D270" s="800">
        <v>312.52999999999997</v>
      </c>
    </row>
    <row r="271" spans="1:4" ht="40.5">
      <c r="A271" s="798">
        <v>103372</v>
      </c>
      <c r="B271" s="799" t="s">
        <v>8143</v>
      </c>
      <c r="C271" s="798" t="s">
        <v>14</v>
      </c>
      <c r="D271" s="800">
        <v>5.86</v>
      </c>
    </row>
    <row r="272" spans="1:4" ht="40.5">
      <c r="A272" s="798">
        <v>103373</v>
      </c>
      <c r="B272" s="799" t="s">
        <v>8144</v>
      </c>
      <c r="C272" s="798" t="s">
        <v>14</v>
      </c>
      <c r="D272" s="800">
        <v>11.51</v>
      </c>
    </row>
    <row r="273" spans="1:4" ht="40.5">
      <c r="A273" s="798">
        <v>103376</v>
      </c>
      <c r="B273" s="799" t="s">
        <v>8145</v>
      </c>
      <c r="C273" s="798" t="s">
        <v>14</v>
      </c>
      <c r="D273" s="800">
        <v>138.37</v>
      </c>
    </row>
    <row r="274" spans="1:4" ht="40.5">
      <c r="A274" s="798">
        <v>103377</v>
      </c>
      <c r="B274" s="799" t="s">
        <v>8146</v>
      </c>
      <c r="C274" s="798" t="s">
        <v>14</v>
      </c>
      <c r="D274" s="800">
        <v>1319.54</v>
      </c>
    </row>
    <row r="275" spans="1:4" ht="40.5">
      <c r="A275" s="798">
        <v>103379</v>
      </c>
      <c r="B275" s="799" t="s">
        <v>8147</v>
      </c>
      <c r="C275" s="798" t="s">
        <v>14</v>
      </c>
      <c r="D275" s="800">
        <v>461.7</v>
      </c>
    </row>
    <row r="276" spans="1:4" ht="40.5">
      <c r="A276" s="798">
        <v>103383</v>
      </c>
      <c r="B276" s="799" t="s">
        <v>8148</v>
      </c>
      <c r="C276" s="798" t="s">
        <v>14</v>
      </c>
      <c r="D276" s="800">
        <v>1131.9100000000001</v>
      </c>
    </row>
    <row r="277" spans="1:4" ht="40.5">
      <c r="A277" s="798">
        <v>103385</v>
      </c>
      <c r="B277" s="799" t="s">
        <v>8149</v>
      </c>
      <c r="C277" s="798" t="s">
        <v>14</v>
      </c>
      <c r="D277" s="800">
        <v>1824.47</v>
      </c>
    </row>
    <row r="278" spans="1:4" ht="40.5">
      <c r="A278" s="798">
        <v>103387</v>
      </c>
      <c r="B278" s="799" t="s">
        <v>8150</v>
      </c>
      <c r="C278" s="798" t="s">
        <v>14</v>
      </c>
      <c r="D278" s="800">
        <v>3201.45</v>
      </c>
    </row>
    <row r="279" spans="1:4" ht="40.5">
      <c r="A279" s="798">
        <v>103389</v>
      </c>
      <c r="B279" s="799" t="s">
        <v>8151</v>
      </c>
      <c r="C279" s="798" t="s">
        <v>14</v>
      </c>
      <c r="D279" s="800">
        <v>4761.2</v>
      </c>
    </row>
    <row r="280" spans="1:4" ht="40.5">
      <c r="A280" s="798">
        <v>103391</v>
      </c>
      <c r="B280" s="799" t="s">
        <v>8152</v>
      </c>
      <c r="C280" s="798" t="s">
        <v>14</v>
      </c>
      <c r="D280" s="800">
        <v>3129.87</v>
      </c>
    </row>
    <row r="281" spans="1:4" ht="40.5">
      <c r="A281" s="798">
        <v>103392</v>
      </c>
      <c r="B281" s="799" t="s">
        <v>8153</v>
      </c>
      <c r="C281" s="798" t="s">
        <v>14</v>
      </c>
      <c r="D281" s="800">
        <v>5121.45</v>
      </c>
    </row>
    <row r="282" spans="1:4" ht="40.5">
      <c r="A282" s="798">
        <v>103393</v>
      </c>
      <c r="B282" s="799" t="s">
        <v>8154</v>
      </c>
      <c r="C282" s="798" t="s">
        <v>14</v>
      </c>
      <c r="D282" s="800">
        <v>5648.08</v>
      </c>
    </row>
    <row r="283" spans="1:4" ht="40.5">
      <c r="A283" s="798">
        <v>103394</v>
      </c>
      <c r="B283" s="799" t="s">
        <v>8155</v>
      </c>
      <c r="C283" s="798" t="s">
        <v>14</v>
      </c>
      <c r="D283" s="800">
        <v>4177.5</v>
      </c>
    </row>
    <row r="284" spans="1:4" ht="40.5">
      <c r="A284" s="798">
        <v>103395</v>
      </c>
      <c r="B284" s="799" t="s">
        <v>8156</v>
      </c>
      <c r="C284" s="798" t="s">
        <v>14</v>
      </c>
      <c r="D284" s="800">
        <v>2064.4</v>
      </c>
    </row>
    <row r="285" spans="1:4" ht="40.5">
      <c r="A285" s="798">
        <v>103396</v>
      </c>
      <c r="B285" s="799" t="s">
        <v>8157</v>
      </c>
      <c r="C285" s="798" t="s">
        <v>14</v>
      </c>
      <c r="D285" s="800">
        <v>1383.97</v>
      </c>
    </row>
    <row r="286" spans="1:4" ht="54">
      <c r="A286" s="798">
        <v>103397</v>
      </c>
      <c r="B286" s="799" t="s">
        <v>8158</v>
      </c>
      <c r="C286" s="798" t="s">
        <v>24</v>
      </c>
      <c r="D286" s="800">
        <v>2.66</v>
      </c>
    </row>
    <row r="287" spans="1:4" ht="54">
      <c r="A287" s="798">
        <v>103398</v>
      </c>
      <c r="B287" s="799" t="s">
        <v>8159</v>
      </c>
      <c r="C287" s="798" t="s">
        <v>24</v>
      </c>
      <c r="D287" s="800">
        <v>4.26</v>
      </c>
    </row>
    <row r="288" spans="1:4" ht="54">
      <c r="A288" s="798">
        <v>103399</v>
      </c>
      <c r="B288" s="799" t="s">
        <v>8160</v>
      </c>
      <c r="C288" s="798" t="s">
        <v>24</v>
      </c>
      <c r="D288" s="800">
        <v>8.4</v>
      </c>
    </row>
    <row r="289" spans="1:4" ht="54">
      <c r="A289" s="798">
        <v>103400</v>
      </c>
      <c r="B289" s="799" t="s">
        <v>8161</v>
      </c>
      <c r="C289" s="798" t="s">
        <v>24</v>
      </c>
      <c r="D289" s="800">
        <v>11.99</v>
      </c>
    </row>
    <row r="290" spans="1:4" ht="54">
      <c r="A290" s="798">
        <v>103401</v>
      </c>
      <c r="B290" s="799" t="s">
        <v>8162</v>
      </c>
      <c r="C290" s="798" t="s">
        <v>24</v>
      </c>
      <c r="D290" s="800">
        <v>14.66</v>
      </c>
    </row>
    <row r="291" spans="1:4" ht="54">
      <c r="A291" s="798">
        <v>103402</v>
      </c>
      <c r="B291" s="799" t="s">
        <v>8163</v>
      </c>
      <c r="C291" s="798" t="s">
        <v>24</v>
      </c>
      <c r="D291" s="800">
        <v>21.33</v>
      </c>
    </row>
    <row r="292" spans="1:4" ht="54">
      <c r="A292" s="798">
        <v>103403</v>
      </c>
      <c r="B292" s="799" t="s">
        <v>8164</v>
      </c>
      <c r="C292" s="798" t="s">
        <v>24</v>
      </c>
      <c r="D292" s="800">
        <v>24</v>
      </c>
    </row>
    <row r="293" spans="1:4" ht="54">
      <c r="A293" s="798">
        <v>103404</v>
      </c>
      <c r="B293" s="799" t="s">
        <v>8165</v>
      </c>
      <c r="C293" s="798" t="s">
        <v>24</v>
      </c>
      <c r="D293" s="800">
        <v>26.67</v>
      </c>
    </row>
    <row r="294" spans="1:4" ht="54">
      <c r="A294" s="798">
        <v>103405</v>
      </c>
      <c r="B294" s="799" t="s">
        <v>8166</v>
      </c>
      <c r="C294" s="798" t="s">
        <v>24</v>
      </c>
      <c r="D294" s="800">
        <v>30.01</v>
      </c>
    </row>
    <row r="295" spans="1:4" ht="54">
      <c r="A295" s="798">
        <v>103406</v>
      </c>
      <c r="B295" s="799" t="s">
        <v>8167</v>
      </c>
      <c r="C295" s="798" t="s">
        <v>24</v>
      </c>
      <c r="D295" s="800">
        <v>33.340000000000003</v>
      </c>
    </row>
    <row r="296" spans="1:4" ht="54">
      <c r="A296" s="798">
        <v>103407</v>
      </c>
      <c r="B296" s="799" t="s">
        <v>8168</v>
      </c>
      <c r="C296" s="798" t="s">
        <v>24</v>
      </c>
      <c r="D296" s="800">
        <v>37.340000000000003</v>
      </c>
    </row>
    <row r="297" spans="1:4" ht="54">
      <c r="A297" s="798">
        <v>103408</v>
      </c>
      <c r="B297" s="799" t="s">
        <v>8169</v>
      </c>
      <c r="C297" s="798" t="s">
        <v>24</v>
      </c>
      <c r="D297" s="800">
        <v>42.02</v>
      </c>
    </row>
    <row r="298" spans="1:4" ht="54">
      <c r="A298" s="798">
        <v>103409</v>
      </c>
      <c r="B298" s="799" t="s">
        <v>8170</v>
      </c>
      <c r="C298" s="798" t="s">
        <v>24</v>
      </c>
      <c r="D298" s="800">
        <v>47.35</v>
      </c>
    </row>
    <row r="299" spans="1:4" ht="54">
      <c r="A299" s="798">
        <v>103410</v>
      </c>
      <c r="B299" s="799" t="s">
        <v>8171</v>
      </c>
      <c r="C299" s="798" t="s">
        <v>24</v>
      </c>
      <c r="D299" s="800">
        <v>53.35</v>
      </c>
    </row>
    <row r="300" spans="1:4" ht="54">
      <c r="A300" s="798">
        <v>103411</v>
      </c>
      <c r="B300" s="799" t="s">
        <v>8172</v>
      </c>
      <c r="C300" s="798" t="s">
        <v>24</v>
      </c>
      <c r="D300" s="800">
        <v>5.33</v>
      </c>
    </row>
    <row r="301" spans="1:4" ht="54">
      <c r="A301" s="798">
        <v>103412</v>
      </c>
      <c r="B301" s="799" t="s">
        <v>8173</v>
      </c>
      <c r="C301" s="798" t="s">
        <v>24</v>
      </c>
      <c r="D301" s="800">
        <v>8.5299999999999994</v>
      </c>
    </row>
    <row r="302" spans="1:4" ht="54">
      <c r="A302" s="798">
        <v>103413</v>
      </c>
      <c r="B302" s="799" t="s">
        <v>8174</v>
      </c>
      <c r="C302" s="798" t="s">
        <v>24</v>
      </c>
      <c r="D302" s="800">
        <v>16.79</v>
      </c>
    </row>
    <row r="303" spans="1:4" ht="54">
      <c r="A303" s="798">
        <v>103414</v>
      </c>
      <c r="B303" s="799" t="s">
        <v>8175</v>
      </c>
      <c r="C303" s="798" t="s">
        <v>24</v>
      </c>
      <c r="D303" s="800">
        <v>24</v>
      </c>
    </row>
    <row r="304" spans="1:4" ht="54">
      <c r="A304" s="798">
        <v>103415</v>
      </c>
      <c r="B304" s="799" t="s">
        <v>8176</v>
      </c>
      <c r="C304" s="798" t="s">
        <v>24</v>
      </c>
      <c r="D304" s="800">
        <v>29.34</v>
      </c>
    </row>
    <row r="305" spans="1:4" ht="54">
      <c r="A305" s="798">
        <v>103416</v>
      </c>
      <c r="B305" s="799" t="s">
        <v>8177</v>
      </c>
      <c r="C305" s="798" t="s">
        <v>24</v>
      </c>
      <c r="D305" s="800">
        <v>42.67</v>
      </c>
    </row>
    <row r="306" spans="1:4" ht="54">
      <c r="A306" s="798">
        <v>103417</v>
      </c>
      <c r="B306" s="799" t="s">
        <v>8178</v>
      </c>
      <c r="C306" s="798" t="s">
        <v>24</v>
      </c>
      <c r="D306" s="800">
        <v>48.02</v>
      </c>
    </row>
    <row r="307" spans="1:4" ht="54">
      <c r="A307" s="798">
        <v>103418</v>
      </c>
      <c r="B307" s="799" t="s">
        <v>8179</v>
      </c>
      <c r="C307" s="798" t="s">
        <v>24</v>
      </c>
      <c r="D307" s="800">
        <v>53.35</v>
      </c>
    </row>
    <row r="308" spans="1:4" ht="54">
      <c r="A308" s="798">
        <v>103419</v>
      </c>
      <c r="B308" s="799" t="s">
        <v>8180</v>
      </c>
      <c r="C308" s="798" t="s">
        <v>24</v>
      </c>
      <c r="D308" s="800">
        <v>60.02</v>
      </c>
    </row>
    <row r="309" spans="1:4" ht="54">
      <c r="A309" s="798">
        <v>103420</v>
      </c>
      <c r="B309" s="799" t="s">
        <v>8181</v>
      </c>
      <c r="C309" s="798" t="s">
        <v>24</v>
      </c>
      <c r="D309" s="800">
        <v>66.69</v>
      </c>
    </row>
    <row r="310" spans="1:4" ht="54">
      <c r="A310" s="798">
        <v>103421</v>
      </c>
      <c r="B310" s="799" t="s">
        <v>8182</v>
      </c>
      <c r="C310" s="798" t="s">
        <v>24</v>
      </c>
      <c r="D310" s="800">
        <v>74.69</v>
      </c>
    </row>
    <row r="311" spans="1:4" ht="54">
      <c r="A311" s="798">
        <v>103422</v>
      </c>
      <c r="B311" s="799" t="s">
        <v>8183</v>
      </c>
      <c r="C311" s="798" t="s">
        <v>24</v>
      </c>
      <c r="D311" s="800">
        <v>84.03</v>
      </c>
    </row>
    <row r="312" spans="1:4" ht="54">
      <c r="A312" s="798">
        <v>103423</v>
      </c>
      <c r="B312" s="799" t="s">
        <v>8184</v>
      </c>
      <c r="C312" s="798" t="s">
        <v>24</v>
      </c>
      <c r="D312" s="800">
        <v>94.7</v>
      </c>
    </row>
    <row r="313" spans="1:4" ht="54">
      <c r="A313" s="798">
        <v>103424</v>
      </c>
      <c r="B313" s="799" t="s">
        <v>8185</v>
      </c>
      <c r="C313" s="798" t="s">
        <v>24</v>
      </c>
      <c r="D313" s="800">
        <v>106.71</v>
      </c>
    </row>
    <row r="314" spans="1:4" ht="40.5">
      <c r="A314" s="798">
        <v>103425</v>
      </c>
      <c r="B314" s="799" t="s">
        <v>8186</v>
      </c>
      <c r="C314" s="798" t="s">
        <v>24</v>
      </c>
      <c r="D314" s="800">
        <v>15.6</v>
      </c>
    </row>
    <row r="315" spans="1:4" ht="40.5">
      <c r="A315" s="798">
        <v>103426</v>
      </c>
      <c r="B315" s="799" t="s">
        <v>8187</v>
      </c>
      <c r="C315" s="798" t="s">
        <v>24</v>
      </c>
      <c r="D315" s="800">
        <v>18.21</v>
      </c>
    </row>
    <row r="316" spans="1:4" ht="40.5">
      <c r="A316" s="798">
        <v>103427</v>
      </c>
      <c r="B316" s="799" t="s">
        <v>8188</v>
      </c>
      <c r="C316" s="798" t="s">
        <v>24</v>
      </c>
      <c r="D316" s="800">
        <v>36.56</v>
      </c>
    </row>
    <row r="317" spans="1:4" ht="40.5">
      <c r="A317" s="798">
        <v>103428</v>
      </c>
      <c r="B317" s="799" t="s">
        <v>8189</v>
      </c>
      <c r="C317" s="798" t="s">
        <v>24</v>
      </c>
      <c r="D317" s="800">
        <v>258.17</v>
      </c>
    </row>
    <row r="318" spans="1:4" ht="40.5">
      <c r="A318" s="798">
        <v>103429</v>
      </c>
      <c r="B318" s="799" t="s">
        <v>8190</v>
      </c>
      <c r="C318" s="798" t="s">
        <v>24</v>
      </c>
      <c r="D318" s="800">
        <v>2980.78</v>
      </c>
    </row>
    <row r="319" spans="1:4" ht="54">
      <c r="A319" s="798">
        <v>103430</v>
      </c>
      <c r="B319" s="799" t="s">
        <v>8191</v>
      </c>
      <c r="C319" s="798" t="s">
        <v>24</v>
      </c>
      <c r="D319" s="800">
        <v>34.229999999999997</v>
      </c>
    </row>
    <row r="320" spans="1:4" ht="54">
      <c r="A320" s="798">
        <v>103431</v>
      </c>
      <c r="B320" s="799" t="s">
        <v>8192</v>
      </c>
      <c r="C320" s="798" t="s">
        <v>24</v>
      </c>
      <c r="D320" s="800">
        <v>59.55</v>
      </c>
    </row>
    <row r="321" spans="1:4" ht="54">
      <c r="A321" s="798">
        <v>103432</v>
      </c>
      <c r="B321" s="799" t="s">
        <v>8193</v>
      </c>
      <c r="C321" s="798" t="s">
        <v>24</v>
      </c>
      <c r="D321" s="800">
        <v>1693.91</v>
      </c>
    </row>
    <row r="322" spans="1:4" ht="54">
      <c r="A322" s="798">
        <v>103433</v>
      </c>
      <c r="B322" s="799" t="s">
        <v>8194</v>
      </c>
      <c r="C322" s="798" t="s">
        <v>24</v>
      </c>
      <c r="D322" s="800">
        <v>34.619999999999997</v>
      </c>
    </row>
    <row r="323" spans="1:4" ht="54">
      <c r="A323" s="798">
        <v>103434</v>
      </c>
      <c r="B323" s="799" t="s">
        <v>8195</v>
      </c>
      <c r="C323" s="798" t="s">
        <v>24</v>
      </c>
      <c r="D323" s="800">
        <v>47.61</v>
      </c>
    </row>
    <row r="324" spans="1:4" ht="54">
      <c r="A324" s="798">
        <v>103435</v>
      </c>
      <c r="B324" s="799" t="s">
        <v>8196</v>
      </c>
      <c r="C324" s="798" t="s">
        <v>24</v>
      </c>
      <c r="D324" s="800">
        <v>88.36</v>
      </c>
    </row>
    <row r="325" spans="1:4" ht="54">
      <c r="A325" s="798">
        <v>103436</v>
      </c>
      <c r="B325" s="799" t="s">
        <v>8197</v>
      </c>
      <c r="C325" s="798" t="s">
        <v>24</v>
      </c>
      <c r="D325" s="800">
        <v>2404.38</v>
      </c>
    </row>
    <row r="326" spans="1:4" ht="54">
      <c r="A326" s="798">
        <v>103437</v>
      </c>
      <c r="B326" s="799" t="s">
        <v>8198</v>
      </c>
      <c r="C326" s="798" t="s">
        <v>24</v>
      </c>
      <c r="D326" s="800">
        <v>183.62</v>
      </c>
    </row>
    <row r="327" spans="1:4" ht="54">
      <c r="A327" s="798">
        <v>103438</v>
      </c>
      <c r="B327" s="799" t="s">
        <v>8199</v>
      </c>
      <c r="C327" s="798" t="s">
        <v>24</v>
      </c>
      <c r="D327" s="800">
        <v>183.62</v>
      </c>
    </row>
    <row r="328" spans="1:4" ht="54">
      <c r="A328" s="798">
        <v>103439</v>
      </c>
      <c r="B328" s="799" t="s">
        <v>8200</v>
      </c>
      <c r="C328" s="798" t="s">
        <v>24</v>
      </c>
      <c r="D328" s="800">
        <v>217.72</v>
      </c>
    </row>
    <row r="329" spans="1:4" ht="54">
      <c r="A329" s="798">
        <v>103440</v>
      </c>
      <c r="B329" s="799" t="s">
        <v>8201</v>
      </c>
      <c r="C329" s="798" t="s">
        <v>24</v>
      </c>
      <c r="D329" s="800">
        <v>406.54</v>
      </c>
    </row>
    <row r="330" spans="1:4" ht="54">
      <c r="A330" s="798">
        <v>103441</v>
      </c>
      <c r="B330" s="799" t="s">
        <v>8202</v>
      </c>
      <c r="C330" s="798" t="s">
        <v>24</v>
      </c>
      <c r="D330" s="800">
        <v>412.07</v>
      </c>
    </row>
    <row r="331" spans="1:4" ht="54">
      <c r="A331" s="798">
        <v>103442</v>
      </c>
      <c r="B331" s="799" t="s">
        <v>8203</v>
      </c>
      <c r="C331" s="798" t="s">
        <v>24</v>
      </c>
      <c r="D331" s="800">
        <v>545.39</v>
      </c>
    </row>
    <row r="332" spans="1:4" ht="40.5">
      <c r="A332" s="798">
        <v>93206</v>
      </c>
      <c r="B332" s="799" t="s">
        <v>2170</v>
      </c>
      <c r="C332" s="798" t="s">
        <v>32</v>
      </c>
      <c r="D332" s="800">
        <v>1054.6199999999999</v>
      </c>
    </row>
    <row r="333" spans="1:4" ht="40.5">
      <c r="A333" s="798">
        <v>93207</v>
      </c>
      <c r="B333" s="799" t="s">
        <v>2171</v>
      </c>
      <c r="C333" s="798" t="s">
        <v>32</v>
      </c>
      <c r="D333" s="800">
        <v>1054.95</v>
      </c>
    </row>
    <row r="334" spans="1:4" ht="40.5">
      <c r="A334" s="798">
        <v>93208</v>
      </c>
      <c r="B334" s="799" t="s">
        <v>2172</v>
      </c>
      <c r="C334" s="798" t="s">
        <v>32</v>
      </c>
      <c r="D334" s="800">
        <v>843.14</v>
      </c>
    </row>
    <row r="335" spans="1:4" ht="27">
      <c r="A335" s="798">
        <v>93209</v>
      </c>
      <c r="B335" s="799" t="s">
        <v>2173</v>
      </c>
      <c r="C335" s="798" t="s">
        <v>32</v>
      </c>
      <c r="D335" s="800">
        <v>867.57</v>
      </c>
    </row>
    <row r="336" spans="1:4" ht="40.5">
      <c r="A336" s="798">
        <v>93210</v>
      </c>
      <c r="B336" s="799" t="s">
        <v>596</v>
      </c>
      <c r="C336" s="798" t="s">
        <v>32</v>
      </c>
      <c r="D336" s="800">
        <v>561.26</v>
      </c>
    </row>
    <row r="337" spans="1:4" ht="40.5">
      <c r="A337" s="798">
        <v>93211</v>
      </c>
      <c r="B337" s="799" t="s">
        <v>2174</v>
      </c>
      <c r="C337" s="798" t="s">
        <v>32</v>
      </c>
      <c r="D337" s="800">
        <v>547.32000000000005</v>
      </c>
    </row>
    <row r="338" spans="1:4" ht="40.5">
      <c r="A338" s="798">
        <v>93212</v>
      </c>
      <c r="B338" s="799" t="s">
        <v>2175</v>
      </c>
      <c r="C338" s="798" t="s">
        <v>32</v>
      </c>
      <c r="D338" s="800">
        <v>929.58</v>
      </c>
    </row>
    <row r="339" spans="1:4" ht="27">
      <c r="A339" s="798">
        <v>93213</v>
      </c>
      <c r="B339" s="799" t="s">
        <v>2176</v>
      </c>
      <c r="C339" s="798" t="s">
        <v>32</v>
      </c>
      <c r="D339" s="800">
        <v>939.51</v>
      </c>
    </row>
    <row r="340" spans="1:4" ht="40.5">
      <c r="A340" s="798">
        <v>93214</v>
      </c>
      <c r="B340" s="799" t="s">
        <v>3187</v>
      </c>
      <c r="C340" s="798" t="s">
        <v>24</v>
      </c>
      <c r="D340" s="800">
        <v>5351.63</v>
      </c>
    </row>
    <row r="341" spans="1:4" ht="40.5">
      <c r="A341" s="798">
        <v>93243</v>
      </c>
      <c r="B341" s="799" t="s">
        <v>3188</v>
      </c>
      <c r="C341" s="798" t="s">
        <v>24</v>
      </c>
      <c r="D341" s="800">
        <v>8321.1</v>
      </c>
    </row>
    <row r="342" spans="1:4" ht="27">
      <c r="A342" s="798">
        <v>93582</v>
      </c>
      <c r="B342" s="799" t="s">
        <v>2257</v>
      </c>
      <c r="C342" s="798" t="s">
        <v>32</v>
      </c>
      <c r="D342" s="800">
        <v>258.49</v>
      </c>
    </row>
    <row r="343" spans="1:4" ht="40.5">
      <c r="A343" s="798">
        <v>93583</v>
      </c>
      <c r="B343" s="799" t="s">
        <v>2258</v>
      </c>
      <c r="C343" s="798" t="s">
        <v>32</v>
      </c>
      <c r="D343" s="800">
        <v>417.49</v>
      </c>
    </row>
    <row r="344" spans="1:4" ht="40.5">
      <c r="A344" s="798">
        <v>93584</v>
      </c>
      <c r="B344" s="799" t="s">
        <v>2259</v>
      </c>
      <c r="C344" s="798" t="s">
        <v>32</v>
      </c>
      <c r="D344" s="800">
        <v>825.33</v>
      </c>
    </row>
    <row r="345" spans="1:4" ht="40.5">
      <c r="A345" s="798">
        <v>93585</v>
      </c>
      <c r="B345" s="799" t="s">
        <v>2260</v>
      </c>
      <c r="C345" s="798" t="s">
        <v>32</v>
      </c>
      <c r="D345" s="800">
        <v>1087.51</v>
      </c>
    </row>
    <row r="346" spans="1:4" ht="40.5">
      <c r="A346" s="798">
        <v>98441</v>
      </c>
      <c r="B346" s="799" t="s">
        <v>3257</v>
      </c>
      <c r="C346" s="798" t="s">
        <v>32</v>
      </c>
      <c r="D346" s="800">
        <v>129.22999999999999</v>
      </c>
    </row>
    <row r="347" spans="1:4" ht="40.5">
      <c r="A347" s="798">
        <v>98442</v>
      </c>
      <c r="B347" s="799" t="s">
        <v>3258</v>
      </c>
      <c r="C347" s="798" t="s">
        <v>32</v>
      </c>
      <c r="D347" s="800">
        <v>131.58000000000001</v>
      </c>
    </row>
    <row r="348" spans="1:4" ht="40.5">
      <c r="A348" s="798">
        <v>98443</v>
      </c>
      <c r="B348" s="799" t="s">
        <v>3259</v>
      </c>
      <c r="C348" s="798" t="s">
        <v>32</v>
      </c>
      <c r="D348" s="800">
        <v>115.34</v>
      </c>
    </row>
    <row r="349" spans="1:4" ht="40.5">
      <c r="A349" s="798">
        <v>98444</v>
      </c>
      <c r="B349" s="799" t="s">
        <v>3260</v>
      </c>
      <c r="C349" s="798" t="s">
        <v>32</v>
      </c>
      <c r="D349" s="800">
        <v>117.03</v>
      </c>
    </row>
    <row r="350" spans="1:4" ht="40.5">
      <c r="A350" s="798">
        <v>98445</v>
      </c>
      <c r="B350" s="799" t="s">
        <v>3261</v>
      </c>
      <c r="C350" s="798" t="s">
        <v>32</v>
      </c>
      <c r="D350" s="800">
        <v>152.49</v>
      </c>
    </row>
    <row r="351" spans="1:4" ht="40.5">
      <c r="A351" s="798">
        <v>98446</v>
      </c>
      <c r="B351" s="799" t="s">
        <v>3262</v>
      </c>
      <c r="C351" s="798" t="s">
        <v>32</v>
      </c>
      <c r="D351" s="800">
        <v>190.94</v>
      </c>
    </row>
    <row r="352" spans="1:4" ht="40.5">
      <c r="A352" s="798">
        <v>98447</v>
      </c>
      <c r="B352" s="799" t="s">
        <v>3263</v>
      </c>
      <c r="C352" s="798" t="s">
        <v>32</v>
      </c>
      <c r="D352" s="800">
        <v>133.09</v>
      </c>
    </row>
    <row r="353" spans="1:4" ht="40.5">
      <c r="A353" s="798">
        <v>98448</v>
      </c>
      <c r="B353" s="799" t="s">
        <v>3264</v>
      </c>
      <c r="C353" s="798" t="s">
        <v>32</v>
      </c>
      <c r="D353" s="800">
        <v>163.03</v>
      </c>
    </row>
    <row r="354" spans="1:4" ht="40.5">
      <c r="A354" s="798">
        <v>98449</v>
      </c>
      <c r="B354" s="799" t="s">
        <v>3265</v>
      </c>
      <c r="C354" s="798" t="s">
        <v>32</v>
      </c>
      <c r="D354" s="800">
        <v>176.77</v>
      </c>
    </row>
    <row r="355" spans="1:4" ht="40.5">
      <c r="A355" s="798">
        <v>98450</v>
      </c>
      <c r="B355" s="799" t="s">
        <v>3266</v>
      </c>
      <c r="C355" s="798" t="s">
        <v>32</v>
      </c>
      <c r="D355" s="800">
        <v>180.17</v>
      </c>
    </row>
    <row r="356" spans="1:4" ht="40.5">
      <c r="A356" s="798">
        <v>98451</v>
      </c>
      <c r="B356" s="799" t="s">
        <v>3267</v>
      </c>
      <c r="C356" s="798" t="s">
        <v>32</v>
      </c>
      <c r="D356" s="800">
        <v>160.88</v>
      </c>
    </row>
    <row r="357" spans="1:4" ht="40.5">
      <c r="A357" s="798">
        <v>98452</v>
      </c>
      <c r="B357" s="799" t="s">
        <v>3268</v>
      </c>
      <c r="C357" s="798" t="s">
        <v>32</v>
      </c>
      <c r="D357" s="800">
        <v>162.94</v>
      </c>
    </row>
    <row r="358" spans="1:4" ht="40.5">
      <c r="A358" s="798">
        <v>98453</v>
      </c>
      <c r="B358" s="799" t="s">
        <v>3269</v>
      </c>
      <c r="C358" s="798" t="s">
        <v>32</v>
      </c>
      <c r="D358" s="800">
        <v>204.09</v>
      </c>
    </row>
    <row r="359" spans="1:4" ht="40.5">
      <c r="A359" s="798">
        <v>98454</v>
      </c>
      <c r="B359" s="799" t="s">
        <v>3270</v>
      </c>
      <c r="C359" s="798" t="s">
        <v>32</v>
      </c>
      <c r="D359" s="800">
        <v>252.36</v>
      </c>
    </row>
    <row r="360" spans="1:4" ht="40.5">
      <c r="A360" s="798">
        <v>98455</v>
      </c>
      <c r="B360" s="799" t="s">
        <v>3271</v>
      </c>
      <c r="C360" s="798" t="s">
        <v>32</v>
      </c>
      <c r="D360" s="800">
        <v>182.7</v>
      </c>
    </row>
    <row r="361" spans="1:4" ht="40.5">
      <c r="A361" s="798">
        <v>98456</v>
      </c>
      <c r="B361" s="799" t="s">
        <v>3272</v>
      </c>
      <c r="C361" s="798" t="s">
        <v>32</v>
      </c>
      <c r="D361" s="800">
        <v>221.79</v>
      </c>
    </row>
    <row r="362" spans="1:4" ht="13.5">
      <c r="A362" s="798">
        <v>98458</v>
      </c>
      <c r="B362" s="799" t="s">
        <v>3273</v>
      </c>
      <c r="C362" s="798" t="s">
        <v>32</v>
      </c>
      <c r="D362" s="800">
        <v>125.27</v>
      </c>
    </row>
    <row r="363" spans="1:4" ht="13.5">
      <c r="A363" s="798">
        <v>98459</v>
      </c>
      <c r="B363" s="799" t="s">
        <v>3274</v>
      </c>
      <c r="C363" s="798" t="s">
        <v>32</v>
      </c>
      <c r="D363" s="800">
        <v>95.95</v>
      </c>
    </row>
    <row r="364" spans="1:4" ht="27">
      <c r="A364" s="798">
        <v>98460</v>
      </c>
      <c r="B364" s="799" t="s">
        <v>3275</v>
      </c>
      <c r="C364" s="798" t="s">
        <v>32</v>
      </c>
      <c r="D364" s="800">
        <v>165.65</v>
      </c>
    </row>
    <row r="365" spans="1:4" ht="27">
      <c r="A365" s="798">
        <v>98461</v>
      </c>
      <c r="B365" s="799" t="s">
        <v>5031</v>
      </c>
      <c r="C365" s="798" t="s">
        <v>24</v>
      </c>
      <c r="D365" s="800">
        <v>4613.63</v>
      </c>
    </row>
    <row r="366" spans="1:4" ht="27">
      <c r="A366" s="798">
        <v>98462</v>
      </c>
      <c r="B366" s="799" t="s">
        <v>5032</v>
      </c>
      <c r="C366" s="798" t="s">
        <v>24</v>
      </c>
      <c r="D366" s="800">
        <v>7020.86</v>
      </c>
    </row>
    <row r="367" spans="1:4" ht="40.5">
      <c r="A367" s="798">
        <v>5631</v>
      </c>
      <c r="B367" s="799" t="s">
        <v>670</v>
      </c>
      <c r="C367" s="798" t="s">
        <v>28</v>
      </c>
      <c r="D367" s="800">
        <v>188.22</v>
      </c>
    </row>
    <row r="368" spans="1:4" ht="67.5">
      <c r="A368" s="798">
        <v>5678</v>
      </c>
      <c r="B368" s="799" t="s">
        <v>677</v>
      </c>
      <c r="C368" s="798" t="s">
        <v>28</v>
      </c>
      <c r="D368" s="800">
        <v>115.29</v>
      </c>
    </row>
    <row r="369" spans="1:4" ht="67.5">
      <c r="A369" s="798">
        <v>5680</v>
      </c>
      <c r="B369" s="799" t="s">
        <v>679</v>
      </c>
      <c r="C369" s="798" t="s">
        <v>28</v>
      </c>
      <c r="D369" s="800">
        <v>104.92</v>
      </c>
    </row>
    <row r="370" spans="1:4" ht="54">
      <c r="A370" s="798">
        <v>5684</v>
      </c>
      <c r="B370" s="799" t="s">
        <v>681</v>
      </c>
      <c r="C370" s="798" t="s">
        <v>28</v>
      </c>
      <c r="D370" s="800">
        <v>147.07</v>
      </c>
    </row>
    <row r="371" spans="1:4" ht="40.5">
      <c r="A371" s="798">
        <v>5689</v>
      </c>
      <c r="B371" s="799" t="s">
        <v>43</v>
      </c>
      <c r="C371" s="798" t="s">
        <v>28</v>
      </c>
      <c r="D371" s="800">
        <v>7.39</v>
      </c>
    </row>
    <row r="372" spans="1:4" ht="27">
      <c r="A372" s="798">
        <v>5795</v>
      </c>
      <c r="B372" s="799" t="s">
        <v>52</v>
      </c>
      <c r="C372" s="798" t="s">
        <v>28</v>
      </c>
      <c r="D372" s="800">
        <v>15.95</v>
      </c>
    </row>
    <row r="373" spans="1:4" ht="54">
      <c r="A373" s="798">
        <v>5811</v>
      </c>
      <c r="B373" s="799" t="s">
        <v>709</v>
      </c>
      <c r="C373" s="798" t="s">
        <v>28</v>
      </c>
      <c r="D373" s="800">
        <v>183.98</v>
      </c>
    </row>
    <row r="374" spans="1:4" ht="27">
      <c r="A374" s="798">
        <v>5823</v>
      </c>
      <c r="B374" s="799" t="s">
        <v>54</v>
      </c>
      <c r="C374" s="798" t="s">
        <v>28</v>
      </c>
      <c r="D374" s="800">
        <v>169.52</v>
      </c>
    </row>
    <row r="375" spans="1:4" ht="67.5">
      <c r="A375" s="798">
        <v>5824</v>
      </c>
      <c r="B375" s="799" t="s">
        <v>710</v>
      </c>
      <c r="C375" s="798" t="s">
        <v>28</v>
      </c>
      <c r="D375" s="800">
        <v>174.8</v>
      </c>
    </row>
    <row r="376" spans="1:4" ht="40.5">
      <c r="A376" s="798">
        <v>5835</v>
      </c>
      <c r="B376" s="799" t="s">
        <v>712</v>
      </c>
      <c r="C376" s="798" t="s">
        <v>28</v>
      </c>
      <c r="D376" s="800">
        <v>350.31</v>
      </c>
    </row>
    <row r="377" spans="1:4" ht="40.5">
      <c r="A377" s="798">
        <v>5839</v>
      </c>
      <c r="B377" s="799" t="s">
        <v>714</v>
      </c>
      <c r="C377" s="798" t="s">
        <v>28</v>
      </c>
      <c r="D377" s="800">
        <v>11.1</v>
      </c>
    </row>
    <row r="378" spans="1:4" ht="27">
      <c r="A378" s="798">
        <v>5843</v>
      </c>
      <c r="B378" s="799" t="s">
        <v>56</v>
      </c>
      <c r="C378" s="798" t="s">
        <v>28</v>
      </c>
      <c r="D378" s="800">
        <v>150.54</v>
      </c>
    </row>
    <row r="379" spans="1:4" ht="27">
      <c r="A379" s="798">
        <v>5847</v>
      </c>
      <c r="B379" s="799" t="s">
        <v>716</v>
      </c>
      <c r="C379" s="798" t="s">
        <v>28</v>
      </c>
      <c r="D379" s="800">
        <v>222.41</v>
      </c>
    </row>
    <row r="380" spans="1:4" ht="40.5">
      <c r="A380" s="798">
        <v>5851</v>
      </c>
      <c r="B380" s="799" t="s">
        <v>58</v>
      </c>
      <c r="C380" s="798" t="s">
        <v>28</v>
      </c>
      <c r="D380" s="800">
        <v>210.68</v>
      </c>
    </row>
    <row r="381" spans="1:4" ht="27">
      <c r="A381" s="798">
        <v>5855</v>
      </c>
      <c r="B381" s="799" t="s">
        <v>718</v>
      </c>
      <c r="C381" s="798" t="s">
        <v>28</v>
      </c>
      <c r="D381" s="800">
        <v>568.09</v>
      </c>
    </row>
    <row r="382" spans="1:4" ht="54">
      <c r="A382" s="798">
        <v>5863</v>
      </c>
      <c r="B382" s="799" t="s">
        <v>720</v>
      </c>
      <c r="C382" s="798" t="s">
        <v>28</v>
      </c>
      <c r="D382" s="800">
        <v>23.01</v>
      </c>
    </row>
    <row r="383" spans="1:4" ht="40.5">
      <c r="A383" s="798">
        <v>5867</v>
      </c>
      <c r="B383" s="799" t="s">
        <v>722</v>
      </c>
      <c r="C383" s="798" t="s">
        <v>28</v>
      </c>
      <c r="D383" s="800">
        <v>148.37</v>
      </c>
    </row>
    <row r="384" spans="1:4" ht="67.5">
      <c r="A384" s="798">
        <v>5875</v>
      </c>
      <c r="B384" s="799" t="s">
        <v>724</v>
      </c>
      <c r="C384" s="798" t="s">
        <v>28</v>
      </c>
      <c r="D384" s="800">
        <v>104.46</v>
      </c>
    </row>
    <row r="385" spans="1:4" ht="54">
      <c r="A385" s="798">
        <v>5879</v>
      </c>
      <c r="B385" s="799" t="s">
        <v>726</v>
      </c>
      <c r="C385" s="798" t="s">
        <v>28</v>
      </c>
      <c r="D385" s="800">
        <v>130.38999999999999</v>
      </c>
    </row>
    <row r="386" spans="1:4" ht="54">
      <c r="A386" s="798">
        <v>5882</v>
      </c>
      <c r="B386" s="799" t="s">
        <v>728</v>
      </c>
      <c r="C386" s="798" t="s">
        <v>28</v>
      </c>
      <c r="D386" s="800">
        <v>106.58</v>
      </c>
    </row>
    <row r="387" spans="1:4" ht="54">
      <c r="A387" s="798">
        <v>5890</v>
      </c>
      <c r="B387" s="799" t="s">
        <v>60</v>
      </c>
      <c r="C387" s="798" t="s">
        <v>28</v>
      </c>
      <c r="D387" s="800">
        <v>174.19</v>
      </c>
    </row>
    <row r="388" spans="1:4" ht="54">
      <c r="A388" s="798">
        <v>5894</v>
      </c>
      <c r="B388" s="799" t="s">
        <v>730</v>
      </c>
      <c r="C388" s="798" t="s">
        <v>28</v>
      </c>
      <c r="D388" s="800">
        <v>169.3</v>
      </c>
    </row>
    <row r="389" spans="1:4" ht="67.5">
      <c r="A389" s="798">
        <v>5901</v>
      </c>
      <c r="B389" s="799" t="s">
        <v>732</v>
      </c>
      <c r="C389" s="798" t="s">
        <v>28</v>
      </c>
      <c r="D389" s="800">
        <v>274.42</v>
      </c>
    </row>
    <row r="390" spans="1:4" ht="40.5">
      <c r="A390" s="798">
        <v>5909</v>
      </c>
      <c r="B390" s="799" t="s">
        <v>62</v>
      </c>
      <c r="C390" s="798" t="s">
        <v>28</v>
      </c>
      <c r="D390" s="800">
        <v>29.4</v>
      </c>
    </row>
    <row r="391" spans="1:4" ht="27">
      <c r="A391" s="798">
        <v>5921</v>
      </c>
      <c r="B391" s="799" t="s">
        <v>734</v>
      </c>
      <c r="C391" s="798" t="s">
        <v>28</v>
      </c>
      <c r="D391" s="800">
        <v>5.79</v>
      </c>
    </row>
    <row r="392" spans="1:4" ht="54">
      <c r="A392" s="798">
        <v>5928</v>
      </c>
      <c r="B392" s="799" t="s">
        <v>736</v>
      </c>
      <c r="C392" s="798" t="s">
        <v>28</v>
      </c>
      <c r="D392" s="800">
        <v>229.82</v>
      </c>
    </row>
    <row r="393" spans="1:4" ht="40.5">
      <c r="A393" s="798">
        <v>5932</v>
      </c>
      <c r="B393" s="799" t="s">
        <v>64</v>
      </c>
      <c r="C393" s="798" t="s">
        <v>28</v>
      </c>
      <c r="D393" s="800">
        <v>205.72</v>
      </c>
    </row>
    <row r="394" spans="1:4" ht="40.5">
      <c r="A394" s="798">
        <v>5940</v>
      </c>
      <c r="B394" s="799" t="s">
        <v>738</v>
      </c>
      <c r="C394" s="798" t="s">
        <v>28</v>
      </c>
      <c r="D394" s="800">
        <v>155.36000000000001</v>
      </c>
    </row>
    <row r="395" spans="1:4" ht="40.5">
      <c r="A395" s="798">
        <v>5944</v>
      </c>
      <c r="B395" s="799" t="s">
        <v>740</v>
      </c>
      <c r="C395" s="798" t="s">
        <v>28</v>
      </c>
      <c r="D395" s="800">
        <v>192.26</v>
      </c>
    </row>
    <row r="396" spans="1:4" ht="40.5">
      <c r="A396" s="798">
        <v>5953</v>
      </c>
      <c r="B396" s="799" t="s">
        <v>67</v>
      </c>
      <c r="C396" s="798" t="s">
        <v>28</v>
      </c>
      <c r="D396" s="800">
        <v>56.48</v>
      </c>
    </row>
    <row r="397" spans="1:4" ht="54">
      <c r="A397" s="798">
        <v>6259</v>
      </c>
      <c r="B397" s="799" t="s">
        <v>743</v>
      </c>
      <c r="C397" s="798" t="s">
        <v>28</v>
      </c>
      <c r="D397" s="800">
        <v>225.4</v>
      </c>
    </row>
    <row r="398" spans="1:4" ht="40.5">
      <c r="A398" s="798">
        <v>6879</v>
      </c>
      <c r="B398" s="799" t="s">
        <v>745</v>
      </c>
      <c r="C398" s="798" t="s">
        <v>28</v>
      </c>
      <c r="D398" s="800">
        <v>197.21</v>
      </c>
    </row>
    <row r="399" spans="1:4" ht="27">
      <c r="A399" s="798">
        <v>7030</v>
      </c>
      <c r="B399" s="799" t="s">
        <v>747</v>
      </c>
      <c r="C399" s="798" t="s">
        <v>28</v>
      </c>
      <c r="D399" s="800">
        <v>263.63</v>
      </c>
    </row>
    <row r="400" spans="1:4" ht="54">
      <c r="A400" s="798">
        <v>7042</v>
      </c>
      <c r="B400" s="799" t="s">
        <v>756</v>
      </c>
      <c r="C400" s="798" t="s">
        <v>28</v>
      </c>
      <c r="D400" s="800">
        <v>26.54</v>
      </c>
    </row>
    <row r="401" spans="1:4" ht="54">
      <c r="A401" s="798">
        <v>7049</v>
      </c>
      <c r="B401" s="799" t="s">
        <v>762</v>
      </c>
      <c r="C401" s="798" t="s">
        <v>28</v>
      </c>
      <c r="D401" s="800">
        <v>208.26</v>
      </c>
    </row>
    <row r="402" spans="1:4" ht="54">
      <c r="A402" s="798">
        <v>67826</v>
      </c>
      <c r="B402" s="799" t="s">
        <v>797</v>
      </c>
      <c r="C402" s="798" t="s">
        <v>28</v>
      </c>
      <c r="D402" s="800">
        <v>153.28</v>
      </c>
    </row>
    <row r="403" spans="1:4" ht="27">
      <c r="A403" s="798">
        <v>73417</v>
      </c>
      <c r="B403" s="799" t="s">
        <v>804</v>
      </c>
      <c r="C403" s="798" t="s">
        <v>28</v>
      </c>
      <c r="D403" s="800">
        <v>186.44</v>
      </c>
    </row>
    <row r="404" spans="1:4" ht="54">
      <c r="A404" s="798">
        <v>73436</v>
      </c>
      <c r="B404" s="799" t="s">
        <v>85</v>
      </c>
      <c r="C404" s="798" t="s">
        <v>28</v>
      </c>
      <c r="D404" s="800">
        <v>178.82</v>
      </c>
    </row>
    <row r="405" spans="1:4" ht="67.5">
      <c r="A405" s="798">
        <v>73467</v>
      </c>
      <c r="B405" s="799" t="s">
        <v>805</v>
      </c>
      <c r="C405" s="798" t="s">
        <v>28</v>
      </c>
      <c r="D405" s="800">
        <v>145.79</v>
      </c>
    </row>
    <row r="406" spans="1:4" ht="54">
      <c r="A406" s="798">
        <v>73536</v>
      </c>
      <c r="B406" s="799" t="s">
        <v>806</v>
      </c>
      <c r="C406" s="798" t="s">
        <v>28</v>
      </c>
      <c r="D406" s="800">
        <v>22.48</v>
      </c>
    </row>
    <row r="407" spans="1:4" ht="54">
      <c r="A407" s="798">
        <v>83362</v>
      </c>
      <c r="B407" s="799" t="s">
        <v>808</v>
      </c>
      <c r="C407" s="798" t="s">
        <v>28</v>
      </c>
      <c r="D407" s="800">
        <v>232.78</v>
      </c>
    </row>
    <row r="408" spans="1:4" ht="40.5">
      <c r="A408" s="798">
        <v>83765</v>
      </c>
      <c r="B408" s="799" t="s">
        <v>813</v>
      </c>
      <c r="C408" s="798" t="s">
        <v>28</v>
      </c>
      <c r="D408" s="800">
        <v>84.47</v>
      </c>
    </row>
    <row r="409" spans="1:4" ht="40.5">
      <c r="A409" s="798">
        <v>87445</v>
      </c>
      <c r="B409" s="799" t="s">
        <v>92</v>
      </c>
      <c r="C409" s="798" t="s">
        <v>28</v>
      </c>
      <c r="D409" s="800">
        <v>5.21</v>
      </c>
    </row>
    <row r="410" spans="1:4" ht="40.5">
      <c r="A410" s="798">
        <v>88386</v>
      </c>
      <c r="B410" s="799" t="s">
        <v>991</v>
      </c>
      <c r="C410" s="798" t="s">
        <v>28</v>
      </c>
      <c r="D410" s="800">
        <v>4.8099999999999996</v>
      </c>
    </row>
    <row r="411" spans="1:4" ht="40.5">
      <c r="A411" s="798">
        <v>88393</v>
      </c>
      <c r="B411" s="799" t="s">
        <v>997</v>
      </c>
      <c r="C411" s="798" t="s">
        <v>28</v>
      </c>
      <c r="D411" s="800">
        <v>6.61</v>
      </c>
    </row>
    <row r="412" spans="1:4" ht="40.5">
      <c r="A412" s="798">
        <v>88399</v>
      </c>
      <c r="B412" s="799" t="s">
        <v>1003</v>
      </c>
      <c r="C412" s="798" t="s">
        <v>28</v>
      </c>
      <c r="D412" s="800">
        <v>3.58</v>
      </c>
    </row>
    <row r="413" spans="1:4" ht="40.5">
      <c r="A413" s="798">
        <v>88418</v>
      </c>
      <c r="B413" s="799" t="s">
        <v>171</v>
      </c>
      <c r="C413" s="798" t="s">
        <v>28</v>
      </c>
      <c r="D413" s="800">
        <v>14.05</v>
      </c>
    </row>
    <row r="414" spans="1:4" ht="40.5">
      <c r="A414" s="798">
        <v>88433</v>
      </c>
      <c r="B414" s="799" t="s">
        <v>1021</v>
      </c>
      <c r="C414" s="798" t="s">
        <v>28</v>
      </c>
      <c r="D414" s="800">
        <v>18.32</v>
      </c>
    </row>
    <row r="415" spans="1:4" ht="40.5">
      <c r="A415" s="798">
        <v>88830</v>
      </c>
      <c r="B415" s="799" t="s">
        <v>1041</v>
      </c>
      <c r="C415" s="798" t="s">
        <v>28</v>
      </c>
      <c r="D415" s="800">
        <v>1.87</v>
      </c>
    </row>
    <row r="416" spans="1:4" ht="27">
      <c r="A416" s="798">
        <v>88843</v>
      </c>
      <c r="B416" s="799" t="s">
        <v>1051</v>
      </c>
      <c r="C416" s="798" t="s">
        <v>28</v>
      </c>
      <c r="D416" s="800">
        <v>175.3</v>
      </c>
    </row>
    <row r="417" spans="1:4" ht="40.5">
      <c r="A417" s="798">
        <v>88907</v>
      </c>
      <c r="B417" s="799" t="s">
        <v>1067</v>
      </c>
      <c r="C417" s="798" t="s">
        <v>28</v>
      </c>
      <c r="D417" s="800">
        <v>225.41</v>
      </c>
    </row>
    <row r="418" spans="1:4" ht="54">
      <c r="A418" s="798">
        <v>89021</v>
      </c>
      <c r="B418" s="799" t="s">
        <v>1079</v>
      </c>
      <c r="C418" s="798" t="s">
        <v>28</v>
      </c>
      <c r="D418" s="800">
        <v>2.36</v>
      </c>
    </row>
    <row r="419" spans="1:4" ht="27">
      <c r="A419" s="798">
        <v>89028</v>
      </c>
      <c r="B419" s="799" t="s">
        <v>190</v>
      </c>
      <c r="C419" s="798" t="s">
        <v>28</v>
      </c>
      <c r="D419" s="800">
        <v>244.42</v>
      </c>
    </row>
    <row r="420" spans="1:4" ht="27">
      <c r="A420" s="798">
        <v>89032</v>
      </c>
      <c r="B420" s="799" t="s">
        <v>1088</v>
      </c>
      <c r="C420" s="798" t="s">
        <v>28</v>
      </c>
      <c r="D420" s="800">
        <v>156.09</v>
      </c>
    </row>
    <row r="421" spans="1:4" ht="27">
      <c r="A421" s="798">
        <v>89035</v>
      </c>
      <c r="B421" s="799" t="s">
        <v>193</v>
      </c>
      <c r="C421" s="798" t="s">
        <v>28</v>
      </c>
      <c r="D421" s="800">
        <v>110.74</v>
      </c>
    </row>
    <row r="422" spans="1:4" ht="40.5">
      <c r="A422" s="798">
        <v>89225</v>
      </c>
      <c r="B422" s="799" t="s">
        <v>1102</v>
      </c>
      <c r="C422" s="798" t="s">
        <v>28</v>
      </c>
      <c r="D422" s="800">
        <v>5.3</v>
      </c>
    </row>
    <row r="423" spans="1:4" ht="40.5">
      <c r="A423" s="798">
        <v>89234</v>
      </c>
      <c r="B423" s="799" t="s">
        <v>1108</v>
      </c>
      <c r="C423" s="798" t="s">
        <v>28</v>
      </c>
      <c r="D423" s="800">
        <v>543.28</v>
      </c>
    </row>
    <row r="424" spans="1:4" ht="40.5">
      <c r="A424" s="798">
        <v>89242</v>
      </c>
      <c r="B424" s="799" t="s">
        <v>1115</v>
      </c>
      <c r="C424" s="798" t="s">
        <v>28</v>
      </c>
      <c r="D424" s="800">
        <v>1297.22</v>
      </c>
    </row>
    <row r="425" spans="1:4" ht="40.5">
      <c r="A425" s="798">
        <v>89250</v>
      </c>
      <c r="B425" s="799" t="s">
        <v>207</v>
      </c>
      <c r="C425" s="798" t="s">
        <v>28</v>
      </c>
      <c r="D425" s="800">
        <v>1122.23</v>
      </c>
    </row>
    <row r="426" spans="1:4" ht="40.5">
      <c r="A426" s="798">
        <v>89257</v>
      </c>
      <c r="B426" s="799" t="s">
        <v>1120</v>
      </c>
      <c r="C426" s="798" t="s">
        <v>28</v>
      </c>
      <c r="D426" s="800">
        <v>301.82</v>
      </c>
    </row>
    <row r="427" spans="1:4" ht="40.5">
      <c r="A427" s="798">
        <v>89272</v>
      </c>
      <c r="B427" s="799" t="s">
        <v>1133</v>
      </c>
      <c r="C427" s="798" t="s">
        <v>28</v>
      </c>
      <c r="D427" s="800">
        <v>176.12</v>
      </c>
    </row>
    <row r="428" spans="1:4" ht="40.5">
      <c r="A428" s="798">
        <v>89278</v>
      </c>
      <c r="B428" s="799" t="s">
        <v>1135</v>
      </c>
      <c r="C428" s="798" t="s">
        <v>28</v>
      </c>
      <c r="D428" s="800">
        <v>12.22</v>
      </c>
    </row>
    <row r="429" spans="1:4" ht="27">
      <c r="A429" s="798">
        <v>89843</v>
      </c>
      <c r="B429" s="799" t="s">
        <v>303</v>
      </c>
      <c r="C429" s="798" t="s">
        <v>28</v>
      </c>
      <c r="D429" s="800">
        <v>178.16</v>
      </c>
    </row>
    <row r="430" spans="1:4" ht="54">
      <c r="A430" s="798">
        <v>89876</v>
      </c>
      <c r="B430" s="799" t="s">
        <v>311</v>
      </c>
      <c r="C430" s="798" t="s">
        <v>28</v>
      </c>
      <c r="D430" s="800">
        <v>286.61</v>
      </c>
    </row>
    <row r="431" spans="1:4" ht="54">
      <c r="A431" s="798">
        <v>89883</v>
      </c>
      <c r="B431" s="799" t="s">
        <v>318</v>
      </c>
      <c r="C431" s="798" t="s">
        <v>28</v>
      </c>
      <c r="D431" s="800">
        <v>320.2</v>
      </c>
    </row>
    <row r="432" spans="1:4" ht="40.5">
      <c r="A432" s="798">
        <v>90586</v>
      </c>
      <c r="B432" s="799" t="s">
        <v>1600</v>
      </c>
      <c r="C432" s="798" t="s">
        <v>28</v>
      </c>
      <c r="D432" s="800">
        <v>1.22</v>
      </c>
    </row>
    <row r="433" spans="1:4" ht="27">
      <c r="A433" s="798">
        <v>90625</v>
      </c>
      <c r="B433" s="799" t="s">
        <v>339</v>
      </c>
      <c r="C433" s="798" t="s">
        <v>28</v>
      </c>
      <c r="D433" s="800">
        <v>7.93</v>
      </c>
    </row>
    <row r="434" spans="1:4" ht="40.5">
      <c r="A434" s="798">
        <v>90631</v>
      </c>
      <c r="B434" s="799" t="s">
        <v>344</v>
      </c>
      <c r="C434" s="798" t="s">
        <v>28</v>
      </c>
      <c r="D434" s="800">
        <v>124.63</v>
      </c>
    </row>
    <row r="435" spans="1:4" ht="54">
      <c r="A435" s="798">
        <v>90637</v>
      </c>
      <c r="B435" s="799" t="s">
        <v>350</v>
      </c>
      <c r="C435" s="798" t="s">
        <v>28</v>
      </c>
      <c r="D435" s="800">
        <v>15.09</v>
      </c>
    </row>
    <row r="436" spans="1:4" ht="40.5">
      <c r="A436" s="798">
        <v>90643</v>
      </c>
      <c r="B436" s="799" t="s">
        <v>1607</v>
      </c>
      <c r="C436" s="798" t="s">
        <v>28</v>
      </c>
      <c r="D436" s="800">
        <v>26.45</v>
      </c>
    </row>
    <row r="437" spans="1:4" ht="54">
      <c r="A437" s="798">
        <v>90650</v>
      </c>
      <c r="B437" s="799" t="s">
        <v>1613</v>
      </c>
      <c r="C437" s="798" t="s">
        <v>28</v>
      </c>
      <c r="D437" s="800">
        <v>10.25</v>
      </c>
    </row>
    <row r="438" spans="1:4" ht="27">
      <c r="A438" s="798">
        <v>90656</v>
      </c>
      <c r="B438" s="799" t="s">
        <v>352</v>
      </c>
      <c r="C438" s="798" t="s">
        <v>28</v>
      </c>
      <c r="D438" s="800">
        <v>14.96</v>
      </c>
    </row>
    <row r="439" spans="1:4" ht="27">
      <c r="A439" s="798">
        <v>90662</v>
      </c>
      <c r="B439" s="799" t="s">
        <v>354</v>
      </c>
      <c r="C439" s="798" t="s">
        <v>28</v>
      </c>
      <c r="D439" s="800">
        <v>15.61</v>
      </c>
    </row>
    <row r="440" spans="1:4" ht="54">
      <c r="A440" s="798">
        <v>90668</v>
      </c>
      <c r="B440" s="799" t="s">
        <v>1627</v>
      </c>
      <c r="C440" s="798" t="s">
        <v>28</v>
      </c>
      <c r="D440" s="800">
        <v>28.08</v>
      </c>
    </row>
    <row r="441" spans="1:4" ht="67.5">
      <c r="A441" s="798">
        <v>90674</v>
      </c>
      <c r="B441" s="799" t="s">
        <v>1633</v>
      </c>
      <c r="C441" s="798" t="s">
        <v>28</v>
      </c>
      <c r="D441" s="800">
        <v>632.72</v>
      </c>
    </row>
    <row r="442" spans="1:4" ht="67.5">
      <c r="A442" s="798">
        <v>90680</v>
      </c>
      <c r="B442" s="799" t="s">
        <v>1639</v>
      </c>
      <c r="C442" s="798" t="s">
        <v>28</v>
      </c>
      <c r="D442" s="800">
        <v>360.73</v>
      </c>
    </row>
    <row r="443" spans="1:4" ht="40.5">
      <c r="A443" s="798">
        <v>90686</v>
      </c>
      <c r="B443" s="799" t="s">
        <v>1645</v>
      </c>
      <c r="C443" s="798" t="s">
        <v>28</v>
      </c>
      <c r="D443" s="800">
        <v>136.86000000000001</v>
      </c>
    </row>
    <row r="444" spans="1:4" ht="40.5">
      <c r="A444" s="798">
        <v>90692</v>
      </c>
      <c r="B444" s="799" t="s">
        <v>1651</v>
      </c>
      <c r="C444" s="798" t="s">
        <v>28</v>
      </c>
      <c r="D444" s="800">
        <v>90.37</v>
      </c>
    </row>
    <row r="445" spans="1:4" ht="40.5">
      <c r="A445" s="798">
        <v>90964</v>
      </c>
      <c r="B445" s="799" t="s">
        <v>376</v>
      </c>
      <c r="C445" s="798" t="s">
        <v>28</v>
      </c>
      <c r="D445" s="800">
        <v>28.02</v>
      </c>
    </row>
    <row r="446" spans="1:4" ht="40.5">
      <c r="A446" s="798">
        <v>90972</v>
      </c>
      <c r="B446" s="799" t="s">
        <v>1658</v>
      </c>
      <c r="C446" s="798" t="s">
        <v>28</v>
      </c>
      <c r="D446" s="800">
        <v>73.150000000000006</v>
      </c>
    </row>
    <row r="447" spans="1:4" ht="40.5">
      <c r="A447" s="798">
        <v>90979</v>
      </c>
      <c r="B447" s="799" t="s">
        <v>381</v>
      </c>
      <c r="C447" s="798" t="s">
        <v>28</v>
      </c>
      <c r="D447" s="800">
        <v>189.06</v>
      </c>
    </row>
    <row r="448" spans="1:4" ht="40.5">
      <c r="A448" s="798">
        <v>90991</v>
      </c>
      <c r="B448" s="799" t="s">
        <v>1661</v>
      </c>
      <c r="C448" s="798" t="s">
        <v>28</v>
      </c>
      <c r="D448" s="800">
        <v>182.71</v>
      </c>
    </row>
    <row r="449" spans="1:4" ht="40.5">
      <c r="A449" s="798">
        <v>90999</v>
      </c>
      <c r="B449" s="799" t="s">
        <v>1666</v>
      </c>
      <c r="C449" s="798" t="s">
        <v>28</v>
      </c>
      <c r="D449" s="800">
        <v>97.07</v>
      </c>
    </row>
    <row r="450" spans="1:4" ht="54">
      <c r="A450" s="798">
        <v>91031</v>
      </c>
      <c r="B450" s="799" t="s">
        <v>388</v>
      </c>
      <c r="C450" s="798" t="s">
        <v>28</v>
      </c>
      <c r="D450" s="800">
        <v>220.61</v>
      </c>
    </row>
    <row r="451" spans="1:4" ht="40.5">
      <c r="A451" s="798">
        <v>91277</v>
      </c>
      <c r="B451" s="799" t="s">
        <v>1724</v>
      </c>
      <c r="C451" s="798" t="s">
        <v>28</v>
      </c>
      <c r="D451" s="800">
        <v>10.42</v>
      </c>
    </row>
    <row r="452" spans="1:4" ht="54">
      <c r="A452" s="798">
        <v>91283</v>
      </c>
      <c r="B452" s="799" t="s">
        <v>1730</v>
      </c>
      <c r="C452" s="798" t="s">
        <v>28</v>
      </c>
      <c r="D452" s="800">
        <v>11.83</v>
      </c>
    </row>
    <row r="453" spans="1:4" ht="54">
      <c r="A453" s="798">
        <v>91386</v>
      </c>
      <c r="B453" s="799" t="s">
        <v>1746</v>
      </c>
      <c r="C453" s="798" t="s">
        <v>28</v>
      </c>
      <c r="D453" s="800">
        <v>183.94</v>
      </c>
    </row>
    <row r="454" spans="1:4" ht="40.5">
      <c r="A454" s="798">
        <v>91533</v>
      </c>
      <c r="B454" s="799" t="s">
        <v>1773</v>
      </c>
      <c r="C454" s="798" t="s">
        <v>28</v>
      </c>
      <c r="D454" s="800">
        <v>22.75</v>
      </c>
    </row>
    <row r="455" spans="1:4" ht="54">
      <c r="A455" s="798">
        <v>91634</v>
      </c>
      <c r="B455" s="799" t="s">
        <v>1780</v>
      </c>
      <c r="C455" s="798" t="s">
        <v>28</v>
      </c>
      <c r="D455" s="800">
        <v>200.8</v>
      </c>
    </row>
    <row r="456" spans="1:4" ht="67.5">
      <c r="A456" s="798">
        <v>91645</v>
      </c>
      <c r="B456" s="799" t="s">
        <v>1787</v>
      </c>
      <c r="C456" s="798" t="s">
        <v>28</v>
      </c>
      <c r="D456" s="800">
        <v>418.07</v>
      </c>
    </row>
    <row r="457" spans="1:4" ht="40.5">
      <c r="A457" s="798">
        <v>91692</v>
      </c>
      <c r="B457" s="799" t="s">
        <v>1793</v>
      </c>
      <c r="C457" s="798" t="s">
        <v>28</v>
      </c>
      <c r="D457" s="800">
        <v>15.82</v>
      </c>
    </row>
    <row r="458" spans="1:4" ht="40.5">
      <c r="A458" s="798">
        <v>92043</v>
      </c>
      <c r="B458" s="799" t="s">
        <v>1932</v>
      </c>
      <c r="C458" s="798" t="s">
        <v>28</v>
      </c>
      <c r="D458" s="800">
        <v>11.44</v>
      </c>
    </row>
    <row r="459" spans="1:4" ht="67.5">
      <c r="A459" s="798">
        <v>92106</v>
      </c>
      <c r="B459" s="799" t="s">
        <v>1938</v>
      </c>
      <c r="C459" s="798" t="s">
        <v>28</v>
      </c>
      <c r="D459" s="800">
        <v>293.24</v>
      </c>
    </row>
    <row r="460" spans="1:4" ht="40.5">
      <c r="A460" s="798">
        <v>92112</v>
      </c>
      <c r="B460" s="799" t="s">
        <v>442</v>
      </c>
      <c r="C460" s="798" t="s">
        <v>28</v>
      </c>
      <c r="D460" s="800">
        <v>3</v>
      </c>
    </row>
    <row r="461" spans="1:4" ht="27">
      <c r="A461" s="798">
        <v>92118</v>
      </c>
      <c r="B461" s="799" t="s">
        <v>447</v>
      </c>
      <c r="C461" s="798" t="s">
        <v>28</v>
      </c>
      <c r="D461" s="800">
        <v>0.26</v>
      </c>
    </row>
    <row r="462" spans="1:4" ht="27">
      <c r="A462" s="798">
        <v>92138</v>
      </c>
      <c r="B462" s="799" t="s">
        <v>1945</v>
      </c>
      <c r="C462" s="798" t="s">
        <v>28</v>
      </c>
      <c r="D462" s="800">
        <v>78.150000000000006</v>
      </c>
    </row>
    <row r="463" spans="1:4" ht="40.5">
      <c r="A463" s="798">
        <v>92145</v>
      </c>
      <c r="B463" s="799" t="s">
        <v>457</v>
      </c>
      <c r="C463" s="798" t="s">
        <v>28</v>
      </c>
      <c r="D463" s="800">
        <v>67.900000000000006</v>
      </c>
    </row>
    <row r="464" spans="1:4" ht="67.5">
      <c r="A464" s="798">
        <v>92242</v>
      </c>
      <c r="B464" s="799" t="s">
        <v>1966</v>
      </c>
      <c r="C464" s="798" t="s">
        <v>28</v>
      </c>
      <c r="D464" s="800">
        <v>365.73</v>
      </c>
    </row>
    <row r="465" spans="1:4" ht="40.5">
      <c r="A465" s="798">
        <v>92716</v>
      </c>
      <c r="B465" s="799" t="s">
        <v>2006</v>
      </c>
      <c r="C465" s="798" t="s">
        <v>28</v>
      </c>
      <c r="D465" s="800">
        <v>31.08</v>
      </c>
    </row>
    <row r="466" spans="1:4" ht="40.5">
      <c r="A466" s="798">
        <v>92960</v>
      </c>
      <c r="B466" s="799" t="s">
        <v>2134</v>
      </c>
      <c r="C466" s="798" t="s">
        <v>28</v>
      </c>
      <c r="D466" s="800">
        <v>19.13</v>
      </c>
    </row>
    <row r="467" spans="1:4" ht="27">
      <c r="A467" s="798">
        <v>92966</v>
      </c>
      <c r="B467" s="799" t="s">
        <v>2138</v>
      </c>
      <c r="C467" s="798" t="s">
        <v>28</v>
      </c>
      <c r="D467" s="800">
        <v>16.059999999999999</v>
      </c>
    </row>
    <row r="468" spans="1:4" ht="67.5">
      <c r="A468" s="798">
        <v>93224</v>
      </c>
      <c r="B468" s="799" t="s">
        <v>2181</v>
      </c>
      <c r="C468" s="798" t="s">
        <v>28</v>
      </c>
      <c r="D468" s="800">
        <v>946.49</v>
      </c>
    </row>
    <row r="469" spans="1:4" ht="40.5">
      <c r="A469" s="798">
        <v>93233</v>
      </c>
      <c r="B469" s="799" t="s">
        <v>481</v>
      </c>
      <c r="C469" s="798" t="s">
        <v>28</v>
      </c>
      <c r="D469" s="800">
        <v>10.1</v>
      </c>
    </row>
    <row r="470" spans="1:4" ht="27">
      <c r="A470" s="798">
        <v>93272</v>
      </c>
      <c r="B470" s="799" t="s">
        <v>2191</v>
      </c>
      <c r="C470" s="798" t="s">
        <v>28</v>
      </c>
      <c r="D470" s="800">
        <v>114.68</v>
      </c>
    </row>
    <row r="471" spans="1:4" ht="40.5">
      <c r="A471" s="798">
        <v>93281</v>
      </c>
      <c r="B471" s="799" t="s">
        <v>2197</v>
      </c>
      <c r="C471" s="798" t="s">
        <v>28</v>
      </c>
      <c r="D471" s="800">
        <v>15.2</v>
      </c>
    </row>
    <row r="472" spans="1:4" ht="40.5">
      <c r="A472" s="798">
        <v>93287</v>
      </c>
      <c r="B472" s="799" t="s">
        <v>2203</v>
      </c>
      <c r="C472" s="798" t="s">
        <v>28</v>
      </c>
      <c r="D472" s="800">
        <v>282.62</v>
      </c>
    </row>
    <row r="473" spans="1:4" ht="54">
      <c r="A473" s="798">
        <v>93402</v>
      </c>
      <c r="B473" s="799" t="s">
        <v>605</v>
      </c>
      <c r="C473" s="798" t="s">
        <v>28</v>
      </c>
      <c r="D473" s="800">
        <v>224.8</v>
      </c>
    </row>
    <row r="474" spans="1:4" ht="67.5">
      <c r="A474" s="798">
        <v>93408</v>
      </c>
      <c r="B474" s="799" t="s">
        <v>4137</v>
      </c>
      <c r="C474" s="798" t="s">
        <v>28</v>
      </c>
      <c r="D474" s="800">
        <v>76.62</v>
      </c>
    </row>
    <row r="475" spans="1:4" ht="40.5">
      <c r="A475" s="798">
        <v>93415</v>
      </c>
      <c r="B475" s="799" t="s">
        <v>2234</v>
      </c>
      <c r="C475" s="798" t="s">
        <v>28</v>
      </c>
      <c r="D475" s="800">
        <v>16.510000000000002</v>
      </c>
    </row>
    <row r="476" spans="1:4" ht="27">
      <c r="A476" s="798">
        <v>93421</v>
      </c>
      <c r="B476" s="799" t="s">
        <v>486</v>
      </c>
      <c r="C476" s="798" t="s">
        <v>28</v>
      </c>
      <c r="D476" s="800">
        <v>73.47</v>
      </c>
    </row>
    <row r="477" spans="1:4" ht="27">
      <c r="A477" s="798">
        <v>93427</v>
      </c>
      <c r="B477" s="799" t="s">
        <v>2243</v>
      </c>
      <c r="C477" s="798" t="s">
        <v>28</v>
      </c>
      <c r="D477" s="800">
        <v>168.55</v>
      </c>
    </row>
    <row r="478" spans="1:4" ht="27">
      <c r="A478" s="798">
        <v>93433</v>
      </c>
      <c r="B478" s="799" t="s">
        <v>2249</v>
      </c>
      <c r="C478" s="798" t="s">
        <v>28</v>
      </c>
      <c r="D478" s="800">
        <v>3207.25</v>
      </c>
    </row>
    <row r="479" spans="1:4" ht="40.5">
      <c r="A479" s="798">
        <v>93439</v>
      </c>
      <c r="B479" s="799" t="s">
        <v>2255</v>
      </c>
      <c r="C479" s="798" t="s">
        <v>28</v>
      </c>
      <c r="D479" s="800">
        <v>118.3</v>
      </c>
    </row>
    <row r="480" spans="1:4" ht="27">
      <c r="A480" s="798">
        <v>95121</v>
      </c>
      <c r="B480" s="799" t="s">
        <v>2458</v>
      </c>
      <c r="C480" s="798" t="s">
        <v>28</v>
      </c>
      <c r="D480" s="800">
        <v>274.10000000000002</v>
      </c>
    </row>
    <row r="481" spans="1:4" ht="27">
      <c r="A481" s="798">
        <v>95127</v>
      </c>
      <c r="B481" s="799" t="s">
        <v>517</v>
      </c>
      <c r="C481" s="798" t="s">
        <v>28</v>
      </c>
      <c r="D481" s="800">
        <v>196.52</v>
      </c>
    </row>
    <row r="482" spans="1:4" ht="40.5">
      <c r="A482" s="798">
        <v>95133</v>
      </c>
      <c r="B482" s="799" t="s">
        <v>2465</v>
      </c>
      <c r="C482" s="798" t="s">
        <v>28</v>
      </c>
      <c r="D482" s="800">
        <v>124.65</v>
      </c>
    </row>
    <row r="483" spans="1:4" ht="27">
      <c r="A483" s="798">
        <v>95139</v>
      </c>
      <c r="B483" s="799" t="s">
        <v>2469</v>
      </c>
      <c r="C483" s="798" t="s">
        <v>28</v>
      </c>
      <c r="D483" s="800">
        <v>0.06</v>
      </c>
    </row>
    <row r="484" spans="1:4" ht="27">
      <c r="A484" s="798">
        <v>95212</v>
      </c>
      <c r="B484" s="799" t="s">
        <v>2476</v>
      </c>
      <c r="C484" s="798" t="s">
        <v>28</v>
      </c>
      <c r="D484" s="800">
        <v>126.95</v>
      </c>
    </row>
    <row r="485" spans="1:4" ht="27">
      <c r="A485" s="798">
        <v>95258</v>
      </c>
      <c r="B485" s="799" t="s">
        <v>522</v>
      </c>
      <c r="C485" s="798" t="s">
        <v>28</v>
      </c>
      <c r="D485" s="800">
        <v>15.52</v>
      </c>
    </row>
    <row r="486" spans="1:4" ht="27">
      <c r="A486" s="798">
        <v>95264</v>
      </c>
      <c r="B486" s="799" t="s">
        <v>2484</v>
      </c>
      <c r="C486" s="798" t="s">
        <v>28</v>
      </c>
      <c r="D486" s="800">
        <v>7.24</v>
      </c>
    </row>
    <row r="487" spans="1:4" ht="40.5">
      <c r="A487" s="798">
        <v>95270</v>
      </c>
      <c r="B487" s="799" t="s">
        <v>2490</v>
      </c>
      <c r="C487" s="798" t="s">
        <v>28</v>
      </c>
      <c r="D487" s="800">
        <v>10.14</v>
      </c>
    </row>
    <row r="488" spans="1:4" ht="40.5">
      <c r="A488" s="798">
        <v>95276</v>
      </c>
      <c r="B488" s="799" t="s">
        <v>2496</v>
      </c>
      <c r="C488" s="798" t="s">
        <v>28</v>
      </c>
      <c r="D488" s="800">
        <v>3.12</v>
      </c>
    </row>
    <row r="489" spans="1:4" ht="40.5">
      <c r="A489" s="798">
        <v>95282</v>
      </c>
      <c r="B489" s="799" t="s">
        <v>2502</v>
      </c>
      <c r="C489" s="798" t="s">
        <v>28</v>
      </c>
      <c r="D489" s="800">
        <v>10.32</v>
      </c>
    </row>
    <row r="490" spans="1:4" ht="40.5">
      <c r="A490" s="798">
        <v>95620</v>
      </c>
      <c r="B490" s="799" t="s">
        <v>2624</v>
      </c>
      <c r="C490" s="798" t="s">
        <v>28</v>
      </c>
      <c r="D490" s="800">
        <v>14.9</v>
      </c>
    </row>
    <row r="491" spans="1:4" ht="40.5">
      <c r="A491" s="798">
        <v>95631</v>
      </c>
      <c r="B491" s="799" t="s">
        <v>2632</v>
      </c>
      <c r="C491" s="798" t="s">
        <v>28</v>
      </c>
      <c r="D491" s="800">
        <v>216.61</v>
      </c>
    </row>
    <row r="492" spans="1:4" ht="40.5">
      <c r="A492" s="798">
        <v>95702</v>
      </c>
      <c r="B492" s="799" t="s">
        <v>2653</v>
      </c>
      <c r="C492" s="798" t="s">
        <v>28</v>
      </c>
      <c r="D492" s="800">
        <v>28.52</v>
      </c>
    </row>
    <row r="493" spans="1:4" ht="40.5">
      <c r="A493" s="798">
        <v>95708</v>
      </c>
      <c r="B493" s="799" t="s">
        <v>2659</v>
      </c>
      <c r="C493" s="798" t="s">
        <v>28</v>
      </c>
      <c r="D493" s="800">
        <v>122.48</v>
      </c>
    </row>
    <row r="494" spans="1:4" ht="54">
      <c r="A494" s="798">
        <v>95714</v>
      </c>
      <c r="B494" s="799" t="s">
        <v>2665</v>
      </c>
      <c r="C494" s="798" t="s">
        <v>28</v>
      </c>
      <c r="D494" s="800">
        <v>231.81</v>
      </c>
    </row>
    <row r="495" spans="1:4" ht="67.5">
      <c r="A495" s="798">
        <v>95720</v>
      </c>
      <c r="B495" s="799" t="s">
        <v>2671</v>
      </c>
      <c r="C495" s="798" t="s">
        <v>28</v>
      </c>
      <c r="D495" s="800">
        <v>227.14</v>
      </c>
    </row>
    <row r="496" spans="1:4" ht="27">
      <c r="A496" s="798">
        <v>95872</v>
      </c>
      <c r="B496" s="799" t="s">
        <v>543</v>
      </c>
      <c r="C496" s="798" t="s">
        <v>28</v>
      </c>
      <c r="D496" s="800">
        <v>286.08</v>
      </c>
    </row>
    <row r="497" spans="1:4" ht="40.5">
      <c r="A497" s="798">
        <v>96013</v>
      </c>
      <c r="B497" s="799" t="s">
        <v>2735</v>
      </c>
      <c r="C497" s="798" t="s">
        <v>28</v>
      </c>
      <c r="D497" s="800">
        <v>160.41999999999999</v>
      </c>
    </row>
    <row r="498" spans="1:4" ht="27">
      <c r="A498" s="798">
        <v>96020</v>
      </c>
      <c r="B498" s="799" t="s">
        <v>2741</v>
      </c>
      <c r="C498" s="798" t="s">
        <v>28</v>
      </c>
      <c r="D498" s="800">
        <v>234.16</v>
      </c>
    </row>
    <row r="499" spans="1:4" ht="27">
      <c r="A499" s="798">
        <v>96028</v>
      </c>
      <c r="B499" s="799" t="s">
        <v>632</v>
      </c>
      <c r="C499" s="798" t="s">
        <v>28</v>
      </c>
      <c r="D499" s="800">
        <v>171.84</v>
      </c>
    </row>
    <row r="500" spans="1:4" ht="40.5">
      <c r="A500" s="798">
        <v>96035</v>
      </c>
      <c r="B500" s="799" t="s">
        <v>2747</v>
      </c>
      <c r="C500" s="798" t="s">
        <v>28</v>
      </c>
      <c r="D500" s="800">
        <v>232.85</v>
      </c>
    </row>
    <row r="501" spans="1:4" ht="40.5">
      <c r="A501" s="798">
        <v>96157</v>
      </c>
      <c r="B501" s="799" t="s">
        <v>2776</v>
      </c>
      <c r="C501" s="798" t="s">
        <v>28</v>
      </c>
      <c r="D501" s="800">
        <v>120.62</v>
      </c>
    </row>
    <row r="502" spans="1:4" ht="40.5">
      <c r="A502" s="798">
        <v>96158</v>
      </c>
      <c r="B502" s="799" t="s">
        <v>639</v>
      </c>
      <c r="C502" s="798" t="s">
        <v>28</v>
      </c>
      <c r="D502" s="800">
        <v>106</v>
      </c>
    </row>
    <row r="503" spans="1:4" ht="40.5">
      <c r="A503" s="798">
        <v>96245</v>
      </c>
      <c r="B503" s="799" t="s">
        <v>2782</v>
      </c>
      <c r="C503" s="798" t="s">
        <v>28</v>
      </c>
      <c r="D503" s="800">
        <v>73.349999999999994</v>
      </c>
    </row>
    <row r="504" spans="1:4" ht="54">
      <c r="A504" s="798">
        <v>96463</v>
      </c>
      <c r="B504" s="799" t="s">
        <v>2809</v>
      </c>
      <c r="C504" s="798" t="s">
        <v>28</v>
      </c>
      <c r="D504" s="800">
        <v>203.95</v>
      </c>
    </row>
    <row r="505" spans="1:4" ht="40.5">
      <c r="A505" s="798">
        <v>98764</v>
      </c>
      <c r="B505" s="799" t="s">
        <v>3382</v>
      </c>
      <c r="C505" s="798" t="s">
        <v>28</v>
      </c>
      <c r="D505" s="800">
        <v>4.4000000000000004</v>
      </c>
    </row>
    <row r="506" spans="1:4" ht="40.5">
      <c r="A506" s="798">
        <v>99833</v>
      </c>
      <c r="B506" s="799" t="s">
        <v>3586</v>
      </c>
      <c r="C506" s="798" t="s">
        <v>28</v>
      </c>
      <c r="D506" s="800">
        <v>4.5599999999999996</v>
      </c>
    </row>
    <row r="507" spans="1:4" ht="40.5">
      <c r="A507" s="798">
        <v>100641</v>
      </c>
      <c r="B507" s="799" t="s">
        <v>4138</v>
      </c>
      <c r="C507" s="798" t="s">
        <v>28</v>
      </c>
      <c r="D507" s="800">
        <v>593.66999999999996</v>
      </c>
    </row>
    <row r="508" spans="1:4" ht="27">
      <c r="A508" s="798">
        <v>100647</v>
      </c>
      <c r="B508" s="799" t="s">
        <v>4139</v>
      </c>
      <c r="C508" s="798" t="s">
        <v>28</v>
      </c>
      <c r="D508" s="800">
        <v>1277.46</v>
      </c>
    </row>
    <row r="509" spans="1:4" ht="40.5">
      <c r="A509" s="798">
        <v>102275</v>
      </c>
      <c r="B509" s="799" t="s">
        <v>6229</v>
      </c>
      <c r="C509" s="798" t="s">
        <v>28</v>
      </c>
      <c r="D509" s="800">
        <v>15.33</v>
      </c>
    </row>
    <row r="510" spans="1:4" ht="40.5">
      <c r="A510" s="798">
        <v>5632</v>
      </c>
      <c r="B510" s="799" t="s">
        <v>671</v>
      </c>
      <c r="C510" s="798" t="s">
        <v>42</v>
      </c>
      <c r="D510" s="800">
        <v>68.569999999999993</v>
      </c>
    </row>
    <row r="511" spans="1:4" ht="67.5">
      <c r="A511" s="798">
        <v>5679</v>
      </c>
      <c r="B511" s="799" t="s">
        <v>678</v>
      </c>
      <c r="C511" s="798" t="s">
        <v>42</v>
      </c>
      <c r="D511" s="800">
        <v>40.15</v>
      </c>
    </row>
    <row r="512" spans="1:4" ht="67.5">
      <c r="A512" s="798">
        <v>5681</v>
      </c>
      <c r="B512" s="799" t="s">
        <v>680</v>
      </c>
      <c r="C512" s="798" t="s">
        <v>42</v>
      </c>
      <c r="D512" s="800">
        <v>37.659999999999997</v>
      </c>
    </row>
    <row r="513" spans="1:4" ht="54">
      <c r="A513" s="798">
        <v>5685</v>
      </c>
      <c r="B513" s="799" t="s">
        <v>682</v>
      </c>
      <c r="C513" s="798" t="s">
        <v>42</v>
      </c>
      <c r="D513" s="800">
        <v>50.7</v>
      </c>
    </row>
    <row r="514" spans="1:4" ht="40.5">
      <c r="A514" s="798">
        <v>5690</v>
      </c>
      <c r="B514" s="799" t="s">
        <v>683</v>
      </c>
      <c r="C514" s="798" t="s">
        <v>42</v>
      </c>
      <c r="D514" s="800">
        <v>4.59</v>
      </c>
    </row>
    <row r="515" spans="1:4" ht="54">
      <c r="A515" s="798">
        <v>5806</v>
      </c>
      <c r="B515" s="799" t="s">
        <v>708</v>
      </c>
      <c r="C515" s="798" t="s">
        <v>42</v>
      </c>
      <c r="D515" s="800">
        <v>0.2</v>
      </c>
    </row>
    <row r="516" spans="1:4" ht="67.5">
      <c r="A516" s="798">
        <v>5826</v>
      </c>
      <c r="B516" s="799" t="s">
        <v>711</v>
      </c>
      <c r="C516" s="798" t="s">
        <v>42</v>
      </c>
      <c r="D516" s="800">
        <v>33.700000000000003</v>
      </c>
    </row>
    <row r="517" spans="1:4" ht="27">
      <c r="A517" s="798">
        <v>5829</v>
      </c>
      <c r="B517" s="799" t="s">
        <v>55</v>
      </c>
      <c r="C517" s="798" t="s">
        <v>42</v>
      </c>
      <c r="D517" s="800">
        <v>112.87</v>
      </c>
    </row>
    <row r="518" spans="1:4" ht="40.5">
      <c r="A518" s="798">
        <v>5837</v>
      </c>
      <c r="B518" s="799" t="s">
        <v>713</v>
      </c>
      <c r="C518" s="798" t="s">
        <v>42</v>
      </c>
      <c r="D518" s="800">
        <v>120.91</v>
      </c>
    </row>
    <row r="519" spans="1:4" ht="40.5">
      <c r="A519" s="798">
        <v>5841</v>
      </c>
      <c r="B519" s="799" t="s">
        <v>715</v>
      </c>
      <c r="C519" s="798" t="s">
        <v>42</v>
      </c>
      <c r="D519" s="800">
        <v>5.28</v>
      </c>
    </row>
    <row r="520" spans="1:4" ht="27">
      <c r="A520" s="798">
        <v>5845</v>
      </c>
      <c r="B520" s="799" t="s">
        <v>57</v>
      </c>
      <c r="C520" s="798" t="s">
        <v>42</v>
      </c>
      <c r="D520" s="800">
        <v>35.159999999999997</v>
      </c>
    </row>
    <row r="521" spans="1:4" ht="27">
      <c r="A521" s="798">
        <v>5849</v>
      </c>
      <c r="B521" s="799" t="s">
        <v>717</v>
      </c>
      <c r="C521" s="798" t="s">
        <v>42</v>
      </c>
      <c r="D521" s="800">
        <v>56.33</v>
      </c>
    </row>
    <row r="522" spans="1:4" ht="40.5">
      <c r="A522" s="798">
        <v>5853</v>
      </c>
      <c r="B522" s="799" t="s">
        <v>59</v>
      </c>
      <c r="C522" s="798" t="s">
        <v>42</v>
      </c>
      <c r="D522" s="800">
        <v>56.59</v>
      </c>
    </row>
    <row r="523" spans="1:4" ht="27">
      <c r="A523" s="798">
        <v>5857</v>
      </c>
      <c r="B523" s="799" t="s">
        <v>719</v>
      </c>
      <c r="C523" s="798" t="s">
        <v>42</v>
      </c>
      <c r="D523" s="800">
        <v>152.49</v>
      </c>
    </row>
    <row r="524" spans="1:4" ht="54">
      <c r="A524" s="798">
        <v>5865</v>
      </c>
      <c r="B524" s="799" t="s">
        <v>721</v>
      </c>
      <c r="C524" s="798" t="s">
        <v>42</v>
      </c>
      <c r="D524" s="800">
        <v>10.96</v>
      </c>
    </row>
    <row r="525" spans="1:4" ht="40.5">
      <c r="A525" s="798">
        <v>5869</v>
      </c>
      <c r="B525" s="799" t="s">
        <v>723</v>
      </c>
      <c r="C525" s="798" t="s">
        <v>42</v>
      </c>
      <c r="D525" s="800">
        <v>58.98</v>
      </c>
    </row>
    <row r="526" spans="1:4" ht="67.5">
      <c r="A526" s="798">
        <v>5877</v>
      </c>
      <c r="B526" s="799" t="s">
        <v>725</v>
      </c>
      <c r="C526" s="798" t="s">
        <v>42</v>
      </c>
      <c r="D526" s="800">
        <v>39.36</v>
      </c>
    </row>
    <row r="527" spans="1:4" ht="54">
      <c r="A527" s="798">
        <v>5881</v>
      </c>
      <c r="B527" s="799" t="s">
        <v>727</v>
      </c>
      <c r="C527" s="798" t="s">
        <v>42</v>
      </c>
      <c r="D527" s="800">
        <v>64.010000000000005</v>
      </c>
    </row>
    <row r="528" spans="1:4" ht="54">
      <c r="A528" s="798">
        <v>5884</v>
      </c>
      <c r="B528" s="799" t="s">
        <v>729</v>
      </c>
      <c r="C528" s="798" t="s">
        <v>42</v>
      </c>
      <c r="D528" s="800">
        <v>40.33</v>
      </c>
    </row>
    <row r="529" spans="1:4" ht="54">
      <c r="A529" s="798">
        <v>5892</v>
      </c>
      <c r="B529" s="799" t="s">
        <v>61</v>
      </c>
      <c r="C529" s="798" t="s">
        <v>42</v>
      </c>
      <c r="D529" s="800">
        <v>34.799999999999997</v>
      </c>
    </row>
    <row r="530" spans="1:4" ht="54">
      <c r="A530" s="798">
        <v>5896</v>
      </c>
      <c r="B530" s="799" t="s">
        <v>731</v>
      </c>
      <c r="C530" s="798" t="s">
        <v>42</v>
      </c>
      <c r="D530" s="800">
        <v>31.7</v>
      </c>
    </row>
    <row r="531" spans="1:4" ht="67.5">
      <c r="A531" s="798">
        <v>5903</v>
      </c>
      <c r="B531" s="799" t="s">
        <v>733</v>
      </c>
      <c r="C531" s="798" t="s">
        <v>42</v>
      </c>
      <c r="D531" s="800">
        <v>45.3</v>
      </c>
    </row>
    <row r="532" spans="1:4" ht="40.5">
      <c r="A532" s="798">
        <v>5911</v>
      </c>
      <c r="B532" s="799" t="s">
        <v>63</v>
      </c>
      <c r="C532" s="798" t="s">
        <v>42</v>
      </c>
      <c r="D532" s="800">
        <v>19.53</v>
      </c>
    </row>
    <row r="533" spans="1:4" ht="27">
      <c r="A533" s="798">
        <v>5923</v>
      </c>
      <c r="B533" s="799" t="s">
        <v>735</v>
      </c>
      <c r="C533" s="798" t="s">
        <v>42</v>
      </c>
      <c r="D533" s="800">
        <v>3.6</v>
      </c>
    </row>
    <row r="534" spans="1:4" ht="54">
      <c r="A534" s="798">
        <v>5930</v>
      </c>
      <c r="B534" s="799" t="s">
        <v>737</v>
      </c>
      <c r="C534" s="798" t="s">
        <v>42</v>
      </c>
      <c r="D534" s="800">
        <v>42.37</v>
      </c>
    </row>
    <row r="535" spans="1:4" ht="40.5">
      <c r="A535" s="798">
        <v>5934</v>
      </c>
      <c r="B535" s="799" t="s">
        <v>65</v>
      </c>
      <c r="C535" s="798" t="s">
        <v>42</v>
      </c>
      <c r="D535" s="800">
        <v>63.37</v>
      </c>
    </row>
    <row r="536" spans="1:4" ht="40.5">
      <c r="A536" s="798">
        <v>5942</v>
      </c>
      <c r="B536" s="799" t="s">
        <v>739</v>
      </c>
      <c r="C536" s="798" t="s">
        <v>42</v>
      </c>
      <c r="D536" s="800">
        <v>52.21</v>
      </c>
    </row>
    <row r="537" spans="1:4" ht="40.5">
      <c r="A537" s="798">
        <v>5946</v>
      </c>
      <c r="B537" s="799" t="s">
        <v>741</v>
      </c>
      <c r="C537" s="798" t="s">
        <v>42</v>
      </c>
      <c r="D537" s="800">
        <v>66.47</v>
      </c>
    </row>
    <row r="538" spans="1:4" ht="27">
      <c r="A538" s="798">
        <v>5952</v>
      </c>
      <c r="B538" s="799" t="s">
        <v>66</v>
      </c>
      <c r="C538" s="798" t="s">
        <v>42</v>
      </c>
      <c r="D538" s="800">
        <v>13.93</v>
      </c>
    </row>
    <row r="539" spans="1:4" ht="40.5">
      <c r="A539" s="798">
        <v>5954</v>
      </c>
      <c r="B539" s="799" t="s">
        <v>68</v>
      </c>
      <c r="C539" s="798" t="s">
        <v>42</v>
      </c>
      <c r="D539" s="800">
        <v>4.72</v>
      </c>
    </row>
    <row r="540" spans="1:4" ht="54">
      <c r="A540" s="798">
        <v>5961</v>
      </c>
      <c r="B540" s="799" t="s">
        <v>742</v>
      </c>
      <c r="C540" s="798" t="s">
        <v>42</v>
      </c>
      <c r="D540" s="800">
        <v>40.630000000000003</v>
      </c>
    </row>
    <row r="541" spans="1:4" ht="54">
      <c r="A541" s="798">
        <v>6260</v>
      </c>
      <c r="B541" s="799" t="s">
        <v>744</v>
      </c>
      <c r="C541" s="798" t="s">
        <v>42</v>
      </c>
      <c r="D541" s="800">
        <v>38.74</v>
      </c>
    </row>
    <row r="542" spans="1:4" ht="40.5">
      <c r="A542" s="798">
        <v>6880</v>
      </c>
      <c r="B542" s="799" t="s">
        <v>746</v>
      </c>
      <c r="C542" s="798" t="s">
        <v>42</v>
      </c>
      <c r="D542" s="800">
        <v>71.150000000000006</v>
      </c>
    </row>
    <row r="543" spans="1:4" ht="27">
      <c r="A543" s="798">
        <v>7031</v>
      </c>
      <c r="B543" s="799" t="s">
        <v>748</v>
      </c>
      <c r="C543" s="798" t="s">
        <v>42</v>
      </c>
      <c r="D543" s="800">
        <v>6.01</v>
      </c>
    </row>
    <row r="544" spans="1:4" ht="54">
      <c r="A544" s="798">
        <v>7043</v>
      </c>
      <c r="B544" s="799" t="s">
        <v>757</v>
      </c>
      <c r="C544" s="798" t="s">
        <v>42</v>
      </c>
      <c r="D544" s="800">
        <v>0.24</v>
      </c>
    </row>
    <row r="545" spans="1:4" ht="54">
      <c r="A545" s="798">
        <v>7050</v>
      </c>
      <c r="B545" s="799" t="s">
        <v>763</v>
      </c>
      <c r="C545" s="798" t="s">
        <v>42</v>
      </c>
      <c r="D545" s="800">
        <v>64.73</v>
      </c>
    </row>
    <row r="546" spans="1:4" ht="54">
      <c r="A546" s="798">
        <v>67827</v>
      </c>
      <c r="B546" s="799" t="s">
        <v>798</v>
      </c>
      <c r="C546" s="798" t="s">
        <v>42</v>
      </c>
      <c r="D546" s="800">
        <v>39.53</v>
      </c>
    </row>
    <row r="547" spans="1:4" ht="27">
      <c r="A547" s="798">
        <v>73395</v>
      </c>
      <c r="B547" s="799" t="s">
        <v>803</v>
      </c>
      <c r="C547" s="798" t="s">
        <v>42</v>
      </c>
      <c r="D547" s="800">
        <v>6.54</v>
      </c>
    </row>
    <row r="548" spans="1:4" ht="40.5">
      <c r="A548" s="798">
        <v>83766</v>
      </c>
      <c r="B548" s="799" t="s">
        <v>814</v>
      </c>
      <c r="C548" s="798" t="s">
        <v>42</v>
      </c>
      <c r="D548" s="800">
        <v>28.29</v>
      </c>
    </row>
    <row r="549" spans="1:4" ht="40.5">
      <c r="A549" s="798">
        <v>84013</v>
      </c>
      <c r="B549" s="799" t="s">
        <v>815</v>
      </c>
      <c r="C549" s="798" t="s">
        <v>42</v>
      </c>
      <c r="D549" s="800">
        <v>66.23</v>
      </c>
    </row>
    <row r="550" spans="1:4" ht="40.5">
      <c r="A550" s="798">
        <v>87446</v>
      </c>
      <c r="B550" s="799" t="s">
        <v>93</v>
      </c>
      <c r="C550" s="798" t="s">
        <v>42</v>
      </c>
      <c r="D550" s="800">
        <v>0.51</v>
      </c>
    </row>
    <row r="551" spans="1:4" ht="40.5">
      <c r="A551" s="798">
        <v>88392</v>
      </c>
      <c r="B551" s="799" t="s">
        <v>996</v>
      </c>
      <c r="C551" s="798" t="s">
        <v>42</v>
      </c>
      <c r="D551" s="800">
        <v>0.99</v>
      </c>
    </row>
    <row r="552" spans="1:4" ht="40.5">
      <c r="A552" s="798">
        <v>88398</v>
      </c>
      <c r="B552" s="799" t="s">
        <v>1002</v>
      </c>
      <c r="C552" s="798" t="s">
        <v>42</v>
      </c>
      <c r="D552" s="800">
        <v>1.18</v>
      </c>
    </row>
    <row r="553" spans="1:4" ht="40.5">
      <c r="A553" s="798">
        <v>88404</v>
      </c>
      <c r="B553" s="799" t="s">
        <v>1008</v>
      </c>
      <c r="C553" s="798" t="s">
        <v>42</v>
      </c>
      <c r="D553" s="800">
        <v>0.95</v>
      </c>
    </row>
    <row r="554" spans="1:4" ht="40.5">
      <c r="A554" s="798">
        <v>88430</v>
      </c>
      <c r="B554" s="799" t="s">
        <v>176</v>
      </c>
      <c r="C554" s="798" t="s">
        <v>42</v>
      </c>
      <c r="D554" s="800">
        <v>6.18</v>
      </c>
    </row>
    <row r="555" spans="1:4" ht="40.5">
      <c r="A555" s="798">
        <v>88438</v>
      </c>
      <c r="B555" s="799" t="s">
        <v>1026</v>
      </c>
      <c r="C555" s="798" t="s">
        <v>42</v>
      </c>
      <c r="D555" s="800">
        <v>8.1999999999999993</v>
      </c>
    </row>
    <row r="556" spans="1:4" ht="40.5">
      <c r="A556" s="798">
        <v>88831</v>
      </c>
      <c r="B556" s="799" t="s">
        <v>1042</v>
      </c>
      <c r="C556" s="798" t="s">
        <v>42</v>
      </c>
      <c r="D556" s="800">
        <v>0.37</v>
      </c>
    </row>
    <row r="557" spans="1:4" ht="27">
      <c r="A557" s="798">
        <v>88844</v>
      </c>
      <c r="B557" s="799" t="s">
        <v>1052</v>
      </c>
      <c r="C557" s="798" t="s">
        <v>42</v>
      </c>
      <c r="D557" s="800">
        <v>48.48</v>
      </c>
    </row>
    <row r="558" spans="1:4" ht="40.5">
      <c r="A558" s="798">
        <v>88908</v>
      </c>
      <c r="B558" s="799" t="s">
        <v>1068</v>
      </c>
      <c r="C558" s="798" t="s">
        <v>42</v>
      </c>
      <c r="D558" s="800">
        <v>74.290000000000006</v>
      </c>
    </row>
    <row r="559" spans="1:4" ht="54">
      <c r="A559" s="798">
        <v>89022</v>
      </c>
      <c r="B559" s="799" t="s">
        <v>1080</v>
      </c>
      <c r="C559" s="798" t="s">
        <v>42</v>
      </c>
      <c r="D559" s="800">
        <v>0.31</v>
      </c>
    </row>
    <row r="560" spans="1:4" ht="27">
      <c r="A560" s="798">
        <v>89027</v>
      </c>
      <c r="B560" s="799" t="s">
        <v>189</v>
      </c>
      <c r="C560" s="798" t="s">
        <v>42</v>
      </c>
      <c r="D560" s="800">
        <v>4.87</v>
      </c>
    </row>
    <row r="561" spans="1:4" ht="27">
      <c r="A561" s="798">
        <v>89031</v>
      </c>
      <c r="B561" s="799" t="s">
        <v>1087</v>
      </c>
      <c r="C561" s="798" t="s">
        <v>42</v>
      </c>
      <c r="D561" s="800">
        <v>46.96</v>
      </c>
    </row>
    <row r="562" spans="1:4" ht="27">
      <c r="A562" s="798">
        <v>89036</v>
      </c>
      <c r="B562" s="799" t="s">
        <v>194</v>
      </c>
      <c r="C562" s="798" t="s">
        <v>42</v>
      </c>
      <c r="D562" s="800">
        <v>29.63</v>
      </c>
    </row>
    <row r="563" spans="1:4" ht="27">
      <c r="A563" s="798">
        <v>89218</v>
      </c>
      <c r="B563" s="799" t="s">
        <v>199</v>
      </c>
      <c r="C563" s="798" t="s">
        <v>42</v>
      </c>
      <c r="D563" s="800">
        <v>61.85</v>
      </c>
    </row>
    <row r="564" spans="1:4" ht="40.5">
      <c r="A564" s="798">
        <v>89226</v>
      </c>
      <c r="B564" s="799" t="s">
        <v>1103</v>
      </c>
      <c r="C564" s="798" t="s">
        <v>42</v>
      </c>
      <c r="D564" s="800">
        <v>1.53</v>
      </c>
    </row>
    <row r="565" spans="1:4" ht="40.5">
      <c r="A565" s="798">
        <v>89235</v>
      </c>
      <c r="B565" s="799" t="s">
        <v>1109</v>
      </c>
      <c r="C565" s="798" t="s">
        <v>42</v>
      </c>
      <c r="D565" s="800">
        <v>159.27000000000001</v>
      </c>
    </row>
    <row r="566" spans="1:4" ht="40.5">
      <c r="A566" s="798">
        <v>89243</v>
      </c>
      <c r="B566" s="799" t="s">
        <v>1116</v>
      </c>
      <c r="C566" s="798" t="s">
        <v>42</v>
      </c>
      <c r="D566" s="800">
        <v>349.24</v>
      </c>
    </row>
    <row r="567" spans="1:4" ht="40.5">
      <c r="A567" s="798">
        <v>89251</v>
      </c>
      <c r="B567" s="799" t="s">
        <v>208</v>
      </c>
      <c r="C567" s="798" t="s">
        <v>42</v>
      </c>
      <c r="D567" s="800">
        <v>305.70999999999998</v>
      </c>
    </row>
    <row r="568" spans="1:4" ht="40.5">
      <c r="A568" s="798">
        <v>89258</v>
      </c>
      <c r="B568" s="799" t="s">
        <v>1121</v>
      </c>
      <c r="C568" s="798" t="s">
        <v>42</v>
      </c>
      <c r="D568" s="800">
        <v>102.16</v>
      </c>
    </row>
    <row r="569" spans="1:4" ht="40.5">
      <c r="A569" s="798">
        <v>89273</v>
      </c>
      <c r="B569" s="799" t="s">
        <v>1134</v>
      </c>
      <c r="C569" s="798" t="s">
        <v>42</v>
      </c>
      <c r="D569" s="800">
        <v>74.17</v>
      </c>
    </row>
    <row r="570" spans="1:4" ht="40.5">
      <c r="A570" s="798">
        <v>89279</v>
      </c>
      <c r="B570" s="799" t="s">
        <v>1136</v>
      </c>
      <c r="C570" s="798" t="s">
        <v>42</v>
      </c>
      <c r="D570" s="800">
        <v>1.86</v>
      </c>
    </row>
    <row r="571" spans="1:4" ht="54">
      <c r="A571" s="798">
        <v>89877</v>
      </c>
      <c r="B571" s="799" t="s">
        <v>312</v>
      </c>
      <c r="C571" s="798" t="s">
        <v>42</v>
      </c>
      <c r="D571" s="800">
        <v>57.37</v>
      </c>
    </row>
    <row r="572" spans="1:4" ht="54">
      <c r="A572" s="798">
        <v>89884</v>
      </c>
      <c r="B572" s="799" t="s">
        <v>319</v>
      </c>
      <c r="C572" s="798" t="s">
        <v>42</v>
      </c>
      <c r="D572" s="800">
        <v>60.5</v>
      </c>
    </row>
    <row r="573" spans="1:4" ht="40.5">
      <c r="A573" s="798">
        <v>90587</v>
      </c>
      <c r="B573" s="799" t="s">
        <v>1601</v>
      </c>
      <c r="C573" s="798" t="s">
        <v>42</v>
      </c>
      <c r="D573" s="800">
        <v>0.44</v>
      </c>
    </row>
    <row r="574" spans="1:4" ht="27">
      <c r="A574" s="798">
        <v>90626</v>
      </c>
      <c r="B574" s="799" t="s">
        <v>340</v>
      </c>
      <c r="C574" s="798" t="s">
        <v>42</v>
      </c>
      <c r="D574" s="800">
        <v>2.4</v>
      </c>
    </row>
    <row r="575" spans="1:4" ht="40.5">
      <c r="A575" s="798">
        <v>90632</v>
      </c>
      <c r="B575" s="799" t="s">
        <v>345</v>
      </c>
      <c r="C575" s="798" t="s">
        <v>42</v>
      </c>
      <c r="D575" s="800">
        <v>66.22</v>
      </c>
    </row>
    <row r="576" spans="1:4" ht="54">
      <c r="A576" s="798">
        <v>90638</v>
      </c>
      <c r="B576" s="799" t="s">
        <v>351</v>
      </c>
      <c r="C576" s="798" t="s">
        <v>42</v>
      </c>
      <c r="D576" s="800">
        <v>4.75</v>
      </c>
    </row>
    <row r="577" spans="1:4" ht="40.5">
      <c r="A577" s="798">
        <v>90644</v>
      </c>
      <c r="B577" s="799" t="s">
        <v>1608</v>
      </c>
      <c r="C577" s="798" t="s">
        <v>42</v>
      </c>
      <c r="D577" s="800">
        <v>7.1</v>
      </c>
    </row>
    <row r="578" spans="1:4" ht="54">
      <c r="A578" s="798">
        <v>90651</v>
      </c>
      <c r="B578" s="799" t="s">
        <v>1614</v>
      </c>
      <c r="C578" s="798" t="s">
        <v>42</v>
      </c>
      <c r="D578" s="800">
        <v>0.71</v>
      </c>
    </row>
    <row r="579" spans="1:4" ht="27">
      <c r="A579" s="798">
        <v>90657</v>
      </c>
      <c r="B579" s="799" t="s">
        <v>353</v>
      </c>
      <c r="C579" s="798" t="s">
        <v>42</v>
      </c>
      <c r="D579" s="800">
        <v>4.62</v>
      </c>
    </row>
    <row r="580" spans="1:4" ht="27">
      <c r="A580" s="798">
        <v>90663</v>
      </c>
      <c r="B580" s="799" t="s">
        <v>355</v>
      </c>
      <c r="C580" s="798" t="s">
        <v>42</v>
      </c>
      <c r="D580" s="800">
        <v>4.95</v>
      </c>
    </row>
    <row r="581" spans="1:4" ht="54">
      <c r="A581" s="798">
        <v>90669</v>
      </c>
      <c r="B581" s="799" t="s">
        <v>1628</v>
      </c>
      <c r="C581" s="798" t="s">
        <v>42</v>
      </c>
      <c r="D581" s="800">
        <v>6.34</v>
      </c>
    </row>
    <row r="582" spans="1:4" ht="67.5">
      <c r="A582" s="798">
        <v>90675</v>
      </c>
      <c r="B582" s="799" t="s">
        <v>1634</v>
      </c>
      <c r="C582" s="798" t="s">
        <v>42</v>
      </c>
      <c r="D582" s="800">
        <v>252.7</v>
      </c>
    </row>
    <row r="583" spans="1:4" ht="67.5">
      <c r="A583" s="798">
        <v>90681</v>
      </c>
      <c r="B583" s="799" t="s">
        <v>1640</v>
      </c>
      <c r="C583" s="798" t="s">
        <v>42</v>
      </c>
      <c r="D583" s="800">
        <v>137.74</v>
      </c>
    </row>
    <row r="584" spans="1:4" ht="40.5">
      <c r="A584" s="798">
        <v>90687</v>
      </c>
      <c r="B584" s="799" t="s">
        <v>1646</v>
      </c>
      <c r="C584" s="798" t="s">
        <v>42</v>
      </c>
      <c r="D584" s="800">
        <v>48.36</v>
      </c>
    </row>
    <row r="585" spans="1:4" ht="40.5">
      <c r="A585" s="798">
        <v>90693</v>
      </c>
      <c r="B585" s="799" t="s">
        <v>1652</v>
      </c>
      <c r="C585" s="798" t="s">
        <v>42</v>
      </c>
      <c r="D585" s="800">
        <v>32.04</v>
      </c>
    </row>
    <row r="586" spans="1:4" ht="40.5">
      <c r="A586" s="798">
        <v>90965</v>
      </c>
      <c r="B586" s="799" t="s">
        <v>377</v>
      </c>
      <c r="C586" s="798" t="s">
        <v>42</v>
      </c>
      <c r="D586" s="800">
        <v>6.31</v>
      </c>
    </row>
    <row r="587" spans="1:4" ht="40.5">
      <c r="A587" s="798">
        <v>90973</v>
      </c>
      <c r="B587" s="799" t="s">
        <v>1659</v>
      </c>
      <c r="C587" s="798" t="s">
        <v>42</v>
      </c>
      <c r="D587" s="800">
        <v>6.33</v>
      </c>
    </row>
    <row r="588" spans="1:4" ht="40.5">
      <c r="A588" s="798">
        <v>90982</v>
      </c>
      <c r="B588" s="799" t="s">
        <v>382</v>
      </c>
      <c r="C588" s="798" t="s">
        <v>42</v>
      </c>
      <c r="D588" s="800">
        <v>16.079999999999998</v>
      </c>
    </row>
    <row r="589" spans="1:4" ht="40.5">
      <c r="A589" s="798">
        <v>91001</v>
      </c>
      <c r="B589" s="799" t="s">
        <v>1667</v>
      </c>
      <c r="C589" s="798" t="s">
        <v>42</v>
      </c>
      <c r="D589" s="800">
        <v>7.5</v>
      </c>
    </row>
    <row r="590" spans="1:4" ht="54">
      <c r="A590" s="798">
        <v>91032</v>
      </c>
      <c r="B590" s="799" t="s">
        <v>389</v>
      </c>
      <c r="C590" s="798" t="s">
        <v>42</v>
      </c>
      <c r="D590" s="800">
        <v>41.06</v>
      </c>
    </row>
    <row r="591" spans="1:4" ht="40.5">
      <c r="A591" s="798">
        <v>91278</v>
      </c>
      <c r="B591" s="799" t="s">
        <v>1725</v>
      </c>
      <c r="C591" s="798" t="s">
        <v>42</v>
      </c>
      <c r="D591" s="800">
        <v>0.56000000000000005</v>
      </c>
    </row>
    <row r="592" spans="1:4" ht="54">
      <c r="A592" s="798">
        <v>91285</v>
      </c>
      <c r="B592" s="799" t="s">
        <v>1731</v>
      </c>
      <c r="C592" s="798" t="s">
        <v>42</v>
      </c>
      <c r="D592" s="800">
        <v>1.19</v>
      </c>
    </row>
    <row r="593" spans="1:4" ht="54">
      <c r="A593" s="798">
        <v>91387</v>
      </c>
      <c r="B593" s="799" t="s">
        <v>1747</v>
      </c>
      <c r="C593" s="798" t="s">
        <v>42</v>
      </c>
      <c r="D593" s="800">
        <v>44.35</v>
      </c>
    </row>
    <row r="594" spans="1:4" ht="67.5">
      <c r="A594" s="798">
        <v>91395</v>
      </c>
      <c r="B594" s="799" t="s">
        <v>1751</v>
      </c>
      <c r="C594" s="798" t="s">
        <v>42</v>
      </c>
      <c r="D594" s="800">
        <v>36.659999999999997</v>
      </c>
    </row>
    <row r="595" spans="1:4" ht="54">
      <c r="A595" s="798">
        <v>91486</v>
      </c>
      <c r="B595" s="799" t="s">
        <v>1761</v>
      </c>
      <c r="C595" s="798" t="s">
        <v>42</v>
      </c>
      <c r="D595" s="800">
        <v>44.2</v>
      </c>
    </row>
    <row r="596" spans="1:4" ht="40.5">
      <c r="A596" s="798">
        <v>91534</v>
      </c>
      <c r="B596" s="799" t="s">
        <v>1774</v>
      </c>
      <c r="C596" s="798" t="s">
        <v>42</v>
      </c>
      <c r="D596" s="800">
        <v>15.22</v>
      </c>
    </row>
    <row r="597" spans="1:4" ht="54">
      <c r="A597" s="798">
        <v>91635</v>
      </c>
      <c r="B597" s="799" t="s">
        <v>1781</v>
      </c>
      <c r="C597" s="798" t="s">
        <v>42</v>
      </c>
      <c r="D597" s="800">
        <v>39.869999999999997</v>
      </c>
    </row>
    <row r="598" spans="1:4" ht="67.5">
      <c r="A598" s="798">
        <v>91646</v>
      </c>
      <c r="B598" s="799" t="s">
        <v>1788</v>
      </c>
      <c r="C598" s="798" t="s">
        <v>42</v>
      </c>
      <c r="D598" s="800">
        <v>63.02</v>
      </c>
    </row>
    <row r="599" spans="1:4" ht="40.5">
      <c r="A599" s="798">
        <v>91693</v>
      </c>
      <c r="B599" s="799" t="s">
        <v>1794</v>
      </c>
      <c r="C599" s="798" t="s">
        <v>42</v>
      </c>
      <c r="D599" s="800">
        <v>14.51</v>
      </c>
    </row>
    <row r="600" spans="1:4" ht="40.5">
      <c r="A600" s="798">
        <v>92044</v>
      </c>
      <c r="B600" s="799" t="s">
        <v>1933</v>
      </c>
      <c r="C600" s="798" t="s">
        <v>42</v>
      </c>
      <c r="D600" s="800">
        <v>6.52</v>
      </c>
    </row>
    <row r="601" spans="1:4" ht="67.5">
      <c r="A601" s="798">
        <v>92107</v>
      </c>
      <c r="B601" s="799" t="s">
        <v>1939</v>
      </c>
      <c r="C601" s="798" t="s">
        <v>42</v>
      </c>
      <c r="D601" s="800">
        <v>54.66</v>
      </c>
    </row>
    <row r="602" spans="1:4" ht="40.5">
      <c r="A602" s="798">
        <v>92113</v>
      </c>
      <c r="B602" s="799" t="s">
        <v>443</v>
      </c>
      <c r="C602" s="798" t="s">
        <v>42</v>
      </c>
      <c r="D602" s="800">
        <v>1.1000000000000001</v>
      </c>
    </row>
    <row r="603" spans="1:4" ht="27">
      <c r="A603" s="798">
        <v>92119</v>
      </c>
      <c r="B603" s="799" t="s">
        <v>448</v>
      </c>
      <c r="C603" s="798" t="s">
        <v>42</v>
      </c>
      <c r="D603" s="800">
        <v>0.12</v>
      </c>
    </row>
    <row r="604" spans="1:4" ht="27">
      <c r="A604" s="798">
        <v>92139</v>
      </c>
      <c r="B604" s="799" t="s">
        <v>1946</v>
      </c>
      <c r="C604" s="798" t="s">
        <v>42</v>
      </c>
      <c r="D604" s="800">
        <v>29.03</v>
      </c>
    </row>
    <row r="605" spans="1:4" ht="40.5">
      <c r="A605" s="798">
        <v>92146</v>
      </c>
      <c r="B605" s="799" t="s">
        <v>458</v>
      </c>
      <c r="C605" s="798" t="s">
        <v>42</v>
      </c>
      <c r="D605" s="800">
        <v>19.71</v>
      </c>
    </row>
    <row r="606" spans="1:4" ht="67.5">
      <c r="A606" s="798">
        <v>92243</v>
      </c>
      <c r="B606" s="799" t="s">
        <v>1967</v>
      </c>
      <c r="C606" s="798" t="s">
        <v>42</v>
      </c>
      <c r="D606" s="800">
        <v>51.16</v>
      </c>
    </row>
    <row r="607" spans="1:4" ht="40.5">
      <c r="A607" s="798">
        <v>92717</v>
      </c>
      <c r="B607" s="799" t="s">
        <v>2007</v>
      </c>
      <c r="C607" s="798" t="s">
        <v>42</v>
      </c>
      <c r="D607" s="800">
        <v>0.28999999999999998</v>
      </c>
    </row>
    <row r="608" spans="1:4" ht="40.5">
      <c r="A608" s="798">
        <v>92961</v>
      </c>
      <c r="B608" s="799" t="s">
        <v>2135</v>
      </c>
      <c r="C608" s="798" t="s">
        <v>42</v>
      </c>
      <c r="D608" s="800">
        <v>5.04</v>
      </c>
    </row>
    <row r="609" spans="1:4" ht="27">
      <c r="A609" s="798">
        <v>92967</v>
      </c>
      <c r="B609" s="799" t="s">
        <v>2139</v>
      </c>
      <c r="C609" s="798" t="s">
        <v>42</v>
      </c>
      <c r="D609" s="800">
        <v>13.98</v>
      </c>
    </row>
    <row r="610" spans="1:4" ht="67.5">
      <c r="A610" s="798">
        <v>93225</v>
      </c>
      <c r="B610" s="799" t="s">
        <v>2182</v>
      </c>
      <c r="C610" s="798" t="s">
        <v>42</v>
      </c>
      <c r="D610" s="800">
        <v>384.96</v>
      </c>
    </row>
    <row r="611" spans="1:4" ht="40.5">
      <c r="A611" s="798">
        <v>93234</v>
      </c>
      <c r="B611" s="799" t="s">
        <v>482</v>
      </c>
      <c r="C611" s="798" t="s">
        <v>42</v>
      </c>
      <c r="D611" s="800">
        <v>0.47</v>
      </c>
    </row>
    <row r="612" spans="1:4" ht="54">
      <c r="A612" s="798">
        <v>93244</v>
      </c>
      <c r="B612" s="799" t="s">
        <v>483</v>
      </c>
      <c r="C612" s="798" t="s">
        <v>42</v>
      </c>
      <c r="D612" s="800">
        <v>52.14</v>
      </c>
    </row>
    <row r="613" spans="1:4" ht="27">
      <c r="A613" s="798">
        <v>93274</v>
      </c>
      <c r="B613" s="799" t="s">
        <v>2192</v>
      </c>
      <c r="C613" s="798" t="s">
        <v>42</v>
      </c>
      <c r="D613" s="800">
        <v>60.55</v>
      </c>
    </row>
    <row r="614" spans="1:4" ht="40.5">
      <c r="A614" s="798">
        <v>93282</v>
      </c>
      <c r="B614" s="799" t="s">
        <v>2198</v>
      </c>
      <c r="C614" s="798" t="s">
        <v>42</v>
      </c>
      <c r="D614" s="800">
        <v>14.19</v>
      </c>
    </row>
    <row r="615" spans="1:4" ht="40.5">
      <c r="A615" s="798">
        <v>93288</v>
      </c>
      <c r="B615" s="799" t="s">
        <v>2204</v>
      </c>
      <c r="C615" s="798" t="s">
        <v>42</v>
      </c>
      <c r="D615" s="800">
        <v>129.84</v>
      </c>
    </row>
    <row r="616" spans="1:4" ht="54">
      <c r="A616" s="798">
        <v>93403</v>
      </c>
      <c r="B616" s="799" t="s">
        <v>2229</v>
      </c>
      <c r="C616" s="798" t="s">
        <v>42</v>
      </c>
      <c r="D616" s="800">
        <v>39.869999999999997</v>
      </c>
    </row>
    <row r="617" spans="1:4" ht="67.5">
      <c r="A617" s="798">
        <v>93409</v>
      </c>
      <c r="B617" s="799" t="s">
        <v>4140</v>
      </c>
      <c r="C617" s="798" t="s">
        <v>42</v>
      </c>
      <c r="D617" s="800">
        <v>22.81</v>
      </c>
    </row>
    <row r="618" spans="1:4" ht="40.5">
      <c r="A618" s="798">
        <v>93416</v>
      </c>
      <c r="B618" s="799" t="s">
        <v>2235</v>
      </c>
      <c r="C618" s="798" t="s">
        <v>42</v>
      </c>
      <c r="D618" s="800">
        <v>0.3</v>
      </c>
    </row>
    <row r="619" spans="1:4" ht="27">
      <c r="A619" s="798">
        <v>93422</v>
      </c>
      <c r="B619" s="799" t="s">
        <v>487</v>
      </c>
      <c r="C619" s="798" t="s">
        <v>42</v>
      </c>
      <c r="D619" s="800">
        <v>4.1100000000000003</v>
      </c>
    </row>
    <row r="620" spans="1:4" ht="27">
      <c r="A620" s="798">
        <v>93428</v>
      </c>
      <c r="B620" s="799" t="s">
        <v>2244</v>
      </c>
      <c r="C620" s="798" t="s">
        <v>42</v>
      </c>
      <c r="D620" s="800">
        <v>5.82</v>
      </c>
    </row>
    <row r="621" spans="1:4" ht="27">
      <c r="A621" s="798">
        <v>93434</v>
      </c>
      <c r="B621" s="799" t="s">
        <v>2250</v>
      </c>
      <c r="C621" s="798" t="s">
        <v>42</v>
      </c>
      <c r="D621" s="800">
        <v>200.55</v>
      </c>
    </row>
    <row r="622" spans="1:4" ht="40.5">
      <c r="A622" s="798">
        <v>93440</v>
      </c>
      <c r="B622" s="799" t="s">
        <v>2256</v>
      </c>
      <c r="C622" s="798" t="s">
        <v>42</v>
      </c>
      <c r="D622" s="800">
        <v>82.76</v>
      </c>
    </row>
    <row r="623" spans="1:4" ht="27">
      <c r="A623" s="798">
        <v>95122</v>
      </c>
      <c r="B623" s="799" t="s">
        <v>2459</v>
      </c>
      <c r="C623" s="798" t="s">
        <v>42</v>
      </c>
      <c r="D623" s="800">
        <v>147.94</v>
      </c>
    </row>
    <row r="624" spans="1:4" ht="27">
      <c r="A624" s="798">
        <v>95128</v>
      </c>
      <c r="B624" s="799" t="s">
        <v>518</v>
      </c>
      <c r="C624" s="798" t="s">
        <v>42</v>
      </c>
      <c r="D624" s="800">
        <v>33.24</v>
      </c>
    </row>
    <row r="625" spans="1:4" ht="27">
      <c r="A625" s="798">
        <v>95140</v>
      </c>
      <c r="B625" s="799" t="s">
        <v>2470</v>
      </c>
      <c r="C625" s="798" t="s">
        <v>42</v>
      </c>
      <c r="D625" s="800">
        <v>0.03</v>
      </c>
    </row>
    <row r="626" spans="1:4" ht="27">
      <c r="A626" s="798">
        <v>95213</v>
      </c>
      <c r="B626" s="799" t="s">
        <v>2477</v>
      </c>
      <c r="C626" s="798" t="s">
        <v>42</v>
      </c>
      <c r="D626" s="800">
        <v>66.760000000000005</v>
      </c>
    </row>
    <row r="627" spans="1:4" ht="27">
      <c r="A627" s="798">
        <v>95259</v>
      </c>
      <c r="B627" s="799" t="s">
        <v>523</v>
      </c>
      <c r="C627" s="798" t="s">
        <v>42</v>
      </c>
      <c r="D627" s="800">
        <v>13.73</v>
      </c>
    </row>
    <row r="628" spans="1:4" ht="27">
      <c r="A628" s="798">
        <v>95265</v>
      </c>
      <c r="B628" s="799" t="s">
        <v>2485</v>
      </c>
      <c r="C628" s="798" t="s">
        <v>42</v>
      </c>
      <c r="D628" s="800">
        <v>0.75</v>
      </c>
    </row>
    <row r="629" spans="1:4" ht="40.5">
      <c r="A629" s="798">
        <v>95271</v>
      </c>
      <c r="B629" s="799" t="s">
        <v>2491</v>
      </c>
      <c r="C629" s="798" t="s">
        <v>42</v>
      </c>
      <c r="D629" s="800">
        <v>0.48</v>
      </c>
    </row>
    <row r="630" spans="1:4" ht="40.5">
      <c r="A630" s="798">
        <v>95277</v>
      </c>
      <c r="B630" s="799" t="s">
        <v>2497</v>
      </c>
      <c r="C630" s="798" t="s">
        <v>42</v>
      </c>
      <c r="D630" s="800">
        <v>0.48</v>
      </c>
    </row>
    <row r="631" spans="1:4" ht="40.5">
      <c r="A631" s="798">
        <v>95283</v>
      </c>
      <c r="B631" s="799" t="s">
        <v>2503</v>
      </c>
      <c r="C631" s="798" t="s">
        <v>42</v>
      </c>
      <c r="D631" s="800">
        <v>0.56999999999999995</v>
      </c>
    </row>
    <row r="632" spans="1:4" ht="40.5">
      <c r="A632" s="798">
        <v>95621</v>
      </c>
      <c r="B632" s="799" t="s">
        <v>2625</v>
      </c>
      <c r="C632" s="798" t="s">
        <v>42</v>
      </c>
      <c r="D632" s="800">
        <v>13.43</v>
      </c>
    </row>
    <row r="633" spans="1:4" ht="40.5">
      <c r="A633" s="798">
        <v>95632</v>
      </c>
      <c r="B633" s="799" t="s">
        <v>2633</v>
      </c>
      <c r="C633" s="798" t="s">
        <v>42</v>
      </c>
      <c r="D633" s="800">
        <v>68.709999999999994</v>
      </c>
    </row>
    <row r="634" spans="1:4" ht="40.5">
      <c r="A634" s="798">
        <v>95703</v>
      </c>
      <c r="B634" s="799" t="s">
        <v>2654</v>
      </c>
      <c r="C634" s="798" t="s">
        <v>42</v>
      </c>
      <c r="D634" s="800">
        <v>19.71</v>
      </c>
    </row>
    <row r="635" spans="1:4" ht="40.5">
      <c r="A635" s="798">
        <v>95709</v>
      </c>
      <c r="B635" s="799" t="s">
        <v>2660</v>
      </c>
      <c r="C635" s="798" t="s">
        <v>42</v>
      </c>
      <c r="D635" s="800">
        <v>64.06</v>
      </c>
    </row>
    <row r="636" spans="1:4" ht="54">
      <c r="A636" s="798">
        <v>95715</v>
      </c>
      <c r="B636" s="799" t="s">
        <v>2666</v>
      </c>
      <c r="C636" s="798" t="s">
        <v>42</v>
      </c>
      <c r="D636" s="800">
        <v>77.33</v>
      </c>
    </row>
    <row r="637" spans="1:4" ht="67.5">
      <c r="A637" s="798">
        <v>95721</v>
      </c>
      <c r="B637" s="799" t="s">
        <v>2672</v>
      </c>
      <c r="C637" s="798" t="s">
        <v>42</v>
      </c>
      <c r="D637" s="800">
        <v>75.11</v>
      </c>
    </row>
    <row r="638" spans="1:4" ht="27">
      <c r="A638" s="798">
        <v>95873</v>
      </c>
      <c r="B638" s="799" t="s">
        <v>544</v>
      </c>
      <c r="C638" s="798" t="s">
        <v>42</v>
      </c>
      <c r="D638" s="800">
        <v>9.31</v>
      </c>
    </row>
    <row r="639" spans="1:4" ht="40.5">
      <c r="A639" s="798">
        <v>96014</v>
      </c>
      <c r="B639" s="799" t="s">
        <v>2736</v>
      </c>
      <c r="C639" s="798" t="s">
        <v>42</v>
      </c>
      <c r="D639" s="800">
        <v>40.200000000000003</v>
      </c>
    </row>
    <row r="640" spans="1:4" ht="27">
      <c r="A640" s="798">
        <v>96021</v>
      </c>
      <c r="B640" s="799" t="s">
        <v>2742</v>
      </c>
      <c r="C640" s="798" t="s">
        <v>42</v>
      </c>
      <c r="D640" s="800">
        <v>39.92</v>
      </c>
    </row>
    <row r="641" spans="1:4" ht="27">
      <c r="A641" s="798">
        <v>96029</v>
      </c>
      <c r="B641" s="799" t="s">
        <v>633</v>
      </c>
      <c r="C641" s="798" t="s">
        <v>42</v>
      </c>
      <c r="D641" s="800">
        <v>34.39</v>
      </c>
    </row>
    <row r="642" spans="1:4" ht="40.5">
      <c r="A642" s="798">
        <v>96036</v>
      </c>
      <c r="B642" s="799" t="s">
        <v>2748</v>
      </c>
      <c r="C642" s="798" t="s">
        <v>42</v>
      </c>
      <c r="D642" s="800">
        <v>49.15</v>
      </c>
    </row>
    <row r="643" spans="1:4" ht="40.5">
      <c r="A643" s="798">
        <v>96155</v>
      </c>
      <c r="B643" s="799" t="s">
        <v>2775</v>
      </c>
      <c r="C643" s="798" t="s">
        <v>42</v>
      </c>
      <c r="D643" s="800">
        <v>34.67</v>
      </c>
    </row>
    <row r="644" spans="1:4" ht="40.5">
      <c r="A644" s="798">
        <v>96156</v>
      </c>
      <c r="B644" s="799" t="s">
        <v>640</v>
      </c>
      <c r="C644" s="798" t="s">
        <v>42</v>
      </c>
      <c r="D644" s="800">
        <v>39.36</v>
      </c>
    </row>
    <row r="645" spans="1:4" ht="40.5">
      <c r="A645" s="798">
        <v>96159</v>
      </c>
      <c r="B645" s="799" t="s">
        <v>2777</v>
      </c>
      <c r="C645" s="798" t="s">
        <v>42</v>
      </c>
      <c r="D645" s="800">
        <v>46.37</v>
      </c>
    </row>
    <row r="646" spans="1:4" ht="40.5">
      <c r="A646" s="798">
        <v>96246</v>
      </c>
      <c r="B646" s="799" t="s">
        <v>2783</v>
      </c>
      <c r="C646" s="798" t="s">
        <v>42</v>
      </c>
      <c r="D646" s="800">
        <v>36</v>
      </c>
    </row>
    <row r="647" spans="1:4" ht="54">
      <c r="A647" s="798">
        <v>96464</v>
      </c>
      <c r="B647" s="799" t="s">
        <v>2810</v>
      </c>
      <c r="C647" s="798" t="s">
        <v>42</v>
      </c>
      <c r="D647" s="800">
        <v>74.650000000000006</v>
      </c>
    </row>
    <row r="648" spans="1:4" ht="40.5">
      <c r="A648" s="798">
        <v>98765</v>
      </c>
      <c r="B648" s="799" t="s">
        <v>3383</v>
      </c>
      <c r="C648" s="798" t="s">
        <v>42</v>
      </c>
      <c r="D648" s="800">
        <v>0.11</v>
      </c>
    </row>
    <row r="649" spans="1:4" ht="40.5">
      <c r="A649" s="798">
        <v>99834</v>
      </c>
      <c r="B649" s="799" t="s">
        <v>3587</v>
      </c>
      <c r="C649" s="798" t="s">
        <v>42</v>
      </c>
      <c r="D649" s="800">
        <v>0.25</v>
      </c>
    </row>
    <row r="650" spans="1:4" ht="40.5">
      <c r="A650" s="798">
        <v>100642</v>
      </c>
      <c r="B650" s="799" t="s">
        <v>4141</v>
      </c>
      <c r="C650" s="798" t="s">
        <v>42</v>
      </c>
      <c r="D650" s="800">
        <v>168.39</v>
      </c>
    </row>
    <row r="651" spans="1:4" ht="27">
      <c r="A651" s="798">
        <v>100648</v>
      </c>
      <c r="B651" s="799" t="s">
        <v>4142</v>
      </c>
      <c r="C651" s="798" t="s">
        <v>42</v>
      </c>
      <c r="D651" s="800">
        <v>418.56</v>
      </c>
    </row>
    <row r="652" spans="1:4" ht="40.5">
      <c r="A652" s="798">
        <v>102274</v>
      </c>
      <c r="B652" s="799" t="s">
        <v>6230</v>
      </c>
      <c r="C652" s="798" t="s">
        <v>42</v>
      </c>
      <c r="D652" s="800">
        <v>12.91</v>
      </c>
    </row>
    <row r="653" spans="1:4" ht="54">
      <c r="A653" s="798">
        <v>5089</v>
      </c>
      <c r="B653" s="799" t="s">
        <v>41</v>
      </c>
      <c r="C653" s="798" t="s">
        <v>19</v>
      </c>
      <c r="D653" s="800">
        <v>41.52</v>
      </c>
    </row>
    <row r="654" spans="1:4" ht="40.5">
      <c r="A654" s="798">
        <v>5627</v>
      </c>
      <c r="B654" s="799" t="s">
        <v>666</v>
      </c>
      <c r="C654" s="798" t="s">
        <v>19</v>
      </c>
      <c r="D654" s="800">
        <v>44.8</v>
      </c>
    </row>
    <row r="655" spans="1:4" ht="40.5">
      <c r="A655" s="798">
        <v>5628</v>
      </c>
      <c r="B655" s="799" t="s">
        <v>667</v>
      </c>
      <c r="C655" s="798" t="s">
        <v>19</v>
      </c>
      <c r="D655" s="800">
        <v>6.08</v>
      </c>
    </row>
    <row r="656" spans="1:4" ht="40.5">
      <c r="A656" s="798">
        <v>5629</v>
      </c>
      <c r="B656" s="799" t="s">
        <v>668</v>
      </c>
      <c r="C656" s="798" t="s">
        <v>19</v>
      </c>
      <c r="D656" s="800">
        <v>56</v>
      </c>
    </row>
    <row r="657" spans="1:4" ht="40.5">
      <c r="A657" s="798">
        <v>5630</v>
      </c>
      <c r="B657" s="799" t="s">
        <v>669</v>
      </c>
      <c r="C657" s="798" t="s">
        <v>19</v>
      </c>
      <c r="D657" s="800">
        <v>63.65</v>
      </c>
    </row>
    <row r="658" spans="1:4" ht="40.5">
      <c r="A658" s="798">
        <v>5658</v>
      </c>
      <c r="B658" s="799" t="s">
        <v>672</v>
      </c>
      <c r="C658" s="798" t="s">
        <v>19</v>
      </c>
      <c r="D658" s="800">
        <v>2.8</v>
      </c>
    </row>
    <row r="659" spans="1:4" ht="67.5">
      <c r="A659" s="798">
        <v>5664</v>
      </c>
      <c r="B659" s="799" t="s">
        <v>673</v>
      </c>
      <c r="C659" s="798" t="s">
        <v>19</v>
      </c>
      <c r="D659" s="800">
        <v>24.73</v>
      </c>
    </row>
    <row r="660" spans="1:4" ht="67.5">
      <c r="A660" s="798">
        <v>5667</v>
      </c>
      <c r="B660" s="799" t="s">
        <v>674</v>
      </c>
      <c r="C660" s="798" t="s">
        <v>19</v>
      </c>
      <c r="D660" s="800">
        <v>21.99</v>
      </c>
    </row>
    <row r="661" spans="1:4" ht="67.5">
      <c r="A661" s="798">
        <v>5668</v>
      </c>
      <c r="B661" s="799" t="s">
        <v>675</v>
      </c>
      <c r="C661" s="798" t="s">
        <v>19</v>
      </c>
      <c r="D661" s="800">
        <v>45.27</v>
      </c>
    </row>
    <row r="662" spans="1:4" ht="54">
      <c r="A662" s="798">
        <v>5674</v>
      </c>
      <c r="B662" s="799" t="s">
        <v>676</v>
      </c>
      <c r="C662" s="798" t="s">
        <v>19</v>
      </c>
      <c r="D662" s="800">
        <v>39.93</v>
      </c>
    </row>
    <row r="663" spans="1:4" ht="54">
      <c r="A663" s="798">
        <v>5692</v>
      </c>
      <c r="B663" s="799" t="s">
        <v>684</v>
      </c>
      <c r="C663" s="798" t="s">
        <v>19</v>
      </c>
      <c r="D663" s="800">
        <v>0.2</v>
      </c>
    </row>
    <row r="664" spans="1:4" ht="54">
      <c r="A664" s="798">
        <v>5693</v>
      </c>
      <c r="B664" s="799" t="s">
        <v>685</v>
      </c>
      <c r="C664" s="798" t="s">
        <v>19</v>
      </c>
      <c r="D664" s="800">
        <v>22.08</v>
      </c>
    </row>
    <row r="665" spans="1:4" ht="54">
      <c r="A665" s="798">
        <v>5695</v>
      </c>
      <c r="B665" s="799" t="s">
        <v>686</v>
      </c>
      <c r="C665" s="798" t="s">
        <v>19</v>
      </c>
      <c r="D665" s="800">
        <v>43.3</v>
      </c>
    </row>
    <row r="666" spans="1:4" ht="40.5">
      <c r="A666" s="798">
        <v>5703</v>
      </c>
      <c r="B666" s="799" t="s">
        <v>44</v>
      </c>
      <c r="C666" s="798" t="s">
        <v>19</v>
      </c>
      <c r="D666" s="800">
        <v>21.65</v>
      </c>
    </row>
    <row r="667" spans="1:4" ht="67.5">
      <c r="A667" s="798">
        <v>5705</v>
      </c>
      <c r="B667" s="799" t="s">
        <v>687</v>
      </c>
      <c r="C667" s="798" t="s">
        <v>19</v>
      </c>
      <c r="D667" s="800">
        <v>26.04</v>
      </c>
    </row>
    <row r="668" spans="1:4" ht="27">
      <c r="A668" s="798">
        <v>5707</v>
      </c>
      <c r="B668" s="799" t="s">
        <v>688</v>
      </c>
      <c r="C668" s="798" t="s">
        <v>19</v>
      </c>
      <c r="D668" s="800">
        <v>68.150000000000006</v>
      </c>
    </row>
    <row r="669" spans="1:4" ht="40.5">
      <c r="A669" s="798">
        <v>5710</v>
      </c>
      <c r="B669" s="799" t="s">
        <v>689</v>
      </c>
      <c r="C669" s="798" t="s">
        <v>19</v>
      </c>
      <c r="D669" s="800">
        <v>141.46</v>
      </c>
    </row>
    <row r="670" spans="1:4" ht="54">
      <c r="A670" s="798">
        <v>5711</v>
      </c>
      <c r="B670" s="799" t="s">
        <v>690</v>
      </c>
      <c r="C670" s="798" t="s">
        <v>19</v>
      </c>
      <c r="D670" s="800">
        <v>87.94</v>
      </c>
    </row>
    <row r="671" spans="1:4" ht="27">
      <c r="A671" s="798">
        <v>5714</v>
      </c>
      <c r="B671" s="799" t="s">
        <v>45</v>
      </c>
      <c r="C671" s="798" t="s">
        <v>19</v>
      </c>
      <c r="D671" s="800">
        <v>14.57</v>
      </c>
    </row>
    <row r="672" spans="1:4" ht="40.5">
      <c r="A672" s="798">
        <v>5715</v>
      </c>
      <c r="B672" s="799" t="s">
        <v>46</v>
      </c>
      <c r="C672" s="798" t="s">
        <v>19</v>
      </c>
      <c r="D672" s="800">
        <v>66.540000000000006</v>
      </c>
    </row>
    <row r="673" spans="1:4" ht="40.5">
      <c r="A673" s="798">
        <v>5718</v>
      </c>
      <c r="B673" s="799" t="s">
        <v>691</v>
      </c>
      <c r="C673" s="798" t="s">
        <v>19</v>
      </c>
      <c r="D673" s="800">
        <v>104.96</v>
      </c>
    </row>
    <row r="674" spans="1:4" ht="40.5">
      <c r="A674" s="798">
        <v>5721</v>
      </c>
      <c r="B674" s="799" t="s">
        <v>47</v>
      </c>
      <c r="C674" s="798" t="s">
        <v>19</v>
      </c>
      <c r="D674" s="800">
        <v>92.6</v>
      </c>
    </row>
    <row r="675" spans="1:4" ht="40.5">
      <c r="A675" s="798">
        <v>5722</v>
      </c>
      <c r="B675" s="799" t="s">
        <v>692</v>
      </c>
      <c r="C675" s="798" t="s">
        <v>19</v>
      </c>
      <c r="D675" s="800">
        <v>214.17</v>
      </c>
    </row>
    <row r="676" spans="1:4" ht="27">
      <c r="A676" s="798">
        <v>5724</v>
      </c>
      <c r="B676" s="799" t="s">
        <v>693</v>
      </c>
      <c r="C676" s="798" t="s">
        <v>19</v>
      </c>
      <c r="D676" s="800">
        <v>47.43</v>
      </c>
    </row>
    <row r="677" spans="1:4" ht="54">
      <c r="A677" s="798">
        <v>5727</v>
      </c>
      <c r="B677" s="799" t="s">
        <v>694</v>
      </c>
      <c r="C677" s="798" t="s">
        <v>19</v>
      </c>
      <c r="D677" s="800">
        <v>12.05</v>
      </c>
    </row>
    <row r="678" spans="1:4" ht="40.5">
      <c r="A678" s="798">
        <v>5729</v>
      </c>
      <c r="B678" s="799" t="s">
        <v>695</v>
      </c>
      <c r="C678" s="798" t="s">
        <v>19</v>
      </c>
      <c r="D678" s="800">
        <v>49.03</v>
      </c>
    </row>
    <row r="679" spans="1:4" ht="40.5">
      <c r="A679" s="798">
        <v>5730</v>
      </c>
      <c r="B679" s="799" t="s">
        <v>696</v>
      </c>
      <c r="C679" s="798" t="s">
        <v>19</v>
      </c>
      <c r="D679" s="800">
        <v>40.36</v>
      </c>
    </row>
    <row r="680" spans="1:4" ht="67.5">
      <c r="A680" s="798">
        <v>5735</v>
      </c>
      <c r="B680" s="799" t="s">
        <v>697</v>
      </c>
      <c r="C680" s="798" t="s">
        <v>19</v>
      </c>
      <c r="D680" s="800">
        <v>23.85</v>
      </c>
    </row>
    <row r="681" spans="1:4" ht="67.5">
      <c r="A681" s="798">
        <v>5736</v>
      </c>
      <c r="B681" s="799" t="s">
        <v>698</v>
      </c>
      <c r="C681" s="798" t="s">
        <v>19</v>
      </c>
      <c r="D681" s="800">
        <v>41.25</v>
      </c>
    </row>
    <row r="682" spans="1:4" ht="54">
      <c r="A682" s="798">
        <v>5738</v>
      </c>
      <c r="B682" s="799" t="s">
        <v>699</v>
      </c>
      <c r="C682" s="798" t="s">
        <v>19</v>
      </c>
      <c r="D682" s="800">
        <v>43.6</v>
      </c>
    </row>
    <row r="683" spans="1:4" ht="54">
      <c r="A683" s="798">
        <v>5739</v>
      </c>
      <c r="B683" s="799" t="s">
        <v>700</v>
      </c>
      <c r="C683" s="798" t="s">
        <v>19</v>
      </c>
      <c r="D683" s="800">
        <v>54.56</v>
      </c>
    </row>
    <row r="684" spans="1:4" ht="54">
      <c r="A684" s="798">
        <v>5741</v>
      </c>
      <c r="B684" s="799" t="s">
        <v>701</v>
      </c>
      <c r="C684" s="798" t="s">
        <v>19</v>
      </c>
      <c r="D684" s="800">
        <v>39.01</v>
      </c>
    </row>
    <row r="685" spans="1:4" ht="54">
      <c r="A685" s="798">
        <v>5742</v>
      </c>
      <c r="B685" s="799" t="s">
        <v>702</v>
      </c>
      <c r="C685" s="798" t="s">
        <v>19</v>
      </c>
      <c r="D685" s="800">
        <v>27.24</v>
      </c>
    </row>
    <row r="686" spans="1:4" ht="54">
      <c r="A686" s="798">
        <v>5747</v>
      </c>
      <c r="B686" s="799" t="s">
        <v>703</v>
      </c>
      <c r="C686" s="798" t="s">
        <v>19</v>
      </c>
      <c r="D686" s="800">
        <v>156.19999999999999</v>
      </c>
    </row>
    <row r="687" spans="1:4" ht="54">
      <c r="A687" s="798">
        <v>5751</v>
      </c>
      <c r="B687" s="799" t="s">
        <v>48</v>
      </c>
      <c r="C687" s="798" t="s">
        <v>19</v>
      </c>
      <c r="D687" s="800">
        <v>26.75</v>
      </c>
    </row>
    <row r="688" spans="1:4" ht="54">
      <c r="A688" s="798">
        <v>5754</v>
      </c>
      <c r="B688" s="799" t="s">
        <v>704</v>
      </c>
      <c r="C688" s="798" t="s">
        <v>19</v>
      </c>
      <c r="D688" s="800">
        <v>22.54</v>
      </c>
    </row>
    <row r="689" spans="1:4" ht="67.5">
      <c r="A689" s="798">
        <v>5763</v>
      </c>
      <c r="B689" s="799" t="s">
        <v>705</v>
      </c>
      <c r="C689" s="798" t="s">
        <v>19</v>
      </c>
      <c r="D689" s="800">
        <v>39.06</v>
      </c>
    </row>
    <row r="690" spans="1:4" ht="40.5">
      <c r="A690" s="798">
        <v>5765</v>
      </c>
      <c r="B690" s="799" t="s">
        <v>49</v>
      </c>
      <c r="C690" s="798" t="s">
        <v>19</v>
      </c>
      <c r="D690" s="800">
        <v>6.79</v>
      </c>
    </row>
    <row r="691" spans="1:4" ht="40.5">
      <c r="A691" s="798">
        <v>5766</v>
      </c>
      <c r="B691" s="799" t="s">
        <v>50</v>
      </c>
      <c r="C691" s="798" t="s">
        <v>19</v>
      </c>
      <c r="D691" s="800">
        <v>3.08</v>
      </c>
    </row>
    <row r="692" spans="1:4" ht="40.5">
      <c r="A692" s="798">
        <v>5779</v>
      </c>
      <c r="B692" s="799" t="s">
        <v>51</v>
      </c>
      <c r="C692" s="798" t="s">
        <v>19</v>
      </c>
      <c r="D692" s="800">
        <v>59.67</v>
      </c>
    </row>
    <row r="693" spans="1:4" ht="40.5">
      <c r="A693" s="798">
        <v>5787</v>
      </c>
      <c r="B693" s="799" t="s">
        <v>706</v>
      </c>
      <c r="C693" s="798" t="s">
        <v>19</v>
      </c>
      <c r="D693" s="800">
        <v>69.5</v>
      </c>
    </row>
    <row r="694" spans="1:4" ht="40.5">
      <c r="A694" s="798">
        <v>5797</v>
      </c>
      <c r="B694" s="799" t="s">
        <v>53</v>
      </c>
      <c r="C694" s="798" t="s">
        <v>19</v>
      </c>
      <c r="D694" s="800">
        <v>5.19</v>
      </c>
    </row>
    <row r="695" spans="1:4" ht="54">
      <c r="A695" s="798">
        <v>5800</v>
      </c>
      <c r="B695" s="799" t="s">
        <v>707</v>
      </c>
      <c r="C695" s="798" t="s">
        <v>19</v>
      </c>
      <c r="D695" s="800">
        <v>0.31</v>
      </c>
    </row>
    <row r="696" spans="1:4" ht="27">
      <c r="A696" s="798">
        <v>7032</v>
      </c>
      <c r="B696" s="799" t="s">
        <v>749</v>
      </c>
      <c r="C696" s="798" t="s">
        <v>19</v>
      </c>
      <c r="D696" s="800">
        <v>5.19</v>
      </c>
    </row>
    <row r="697" spans="1:4" ht="27">
      <c r="A697" s="798">
        <v>7033</v>
      </c>
      <c r="B697" s="799" t="s">
        <v>750</v>
      </c>
      <c r="C697" s="798" t="s">
        <v>19</v>
      </c>
      <c r="D697" s="800">
        <v>0.82</v>
      </c>
    </row>
    <row r="698" spans="1:4" ht="27">
      <c r="A698" s="798">
        <v>7034</v>
      </c>
      <c r="B698" s="799" t="s">
        <v>751</v>
      </c>
      <c r="C698" s="798" t="s">
        <v>19</v>
      </c>
      <c r="D698" s="800">
        <v>4.32</v>
      </c>
    </row>
    <row r="699" spans="1:4" ht="40.5">
      <c r="A699" s="798">
        <v>7035</v>
      </c>
      <c r="B699" s="799" t="s">
        <v>752</v>
      </c>
      <c r="C699" s="798" t="s">
        <v>19</v>
      </c>
      <c r="D699" s="800">
        <v>253.3</v>
      </c>
    </row>
    <row r="700" spans="1:4" ht="40.5">
      <c r="A700" s="798">
        <v>7038</v>
      </c>
      <c r="B700" s="799" t="s">
        <v>753</v>
      </c>
      <c r="C700" s="798" t="s">
        <v>19</v>
      </c>
      <c r="D700" s="800">
        <v>49.87</v>
      </c>
    </row>
    <row r="701" spans="1:4" ht="40.5">
      <c r="A701" s="798">
        <v>7039</v>
      </c>
      <c r="B701" s="799" t="s">
        <v>754</v>
      </c>
      <c r="C701" s="798" t="s">
        <v>19</v>
      </c>
      <c r="D701" s="800">
        <v>6.92</v>
      </c>
    </row>
    <row r="702" spans="1:4" ht="40.5">
      <c r="A702" s="798">
        <v>7040</v>
      </c>
      <c r="B702" s="799" t="s">
        <v>755</v>
      </c>
      <c r="C702" s="798" t="s">
        <v>19</v>
      </c>
      <c r="D702" s="800">
        <v>62.41</v>
      </c>
    </row>
    <row r="703" spans="1:4" ht="54">
      <c r="A703" s="798">
        <v>7044</v>
      </c>
      <c r="B703" s="799" t="s">
        <v>758</v>
      </c>
      <c r="C703" s="798" t="s">
        <v>19</v>
      </c>
      <c r="D703" s="800">
        <v>0.22</v>
      </c>
    </row>
    <row r="704" spans="1:4" ht="54">
      <c r="A704" s="798">
        <v>7045</v>
      </c>
      <c r="B704" s="799" t="s">
        <v>759</v>
      </c>
      <c r="C704" s="798" t="s">
        <v>19</v>
      </c>
      <c r="D704" s="800">
        <v>0.02</v>
      </c>
    </row>
    <row r="705" spans="1:4" ht="54">
      <c r="A705" s="798">
        <v>7046</v>
      </c>
      <c r="B705" s="799" t="s">
        <v>760</v>
      </c>
      <c r="C705" s="798" t="s">
        <v>19</v>
      </c>
      <c r="D705" s="800">
        <v>0.24</v>
      </c>
    </row>
    <row r="706" spans="1:4" ht="54">
      <c r="A706" s="798">
        <v>7047</v>
      </c>
      <c r="B706" s="799" t="s">
        <v>761</v>
      </c>
      <c r="C706" s="798" t="s">
        <v>19</v>
      </c>
      <c r="D706" s="800">
        <v>26.06</v>
      </c>
    </row>
    <row r="707" spans="1:4" ht="54">
      <c r="A707" s="798">
        <v>7051</v>
      </c>
      <c r="B707" s="799" t="s">
        <v>764</v>
      </c>
      <c r="C707" s="798" t="s">
        <v>19</v>
      </c>
      <c r="D707" s="800">
        <v>44.23</v>
      </c>
    </row>
    <row r="708" spans="1:4" ht="54">
      <c r="A708" s="798">
        <v>7052</v>
      </c>
      <c r="B708" s="799" t="s">
        <v>765</v>
      </c>
      <c r="C708" s="798" t="s">
        <v>19</v>
      </c>
      <c r="D708" s="800">
        <v>6.14</v>
      </c>
    </row>
    <row r="709" spans="1:4" ht="54">
      <c r="A709" s="798">
        <v>7053</v>
      </c>
      <c r="B709" s="799" t="s">
        <v>766</v>
      </c>
      <c r="C709" s="798" t="s">
        <v>19</v>
      </c>
      <c r="D709" s="800">
        <v>55.36</v>
      </c>
    </row>
    <row r="710" spans="1:4" ht="54">
      <c r="A710" s="798">
        <v>7054</v>
      </c>
      <c r="B710" s="799" t="s">
        <v>767</v>
      </c>
      <c r="C710" s="798" t="s">
        <v>19</v>
      </c>
      <c r="D710" s="800">
        <v>88.17</v>
      </c>
    </row>
    <row r="711" spans="1:4" ht="54">
      <c r="A711" s="798">
        <v>7058</v>
      </c>
      <c r="B711" s="799" t="s">
        <v>768</v>
      </c>
      <c r="C711" s="798" t="s">
        <v>19</v>
      </c>
      <c r="D711" s="800">
        <v>18.559999999999999</v>
      </c>
    </row>
    <row r="712" spans="1:4" ht="54">
      <c r="A712" s="798">
        <v>7059</v>
      </c>
      <c r="B712" s="799" t="s">
        <v>769</v>
      </c>
      <c r="C712" s="798" t="s">
        <v>19</v>
      </c>
      <c r="D712" s="800">
        <v>3.6</v>
      </c>
    </row>
    <row r="713" spans="1:4" ht="54">
      <c r="A713" s="798">
        <v>7060</v>
      </c>
      <c r="B713" s="799" t="s">
        <v>770</v>
      </c>
      <c r="C713" s="798" t="s">
        <v>19</v>
      </c>
      <c r="D713" s="800">
        <v>33.26</v>
      </c>
    </row>
    <row r="714" spans="1:4" ht="54">
      <c r="A714" s="798">
        <v>7061</v>
      </c>
      <c r="B714" s="799" t="s">
        <v>771</v>
      </c>
      <c r="C714" s="798" t="s">
        <v>19</v>
      </c>
      <c r="D714" s="800">
        <v>80.489999999999995</v>
      </c>
    </row>
    <row r="715" spans="1:4" ht="27">
      <c r="A715" s="798">
        <v>7063</v>
      </c>
      <c r="B715" s="799" t="s">
        <v>69</v>
      </c>
      <c r="C715" s="798" t="s">
        <v>19</v>
      </c>
      <c r="D715" s="800">
        <v>18.18</v>
      </c>
    </row>
    <row r="716" spans="1:4" ht="27">
      <c r="A716" s="798">
        <v>7064</v>
      </c>
      <c r="B716" s="799" t="s">
        <v>70</v>
      </c>
      <c r="C716" s="798" t="s">
        <v>19</v>
      </c>
      <c r="D716" s="800">
        <v>2.52</v>
      </c>
    </row>
    <row r="717" spans="1:4" ht="27">
      <c r="A717" s="798">
        <v>7065</v>
      </c>
      <c r="B717" s="799" t="s">
        <v>71</v>
      </c>
      <c r="C717" s="798" t="s">
        <v>19</v>
      </c>
      <c r="D717" s="800">
        <v>19.88</v>
      </c>
    </row>
    <row r="718" spans="1:4" ht="40.5">
      <c r="A718" s="798">
        <v>7066</v>
      </c>
      <c r="B718" s="799" t="s">
        <v>72</v>
      </c>
      <c r="C718" s="798" t="s">
        <v>19</v>
      </c>
      <c r="D718" s="800">
        <v>95.5</v>
      </c>
    </row>
    <row r="719" spans="1:4" ht="67.5">
      <c r="A719" s="798">
        <v>53786</v>
      </c>
      <c r="B719" s="799" t="s">
        <v>775</v>
      </c>
      <c r="C719" s="798" t="s">
        <v>19</v>
      </c>
      <c r="D719" s="800">
        <v>50.41</v>
      </c>
    </row>
    <row r="720" spans="1:4" ht="54">
      <c r="A720" s="798">
        <v>53788</v>
      </c>
      <c r="B720" s="799" t="s">
        <v>776</v>
      </c>
      <c r="C720" s="798" t="s">
        <v>19</v>
      </c>
      <c r="D720" s="800">
        <v>56.44</v>
      </c>
    </row>
    <row r="721" spans="1:4" ht="54">
      <c r="A721" s="798">
        <v>53792</v>
      </c>
      <c r="B721" s="799" t="s">
        <v>777</v>
      </c>
      <c r="C721" s="798" t="s">
        <v>19</v>
      </c>
      <c r="D721" s="800">
        <v>100.05</v>
      </c>
    </row>
    <row r="722" spans="1:4" ht="27">
      <c r="A722" s="798">
        <v>53794</v>
      </c>
      <c r="B722" s="799" t="s">
        <v>76</v>
      </c>
      <c r="C722" s="798" t="s">
        <v>19</v>
      </c>
      <c r="D722" s="800">
        <v>35</v>
      </c>
    </row>
    <row r="723" spans="1:4" ht="67.5">
      <c r="A723" s="798">
        <v>53797</v>
      </c>
      <c r="B723" s="799" t="s">
        <v>778</v>
      </c>
      <c r="C723" s="798" t="s">
        <v>19</v>
      </c>
      <c r="D723" s="800">
        <v>115.06</v>
      </c>
    </row>
    <row r="724" spans="1:4" ht="40.5">
      <c r="A724" s="798">
        <v>53804</v>
      </c>
      <c r="B724" s="799" t="s">
        <v>779</v>
      </c>
      <c r="C724" s="798" t="s">
        <v>19</v>
      </c>
      <c r="D724" s="800">
        <v>5.82</v>
      </c>
    </row>
    <row r="725" spans="1:4" ht="27">
      <c r="A725" s="798">
        <v>53806</v>
      </c>
      <c r="B725" s="799" t="s">
        <v>780</v>
      </c>
      <c r="C725" s="798" t="s">
        <v>19</v>
      </c>
      <c r="D725" s="800">
        <v>61.12</v>
      </c>
    </row>
    <row r="726" spans="1:4" ht="40.5">
      <c r="A726" s="798">
        <v>53810</v>
      </c>
      <c r="B726" s="799" t="s">
        <v>77</v>
      </c>
      <c r="C726" s="798" t="s">
        <v>19</v>
      </c>
      <c r="D726" s="800">
        <v>61.49</v>
      </c>
    </row>
    <row r="727" spans="1:4" ht="27">
      <c r="A727" s="798">
        <v>53814</v>
      </c>
      <c r="B727" s="799" t="s">
        <v>781</v>
      </c>
      <c r="C727" s="798" t="s">
        <v>19</v>
      </c>
      <c r="D727" s="800">
        <v>201.43</v>
      </c>
    </row>
    <row r="728" spans="1:4" ht="40.5">
      <c r="A728" s="798">
        <v>53817</v>
      </c>
      <c r="B728" s="799" t="s">
        <v>782</v>
      </c>
      <c r="C728" s="798" t="s">
        <v>19</v>
      </c>
      <c r="D728" s="800">
        <v>61.7</v>
      </c>
    </row>
    <row r="729" spans="1:4" ht="54">
      <c r="A729" s="798">
        <v>53818</v>
      </c>
      <c r="B729" s="799" t="s">
        <v>783</v>
      </c>
      <c r="C729" s="798" t="s">
        <v>19</v>
      </c>
      <c r="D729" s="800">
        <v>9.6300000000000008</v>
      </c>
    </row>
    <row r="730" spans="1:4" ht="54">
      <c r="A730" s="798">
        <v>53827</v>
      </c>
      <c r="B730" s="799" t="s">
        <v>78</v>
      </c>
      <c r="C730" s="798" t="s">
        <v>19</v>
      </c>
      <c r="D730" s="800">
        <v>112.64</v>
      </c>
    </row>
    <row r="731" spans="1:4" ht="54">
      <c r="A731" s="798">
        <v>53829</v>
      </c>
      <c r="B731" s="799" t="s">
        <v>784</v>
      </c>
      <c r="C731" s="798" t="s">
        <v>19</v>
      </c>
      <c r="D731" s="800">
        <v>115.06</v>
      </c>
    </row>
    <row r="732" spans="1:4" ht="67.5">
      <c r="A732" s="798">
        <v>53831</v>
      </c>
      <c r="B732" s="799" t="s">
        <v>785</v>
      </c>
      <c r="C732" s="798" t="s">
        <v>19</v>
      </c>
      <c r="D732" s="800">
        <v>190.06</v>
      </c>
    </row>
    <row r="733" spans="1:4" ht="27">
      <c r="A733" s="798">
        <v>53840</v>
      </c>
      <c r="B733" s="799" t="s">
        <v>786</v>
      </c>
      <c r="C733" s="798" t="s">
        <v>19</v>
      </c>
      <c r="D733" s="800">
        <v>3.16</v>
      </c>
    </row>
    <row r="734" spans="1:4" ht="27">
      <c r="A734" s="798">
        <v>53841</v>
      </c>
      <c r="B734" s="799" t="s">
        <v>787</v>
      </c>
      <c r="C734" s="798" t="s">
        <v>19</v>
      </c>
      <c r="D734" s="800">
        <v>2.19</v>
      </c>
    </row>
    <row r="735" spans="1:4" ht="40.5">
      <c r="A735" s="798">
        <v>53849</v>
      </c>
      <c r="B735" s="799" t="s">
        <v>788</v>
      </c>
      <c r="C735" s="798" t="s">
        <v>19</v>
      </c>
      <c r="D735" s="800">
        <v>82.68</v>
      </c>
    </row>
    <row r="736" spans="1:4" ht="40.5">
      <c r="A736" s="798">
        <v>53857</v>
      </c>
      <c r="B736" s="799" t="s">
        <v>789</v>
      </c>
      <c r="C736" s="798" t="s">
        <v>19</v>
      </c>
      <c r="D736" s="800">
        <v>58</v>
      </c>
    </row>
    <row r="737" spans="1:4" ht="40.5">
      <c r="A737" s="798">
        <v>53858</v>
      </c>
      <c r="B737" s="799" t="s">
        <v>790</v>
      </c>
      <c r="C737" s="798" t="s">
        <v>19</v>
      </c>
      <c r="D737" s="800">
        <v>45.15</v>
      </c>
    </row>
    <row r="738" spans="1:4" ht="40.5">
      <c r="A738" s="798">
        <v>53861</v>
      </c>
      <c r="B738" s="799" t="s">
        <v>791</v>
      </c>
      <c r="C738" s="798" t="s">
        <v>19</v>
      </c>
      <c r="D738" s="800">
        <v>56.29</v>
      </c>
    </row>
    <row r="739" spans="1:4" ht="27">
      <c r="A739" s="798">
        <v>53863</v>
      </c>
      <c r="B739" s="799" t="s">
        <v>792</v>
      </c>
      <c r="C739" s="798" t="s">
        <v>19</v>
      </c>
      <c r="D739" s="800">
        <v>2.02</v>
      </c>
    </row>
    <row r="740" spans="1:4" ht="40.5">
      <c r="A740" s="798">
        <v>53865</v>
      </c>
      <c r="B740" s="799" t="s">
        <v>793</v>
      </c>
      <c r="C740" s="798" t="s">
        <v>19</v>
      </c>
      <c r="D740" s="800">
        <v>46.57</v>
      </c>
    </row>
    <row r="741" spans="1:4" ht="54">
      <c r="A741" s="798">
        <v>53866</v>
      </c>
      <c r="B741" s="799" t="s">
        <v>794</v>
      </c>
      <c r="C741" s="798" t="s">
        <v>19</v>
      </c>
      <c r="D741" s="800">
        <v>1.74</v>
      </c>
    </row>
    <row r="742" spans="1:4" ht="54">
      <c r="A742" s="798">
        <v>53882</v>
      </c>
      <c r="B742" s="799" t="s">
        <v>795</v>
      </c>
      <c r="C742" s="798" t="s">
        <v>19</v>
      </c>
      <c r="D742" s="800">
        <v>30.46</v>
      </c>
    </row>
    <row r="743" spans="1:4" ht="54">
      <c r="A743" s="798">
        <v>55263</v>
      </c>
      <c r="B743" s="799" t="s">
        <v>796</v>
      </c>
      <c r="C743" s="798" t="s">
        <v>19</v>
      </c>
      <c r="D743" s="800">
        <v>63.65</v>
      </c>
    </row>
    <row r="744" spans="1:4" ht="27">
      <c r="A744" s="798">
        <v>73303</v>
      </c>
      <c r="B744" s="799" t="s">
        <v>799</v>
      </c>
      <c r="C744" s="798" t="s">
        <v>19</v>
      </c>
      <c r="D744" s="800">
        <v>5.55</v>
      </c>
    </row>
    <row r="745" spans="1:4" ht="27">
      <c r="A745" s="798">
        <v>73307</v>
      </c>
      <c r="B745" s="799" t="s">
        <v>800</v>
      </c>
      <c r="C745" s="798" t="s">
        <v>19</v>
      </c>
      <c r="D745" s="800">
        <v>4.95</v>
      </c>
    </row>
    <row r="746" spans="1:4" ht="54">
      <c r="A746" s="798">
        <v>73309</v>
      </c>
      <c r="B746" s="799" t="s">
        <v>81</v>
      </c>
      <c r="C746" s="798" t="s">
        <v>19</v>
      </c>
      <c r="D746" s="800">
        <v>33.18</v>
      </c>
    </row>
    <row r="747" spans="1:4" ht="27">
      <c r="A747" s="798">
        <v>73311</v>
      </c>
      <c r="B747" s="799" t="s">
        <v>82</v>
      </c>
      <c r="C747" s="798" t="s">
        <v>19</v>
      </c>
      <c r="D747" s="800">
        <v>175.94</v>
      </c>
    </row>
    <row r="748" spans="1:4" ht="54">
      <c r="A748" s="798">
        <v>73313</v>
      </c>
      <c r="B748" s="799" t="s">
        <v>83</v>
      </c>
      <c r="C748" s="798" t="s">
        <v>19</v>
      </c>
      <c r="D748" s="800">
        <v>4.5999999999999996</v>
      </c>
    </row>
    <row r="749" spans="1:4" ht="54">
      <c r="A749" s="798">
        <v>73315</v>
      </c>
      <c r="B749" s="799" t="s">
        <v>84</v>
      </c>
      <c r="C749" s="798" t="s">
        <v>19</v>
      </c>
      <c r="D749" s="800">
        <v>56.44</v>
      </c>
    </row>
    <row r="750" spans="1:4" ht="67.5">
      <c r="A750" s="798">
        <v>73335</v>
      </c>
      <c r="B750" s="799" t="s">
        <v>801</v>
      </c>
      <c r="C750" s="798" t="s">
        <v>19</v>
      </c>
      <c r="D750" s="800">
        <v>28.64</v>
      </c>
    </row>
    <row r="751" spans="1:4" ht="67.5">
      <c r="A751" s="798">
        <v>73340</v>
      </c>
      <c r="B751" s="799" t="s">
        <v>802</v>
      </c>
      <c r="C751" s="798" t="s">
        <v>19</v>
      </c>
      <c r="D751" s="800">
        <v>80.489999999999995</v>
      </c>
    </row>
    <row r="752" spans="1:4" ht="54">
      <c r="A752" s="798">
        <v>83361</v>
      </c>
      <c r="B752" s="799" t="s">
        <v>807</v>
      </c>
      <c r="C752" s="798" t="s">
        <v>19</v>
      </c>
      <c r="D752" s="800">
        <v>35.69</v>
      </c>
    </row>
    <row r="753" spans="1:4" ht="40.5">
      <c r="A753" s="798">
        <v>83761</v>
      </c>
      <c r="B753" s="799" t="s">
        <v>809</v>
      </c>
      <c r="C753" s="798" t="s">
        <v>19</v>
      </c>
      <c r="D753" s="800">
        <v>7.39</v>
      </c>
    </row>
    <row r="754" spans="1:4" ht="40.5">
      <c r="A754" s="798">
        <v>83762</v>
      </c>
      <c r="B754" s="799" t="s">
        <v>810</v>
      </c>
      <c r="C754" s="798" t="s">
        <v>19</v>
      </c>
      <c r="D754" s="800">
        <v>6.6</v>
      </c>
    </row>
    <row r="755" spans="1:4" ht="40.5">
      <c r="A755" s="798">
        <v>83763</v>
      </c>
      <c r="B755" s="799" t="s">
        <v>811</v>
      </c>
      <c r="C755" s="798" t="s">
        <v>19</v>
      </c>
      <c r="D755" s="800">
        <v>49.58</v>
      </c>
    </row>
    <row r="756" spans="1:4" ht="40.5">
      <c r="A756" s="798">
        <v>83764</v>
      </c>
      <c r="B756" s="799" t="s">
        <v>812</v>
      </c>
      <c r="C756" s="798" t="s">
        <v>19</v>
      </c>
      <c r="D756" s="800">
        <v>1.33</v>
      </c>
    </row>
    <row r="757" spans="1:4" ht="27">
      <c r="A757" s="798">
        <v>87026</v>
      </c>
      <c r="B757" s="799" t="s">
        <v>816</v>
      </c>
      <c r="C757" s="798" t="s">
        <v>19</v>
      </c>
      <c r="D757" s="800">
        <v>0.44</v>
      </c>
    </row>
    <row r="758" spans="1:4" ht="40.5">
      <c r="A758" s="798">
        <v>87441</v>
      </c>
      <c r="B758" s="799" t="s">
        <v>8204</v>
      </c>
      <c r="C758" s="798" t="s">
        <v>19</v>
      </c>
      <c r="D758" s="800">
        <v>0.46</v>
      </c>
    </row>
    <row r="759" spans="1:4" ht="40.5">
      <c r="A759" s="798">
        <v>87442</v>
      </c>
      <c r="B759" s="799" t="s">
        <v>8205</v>
      </c>
      <c r="C759" s="798" t="s">
        <v>19</v>
      </c>
      <c r="D759" s="800">
        <v>0.05</v>
      </c>
    </row>
    <row r="760" spans="1:4" ht="40.5">
      <c r="A760" s="798">
        <v>87443</v>
      </c>
      <c r="B760" s="799" t="s">
        <v>8206</v>
      </c>
      <c r="C760" s="798" t="s">
        <v>19</v>
      </c>
      <c r="D760" s="800">
        <v>0.56999999999999995</v>
      </c>
    </row>
    <row r="761" spans="1:4" ht="40.5">
      <c r="A761" s="798">
        <v>87444</v>
      </c>
      <c r="B761" s="799" t="s">
        <v>8207</v>
      </c>
      <c r="C761" s="798" t="s">
        <v>19</v>
      </c>
      <c r="D761" s="800">
        <v>4.13</v>
      </c>
    </row>
    <row r="762" spans="1:4" ht="40.5">
      <c r="A762" s="798">
        <v>88387</v>
      </c>
      <c r="B762" s="799" t="s">
        <v>992</v>
      </c>
      <c r="C762" s="798" t="s">
        <v>19</v>
      </c>
      <c r="D762" s="800">
        <v>0.89</v>
      </c>
    </row>
    <row r="763" spans="1:4" ht="40.5">
      <c r="A763" s="798">
        <v>88389</v>
      </c>
      <c r="B763" s="799" t="s">
        <v>993</v>
      </c>
      <c r="C763" s="798" t="s">
        <v>19</v>
      </c>
      <c r="D763" s="800">
        <v>0.1</v>
      </c>
    </row>
    <row r="764" spans="1:4" ht="40.5">
      <c r="A764" s="798">
        <v>88390</v>
      </c>
      <c r="B764" s="799" t="s">
        <v>994</v>
      </c>
      <c r="C764" s="798" t="s">
        <v>19</v>
      </c>
      <c r="D764" s="800">
        <v>0.98</v>
      </c>
    </row>
    <row r="765" spans="1:4" ht="40.5">
      <c r="A765" s="798">
        <v>88391</v>
      </c>
      <c r="B765" s="799" t="s">
        <v>995</v>
      </c>
      <c r="C765" s="798" t="s">
        <v>19</v>
      </c>
      <c r="D765" s="800">
        <v>2.84</v>
      </c>
    </row>
    <row r="766" spans="1:4" ht="40.5">
      <c r="A766" s="798">
        <v>88394</v>
      </c>
      <c r="B766" s="799" t="s">
        <v>998</v>
      </c>
      <c r="C766" s="798" t="s">
        <v>19</v>
      </c>
      <c r="D766" s="800">
        <v>1.06</v>
      </c>
    </row>
    <row r="767" spans="1:4" ht="40.5">
      <c r="A767" s="798">
        <v>88395</v>
      </c>
      <c r="B767" s="799" t="s">
        <v>999</v>
      </c>
      <c r="C767" s="798" t="s">
        <v>19</v>
      </c>
      <c r="D767" s="800">
        <v>0.12</v>
      </c>
    </row>
    <row r="768" spans="1:4" ht="40.5">
      <c r="A768" s="798">
        <v>88396</v>
      </c>
      <c r="B768" s="799" t="s">
        <v>1000</v>
      </c>
      <c r="C768" s="798" t="s">
        <v>19</v>
      </c>
      <c r="D768" s="800">
        <v>1.17</v>
      </c>
    </row>
    <row r="769" spans="1:4" ht="40.5">
      <c r="A769" s="798">
        <v>88397</v>
      </c>
      <c r="B769" s="799" t="s">
        <v>1001</v>
      </c>
      <c r="C769" s="798" t="s">
        <v>19</v>
      </c>
      <c r="D769" s="800">
        <v>4.26</v>
      </c>
    </row>
    <row r="770" spans="1:4" ht="40.5">
      <c r="A770" s="798">
        <v>88400</v>
      </c>
      <c r="B770" s="799" t="s">
        <v>1004</v>
      </c>
      <c r="C770" s="798" t="s">
        <v>19</v>
      </c>
      <c r="D770" s="800">
        <v>0.85</v>
      </c>
    </row>
    <row r="771" spans="1:4" ht="40.5">
      <c r="A771" s="798">
        <v>88401</v>
      </c>
      <c r="B771" s="799" t="s">
        <v>1005</v>
      </c>
      <c r="C771" s="798" t="s">
        <v>19</v>
      </c>
      <c r="D771" s="800">
        <v>0.1</v>
      </c>
    </row>
    <row r="772" spans="1:4" ht="40.5">
      <c r="A772" s="798">
        <v>88402</v>
      </c>
      <c r="B772" s="799" t="s">
        <v>1006</v>
      </c>
      <c r="C772" s="798" t="s">
        <v>19</v>
      </c>
      <c r="D772" s="800">
        <v>0.92</v>
      </c>
    </row>
    <row r="773" spans="1:4" ht="40.5">
      <c r="A773" s="798">
        <v>88403</v>
      </c>
      <c r="B773" s="799" t="s">
        <v>1007</v>
      </c>
      <c r="C773" s="798" t="s">
        <v>19</v>
      </c>
      <c r="D773" s="800">
        <v>1.71</v>
      </c>
    </row>
    <row r="774" spans="1:4" ht="40.5">
      <c r="A774" s="798">
        <v>88419</v>
      </c>
      <c r="B774" s="799" t="s">
        <v>172</v>
      </c>
      <c r="C774" s="798" t="s">
        <v>19</v>
      </c>
      <c r="D774" s="800">
        <v>5.53</v>
      </c>
    </row>
    <row r="775" spans="1:4" ht="40.5">
      <c r="A775" s="798">
        <v>88422</v>
      </c>
      <c r="B775" s="799" t="s">
        <v>173</v>
      </c>
      <c r="C775" s="798" t="s">
        <v>19</v>
      </c>
      <c r="D775" s="800">
        <v>0.65</v>
      </c>
    </row>
    <row r="776" spans="1:4" ht="40.5">
      <c r="A776" s="798">
        <v>88425</v>
      </c>
      <c r="B776" s="799" t="s">
        <v>175</v>
      </c>
      <c r="C776" s="798" t="s">
        <v>19</v>
      </c>
      <c r="D776" s="800">
        <v>6.91</v>
      </c>
    </row>
    <row r="777" spans="1:4" ht="40.5">
      <c r="A777" s="798">
        <v>88427</v>
      </c>
      <c r="B777" s="799" t="s">
        <v>1018</v>
      </c>
      <c r="C777" s="798" t="s">
        <v>19</v>
      </c>
      <c r="D777" s="800">
        <v>0.96</v>
      </c>
    </row>
    <row r="778" spans="1:4" ht="40.5">
      <c r="A778" s="798">
        <v>88434</v>
      </c>
      <c r="B778" s="799" t="s">
        <v>1022</v>
      </c>
      <c r="C778" s="798" t="s">
        <v>19</v>
      </c>
      <c r="D778" s="800">
        <v>7.33</v>
      </c>
    </row>
    <row r="779" spans="1:4" ht="40.5">
      <c r="A779" s="798">
        <v>88435</v>
      </c>
      <c r="B779" s="799" t="s">
        <v>1023</v>
      </c>
      <c r="C779" s="798" t="s">
        <v>19</v>
      </c>
      <c r="D779" s="800">
        <v>0.87</v>
      </c>
    </row>
    <row r="780" spans="1:4" ht="40.5">
      <c r="A780" s="798">
        <v>88436</v>
      </c>
      <c r="B780" s="799" t="s">
        <v>1024</v>
      </c>
      <c r="C780" s="798" t="s">
        <v>19</v>
      </c>
      <c r="D780" s="800">
        <v>9.16</v>
      </c>
    </row>
    <row r="781" spans="1:4" ht="40.5">
      <c r="A781" s="798">
        <v>88437</v>
      </c>
      <c r="B781" s="799" t="s">
        <v>1025</v>
      </c>
      <c r="C781" s="798" t="s">
        <v>19</v>
      </c>
      <c r="D781" s="800">
        <v>0.96</v>
      </c>
    </row>
    <row r="782" spans="1:4" ht="40.5">
      <c r="A782" s="798">
        <v>88569</v>
      </c>
      <c r="B782" s="799" t="s">
        <v>184</v>
      </c>
      <c r="C782" s="798" t="s">
        <v>19</v>
      </c>
      <c r="D782" s="800">
        <v>3.61</v>
      </c>
    </row>
    <row r="783" spans="1:4" ht="40.5">
      <c r="A783" s="798">
        <v>88570</v>
      </c>
      <c r="B783" s="799" t="s">
        <v>185</v>
      </c>
      <c r="C783" s="798" t="s">
        <v>19</v>
      </c>
      <c r="D783" s="800">
        <v>0.76</v>
      </c>
    </row>
    <row r="784" spans="1:4" ht="40.5">
      <c r="A784" s="798">
        <v>88826</v>
      </c>
      <c r="B784" s="799" t="s">
        <v>1037</v>
      </c>
      <c r="C784" s="798" t="s">
        <v>19</v>
      </c>
      <c r="D784" s="800">
        <v>0.33</v>
      </c>
    </row>
    <row r="785" spans="1:4" ht="40.5">
      <c r="A785" s="798">
        <v>88827</v>
      </c>
      <c r="B785" s="799" t="s">
        <v>1038</v>
      </c>
      <c r="C785" s="798" t="s">
        <v>19</v>
      </c>
      <c r="D785" s="800">
        <v>0.04</v>
      </c>
    </row>
    <row r="786" spans="1:4" ht="40.5">
      <c r="A786" s="798">
        <v>88828</v>
      </c>
      <c r="B786" s="799" t="s">
        <v>1039</v>
      </c>
      <c r="C786" s="798" t="s">
        <v>19</v>
      </c>
      <c r="D786" s="800">
        <v>0.37</v>
      </c>
    </row>
    <row r="787" spans="1:4" ht="54">
      <c r="A787" s="798">
        <v>88829</v>
      </c>
      <c r="B787" s="799" t="s">
        <v>1040</v>
      </c>
      <c r="C787" s="798" t="s">
        <v>19</v>
      </c>
      <c r="D787" s="800">
        <v>1.1299999999999999</v>
      </c>
    </row>
    <row r="788" spans="1:4" ht="40.5">
      <c r="A788" s="798">
        <v>88832</v>
      </c>
      <c r="B788" s="799" t="s">
        <v>1043</v>
      </c>
      <c r="C788" s="798" t="s">
        <v>19</v>
      </c>
      <c r="D788" s="800">
        <v>42.74</v>
      </c>
    </row>
    <row r="789" spans="1:4" ht="40.5">
      <c r="A789" s="798">
        <v>88834</v>
      </c>
      <c r="B789" s="799" t="s">
        <v>1044</v>
      </c>
      <c r="C789" s="798" t="s">
        <v>19</v>
      </c>
      <c r="D789" s="800">
        <v>5.8</v>
      </c>
    </row>
    <row r="790" spans="1:4" ht="40.5">
      <c r="A790" s="798">
        <v>88835</v>
      </c>
      <c r="B790" s="799" t="s">
        <v>1045</v>
      </c>
      <c r="C790" s="798" t="s">
        <v>19</v>
      </c>
      <c r="D790" s="800">
        <v>53.43</v>
      </c>
    </row>
    <row r="791" spans="1:4" ht="40.5">
      <c r="A791" s="798">
        <v>88836</v>
      </c>
      <c r="B791" s="799" t="s">
        <v>1046</v>
      </c>
      <c r="C791" s="798" t="s">
        <v>19</v>
      </c>
      <c r="D791" s="800">
        <v>63.05</v>
      </c>
    </row>
    <row r="792" spans="1:4" ht="27">
      <c r="A792" s="798">
        <v>88839</v>
      </c>
      <c r="B792" s="799" t="s">
        <v>1047</v>
      </c>
      <c r="C792" s="798" t="s">
        <v>19</v>
      </c>
      <c r="D792" s="800">
        <v>27.77</v>
      </c>
    </row>
    <row r="793" spans="1:4" ht="27">
      <c r="A793" s="798">
        <v>88840</v>
      </c>
      <c r="B793" s="799" t="s">
        <v>1048</v>
      </c>
      <c r="C793" s="798" t="s">
        <v>19</v>
      </c>
      <c r="D793" s="800">
        <v>6.25</v>
      </c>
    </row>
    <row r="794" spans="1:4" ht="27">
      <c r="A794" s="798">
        <v>88841</v>
      </c>
      <c r="B794" s="799" t="s">
        <v>1049</v>
      </c>
      <c r="C794" s="798" t="s">
        <v>19</v>
      </c>
      <c r="D794" s="800">
        <v>49.64</v>
      </c>
    </row>
    <row r="795" spans="1:4" ht="40.5">
      <c r="A795" s="798">
        <v>88842</v>
      </c>
      <c r="B795" s="799" t="s">
        <v>1050</v>
      </c>
      <c r="C795" s="798" t="s">
        <v>19</v>
      </c>
      <c r="D795" s="800">
        <v>77.180000000000007</v>
      </c>
    </row>
    <row r="796" spans="1:4" ht="54">
      <c r="A796" s="798">
        <v>88847</v>
      </c>
      <c r="B796" s="799" t="s">
        <v>1053</v>
      </c>
      <c r="C796" s="798" t="s">
        <v>19</v>
      </c>
      <c r="D796" s="800">
        <v>20.81</v>
      </c>
    </row>
    <row r="797" spans="1:4" ht="54">
      <c r="A797" s="798">
        <v>88848</v>
      </c>
      <c r="B797" s="799" t="s">
        <v>1054</v>
      </c>
      <c r="C797" s="798" t="s">
        <v>19</v>
      </c>
      <c r="D797" s="800">
        <v>4.3600000000000003</v>
      </c>
    </row>
    <row r="798" spans="1:4" ht="54">
      <c r="A798" s="798">
        <v>88853</v>
      </c>
      <c r="B798" s="799" t="s">
        <v>1055</v>
      </c>
      <c r="C798" s="798" t="s">
        <v>19</v>
      </c>
      <c r="D798" s="800">
        <v>0.18</v>
      </c>
    </row>
    <row r="799" spans="1:4" ht="54">
      <c r="A799" s="798">
        <v>88854</v>
      </c>
      <c r="B799" s="799" t="s">
        <v>1056</v>
      </c>
      <c r="C799" s="798" t="s">
        <v>19</v>
      </c>
      <c r="D799" s="800">
        <v>0.02</v>
      </c>
    </row>
    <row r="800" spans="1:4" ht="40.5">
      <c r="A800" s="798">
        <v>88855</v>
      </c>
      <c r="B800" s="799" t="s">
        <v>1057</v>
      </c>
      <c r="C800" s="798" t="s">
        <v>19</v>
      </c>
      <c r="D800" s="800">
        <v>4.03</v>
      </c>
    </row>
    <row r="801" spans="1:4" ht="40.5">
      <c r="A801" s="798">
        <v>88856</v>
      </c>
      <c r="B801" s="799" t="s">
        <v>1058</v>
      </c>
      <c r="C801" s="798" t="s">
        <v>19</v>
      </c>
      <c r="D801" s="800">
        <v>0.56000000000000005</v>
      </c>
    </row>
    <row r="802" spans="1:4" ht="67.5">
      <c r="A802" s="798">
        <v>88857</v>
      </c>
      <c r="B802" s="799" t="s">
        <v>1059</v>
      </c>
      <c r="C802" s="798" t="s">
        <v>19</v>
      </c>
      <c r="D802" s="800">
        <v>19.78</v>
      </c>
    </row>
    <row r="803" spans="1:4" ht="67.5">
      <c r="A803" s="798">
        <v>88858</v>
      </c>
      <c r="B803" s="799" t="s">
        <v>1060</v>
      </c>
      <c r="C803" s="798" t="s">
        <v>19</v>
      </c>
      <c r="D803" s="800">
        <v>2.68</v>
      </c>
    </row>
    <row r="804" spans="1:4" ht="67.5">
      <c r="A804" s="798">
        <v>88859</v>
      </c>
      <c r="B804" s="799" t="s">
        <v>1061</v>
      </c>
      <c r="C804" s="798" t="s">
        <v>19</v>
      </c>
      <c r="D804" s="800">
        <v>17.59</v>
      </c>
    </row>
    <row r="805" spans="1:4" ht="67.5">
      <c r="A805" s="798">
        <v>88860</v>
      </c>
      <c r="B805" s="799" t="s">
        <v>1062</v>
      </c>
      <c r="C805" s="798" t="s">
        <v>19</v>
      </c>
      <c r="D805" s="800">
        <v>2.38</v>
      </c>
    </row>
    <row r="806" spans="1:4" ht="40.5">
      <c r="A806" s="798">
        <v>88900</v>
      </c>
      <c r="B806" s="799" t="s">
        <v>1063</v>
      </c>
      <c r="C806" s="798" t="s">
        <v>19</v>
      </c>
      <c r="D806" s="800">
        <v>49.84</v>
      </c>
    </row>
    <row r="807" spans="1:4" ht="40.5">
      <c r="A807" s="798">
        <v>88902</v>
      </c>
      <c r="B807" s="799" t="s">
        <v>1064</v>
      </c>
      <c r="C807" s="798" t="s">
        <v>19</v>
      </c>
      <c r="D807" s="800">
        <v>6.76</v>
      </c>
    </row>
    <row r="808" spans="1:4" ht="40.5">
      <c r="A808" s="798">
        <v>88903</v>
      </c>
      <c r="B808" s="799" t="s">
        <v>1065</v>
      </c>
      <c r="C808" s="798" t="s">
        <v>19</v>
      </c>
      <c r="D808" s="800">
        <v>62.3</v>
      </c>
    </row>
    <row r="809" spans="1:4" ht="40.5">
      <c r="A809" s="798">
        <v>88904</v>
      </c>
      <c r="B809" s="799" t="s">
        <v>1066</v>
      </c>
      <c r="C809" s="798" t="s">
        <v>19</v>
      </c>
      <c r="D809" s="800">
        <v>88.82</v>
      </c>
    </row>
    <row r="810" spans="1:4" ht="40.5">
      <c r="A810" s="798">
        <v>89009</v>
      </c>
      <c r="B810" s="799" t="s">
        <v>187</v>
      </c>
      <c r="C810" s="798" t="s">
        <v>19</v>
      </c>
      <c r="D810" s="800">
        <v>34.39</v>
      </c>
    </row>
    <row r="811" spans="1:4" ht="40.5">
      <c r="A811" s="798">
        <v>89010</v>
      </c>
      <c r="B811" s="799" t="s">
        <v>188</v>
      </c>
      <c r="C811" s="798" t="s">
        <v>19</v>
      </c>
      <c r="D811" s="800">
        <v>7.74</v>
      </c>
    </row>
    <row r="812" spans="1:4" ht="67.5">
      <c r="A812" s="798">
        <v>89011</v>
      </c>
      <c r="B812" s="799" t="s">
        <v>1069</v>
      </c>
      <c r="C812" s="798" t="s">
        <v>19</v>
      </c>
      <c r="D812" s="800">
        <v>19.079999999999998</v>
      </c>
    </row>
    <row r="813" spans="1:4" ht="67.5">
      <c r="A813" s="798">
        <v>89012</v>
      </c>
      <c r="B813" s="799" t="s">
        <v>1070</v>
      </c>
      <c r="C813" s="798" t="s">
        <v>19</v>
      </c>
      <c r="D813" s="800">
        <v>2.59</v>
      </c>
    </row>
    <row r="814" spans="1:4" ht="27">
      <c r="A814" s="798">
        <v>89013</v>
      </c>
      <c r="B814" s="799" t="s">
        <v>1071</v>
      </c>
      <c r="C814" s="798" t="s">
        <v>19</v>
      </c>
      <c r="D814" s="800">
        <v>112.67</v>
      </c>
    </row>
    <row r="815" spans="1:4" ht="27">
      <c r="A815" s="798">
        <v>89014</v>
      </c>
      <c r="B815" s="799" t="s">
        <v>1072</v>
      </c>
      <c r="C815" s="798" t="s">
        <v>19</v>
      </c>
      <c r="D815" s="800">
        <v>25.36</v>
      </c>
    </row>
    <row r="816" spans="1:4" ht="40.5">
      <c r="A816" s="798">
        <v>89015</v>
      </c>
      <c r="B816" s="799" t="s">
        <v>1073</v>
      </c>
      <c r="C816" s="798" t="s">
        <v>19</v>
      </c>
      <c r="D816" s="800">
        <v>4.6500000000000004</v>
      </c>
    </row>
    <row r="817" spans="1:4" ht="40.5">
      <c r="A817" s="798">
        <v>89016</v>
      </c>
      <c r="B817" s="799" t="s">
        <v>1074</v>
      </c>
      <c r="C817" s="798" t="s">
        <v>19</v>
      </c>
      <c r="D817" s="800">
        <v>0.63</v>
      </c>
    </row>
    <row r="818" spans="1:4" ht="27">
      <c r="A818" s="798">
        <v>89017</v>
      </c>
      <c r="B818" s="799" t="s">
        <v>1075</v>
      </c>
      <c r="C818" s="798" t="s">
        <v>19</v>
      </c>
      <c r="D818" s="800">
        <v>34.18</v>
      </c>
    </row>
    <row r="819" spans="1:4" ht="27">
      <c r="A819" s="798">
        <v>89018</v>
      </c>
      <c r="B819" s="799" t="s">
        <v>1076</v>
      </c>
      <c r="C819" s="798" t="s">
        <v>19</v>
      </c>
      <c r="D819" s="800">
        <v>7.69</v>
      </c>
    </row>
    <row r="820" spans="1:4" ht="54">
      <c r="A820" s="798">
        <v>89019</v>
      </c>
      <c r="B820" s="799" t="s">
        <v>1077</v>
      </c>
      <c r="C820" s="798" t="s">
        <v>19</v>
      </c>
      <c r="D820" s="800">
        <v>0.28000000000000003</v>
      </c>
    </row>
    <row r="821" spans="1:4" ht="54">
      <c r="A821" s="798">
        <v>89020</v>
      </c>
      <c r="B821" s="799" t="s">
        <v>1078</v>
      </c>
      <c r="C821" s="798" t="s">
        <v>19</v>
      </c>
      <c r="D821" s="800">
        <v>0.03</v>
      </c>
    </row>
    <row r="822" spans="1:4" ht="27">
      <c r="A822" s="798">
        <v>89023</v>
      </c>
      <c r="B822" s="799" t="s">
        <v>1081</v>
      </c>
      <c r="C822" s="798" t="s">
        <v>19</v>
      </c>
      <c r="D822" s="800">
        <v>4.21</v>
      </c>
    </row>
    <row r="823" spans="1:4" ht="27">
      <c r="A823" s="798">
        <v>89024</v>
      </c>
      <c r="B823" s="799" t="s">
        <v>1082</v>
      </c>
      <c r="C823" s="798" t="s">
        <v>19</v>
      </c>
      <c r="D823" s="800">
        <v>0.66</v>
      </c>
    </row>
    <row r="824" spans="1:4" ht="27">
      <c r="A824" s="798">
        <v>89025</v>
      </c>
      <c r="B824" s="799" t="s">
        <v>1083</v>
      </c>
      <c r="C824" s="798" t="s">
        <v>19</v>
      </c>
      <c r="D824" s="800">
        <v>3.51</v>
      </c>
    </row>
    <row r="825" spans="1:4" ht="40.5">
      <c r="A825" s="798">
        <v>89026</v>
      </c>
      <c r="B825" s="799" t="s">
        <v>1084</v>
      </c>
      <c r="C825" s="798" t="s">
        <v>19</v>
      </c>
      <c r="D825" s="800">
        <v>236.04</v>
      </c>
    </row>
    <row r="826" spans="1:4" ht="27">
      <c r="A826" s="798">
        <v>89029</v>
      </c>
      <c r="B826" s="799" t="s">
        <v>1085</v>
      </c>
      <c r="C826" s="798" t="s">
        <v>19</v>
      </c>
      <c r="D826" s="800">
        <v>26.53</v>
      </c>
    </row>
    <row r="827" spans="1:4" ht="27">
      <c r="A827" s="798">
        <v>89030</v>
      </c>
      <c r="B827" s="799" t="s">
        <v>1086</v>
      </c>
      <c r="C827" s="798" t="s">
        <v>19</v>
      </c>
      <c r="D827" s="800">
        <v>5.97</v>
      </c>
    </row>
    <row r="828" spans="1:4" ht="27">
      <c r="A828" s="798">
        <v>89033</v>
      </c>
      <c r="B828" s="799" t="s">
        <v>191</v>
      </c>
      <c r="C828" s="798" t="s">
        <v>19</v>
      </c>
      <c r="D828" s="800">
        <v>13.32</v>
      </c>
    </row>
    <row r="829" spans="1:4" ht="27">
      <c r="A829" s="798">
        <v>89034</v>
      </c>
      <c r="B829" s="799" t="s">
        <v>192</v>
      </c>
      <c r="C829" s="798" t="s">
        <v>19</v>
      </c>
      <c r="D829" s="800">
        <v>1.85</v>
      </c>
    </row>
    <row r="830" spans="1:4" ht="40.5">
      <c r="A830" s="798">
        <v>89128</v>
      </c>
      <c r="B830" s="799" t="s">
        <v>1091</v>
      </c>
      <c r="C830" s="798" t="s">
        <v>19</v>
      </c>
      <c r="D830" s="800">
        <v>32.479999999999997</v>
      </c>
    </row>
    <row r="831" spans="1:4" ht="40.5">
      <c r="A831" s="798">
        <v>89129</v>
      </c>
      <c r="B831" s="799" t="s">
        <v>1092</v>
      </c>
      <c r="C831" s="798" t="s">
        <v>19</v>
      </c>
      <c r="D831" s="800">
        <v>4.4000000000000004</v>
      </c>
    </row>
    <row r="832" spans="1:4" ht="40.5">
      <c r="A832" s="798">
        <v>89130</v>
      </c>
      <c r="B832" s="799" t="s">
        <v>1093</v>
      </c>
      <c r="C832" s="798" t="s">
        <v>19</v>
      </c>
      <c r="D832" s="800">
        <v>45.03</v>
      </c>
    </row>
    <row r="833" spans="1:4" ht="40.5">
      <c r="A833" s="798">
        <v>89131</v>
      </c>
      <c r="B833" s="799" t="s">
        <v>1094</v>
      </c>
      <c r="C833" s="798" t="s">
        <v>19</v>
      </c>
      <c r="D833" s="800">
        <v>6.11</v>
      </c>
    </row>
    <row r="834" spans="1:4" ht="54">
      <c r="A834" s="798">
        <v>89210</v>
      </c>
      <c r="B834" s="799" t="s">
        <v>1096</v>
      </c>
      <c r="C834" s="798" t="s">
        <v>19</v>
      </c>
      <c r="D834" s="800">
        <v>31.91</v>
      </c>
    </row>
    <row r="835" spans="1:4" ht="54">
      <c r="A835" s="798">
        <v>89211</v>
      </c>
      <c r="B835" s="799" t="s">
        <v>1097</v>
      </c>
      <c r="C835" s="798" t="s">
        <v>19</v>
      </c>
      <c r="D835" s="800">
        <v>4.43</v>
      </c>
    </row>
    <row r="836" spans="1:4" ht="27">
      <c r="A836" s="798">
        <v>89212</v>
      </c>
      <c r="B836" s="799" t="s">
        <v>195</v>
      </c>
      <c r="C836" s="798" t="s">
        <v>19</v>
      </c>
      <c r="D836" s="800">
        <v>26.19</v>
      </c>
    </row>
    <row r="837" spans="1:4" ht="27">
      <c r="A837" s="798">
        <v>89213</v>
      </c>
      <c r="B837" s="799" t="s">
        <v>196</v>
      </c>
      <c r="C837" s="798" t="s">
        <v>19</v>
      </c>
      <c r="D837" s="800">
        <v>4.12</v>
      </c>
    </row>
    <row r="838" spans="1:4" ht="27">
      <c r="A838" s="798">
        <v>89214</v>
      </c>
      <c r="B838" s="799" t="s">
        <v>197</v>
      </c>
      <c r="C838" s="798" t="s">
        <v>19</v>
      </c>
      <c r="D838" s="800">
        <v>24.59</v>
      </c>
    </row>
    <row r="839" spans="1:4" ht="40.5">
      <c r="A839" s="798">
        <v>89215</v>
      </c>
      <c r="B839" s="799" t="s">
        <v>198</v>
      </c>
      <c r="C839" s="798" t="s">
        <v>19</v>
      </c>
      <c r="D839" s="800">
        <v>91.72</v>
      </c>
    </row>
    <row r="840" spans="1:4" ht="40.5">
      <c r="A840" s="798">
        <v>89221</v>
      </c>
      <c r="B840" s="799" t="s">
        <v>1098</v>
      </c>
      <c r="C840" s="798" t="s">
        <v>19</v>
      </c>
      <c r="D840" s="800">
        <v>1.37</v>
      </c>
    </row>
    <row r="841" spans="1:4" ht="40.5">
      <c r="A841" s="798">
        <v>89222</v>
      </c>
      <c r="B841" s="799" t="s">
        <v>1099</v>
      </c>
      <c r="C841" s="798" t="s">
        <v>19</v>
      </c>
      <c r="D841" s="800">
        <v>0.16</v>
      </c>
    </row>
    <row r="842" spans="1:4" ht="40.5">
      <c r="A842" s="798">
        <v>89223</v>
      </c>
      <c r="B842" s="799" t="s">
        <v>1100</v>
      </c>
      <c r="C842" s="798" t="s">
        <v>19</v>
      </c>
      <c r="D842" s="800">
        <v>1.5</v>
      </c>
    </row>
    <row r="843" spans="1:4" ht="54">
      <c r="A843" s="798">
        <v>89224</v>
      </c>
      <c r="B843" s="799" t="s">
        <v>1101</v>
      </c>
      <c r="C843" s="798" t="s">
        <v>19</v>
      </c>
      <c r="D843" s="800">
        <v>2.27</v>
      </c>
    </row>
    <row r="844" spans="1:4" ht="40.5">
      <c r="A844" s="798">
        <v>89228</v>
      </c>
      <c r="B844" s="799" t="s">
        <v>200</v>
      </c>
      <c r="C844" s="798" t="s">
        <v>19</v>
      </c>
      <c r="D844" s="800">
        <v>37.119999999999997</v>
      </c>
    </row>
    <row r="845" spans="1:4" ht="40.5">
      <c r="A845" s="798">
        <v>89229</v>
      </c>
      <c r="B845" s="799" t="s">
        <v>201</v>
      </c>
      <c r="C845" s="798" t="s">
        <v>19</v>
      </c>
      <c r="D845" s="800">
        <v>6.68</v>
      </c>
    </row>
    <row r="846" spans="1:4" ht="40.5">
      <c r="A846" s="798">
        <v>89230</v>
      </c>
      <c r="B846" s="799" t="s">
        <v>1104</v>
      </c>
      <c r="C846" s="798" t="s">
        <v>19</v>
      </c>
      <c r="D846" s="800">
        <v>122.75</v>
      </c>
    </row>
    <row r="847" spans="1:4" ht="40.5">
      <c r="A847" s="798">
        <v>89231</v>
      </c>
      <c r="B847" s="799" t="s">
        <v>1105</v>
      </c>
      <c r="C847" s="798" t="s">
        <v>19</v>
      </c>
      <c r="D847" s="800">
        <v>19.45</v>
      </c>
    </row>
    <row r="848" spans="1:4" ht="40.5">
      <c r="A848" s="798">
        <v>89232</v>
      </c>
      <c r="B848" s="799" t="s">
        <v>1106</v>
      </c>
      <c r="C848" s="798" t="s">
        <v>19</v>
      </c>
      <c r="D848" s="800">
        <v>218.95</v>
      </c>
    </row>
    <row r="849" spans="1:4" ht="40.5">
      <c r="A849" s="798">
        <v>89233</v>
      </c>
      <c r="B849" s="799" t="s">
        <v>1107</v>
      </c>
      <c r="C849" s="798" t="s">
        <v>19</v>
      </c>
      <c r="D849" s="800">
        <v>165.06</v>
      </c>
    </row>
    <row r="850" spans="1:4" ht="40.5">
      <c r="A850" s="798">
        <v>89236</v>
      </c>
      <c r="B850" s="799" t="s">
        <v>1110</v>
      </c>
      <c r="C850" s="798" t="s">
        <v>19</v>
      </c>
      <c r="D850" s="800">
        <v>286.74</v>
      </c>
    </row>
    <row r="851" spans="1:4" ht="40.5">
      <c r="A851" s="798">
        <v>89237</v>
      </c>
      <c r="B851" s="799" t="s">
        <v>1111</v>
      </c>
      <c r="C851" s="798" t="s">
        <v>19</v>
      </c>
      <c r="D851" s="800">
        <v>45.43</v>
      </c>
    </row>
    <row r="852" spans="1:4" ht="40.5">
      <c r="A852" s="798">
        <v>89238</v>
      </c>
      <c r="B852" s="799" t="s">
        <v>1112</v>
      </c>
      <c r="C852" s="798" t="s">
        <v>19</v>
      </c>
      <c r="D852" s="800">
        <v>511.47</v>
      </c>
    </row>
    <row r="853" spans="1:4" ht="40.5">
      <c r="A853" s="798">
        <v>89239</v>
      </c>
      <c r="B853" s="799" t="s">
        <v>1113</v>
      </c>
      <c r="C853" s="798" t="s">
        <v>19</v>
      </c>
      <c r="D853" s="800">
        <v>436.51</v>
      </c>
    </row>
    <row r="854" spans="1:4" ht="40.5">
      <c r="A854" s="798">
        <v>89240</v>
      </c>
      <c r="B854" s="799" t="s">
        <v>1114</v>
      </c>
      <c r="C854" s="798" t="s">
        <v>19</v>
      </c>
      <c r="D854" s="800">
        <v>88</v>
      </c>
    </row>
    <row r="855" spans="1:4" ht="40.5">
      <c r="A855" s="798">
        <v>89241</v>
      </c>
      <c r="B855" s="799" t="s">
        <v>202</v>
      </c>
      <c r="C855" s="798" t="s">
        <v>19</v>
      </c>
      <c r="D855" s="800">
        <v>15.84</v>
      </c>
    </row>
    <row r="856" spans="1:4" ht="40.5">
      <c r="A856" s="798">
        <v>89246</v>
      </c>
      <c r="B856" s="799" t="s">
        <v>203</v>
      </c>
      <c r="C856" s="798" t="s">
        <v>19</v>
      </c>
      <c r="D856" s="800">
        <v>249.16</v>
      </c>
    </row>
    <row r="857" spans="1:4" ht="40.5">
      <c r="A857" s="798">
        <v>89247</v>
      </c>
      <c r="B857" s="799" t="s">
        <v>204</v>
      </c>
      <c r="C857" s="798" t="s">
        <v>19</v>
      </c>
      <c r="D857" s="800">
        <v>39.479999999999997</v>
      </c>
    </row>
    <row r="858" spans="1:4" ht="40.5">
      <c r="A858" s="798">
        <v>89248</v>
      </c>
      <c r="B858" s="799" t="s">
        <v>205</v>
      </c>
      <c r="C858" s="798" t="s">
        <v>19</v>
      </c>
      <c r="D858" s="800">
        <v>444.43</v>
      </c>
    </row>
    <row r="859" spans="1:4" ht="40.5">
      <c r="A859" s="798">
        <v>89249</v>
      </c>
      <c r="B859" s="799" t="s">
        <v>206</v>
      </c>
      <c r="C859" s="798" t="s">
        <v>19</v>
      </c>
      <c r="D859" s="800">
        <v>372.09</v>
      </c>
    </row>
    <row r="860" spans="1:4" ht="40.5">
      <c r="A860" s="798">
        <v>89253</v>
      </c>
      <c r="B860" s="799" t="s">
        <v>1117</v>
      </c>
      <c r="C860" s="798" t="s">
        <v>19</v>
      </c>
      <c r="D860" s="800">
        <v>72.11</v>
      </c>
    </row>
    <row r="861" spans="1:4" ht="40.5">
      <c r="A861" s="798">
        <v>89254</v>
      </c>
      <c r="B861" s="799" t="s">
        <v>209</v>
      </c>
      <c r="C861" s="798" t="s">
        <v>19</v>
      </c>
      <c r="D861" s="800">
        <v>12.98</v>
      </c>
    </row>
    <row r="862" spans="1:4" ht="40.5">
      <c r="A862" s="798">
        <v>89255</v>
      </c>
      <c r="B862" s="799" t="s">
        <v>1118</v>
      </c>
      <c r="C862" s="798" t="s">
        <v>19</v>
      </c>
      <c r="D862" s="800">
        <v>115.92</v>
      </c>
    </row>
    <row r="863" spans="1:4" ht="54">
      <c r="A863" s="798">
        <v>89256</v>
      </c>
      <c r="B863" s="799" t="s">
        <v>1119</v>
      </c>
      <c r="C863" s="798" t="s">
        <v>19</v>
      </c>
      <c r="D863" s="800">
        <v>83.74</v>
      </c>
    </row>
    <row r="864" spans="1:4" ht="54">
      <c r="A864" s="798">
        <v>89259</v>
      </c>
      <c r="B864" s="799" t="s">
        <v>1122</v>
      </c>
      <c r="C864" s="798" t="s">
        <v>19</v>
      </c>
      <c r="D864" s="800">
        <v>18.989999999999998</v>
      </c>
    </row>
    <row r="865" spans="1:4" ht="54">
      <c r="A865" s="798">
        <v>89260</v>
      </c>
      <c r="B865" s="799" t="s">
        <v>1123</v>
      </c>
      <c r="C865" s="798" t="s">
        <v>19</v>
      </c>
      <c r="D865" s="800">
        <v>3.44</v>
      </c>
    </row>
    <row r="866" spans="1:4" ht="54">
      <c r="A866" s="798">
        <v>89262</v>
      </c>
      <c r="B866" s="799" t="s">
        <v>1124</v>
      </c>
      <c r="C866" s="798" t="s">
        <v>19</v>
      </c>
      <c r="D866" s="800">
        <v>31.25</v>
      </c>
    </row>
    <row r="867" spans="1:4" ht="67.5">
      <c r="A867" s="798">
        <v>89264</v>
      </c>
      <c r="B867" s="799" t="s">
        <v>1125</v>
      </c>
      <c r="C867" s="798" t="s">
        <v>19</v>
      </c>
      <c r="D867" s="800">
        <v>13.64</v>
      </c>
    </row>
    <row r="868" spans="1:4" ht="67.5">
      <c r="A868" s="798">
        <v>89265</v>
      </c>
      <c r="B868" s="799" t="s">
        <v>1126</v>
      </c>
      <c r="C868" s="798" t="s">
        <v>19</v>
      </c>
      <c r="D868" s="800">
        <v>2.73</v>
      </c>
    </row>
    <row r="869" spans="1:4" ht="67.5">
      <c r="A869" s="798">
        <v>89266</v>
      </c>
      <c r="B869" s="799" t="s">
        <v>1127</v>
      </c>
      <c r="C869" s="798" t="s">
        <v>19</v>
      </c>
      <c r="D869" s="800">
        <v>2.16</v>
      </c>
    </row>
    <row r="870" spans="1:4" ht="40.5">
      <c r="A870" s="798">
        <v>89267</v>
      </c>
      <c r="B870" s="799" t="s">
        <v>1128</v>
      </c>
      <c r="C870" s="798" t="s">
        <v>19</v>
      </c>
      <c r="D870" s="800">
        <v>45.59</v>
      </c>
    </row>
    <row r="871" spans="1:4" ht="40.5">
      <c r="A871" s="798">
        <v>89268</v>
      </c>
      <c r="B871" s="799" t="s">
        <v>1129</v>
      </c>
      <c r="C871" s="798" t="s">
        <v>19</v>
      </c>
      <c r="D871" s="800">
        <v>8.1999999999999993</v>
      </c>
    </row>
    <row r="872" spans="1:4" ht="40.5">
      <c r="A872" s="798">
        <v>89269</v>
      </c>
      <c r="B872" s="799" t="s">
        <v>1130</v>
      </c>
      <c r="C872" s="798" t="s">
        <v>19</v>
      </c>
      <c r="D872" s="800">
        <v>6.49</v>
      </c>
    </row>
    <row r="873" spans="1:4" ht="40.5">
      <c r="A873" s="798">
        <v>89270</v>
      </c>
      <c r="B873" s="799" t="s">
        <v>1131</v>
      </c>
      <c r="C873" s="798" t="s">
        <v>19</v>
      </c>
      <c r="D873" s="800">
        <v>73.290000000000006</v>
      </c>
    </row>
    <row r="874" spans="1:4" ht="54">
      <c r="A874" s="798">
        <v>89271</v>
      </c>
      <c r="B874" s="799" t="s">
        <v>1132</v>
      </c>
      <c r="C874" s="798" t="s">
        <v>19</v>
      </c>
      <c r="D874" s="800">
        <v>28.66</v>
      </c>
    </row>
    <row r="875" spans="1:4" ht="40.5">
      <c r="A875" s="798">
        <v>89274</v>
      </c>
      <c r="B875" s="799" t="s">
        <v>8208</v>
      </c>
      <c r="C875" s="798" t="s">
        <v>19</v>
      </c>
      <c r="D875" s="800">
        <v>1.67</v>
      </c>
    </row>
    <row r="876" spans="1:4" ht="40.5">
      <c r="A876" s="798">
        <v>89275</v>
      </c>
      <c r="B876" s="799" t="s">
        <v>8209</v>
      </c>
      <c r="C876" s="798" t="s">
        <v>19</v>
      </c>
      <c r="D876" s="800">
        <v>0.19</v>
      </c>
    </row>
    <row r="877" spans="1:4" ht="40.5">
      <c r="A877" s="798">
        <v>89276</v>
      </c>
      <c r="B877" s="799" t="s">
        <v>8210</v>
      </c>
      <c r="C877" s="798" t="s">
        <v>19</v>
      </c>
      <c r="D877" s="800">
        <v>2.09</v>
      </c>
    </row>
    <row r="878" spans="1:4" ht="40.5">
      <c r="A878" s="798">
        <v>89277</v>
      </c>
      <c r="B878" s="799" t="s">
        <v>8211</v>
      </c>
      <c r="C878" s="798" t="s">
        <v>19</v>
      </c>
      <c r="D878" s="800">
        <v>8.27</v>
      </c>
    </row>
    <row r="879" spans="1:4" ht="40.5">
      <c r="A879" s="798">
        <v>89280</v>
      </c>
      <c r="B879" s="799" t="s">
        <v>1137</v>
      </c>
      <c r="C879" s="798" t="s">
        <v>19</v>
      </c>
      <c r="D879" s="800">
        <v>39.18</v>
      </c>
    </row>
    <row r="880" spans="1:4" ht="40.5">
      <c r="A880" s="798">
        <v>89281</v>
      </c>
      <c r="B880" s="799" t="s">
        <v>1138</v>
      </c>
      <c r="C880" s="798" t="s">
        <v>19</v>
      </c>
      <c r="D880" s="800">
        <v>5.44</v>
      </c>
    </row>
    <row r="881" spans="1:4" ht="54">
      <c r="A881" s="798">
        <v>89870</v>
      </c>
      <c r="B881" s="799" t="s">
        <v>306</v>
      </c>
      <c r="C881" s="798" t="s">
        <v>19</v>
      </c>
      <c r="D881" s="800">
        <v>32.61</v>
      </c>
    </row>
    <row r="882" spans="1:4" ht="54">
      <c r="A882" s="798">
        <v>89871</v>
      </c>
      <c r="B882" s="799" t="s">
        <v>307</v>
      </c>
      <c r="C882" s="798" t="s">
        <v>19</v>
      </c>
      <c r="D882" s="800">
        <v>5.71</v>
      </c>
    </row>
    <row r="883" spans="1:4" ht="54">
      <c r="A883" s="798">
        <v>89872</v>
      </c>
      <c r="B883" s="799" t="s">
        <v>308</v>
      </c>
      <c r="C883" s="798" t="s">
        <v>19</v>
      </c>
      <c r="D883" s="800">
        <v>4.53</v>
      </c>
    </row>
    <row r="884" spans="1:4" ht="54">
      <c r="A884" s="798">
        <v>89873</v>
      </c>
      <c r="B884" s="799" t="s">
        <v>309</v>
      </c>
      <c r="C884" s="798" t="s">
        <v>19</v>
      </c>
      <c r="D884" s="800">
        <v>55.08</v>
      </c>
    </row>
    <row r="885" spans="1:4" ht="54">
      <c r="A885" s="798">
        <v>89874</v>
      </c>
      <c r="B885" s="799" t="s">
        <v>310</v>
      </c>
      <c r="C885" s="798" t="s">
        <v>19</v>
      </c>
      <c r="D885" s="800">
        <v>174.16</v>
      </c>
    </row>
    <row r="886" spans="1:4" ht="54">
      <c r="A886" s="798">
        <v>89878</v>
      </c>
      <c r="B886" s="799" t="s">
        <v>313</v>
      </c>
      <c r="C886" s="798" t="s">
        <v>19</v>
      </c>
      <c r="D886" s="800">
        <v>35.15</v>
      </c>
    </row>
    <row r="887" spans="1:4" ht="54">
      <c r="A887" s="798">
        <v>89879</v>
      </c>
      <c r="B887" s="799" t="s">
        <v>314</v>
      </c>
      <c r="C887" s="798" t="s">
        <v>19</v>
      </c>
      <c r="D887" s="800">
        <v>6.04</v>
      </c>
    </row>
    <row r="888" spans="1:4" ht="54">
      <c r="A888" s="798">
        <v>89880</v>
      </c>
      <c r="B888" s="799" t="s">
        <v>315</v>
      </c>
      <c r="C888" s="798" t="s">
        <v>19</v>
      </c>
      <c r="D888" s="800">
        <v>4.79</v>
      </c>
    </row>
    <row r="889" spans="1:4" ht="54">
      <c r="A889" s="798">
        <v>89881</v>
      </c>
      <c r="B889" s="799" t="s">
        <v>316</v>
      </c>
      <c r="C889" s="798" t="s">
        <v>19</v>
      </c>
      <c r="D889" s="800">
        <v>58.76</v>
      </c>
    </row>
    <row r="890" spans="1:4" ht="54">
      <c r="A890" s="798">
        <v>89882</v>
      </c>
      <c r="B890" s="799" t="s">
        <v>317</v>
      </c>
      <c r="C890" s="798" t="s">
        <v>19</v>
      </c>
      <c r="D890" s="800">
        <v>200.94</v>
      </c>
    </row>
    <row r="891" spans="1:4" ht="40.5">
      <c r="A891" s="798">
        <v>90582</v>
      </c>
      <c r="B891" s="799" t="s">
        <v>1596</v>
      </c>
      <c r="C891" s="798" t="s">
        <v>19</v>
      </c>
      <c r="D891" s="800">
        <v>0.4</v>
      </c>
    </row>
    <row r="892" spans="1:4" ht="40.5">
      <c r="A892" s="798">
        <v>90583</v>
      </c>
      <c r="B892" s="799" t="s">
        <v>1597</v>
      </c>
      <c r="C892" s="798" t="s">
        <v>19</v>
      </c>
      <c r="D892" s="800">
        <v>0.04</v>
      </c>
    </row>
    <row r="893" spans="1:4" ht="40.5">
      <c r="A893" s="798">
        <v>90584</v>
      </c>
      <c r="B893" s="799" t="s">
        <v>1598</v>
      </c>
      <c r="C893" s="798" t="s">
        <v>19</v>
      </c>
      <c r="D893" s="800">
        <v>0.31</v>
      </c>
    </row>
    <row r="894" spans="1:4" ht="40.5">
      <c r="A894" s="798">
        <v>90585</v>
      </c>
      <c r="B894" s="799" t="s">
        <v>1599</v>
      </c>
      <c r="C894" s="798" t="s">
        <v>19</v>
      </c>
      <c r="D894" s="800">
        <v>0.47</v>
      </c>
    </row>
    <row r="895" spans="1:4" ht="27">
      <c r="A895" s="798">
        <v>90621</v>
      </c>
      <c r="B895" s="799" t="s">
        <v>335</v>
      </c>
      <c r="C895" s="798" t="s">
        <v>19</v>
      </c>
      <c r="D895" s="800">
        <v>2.15</v>
      </c>
    </row>
    <row r="896" spans="1:4" ht="27">
      <c r="A896" s="798">
        <v>90622</v>
      </c>
      <c r="B896" s="799" t="s">
        <v>336</v>
      </c>
      <c r="C896" s="798" t="s">
        <v>19</v>
      </c>
      <c r="D896" s="800">
        <v>0.25</v>
      </c>
    </row>
    <row r="897" spans="1:4" ht="27">
      <c r="A897" s="798">
        <v>90623</v>
      </c>
      <c r="B897" s="799" t="s">
        <v>337</v>
      </c>
      <c r="C897" s="798" t="s">
        <v>19</v>
      </c>
      <c r="D897" s="800">
        <v>2.69</v>
      </c>
    </row>
    <row r="898" spans="1:4" ht="40.5">
      <c r="A898" s="798">
        <v>90624</v>
      </c>
      <c r="B898" s="799" t="s">
        <v>338</v>
      </c>
      <c r="C898" s="798" t="s">
        <v>19</v>
      </c>
      <c r="D898" s="800">
        <v>2.84</v>
      </c>
    </row>
    <row r="899" spans="1:4" ht="40.5">
      <c r="A899" s="798">
        <v>90627</v>
      </c>
      <c r="B899" s="799" t="s">
        <v>341</v>
      </c>
      <c r="C899" s="798" t="s">
        <v>19</v>
      </c>
      <c r="D899" s="800">
        <v>45.6</v>
      </c>
    </row>
    <row r="900" spans="1:4" ht="40.5">
      <c r="A900" s="798">
        <v>90628</v>
      </c>
      <c r="B900" s="799" t="s">
        <v>342</v>
      </c>
      <c r="C900" s="798" t="s">
        <v>19</v>
      </c>
      <c r="D900" s="800">
        <v>6.24</v>
      </c>
    </row>
    <row r="901" spans="1:4" ht="40.5">
      <c r="A901" s="798">
        <v>90629</v>
      </c>
      <c r="B901" s="799" t="s">
        <v>343</v>
      </c>
      <c r="C901" s="798" t="s">
        <v>19</v>
      </c>
      <c r="D901" s="800">
        <v>57.06</v>
      </c>
    </row>
    <row r="902" spans="1:4" ht="40.5">
      <c r="A902" s="798">
        <v>90630</v>
      </c>
      <c r="B902" s="799" t="s">
        <v>1602</v>
      </c>
      <c r="C902" s="798" t="s">
        <v>19</v>
      </c>
      <c r="D902" s="800">
        <v>1.35</v>
      </c>
    </row>
    <row r="903" spans="1:4" ht="54">
      <c r="A903" s="798">
        <v>90633</v>
      </c>
      <c r="B903" s="799" t="s">
        <v>346</v>
      </c>
      <c r="C903" s="798" t="s">
        <v>19</v>
      </c>
      <c r="D903" s="800">
        <v>4.25</v>
      </c>
    </row>
    <row r="904" spans="1:4" ht="54">
      <c r="A904" s="798">
        <v>90634</v>
      </c>
      <c r="B904" s="799" t="s">
        <v>347</v>
      </c>
      <c r="C904" s="798" t="s">
        <v>19</v>
      </c>
      <c r="D904" s="800">
        <v>0.5</v>
      </c>
    </row>
    <row r="905" spans="1:4" ht="54">
      <c r="A905" s="798">
        <v>90635</v>
      </c>
      <c r="B905" s="799" t="s">
        <v>348</v>
      </c>
      <c r="C905" s="798" t="s">
        <v>19</v>
      </c>
      <c r="D905" s="800">
        <v>4.6500000000000004</v>
      </c>
    </row>
    <row r="906" spans="1:4" ht="54">
      <c r="A906" s="798">
        <v>90636</v>
      </c>
      <c r="B906" s="799" t="s">
        <v>349</v>
      </c>
      <c r="C906" s="798" t="s">
        <v>19</v>
      </c>
      <c r="D906" s="800">
        <v>5.69</v>
      </c>
    </row>
    <row r="907" spans="1:4" ht="40.5">
      <c r="A907" s="798">
        <v>90639</v>
      </c>
      <c r="B907" s="799" t="s">
        <v>1603</v>
      </c>
      <c r="C907" s="798" t="s">
        <v>19</v>
      </c>
      <c r="D907" s="800">
        <v>6.35</v>
      </c>
    </row>
    <row r="908" spans="1:4" ht="40.5">
      <c r="A908" s="798">
        <v>90640</v>
      </c>
      <c r="B908" s="799" t="s">
        <v>1604</v>
      </c>
      <c r="C908" s="798" t="s">
        <v>19</v>
      </c>
      <c r="D908" s="800">
        <v>0.75</v>
      </c>
    </row>
    <row r="909" spans="1:4" ht="40.5">
      <c r="A909" s="798">
        <v>90641</v>
      </c>
      <c r="B909" s="799" t="s">
        <v>1605</v>
      </c>
      <c r="C909" s="798" t="s">
        <v>19</v>
      </c>
      <c r="D909" s="800">
        <v>6.94</v>
      </c>
    </row>
    <row r="910" spans="1:4" ht="40.5">
      <c r="A910" s="798">
        <v>90642</v>
      </c>
      <c r="B910" s="799" t="s">
        <v>1606</v>
      </c>
      <c r="C910" s="798" t="s">
        <v>19</v>
      </c>
      <c r="D910" s="800">
        <v>12.41</v>
      </c>
    </row>
    <row r="911" spans="1:4" ht="54">
      <c r="A911" s="798">
        <v>90646</v>
      </c>
      <c r="B911" s="799" t="s">
        <v>1609</v>
      </c>
      <c r="C911" s="798" t="s">
        <v>19</v>
      </c>
      <c r="D911" s="800">
        <v>0.64</v>
      </c>
    </row>
    <row r="912" spans="1:4" ht="54">
      <c r="A912" s="798">
        <v>90647</v>
      </c>
      <c r="B912" s="799" t="s">
        <v>1610</v>
      </c>
      <c r="C912" s="798" t="s">
        <v>19</v>
      </c>
      <c r="D912" s="800">
        <v>7.0000000000000007E-2</v>
      </c>
    </row>
    <row r="913" spans="1:4" ht="54">
      <c r="A913" s="798">
        <v>90648</v>
      </c>
      <c r="B913" s="799" t="s">
        <v>1611</v>
      </c>
      <c r="C913" s="798" t="s">
        <v>19</v>
      </c>
      <c r="D913" s="800">
        <v>0.7</v>
      </c>
    </row>
    <row r="914" spans="1:4" ht="54">
      <c r="A914" s="798">
        <v>90649</v>
      </c>
      <c r="B914" s="799" t="s">
        <v>1612</v>
      </c>
      <c r="C914" s="798" t="s">
        <v>19</v>
      </c>
      <c r="D914" s="800">
        <v>8.84</v>
      </c>
    </row>
    <row r="915" spans="1:4" ht="27">
      <c r="A915" s="798">
        <v>90652</v>
      </c>
      <c r="B915" s="799" t="s">
        <v>1615</v>
      </c>
      <c r="C915" s="798" t="s">
        <v>19</v>
      </c>
      <c r="D915" s="800">
        <v>4.13</v>
      </c>
    </row>
    <row r="916" spans="1:4" ht="27">
      <c r="A916" s="798">
        <v>90653</v>
      </c>
      <c r="B916" s="799" t="s">
        <v>1616</v>
      </c>
      <c r="C916" s="798" t="s">
        <v>19</v>
      </c>
      <c r="D916" s="800">
        <v>0.49</v>
      </c>
    </row>
    <row r="917" spans="1:4" ht="27">
      <c r="A917" s="798">
        <v>90654</v>
      </c>
      <c r="B917" s="799" t="s">
        <v>1617</v>
      </c>
      <c r="C917" s="798" t="s">
        <v>19</v>
      </c>
      <c r="D917" s="800">
        <v>4.5199999999999996</v>
      </c>
    </row>
    <row r="918" spans="1:4" ht="27">
      <c r="A918" s="798">
        <v>90655</v>
      </c>
      <c r="B918" s="799" t="s">
        <v>1618</v>
      </c>
      <c r="C918" s="798" t="s">
        <v>19</v>
      </c>
      <c r="D918" s="800">
        <v>5.82</v>
      </c>
    </row>
    <row r="919" spans="1:4" ht="27">
      <c r="A919" s="798">
        <v>90658</v>
      </c>
      <c r="B919" s="799" t="s">
        <v>1619</v>
      </c>
      <c r="C919" s="798" t="s">
        <v>19</v>
      </c>
      <c r="D919" s="800">
        <v>4.43</v>
      </c>
    </row>
    <row r="920" spans="1:4" ht="27">
      <c r="A920" s="798">
        <v>90659</v>
      </c>
      <c r="B920" s="799" t="s">
        <v>1620</v>
      </c>
      <c r="C920" s="798" t="s">
        <v>19</v>
      </c>
      <c r="D920" s="800">
        <v>0.52</v>
      </c>
    </row>
    <row r="921" spans="1:4" ht="27">
      <c r="A921" s="798">
        <v>90660</v>
      </c>
      <c r="B921" s="799" t="s">
        <v>1621</v>
      </c>
      <c r="C921" s="798" t="s">
        <v>19</v>
      </c>
      <c r="D921" s="800">
        <v>4.84</v>
      </c>
    </row>
    <row r="922" spans="1:4" ht="27">
      <c r="A922" s="798">
        <v>90661</v>
      </c>
      <c r="B922" s="799" t="s">
        <v>1622</v>
      </c>
      <c r="C922" s="798" t="s">
        <v>19</v>
      </c>
      <c r="D922" s="800">
        <v>5.82</v>
      </c>
    </row>
    <row r="923" spans="1:4" ht="54">
      <c r="A923" s="798">
        <v>90664</v>
      </c>
      <c r="B923" s="799" t="s">
        <v>1623</v>
      </c>
      <c r="C923" s="798" t="s">
        <v>19</v>
      </c>
      <c r="D923" s="800">
        <v>5.57</v>
      </c>
    </row>
    <row r="924" spans="1:4" ht="54">
      <c r="A924" s="798">
        <v>90665</v>
      </c>
      <c r="B924" s="799" t="s">
        <v>1624</v>
      </c>
      <c r="C924" s="798" t="s">
        <v>19</v>
      </c>
      <c r="D924" s="800">
        <v>0.77</v>
      </c>
    </row>
    <row r="925" spans="1:4" ht="54">
      <c r="A925" s="798">
        <v>90666</v>
      </c>
      <c r="B925" s="799" t="s">
        <v>1625</v>
      </c>
      <c r="C925" s="798" t="s">
        <v>19</v>
      </c>
      <c r="D925" s="800">
        <v>6.97</v>
      </c>
    </row>
    <row r="926" spans="1:4" ht="54">
      <c r="A926" s="798">
        <v>90667</v>
      </c>
      <c r="B926" s="799" t="s">
        <v>1626</v>
      </c>
      <c r="C926" s="798" t="s">
        <v>19</v>
      </c>
      <c r="D926" s="800">
        <v>14.77</v>
      </c>
    </row>
    <row r="927" spans="1:4" ht="67.5">
      <c r="A927" s="798">
        <v>90670</v>
      </c>
      <c r="B927" s="799" t="s">
        <v>1629</v>
      </c>
      <c r="C927" s="798" t="s">
        <v>19</v>
      </c>
      <c r="D927" s="800">
        <v>209.27</v>
      </c>
    </row>
    <row r="928" spans="1:4" ht="67.5">
      <c r="A928" s="798">
        <v>90671</v>
      </c>
      <c r="B928" s="799" t="s">
        <v>1630</v>
      </c>
      <c r="C928" s="798" t="s">
        <v>19</v>
      </c>
      <c r="D928" s="800">
        <v>29.05</v>
      </c>
    </row>
    <row r="929" spans="1:4" ht="67.5">
      <c r="A929" s="798">
        <v>90672</v>
      </c>
      <c r="B929" s="799" t="s">
        <v>1631</v>
      </c>
      <c r="C929" s="798" t="s">
        <v>19</v>
      </c>
      <c r="D929" s="800">
        <v>261.88</v>
      </c>
    </row>
    <row r="930" spans="1:4" ht="67.5">
      <c r="A930" s="798">
        <v>90673</v>
      </c>
      <c r="B930" s="799" t="s">
        <v>1632</v>
      </c>
      <c r="C930" s="798" t="s">
        <v>19</v>
      </c>
      <c r="D930" s="800">
        <v>118.14</v>
      </c>
    </row>
    <row r="931" spans="1:4" ht="67.5">
      <c r="A931" s="798">
        <v>90676</v>
      </c>
      <c r="B931" s="799" t="s">
        <v>1635</v>
      </c>
      <c r="C931" s="798" t="s">
        <v>19</v>
      </c>
      <c r="D931" s="800">
        <v>97.08</v>
      </c>
    </row>
    <row r="932" spans="1:4" ht="67.5">
      <c r="A932" s="798">
        <v>90677</v>
      </c>
      <c r="B932" s="799" t="s">
        <v>1636</v>
      </c>
      <c r="C932" s="798" t="s">
        <v>19</v>
      </c>
      <c r="D932" s="800">
        <v>14.72</v>
      </c>
    </row>
    <row r="933" spans="1:4" ht="67.5">
      <c r="A933" s="798">
        <v>90678</v>
      </c>
      <c r="B933" s="799" t="s">
        <v>1637</v>
      </c>
      <c r="C933" s="798" t="s">
        <v>19</v>
      </c>
      <c r="D933" s="800">
        <v>132.38999999999999</v>
      </c>
    </row>
    <row r="934" spans="1:4" ht="67.5">
      <c r="A934" s="798">
        <v>90679</v>
      </c>
      <c r="B934" s="799" t="s">
        <v>1638</v>
      </c>
      <c r="C934" s="798" t="s">
        <v>19</v>
      </c>
      <c r="D934" s="800">
        <v>90.6</v>
      </c>
    </row>
    <row r="935" spans="1:4" ht="40.5">
      <c r="A935" s="798">
        <v>90682</v>
      </c>
      <c r="B935" s="799" t="s">
        <v>1641</v>
      </c>
      <c r="C935" s="798" t="s">
        <v>19</v>
      </c>
      <c r="D935" s="800">
        <v>29.53</v>
      </c>
    </row>
    <row r="936" spans="1:4" ht="40.5">
      <c r="A936" s="798">
        <v>90683</v>
      </c>
      <c r="B936" s="799" t="s">
        <v>1642</v>
      </c>
      <c r="C936" s="798" t="s">
        <v>19</v>
      </c>
      <c r="D936" s="800">
        <v>3.5</v>
      </c>
    </row>
    <row r="937" spans="1:4" ht="40.5">
      <c r="A937" s="798">
        <v>90684</v>
      </c>
      <c r="B937" s="799" t="s">
        <v>1643</v>
      </c>
      <c r="C937" s="798" t="s">
        <v>19</v>
      </c>
      <c r="D937" s="800">
        <v>32.299999999999997</v>
      </c>
    </row>
    <row r="938" spans="1:4" ht="54">
      <c r="A938" s="798">
        <v>90685</v>
      </c>
      <c r="B938" s="799" t="s">
        <v>1644</v>
      </c>
      <c r="C938" s="798" t="s">
        <v>19</v>
      </c>
      <c r="D938" s="800">
        <v>56.2</v>
      </c>
    </row>
    <row r="939" spans="1:4" ht="40.5">
      <c r="A939" s="798">
        <v>90688</v>
      </c>
      <c r="B939" s="799" t="s">
        <v>1647</v>
      </c>
      <c r="C939" s="798" t="s">
        <v>19</v>
      </c>
      <c r="D939" s="800">
        <v>15.18</v>
      </c>
    </row>
    <row r="940" spans="1:4" ht="40.5">
      <c r="A940" s="798">
        <v>90689</v>
      </c>
      <c r="B940" s="799" t="s">
        <v>1648</v>
      </c>
      <c r="C940" s="798" t="s">
        <v>19</v>
      </c>
      <c r="D940" s="800">
        <v>1.53</v>
      </c>
    </row>
    <row r="941" spans="1:4" ht="40.5">
      <c r="A941" s="798">
        <v>90690</v>
      </c>
      <c r="B941" s="799" t="s">
        <v>1649</v>
      </c>
      <c r="C941" s="798" t="s">
        <v>19</v>
      </c>
      <c r="D941" s="800">
        <v>18.97</v>
      </c>
    </row>
    <row r="942" spans="1:4" ht="40.5">
      <c r="A942" s="798">
        <v>90691</v>
      </c>
      <c r="B942" s="799" t="s">
        <v>1650</v>
      </c>
      <c r="C942" s="798" t="s">
        <v>19</v>
      </c>
      <c r="D942" s="800">
        <v>39.36</v>
      </c>
    </row>
    <row r="943" spans="1:4" ht="40.5">
      <c r="A943" s="798">
        <v>90957</v>
      </c>
      <c r="B943" s="799" t="s">
        <v>371</v>
      </c>
      <c r="C943" s="798" t="s">
        <v>19</v>
      </c>
      <c r="D943" s="800">
        <v>4.1500000000000004</v>
      </c>
    </row>
    <row r="944" spans="1:4" ht="40.5">
      <c r="A944" s="798">
        <v>90958</v>
      </c>
      <c r="B944" s="799" t="s">
        <v>372</v>
      </c>
      <c r="C944" s="798" t="s">
        <v>19</v>
      </c>
      <c r="D944" s="800">
        <v>0.56999999999999995</v>
      </c>
    </row>
    <row r="945" spans="1:4" ht="40.5">
      <c r="A945" s="798">
        <v>90960</v>
      </c>
      <c r="B945" s="799" t="s">
        <v>373</v>
      </c>
      <c r="C945" s="798" t="s">
        <v>19</v>
      </c>
      <c r="D945" s="800">
        <v>5.54</v>
      </c>
    </row>
    <row r="946" spans="1:4" ht="40.5">
      <c r="A946" s="798">
        <v>90961</v>
      </c>
      <c r="B946" s="799" t="s">
        <v>374</v>
      </c>
      <c r="C946" s="798" t="s">
        <v>19</v>
      </c>
      <c r="D946" s="800">
        <v>0.77</v>
      </c>
    </row>
    <row r="947" spans="1:4" ht="40.5">
      <c r="A947" s="798">
        <v>90962</v>
      </c>
      <c r="B947" s="799" t="s">
        <v>375</v>
      </c>
      <c r="C947" s="798" t="s">
        <v>19</v>
      </c>
      <c r="D947" s="800">
        <v>6.94</v>
      </c>
    </row>
    <row r="948" spans="1:4" ht="40.5">
      <c r="A948" s="798">
        <v>90963</v>
      </c>
      <c r="B948" s="799" t="s">
        <v>1653</v>
      </c>
      <c r="C948" s="798" t="s">
        <v>19</v>
      </c>
      <c r="D948" s="800">
        <v>14.77</v>
      </c>
    </row>
    <row r="949" spans="1:4" ht="40.5">
      <c r="A949" s="798">
        <v>90968</v>
      </c>
      <c r="B949" s="799" t="s">
        <v>1654</v>
      </c>
      <c r="C949" s="798" t="s">
        <v>19</v>
      </c>
      <c r="D949" s="800">
        <v>5.56</v>
      </c>
    </row>
    <row r="950" spans="1:4" ht="40.5">
      <c r="A950" s="798">
        <v>90969</v>
      </c>
      <c r="B950" s="799" t="s">
        <v>1655</v>
      </c>
      <c r="C950" s="798" t="s">
        <v>19</v>
      </c>
      <c r="D950" s="800">
        <v>0.77</v>
      </c>
    </row>
    <row r="951" spans="1:4" ht="40.5">
      <c r="A951" s="798">
        <v>90970</v>
      </c>
      <c r="B951" s="799" t="s">
        <v>1656</v>
      </c>
      <c r="C951" s="798" t="s">
        <v>19</v>
      </c>
      <c r="D951" s="800">
        <v>6.96</v>
      </c>
    </row>
    <row r="952" spans="1:4" ht="40.5">
      <c r="A952" s="798">
        <v>90971</v>
      </c>
      <c r="B952" s="799" t="s">
        <v>1657</v>
      </c>
      <c r="C952" s="798" t="s">
        <v>19</v>
      </c>
      <c r="D952" s="800">
        <v>59.86</v>
      </c>
    </row>
    <row r="953" spans="1:4" ht="40.5">
      <c r="A953" s="798">
        <v>90975</v>
      </c>
      <c r="B953" s="799" t="s">
        <v>378</v>
      </c>
      <c r="C953" s="798" t="s">
        <v>19</v>
      </c>
      <c r="D953" s="800">
        <v>14.12</v>
      </c>
    </row>
    <row r="954" spans="1:4" ht="40.5">
      <c r="A954" s="798">
        <v>90976</v>
      </c>
      <c r="B954" s="799" t="s">
        <v>379</v>
      </c>
      <c r="C954" s="798" t="s">
        <v>19</v>
      </c>
      <c r="D954" s="800">
        <v>1.96</v>
      </c>
    </row>
    <row r="955" spans="1:4" ht="40.5">
      <c r="A955" s="798">
        <v>90977</v>
      </c>
      <c r="B955" s="799" t="s">
        <v>380</v>
      </c>
      <c r="C955" s="798" t="s">
        <v>19</v>
      </c>
      <c r="D955" s="800">
        <v>17.670000000000002</v>
      </c>
    </row>
    <row r="956" spans="1:4" ht="40.5">
      <c r="A956" s="798">
        <v>90978</v>
      </c>
      <c r="B956" s="799" t="s">
        <v>1660</v>
      </c>
      <c r="C956" s="798" t="s">
        <v>19</v>
      </c>
      <c r="D956" s="800">
        <v>155.31</v>
      </c>
    </row>
    <row r="957" spans="1:4" ht="40.5">
      <c r="A957" s="798">
        <v>90992</v>
      </c>
      <c r="B957" s="799" t="s">
        <v>1662</v>
      </c>
      <c r="C957" s="798" t="s">
        <v>19</v>
      </c>
      <c r="D957" s="800">
        <v>6.59</v>
      </c>
    </row>
    <row r="958" spans="1:4" ht="40.5">
      <c r="A958" s="798">
        <v>90993</v>
      </c>
      <c r="B958" s="799" t="s">
        <v>1663</v>
      </c>
      <c r="C958" s="798" t="s">
        <v>19</v>
      </c>
      <c r="D958" s="800">
        <v>0.91</v>
      </c>
    </row>
    <row r="959" spans="1:4" ht="40.5">
      <c r="A959" s="798">
        <v>90994</v>
      </c>
      <c r="B959" s="799" t="s">
        <v>1664</v>
      </c>
      <c r="C959" s="798" t="s">
        <v>19</v>
      </c>
      <c r="D959" s="800">
        <v>8.25</v>
      </c>
    </row>
    <row r="960" spans="1:4" ht="40.5">
      <c r="A960" s="798">
        <v>90995</v>
      </c>
      <c r="B960" s="799" t="s">
        <v>1665</v>
      </c>
      <c r="C960" s="798" t="s">
        <v>19</v>
      </c>
      <c r="D960" s="800">
        <v>81.319999999999993</v>
      </c>
    </row>
    <row r="961" spans="1:4" ht="67.5">
      <c r="A961" s="798">
        <v>91021</v>
      </c>
      <c r="B961" s="799" t="s">
        <v>1668</v>
      </c>
      <c r="C961" s="798" t="s">
        <v>19</v>
      </c>
      <c r="D961" s="800">
        <v>11.56</v>
      </c>
    </row>
    <row r="962" spans="1:4" ht="54">
      <c r="A962" s="798">
        <v>91026</v>
      </c>
      <c r="B962" s="799" t="s">
        <v>383</v>
      </c>
      <c r="C962" s="798" t="s">
        <v>19</v>
      </c>
      <c r="D962" s="800">
        <v>18.98</v>
      </c>
    </row>
    <row r="963" spans="1:4" ht="54">
      <c r="A963" s="798">
        <v>91027</v>
      </c>
      <c r="B963" s="799" t="s">
        <v>384</v>
      </c>
      <c r="C963" s="798" t="s">
        <v>19</v>
      </c>
      <c r="D963" s="800">
        <v>3.86</v>
      </c>
    </row>
    <row r="964" spans="1:4" ht="54">
      <c r="A964" s="798">
        <v>91028</v>
      </c>
      <c r="B964" s="799" t="s">
        <v>385</v>
      </c>
      <c r="C964" s="798" t="s">
        <v>19</v>
      </c>
      <c r="D964" s="800">
        <v>3.05</v>
      </c>
    </row>
    <row r="965" spans="1:4" ht="54">
      <c r="A965" s="798">
        <v>91029</v>
      </c>
      <c r="B965" s="799" t="s">
        <v>386</v>
      </c>
      <c r="C965" s="798" t="s">
        <v>19</v>
      </c>
      <c r="D965" s="800">
        <v>34.64</v>
      </c>
    </row>
    <row r="966" spans="1:4" ht="54">
      <c r="A966" s="798">
        <v>91030</v>
      </c>
      <c r="B966" s="799" t="s">
        <v>387</v>
      </c>
      <c r="C966" s="798" t="s">
        <v>19</v>
      </c>
      <c r="D966" s="800">
        <v>144.91</v>
      </c>
    </row>
    <row r="967" spans="1:4" ht="40.5">
      <c r="A967" s="798">
        <v>91273</v>
      </c>
      <c r="B967" s="799" t="s">
        <v>1720</v>
      </c>
      <c r="C967" s="798" t="s">
        <v>19</v>
      </c>
      <c r="D967" s="800">
        <v>0.5</v>
      </c>
    </row>
    <row r="968" spans="1:4" ht="40.5">
      <c r="A968" s="798">
        <v>91274</v>
      </c>
      <c r="B968" s="799" t="s">
        <v>1721</v>
      </c>
      <c r="C968" s="798" t="s">
        <v>19</v>
      </c>
      <c r="D968" s="800">
        <v>0.06</v>
      </c>
    </row>
    <row r="969" spans="1:4" ht="40.5">
      <c r="A969" s="798">
        <v>91275</v>
      </c>
      <c r="B969" s="799" t="s">
        <v>1722</v>
      </c>
      <c r="C969" s="798" t="s">
        <v>19</v>
      </c>
      <c r="D969" s="800">
        <v>0.62</v>
      </c>
    </row>
    <row r="970" spans="1:4" ht="40.5">
      <c r="A970" s="798">
        <v>91276</v>
      </c>
      <c r="B970" s="799" t="s">
        <v>1723</v>
      </c>
      <c r="C970" s="798" t="s">
        <v>19</v>
      </c>
      <c r="D970" s="800">
        <v>9.24</v>
      </c>
    </row>
    <row r="971" spans="1:4" ht="54">
      <c r="A971" s="798">
        <v>91279</v>
      </c>
      <c r="B971" s="799" t="s">
        <v>1726</v>
      </c>
      <c r="C971" s="798" t="s">
        <v>19</v>
      </c>
      <c r="D971" s="800">
        <v>1.07</v>
      </c>
    </row>
    <row r="972" spans="1:4" ht="54">
      <c r="A972" s="798">
        <v>91280</v>
      </c>
      <c r="B972" s="799" t="s">
        <v>1727</v>
      </c>
      <c r="C972" s="798" t="s">
        <v>19</v>
      </c>
      <c r="D972" s="800">
        <v>0.12</v>
      </c>
    </row>
    <row r="973" spans="1:4" ht="54">
      <c r="A973" s="798">
        <v>91281</v>
      </c>
      <c r="B973" s="799" t="s">
        <v>1728</v>
      </c>
      <c r="C973" s="798" t="s">
        <v>19</v>
      </c>
      <c r="D973" s="800">
        <v>1.34</v>
      </c>
    </row>
    <row r="974" spans="1:4" ht="54">
      <c r="A974" s="798">
        <v>91282</v>
      </c>
      <c r="B974" s="799" t="s">
        <v>1729</v>
      </c>
      <c r="C974" s="798" t="s">
        <v>19</v>
      </c>
      <c r="D974" s="800">
        <v>9.3000000000000007</v>
      </c>
    </row>
    <row r="975" spans="1:4" ht="54">
      <c r="A975" s="798">
        <v>91354</v>
      </c>
      <c r="B975" s="799" t="s">
        <v>399</v>
      </c>
      <c r="C975" s="798" t="s">
        <v>19</v>
      </c>
      <c r="D975" s="800">
        <v>14.27</v>
      </c>
    </row>
    <row r="976" spans="1:4" ht="54">
      <c r="A976" s="798">
        <v>91355</v>
      </c>
      <c r="B976" s="799" t="s">
        <v>400</v>
      </c>
      <c r="C976" s="798" t="s">
        <v>19</v>
      </c>
      <c r="D976" s="800">
        <v>2.99</v>
      </c>
    </row>
    <row r="977" spans="1:4" ht="54">
      <c r="A977" s="798">
        <v>91356</v>
      </c>
      <c r="B977" s="799" t="s">
        <v>401</v>
      </c>
      <c r="C977" s="798" t="s">
        <v>19</v>
      </c>
      <c r="D977" s="800">
        <v>2.37</v>
      </c>
    </row>
    <row r="978" spans="1:4" ht="54">
      <c r="A978" s="798">
        <v>91359</v>
      </c>
      <c r="B978" s="799" t="s">
        <v>1732</v>
      </c>
      <c r="C978" s="798" t="s">
        <v>19</v>
      </c>
      <c r="D978" s="800">
        <v>17.53</v>
      </c>
    </row>
    <row r="979" spans="1:4" ht="54">
      <c r="A979" s="798">
        <v>91360</v>
      </c>
      <c r="B979" s="799" t="s">
        <v>1733</v>
      </c>
      <c r="C979" s="798" t="s">
        <v>19</v>
      </c>
      <c r="D979" s="800">
        <v>3.37</v>
      </c>
    </row>
    <row r="980" spans="1:4" ht="54">
      <c r="A980" s="798">
        <v>91361</v>
      </c>
      <c r="B980" s="799" t="s">
        <v>1734</v>
      </c>
      <c r="C980" s="798" t="s">
        <v>19</v>
      </c>
      <c r="D980" s="800">
        <v>2.67</v>
      </c>
    </row>
    <row r="981" spans="1:4" ht="54">
      <c r="A981" s="798">
        <v>91367</v>
      </c>
      <c r="B981" s="799" t="s">
        <v>1735</v>
      </c>
      <c r="C981" s="798" t="s">
        <v>19</v>
      </c>
      <c r="D981" s="800">
        <v>19.36</v>
      </c>
    </row>
    <row r="982" spans="1:4" ht="54">
      <c r="A982" s="798">
        <v>91368</v>
      </c>
      <c r="B982" s="799" t="s">
        <v>1736</v>
      </c>
      <c r="C982" s="798" t="s">
        <v>19</v>
      </c>
      <c r="D982" s="800">
        <v>3.77</v>
      </c>
    </row>
    <row r="983" spans="1:4" ht="54">
      <c r="A983" s="798">
        <v>91369</v>
      </c>
      <c r="B983" s="799" t="s">
        <v>1737</v>
      </c>
      <c r="C983" s="798" t="s">
        <v>19</v>
      </c>
      <c r="D983" s="800">
        <v>2.98</v>
      </c>
    </row>
    <row r="984" spans="1:4" ht="54">
      <c r="A984" s="798">
        <v>91375</v>
      </c>
      <c r="B984" s="799" t="s">
        <v>1738</v>
      </c>
      <c r="C984" s="798" t="s">
        <v>19</v>
      </c>
      <c r="D984" s="800">
        <v>12.02</v>
      </c>
    </row>
    <row r="985" spans="1:4" ht="54">
      <c r="A985" s="798">
        <v>91376</v>
      </c>
      <c r="B985" s="799" t="s">
        <v>1739</v>
      </c>
      <c r="C985" s="798" t="s">
        <v>19</v>
      </c>
      <c r="D985" s="800">
        <v>2.52</v>
      </c>
    </row>
    <row r="986" spans="1:4" ht="54">
      <c r="A986" s="798">
        <v>91377</v>
      </c>
      <c r="B986" s="799" t="s">
        <v>1740</v>
      </c>
      <c r="C986" s="798" t="s">
        <v>19</v>
      </c>
      <c r="D986" s="800">
        <v>1.99</v>
      </c>
    </row>
    <row r="987" spans="1:4" ht="54">
      <c r="A987" s="798">
        <v>91380</v>
      </c>
      <c r="B987" s="799" t="s">
        <v>1741</v>
      </c>
      <c r="C987" s="798" t="s">
        <v>19</v>
      </c>
      <c r="D987" s="800">
        <v>22.18</v>
      </c>
    </row>
    <row r="988" spans="1:4" ht="54">
      <c r="A988" s="798">
        <v>91381</v>
      </c>
      <c r="B988" s="799" t="s">
        <v>1742</v>
      </c>
      <c r="C988" s="798" t="s">
        <v>19</v>
      </c>
      <c r="D988" s="800">
        <v>4.2699999999999996</v>
      </c>
    </row>
    <row r="989" spans="1:4" ht="67.5">
      <c r="A989" s="798">
        <v>91382</v>
      </c>
      <c r="B989" s="799" t="s">
        <v>1743</v>
      </c>
      <c r="C989" s="798" t="s">
        <v>19</v>
      </c>
      <c r="D989" s="800">
        <v>3.38</v>
      </c>
    </row>
    <row r="990" spans="1:4" ht="54">
      <c r="A990" s="798">
        <v>91383</v>
      </c>
      <c r="B990" s="799" t="s">
        <v>1744</v>
      </c>
      <c r="C990" s="798" t="s">
        <v>19</v>
      </c>
      <c r="D990" s="800">
        <v>39.54</v>
      </c>
    </row>
    <row r="991" spans="1:4" ht="67.5">
      <c r="A991" s="798">
        <v>91384</v>
      </c>
      <c r="B991" s="799" t="s">
        <v>1745</v>
      </c>
      <c r="C991" s="798" t="s">
        <v>19</v>
      </c>
      <c r="D991" s="800">
        <v>100.05</v>
      </c>
    </row>
    <row r="992" spans="1:4" ht="67.5">
      <c r="A992" s="798">
        <v>91390</v>
      </c>
      <c r="B992" s="799" t="s">
        <v>1748</v>
      </c>
      <c r="C992" s="798" t="s">
        <v>19</v>
      </c>
      <c r="D992" s="800">
        <v>15.78</v>
      </c>
    </row>
    <row r="993" spans="1:4" ht="67.5">
      <c r="A993" s="798">
        <v>91391</v>
      </c>
      <c r="B993" s="799" t="s">
        <v>1749</v>
      </c>
      <c r="C993" s="798" t="s">
        <v>19</v>
      </c>
      <c r="D993" s="800">
        <v>3.19</v>
      </c>
    </row>
    <row r="994" spans="1:4" ht="67.5">
      <c r="A994" s="798">
        <v>91392</v>
      </c>
      <c r="B994" s="799" t="s">
        <v>1750</v>
      </c>
      <c r="C994" s="798" t="s">
        <v>19</v>
      </c>
      <c r="D994" s="800">
        <v>2.52</v>
      </c>
    </row>
    <row r="995" spans="1:4" ht="67.5">
      <c r="A995" s="798">
        <v>91396</v>
      </c>
      <c r="B995" s="799" t="s">
        <v>1752</v>
      </c>
      <c r="C995" s="798" t="s">
        <v>19</v>
      </c>
      <c r="D995" s="800">
        <v>22.38</v>
      </c>
    </row>
    <row r="996" spans="1:4" ht="54">
      <c r="A996" s="798">
        <v>91397</v>
      </c>
      <c r="B996" s="799" t="s">
        <v>1753</v>
      </c>
      <c r="C996" s="798" t="s">
        <v>19</v>
      </c>
      <c r="D996" s="800">
        <v>4.33</v>
      </c>
    </row>
    <row r="997" spans="1:4" ht="67.5">
      <c r="A997" s="798">
        <v>91398</v>
      </c>
      <c r="B997" s="799" t="s">
        <v>1754</v>
      </c>
      <c r="C997" s="798" t="s">
        <v>19</v>
      </c>
      <c r="D997" s="800">
        <v>3.42</v>
      </c>
    </row>
    <row r="998" spans="1:4" ht="54">
      <c r="A998" s="798">
        <v>91402</v>
      </c>
      <c r="B998" s="799" t="s">
        <v>1755</v>
      </c>
      <c r="C998" s="798" t="s">
        <v>19</v>
      </c>
      <c r="D998" s="800">
        <v>2.85</v>
      </c>
    </row>
    <row r="999" spans="1:4" ht="67.5">
      <c r="A999" s="798">
        <v>91466</v>
      </c>
      <c r="B999" s="799" t="s">
        <v>1756</v>
      </c>
      <c r="C999" s="798" t="s">
        <v>19</v>
      </c>
      <c r="D999" s="800">
        <v>2.72</v>
      </c>
    </row>
    <row r="1000" spans="1:4" ht="67.5">
      <c r="A1000" s="798">
        <v>91467</v>
      </c>
      <c r="B1000" s="799" t="s">
        <v>1757</v>
      </c>
      <c r="C1000" s="798" t="s">
        <v>19</v>
      </c>
      <c r="D1000" s="800">
        <v>156.19999999999999</v>
      </c>
    </row>
    <row r="1001" spans="1:4" ht="54">
      <c r="A1001" s="798">
        <v>91468</v>
      </c>
      <c r="B1001" s="799" t="s">
        <v>1758</v>
      </c>
      <c r="C1001" s="798" t="s">
        <v>19</v>
      </c>
      <c r="D1001" s="800">
        <v>21.41</v>
      </c>
    </row>
    <row r="1002" spans="1:4" ht="54">
      <c r="A1002" s="798">
        <v>91469</v>
      </c>
      <c r="B1002" s="799" t="s">
        <v>402</v>
      </c>
      <c r="C1002" s="798" t="s">
        <v>19</v>
      </c>
      <c r="D1002" s="800">
        <v>4.24</v>
      </c>
    </row>
    <row r="1003" spans="1:4" ht="67.5">
      <c r="A1003" s="798">
        <v>91484</v>
      </c>
      <c r="B1003" s="799" t="s">
        <v>1759</v>
      </c>
      <c r="C1003" s="798" t="s">
        <v>19</v>
      </c>
      <c r="D1003" s="800">
        <v>3.38</v>
      </c>
    </row>
    <row r="1004" spans="1:4" ht="67.5">
      <c r="A1004" s="798">
        <v>91485</v>
      </c>
      <c r="B1004" s="799" t="s">
        <v>1760</v>
      </c>
      <c r="C1004" s="798" t="s">
        <v>19</v>
      </c>
      <c r="D1004" s="800">
        <v>152.88999999999999</v>
      </c>
    </row>
    <row r="1005" spans="1:4" ht="40.5">
      <c r="A1005" s="798">
        <v>91529</v>
      </c>
      <c r="B1005" s="799" t="s">
        <v>1769</v>
      </c>
      <c r="C1005" s="798" t="s">
        <v>19</v>
      </c>
      <c r="D1005" s="800">
        <v>0.74</v>
      </c>
    </row>
    <row r="1006" spans="1:4" ht="40.5">
      <c r="A1006" s="798">
        <v>91530</v>
      </c>
      <c r="B1006" s="799" t="s">
        <v>1770</v>
      </c>
      <c r="C1006" s="798" t="s">
        <v>19</v>
      </c>
      <c r="D1006" s="800">
        <v>0.1</v>
      </c>
    </row>
    <row r="1007" spans="1:4" ht="40.5">
      <c r="A1007" s="798">
        <v>91531</v>
      </c>
      <c r="B1007" s="799" t="s">
        <v>1771</v>
      </c>
      <c r="C1007" s="798" t="s">
        <v>19</v>
      </c>
      <c r="D1007" s="800">
        <v>0.92</v>
      </c>
    </row>
    <row r="1008" spans="1:4" ht="40.5">
      <c r="A1008" s="798">
        <v>91532</v>
      </c>
      <c r="B1008" s="799" t="s">
        <v>1772</v>
      </c>
      <c r="C1008" s="798" t="s">
        <v>19</v>
      </c>
      <c r="D1008" s="800">
        <v>6.61</v>
      </c>
    </row>
    <row r="1009" spans="1:4" ht="54">
      <c r="A1009" s="798">
        <v>91629</v>
      </c>
      <c r="B1009" s="799" t="s">
        <v>1775</v>
      </c>
      <c r="C1009" s="798" t="s">
        <v>19</v>
      </c>
      <c r="D1009" s="800">
        <v>16.97</v>
      </c>
    </row>
    <row r="1010" spans="1:4" ht="54">
      <c r="A1010" s="798">
        <v>91630</v>
      </c>
      <c r="B1010" s="799" t="s">
        <v>1776</v>
      </c>
      <c r="C1010" s="798" t="s">
        <v>19</v>
      </c>
      <c r="D1010" s="800">
        <v>3.17</v>
      </c>
    </row>
    <row r="1011" spans="1:4" ht="67.5">
      <c r="A1011" s="798">
        <v>91631</v>
      </c>
      <c r="B1011" s="799" t="s">
        <v>1777</v>
      </c>
      <c r="C1011" s="798" t="s">
        <v>19</v>
      </c>
      <c r="D1011" s="800">
        <v>2.5099999999999998</v>
      </c>
    </row>
    <row r="1012" spans="1:4" ht="54">
      <c r="A1012" s="798">
        <v>91632</v>
      </c>
      <c r="B1012" s="799" t="s">
        <v>1778</v>
      </c>
      <c r="C1012" s="798" t="s">
        <v>19</v>
      </c>
      <c r="D1012" s="800">
        <v>28.73</v>
      </c>
    </row>
    <row r="1013" spans="1:4" ht="67.5">
      <c r="A1013" s="798">
        <v>91633</v>
      </c>
      <c r="B1013" s="799" t="s">
        <v>1779</v>
      </c>
      <c r="C1013" s="798" t="s">
        <v>19</v>
      </c>
      <c r="D1013" s="800">
        <v>132.19999999999999</v>
      </c>
    </row>
    <row r="1014" spans="1:4" ht="67.5">
      <c r="A1014" s="798">
        <v>91640</v>
      </c>
      <c r="B1014" s="799" t="s">
        <v>1782</v>
      </c>
      <c r="C1014" s="798" t="s">
        <v>19</v>
      </c>
      <c r="D1014" s="800">
        <v>32.229999999999997</v>
      </c>
    </row>
    <row r="1015" spans="1:4" ht="54">
      <c r="A1015" s="798">
        <v>91641</v>
      </c>
      <c r="B1015" s="799" t="s">
        <v>1783</v>
      </c>
      <c r="C1015" s="798" t="s">
        <v>19</v>
      </c>
      <c r="D1015" s="800">
        <v>6.59</v>
      </c>
    </row>
    <row r="1016" spans="1:4" ht="67.5">
      <c r="A1016" s="798">
        <v>91642</v>
      </c>
      <c r="B1016" s="799" t="s">
        <v>1784</v>
      </c>
      <c r="C1016" s="798" t="s">
        <v>19</v>
      </c>
      <c r="D1016" s="800">
        <v>5.23</v>
      </c>
    </row>
    <row r="1017" spans="1:4" ht="67.5">
      <c r="A1017" s="798">
        <v>91643</v>
      </c>
      <c r="B1017" s="799" t="s">
        <v>1785</v>
      </c>
      <c r="C1017" s="798" t="s">
        <v>19</v>
      </c>
      <c r="D1017" s="800">
        <v>57.55</v>
      </c>
    </row>
    <row r="1018" spans="1:4" ht="67.5">
      <c r="A1018" s="798">
        <v>91644</v>
      </c>
      <c r="B1018" s="799" t="s">
        <v>1786</v>
      </c>
      <c r="C1018" s="798" t="s">
        <v>19</v>
      </c>
      <c r="D1018" s="800">
        <v>297.5</v>
      </c>
    </row>
    <row r="1019" spans="1:4" ht="40.5">
      <c r="A1019" s="798">
        <v>91688</v>
      </c>
      <c r="B1019" s="799" t="s">
        <v>1789</v>
      </c>
      <c r="C1019" s="798" t="s">
        <v>19</v>
      </c>
      <c r="D1019" s="800">
        <v>0.12</v>
      </c>
    </row>
    <row r="1020" spans="1:4" ht="27">
      <c r="A1020" s="798">
        <v>91689</v>
      </c>
      <c r="B1020" s="799" t="s">
        <v>1790</v>
      </c>
      <c r="C1020" s="798" t="s">
        <v>19</v>
      </c>
      <c r="D1020" s="800">
        <v>0.01</v>
      </c>
    </row>
    <row r="1021" spans="1:4" ht="40.5">
      <c r="A1021" s="798">
        <v>91690</v>
      </c>
      <c r="B1021" s="799" t="s">
        <v>1791</v>
      </c>
      <c r="C1021" s="798" t="s">
        <v>19</v>
      </c>
      <c r="D1021" s="800">
        <v>0.08</v>
      </c>
    </row>
    <row r="1022" spans="1:4" ht="40.5">
      <c r="A1022" s="798">
        <v>91691</v>
      </c>
      <c r="B1022" s="799" t="s">
        <v>1792</v>
      </c>
      <c r="C1022" s="798" t="s">
        <v>19</v>
      </c>
      <c r="D1022" s="800">
        <v>1.23</v>
      </c>
    </row>
    <row r="1023" spans="1:4" ht="40.5">
      <c r="A1023" s="798">
        <v>92040</v>
      </c>
      <c r="B1023" s="799" t="s">
        <v>1929</v>
      </c>
      <c r="C1023" s="798" t="s">
        <v>19</v>
      </c>
      <c r="D1023" s="800">
        <v>5.9</v>
      </c>
    </row>
    <row r="1024" spans="1:4" ht="27">
      <c r="A1024" s="798">
        <v>92041</v>
      </c>
      <c r="B1024" s="799" t="s">
        <v>1930</v>
      </c>
      <c r="C1024" s="798" t="s">
        <v>19</v>
      </c>
      <c r="D1024" s="800">
        <v>0.62</v>
      </c>
    </row>
    <row r="1025" spans="1:4" ht="40.5">
      <c r="A1025" s="798">
        <v>92042</v>
      </c>
      <c r="B1025" s="799" t="s">
        <v>1931</v>
      </c>
      <c r="C1025" s="798" t="s">
        <v>19</v>
      </c>
      <c r="D1025" s="800">
        <v>4.92</v>
      </c>
    </row>
    <row r="1026" spans="1:4" ht="67.5">
      <c r="A1026" s="798">
        <v>92101</v>
      </c>
      <c r="B1026" s="799" t="s">
        <v>1934</v>
      </c>
      <c r="C1026" s="798" t="s">
        <v>19</v>
      </c>
      <c r="D1026" s="800">
        <v>29.94</v>
      </c>
    </row>
    <row r="1027" spans="1:4" ht="67.5">
      <c r="A1027" s="798">
        <v>92102</v>
      </c>
      <c r="B1027" s="799" t="s">
        <v>1935</v>
      </c>
      <c r="C1027" s="798" t="s">
        <v>19</v>
      </c>
      <c r="D1027" s="800">
        <v>5.33</v>
      </c>
    </row>
    <row r="1028" spans="1:4" ht="67.5">
      <c r="A1028" s="798">
        <v>92103</v>
      </c>
      <c r="B1028" s="799" t="s">
        <v>1936</v>
      </c>
      <c r="C1028" s="798" t="s">
        <v>19</v>
      </c>
      <c r="D1028" s="800">
        <v>4.22</v>
      </c>
    </row>
    <row r="1029" spans="1:4" ht="67.5">
      <c r="A1029" s="798">
        <v>92104</v>
      </c>
      <c r="B1029" s="799" t="s">
        <v>1937</v>
      </c>
      <c r="C1029" s="798" t="s">
        <v>19</v>
      </c>
      <c r="D1029" s="800">
        <v>48.52</v>
      </c>
    </row>
    <row r="1030" spans="1:4" ht="67.5">
      <c r="A1030" s="798">
        <v>92105</v>
      </c>
      <c r="B1030" s="799" t="s">
        <v>3588</v>
      </c>
      <c r="C1030" s="798" t="s">
        <v>19</v>
      </c>
      <c r="D1030" s="800">
        <v>190.06</v>
      </c>
    </row>
    <row r="1031" spans="1:4" ht="40.5">
      <c r="A1031" s="798">
        <v>92108</v>
      </c>
      <c r="B1031" s="799" t="s">
        <v>438</v>
      </c>
      <c r="C1031" s="798" t="s">
        <v>19</v>
      </c>
      <c r="D1031" s="800">
        <v>0.99</v>
      </c>
    </row>
    <row r="1032" spans="1:4" ht="40.5">
      <c r="A1032" s="798">
        <v>92109</v>
      </c>
      <c r="B1032" s="799" t="s">
        <v>439</v>
      </c>
      <c r="C1032" s="798" t="s">
        <v>19</v>
      </c>
      <c r="D1032" s="800">
        <v>0.11</v>
      </c>
    </row>
    <row r="1033" spans="1:4" ht="40.5">
      <c r="A1033" s="798">
        <v>92110</v>
      </c>
      <c r="B1033" s="799" t="s">
        <v>440</v>
      </c>
      <c r="C1033" s="798" t="s">
        <v>19</v>
      </c>
      <c r="D1033" s="800">
        <v>0.77</v>
      </c>
    </row>
    <row r="1034" spans="1:4" ht="40.5">
      <c r="A1034" s="798">
        <v>92111</v>
      </c>
      <c r="B1034" s="799" t="s">
        <v>441</v>
      </c>
      <c r="C1034" s="798" t="s">
        <v>19</v>
      </c>
      <c r="D1034" s="800">
        <v>1.1299999999999999</v>
      </c>
    </row>
    <row r="1035" spans="1:4" ht="27">
      <c r="A1035" s="798">
        <v>92114</v>
      </c>
      <c r="B1035" s="799" t="s">
        <v>444</v>
      </c>
      <c r="C1035" s="798" t="s">
        <v>19</v>
      </c>
      <c r="D1035" s="800">
        <v>0.11</v>
      </c>
    </row>
    <row r="1036" spans="1:4" ht="27">
      <c r="A1036" s="798">
        <v>92115</v>
      </c>
      <c r="B1036" s="799" t="s">
        <v>445</v>
      </c>
      <c r="C1036" s="798" t="s">
        <v>19</v>
      </c>
      <c r="D1036" s="800">
        <v>0.01</v>
      </c>
    </row>
    <row r="1037" spans="1:4" ht="27">
      <c r="A1037" s="798">
        <v>92116</v>
      </c>
      <c r="B1037" s="799" t="s">
        <v>446</v>
      </c>
      <c r="C1037" s="798" t="s">
        <v>19</v>
      </c>
      <c r="D1037" s="800">
        <v>0.14000000000000001</v>
      </c>
    </row>
    <row r="1038" spans="1:4" ht="27">
      <c r="A1038" s="798">
        <v>92133</v>
      </c>
      <c r="B1038" s="799" t="s">
        <v>1940</v>
      </c>
      <c r="C1038" s="798" t="s">
        <v>19</v>
      </c>
      <c r="D1038" s="800">
        <v>11.46</v>
      </c>
    </row>
    <row r="1039" spans="1:4" ht="27">
      <c r="A1039" s="798">
        <v>92134</v>
      </c>
      <c r="B1039" s="799" t="s">
        <v>1941</v>
      </c>
      <c r="C1039" s="798" t="s">
        <v>19</v>
      </c>
      <c r="D1039" s="800">
        <v>1.81</v>
      </c>
    </row>
    <row r="1040" spans="1:4" ht="27">
      <c r="A1040" s="798">
        <v>92135</v>
      </c>
      <c r="B1040" s="799" t="s">
        <v>1942</v>
      </c>
      <c r="C1040" s="798" t="s">
        <v>19</v>
      </c>
      <c r="D1040" s="800">
        <v>1.43</v>
      </c>
    </row>
    <row r="1041" spans="1:4" ht="27">
      <c r="A1041" s="798">
        <v>92136</v>
      </c>
      <c r="B1041" s="799" t="s">
        <v>1943</v>
      </c>
      <c r="C1041" s="798" t="s">
        <v>19</v>
      </c>
      <c r="D1041" s="800">
        <v>14.32</v>
      </c>
    </row>
    <row r="1042" spans="1:4" ht="27">
      <c r="A1042" s="798">
        <v>92137</v>
      </c>
      <c r="B1042" s="799" t="s">
        <v>1944</v>
      </c>
      <c r="C1042" s="798" t="s">
        <v>19</v>
      </c>
      <c r="D1042" s="800">
        <v>34.799999999999997</v>
      </c>
    </row>
    <row r="1043" spans="1:4" ht="40.5">
      <c r="A1043" s="798">
        <v>92140</v>
      </c>
      <c r="B1043" s="799" t="s">
        <v>452</v>
      </c>
      <c r="C1043" s="798" t="s">
        <v>19</v>
      </c>
      <c r="D1043" s="800">
        <v>4.2</v>
      </c>
    </row>
    <row r="1044" spans="1:4" ht="40.5">
      <c r="A1044" s="798">
        <v>92141</v>
      </c>
      <c r="B1044" s="799" t="s">
        <v>453</v>
      </c>
      <c r="C1044" s="798" t="s">
        <v>19</v>
      </c>
      <c r="D1044" s="800">
        <v>0.66</v>
      </c>
    </row>
    <row r="1045" spans="1:4" ht="40.5">
      <c r="A1045" s="798">
        <v>92142</v>
      </c>
      <c r="B1045" s="799" t="s">
        <v>454</v>
      </c>
      <c r="C1045" s="798" t="s">
        <v>19</v>
      </c>
      <c r="D1045" s="800">
        <v>0.52</v>
      </c>
    </row>
    <row r="1046" spans="1:4" ht="40.5">
      <c r="A1046" s="798">
        <v>92143</v>
      </c>
      <c r="B1046" s="799" t="s">
        <v>455</v>
      </c>
      <c r="C1046" s="798" t="s">
        <v>19</v>
      </c>
      <c r="D1046" s="800">
        <v>5.25</v>
      </c>
    </row>
    <row r="1047" spans="1:4" ht="40.5">
      <c r="A1047" s="798">
        <v>92144</v>
      </c>
      <c r="B1047" s="799" t="s">
        <v>456</v>
      </c>
      <c r="C1047" s="798" t="s">
        <v>19</v>
      </c>
      <c r="D1047" s="800">
        <v>42.94</v>
      </c>
    </row>
    <row r="1048" spans="1:4" ht="67.5">
      <c r="A1048" s="798">
        <v>92237</v>
      </c>
      <c r="B1048" s="799" t="s">
        <v>1961</v>
      </c>
      <c r="C1048" s="798" t="s">
        <v>19</v>
      </c>
      <c r="D1048" s="800">
        <v>23.57</v>
      </c>
    </row>
    <row r="1049" spans="1:4" ht="54">
      <c r="A1049" s="798">
        <v>92238</v>
      </c>
      <c r="B1049" s="799" t="s">
        <v>1962</v>
      </c>
      <c r="C1049" s="798" t="s">
        <v>19</v>
      </c>
      <c r="D1049" s="800">
        <v>4.8099999999999996</v>
      </c>
    </row>
    <row r="1050" spans="1:4" ht="67.5">
      <c r="A1050" s="798">
        <v>92239</v>
      </c>
      <c r="B1050" s="799" t="s">
        <v>1963</v>
      </c>
      <c r="C1050" s="798" t="s">
        <v>19</v>
      </c>
      <c r="D1050" s="800">
        <v>3.81</v>
      </c>
    </row>
    <row r="1051" spans="1:4" ht="67.5">
      <c r="A1051" s="798">
        <v>92240</v>
      </c>
      <c r="B1051" s="799" t="s">
        <v>1964</v>
      </c>
      <c r="C1051" s="798" t="s">
        <v>19</v>
      </c>
      <c r="D1051" s="800">
        <v>41.83</v>
      </c>
    </row>
    <row r="1052" spans="1:4" ht="67.5">
      <c r="A1052" s="798">
        <v>92241</v>
      </c>
      <c r="B1052" s="799" t="s">
        <v>1965</v>
      </c>
      <c r="C1052" s="798" t="s">
        <v>19</v>
      </c>
      <c r="D1052" s="800">
        <v>272.74</v>
      </c>
    </row>
    <row r="1053" spans="1:4" ht="40.5">
      <c r="A1053" s="798">
        <v>92712</v>
      </c>
      <c r="B1053" s="799" t="s">
        <v>2002</v>
      </c>
      <c r="C1053" s="798" t="s">
        <v>19</v>
      </c>
      <c r="D1053" s="800">
        <v>0.26</v>
      </c>
    </row>
    <row r="1054" spans="1:4" ht="40.5">
      <c r="A1054" s="798">
        <v>92713</v>
      </c>
      <c r="B1054" s="799" t="s">
        <v>2003</v>
      </c>
      <c r="C1054" s="798" t="s">
        <v>19</v>
      </c>
      <c r="D1054" s="800">
        <v>0.03</v>
      </c>
    </row>
    <row r="1055" spans="1:4" ht="40.5">
      <c r="A1055" s="798">
        <v>92714</v>
      </c>
      <c r="B1055" s="799" t="s">
        <v>2004</v>
      </c>
      <c r="C1055" s="798" t="s">
        <v>19</v>
      </c>
      <c r="D1055" s="800">
        <v>0.33</v>
      </c>
    </row>
    <row r="1056" spans="1:4" ht="40.5">
      <c r="A1056" s="798">
        <v>92715</v>
      </c>
      <c r="B1056" s="799" t="s">
        <v>2005</v>
      </c>
      <c r="C1056" s="798" t="s">
        <v>19</v>
      </c>
      <c r="D1056" s="800">
        <v>30.46</v>
      </c>
    </row>
    <row r="1057" spans="1:4" ht="40.5">
      <c r="A1057" s="798">
        <v>92956</v>
      </c>
      <c r="B1057" s="799" t="s">
        <v>2130</v>
      </c>
      <c r="C1057" s="798" t="s">
        <v>19</v>
      </c>
      <c r="D1057" s="800">
        <v>4.51</v>
      </c>
    </row>
    <row r="1058" spans="1:4" ht="27">
      <c r="A1058" s="798">
        <v>92957</v>
      </c>
      <c r="B1058" s="799" t="s">
        <v>2131</v>
      </c>
      <c r="C1058" s="798" t="s">
        <v>19</v>
      </c>
      <c r="D1058" s="800">
        <v>0.53</v>
      </c>
    </row>
    <row r="1059" spans="1:4" ht="40.5">
      <c r="A1059" s="798">
        <v>92958</v>
      </c>
      <c r="B1059" s="799" t="s">
        <v>2132</v>
      </c>
      <c r="C1059" s="798" t="s">
        <v>19</v>
      </c>
      <c r="D1059" s="800">
        <v>4.93</v>
      </c>
    </row>
    <row r="1060" spans="1:4" ht="40.5">
      <c r="A1060" s="798">
        <v>92959</v>
      </c>
      <c r="B1060" s="799" t="s">
        <v>2133</v>
      </c>
      <c r="C1060" s="798" t="s">
        <v>19</v>
      </c>
      <c r="D1060" s="800">
        <v>9.16</v>
      </c>
    </row>
    <row r="1061" spans="1:4" ht="27">
      <c r="A1061" s="798">
        <v>92963</v>
      </c>
      <c r="B1061" s="799" t="s">
        <v>2136</v>
      </c>
      <c r="C1061" s="798" t="s">
        <v>19</v>
      </c>
      <c r="D1061" s="800">
        <v>1.66</v>
      </c>
    </row>
    <row r="1062" spans="1:4" ht="27">
      <c r="A1062" s="798">
        <v>92964</v>
      </c>
      <c r="B1062" s="799" t="s">
        <v>471</v>
      </c>
      <c r="C1062" s="798" t="s">
        <v>19</v>
      </c>
      <c r="D1062" s="800">
        <v>0.19</v>
      </c>
    </row>
    <row r="1063" spans="1:4" ht="27">
      <c r="A1063" s="798">
        <v>92965</v>
      </c>
      <c r="B1063" s="799" t="s">
        <v>2137</v>
      </c>
      <c r="C1063" s="798" t="s">
        <v>19</v>
      </c>
      <c r="D1063" s="800">
        <v>2.08</v>
      </c>
    </row>
    <row r="1064" spans="1:4" ht="67.5">
      <c r="A1064" s="798">
        <v>93220</v>
      </c>
      <c r="B1064" s="799" t="s">
        <v>2177</v>
      </c>
      <c r="C1064" s="798" t="s">
        <v>19</v>
      </c>
      <c r="D1064" s="800">
        <v>325.41000000000003</v>
      </c>
    </row>
    <row r="1065" spans="1:4" ht="67.5">
      <c r="A1065" s="798">
        <v>93221</v>
      </c>
      <c r="B1065" s="799" t="s">
        <v>2178</v>
      </c>
      <c r="C1065" s="798" t="s">
        <v>19</v>
      </c>
      <c r="D1065" s="800">
        <v>45.17</v>
      </c>
    </row>
    <row r="1066" spans="1:4" ht="67.5">
      <c r="A1066" s="798">
        <v>93222</v>
      </c>
      <c r="B1066" s="799" t="s">
        <v>2179</v>
      </c>
      <c r="C1066" s="798" t="s">
        <v>19</v>
      </c>
      <c r="D1066" s="800">
        <v>407.22</v>
      </c>
    </row>
    <row r="1067" spans="1:4" ht="67.5">
      <c r="A1067" s="798">
        <v>93223</v>
      </c>
      <c r="B1067" s="799" t="s">
        <v>2180</v>
      </c>
      <c r="C1067" s="798" t="s">
        <v>19</v>
      </c>
      <c r="D1067" s="800">
        <v>154.31</v>
      </c>
    </row>
    <row r="1068" spans="1:4" ht="40.5">
      <c r="A1068" s="798">
        <v>93229</v>
      </c>
      <c r="B1068" s="799" t="s">
        <v>8212</v>
      </c>
      <c r="C1068" s="798" t="s">
        <v>19</v>
      </c>
      <c r="D1068" s="800">
        <v>0.42</v>
      </c>
    </row>
    <row r="1069" spans="1:4" ht="40.5">
      <c r="A1069" s="798">
        <v>93230</v>
      </c>
      <c r="B1069" s="799" t="s">
        <v>8213</v>
      </c>
      <c r="C1069" s="798" t="s">
        <v>19</v>
      </c>
      <c r="D1069" s="800">
        <v>0.05</v>
      </c>
    </row>
    <row r="1070" spans="1:4" ht="40.5">
      <c r="A1070" s="798">
        <v>93231</v>
      </c>
      <c r="B1070" s="799" t="s">
        <v>8214</v>
      </c>
      <c r="C1070" s="798" t="s">
        <v>19</v>
      </c>
      <c r="D1070" s="800">
        <v>0.39</v>
      </c>
    </row>
    <row r="1071" spans="1:4" ht="40.5">
      <c r="A1071" s="798">
        <v>93232</v>
      </c>
      <c r="B1071" s="799" t="s">
        <v>8215</v>
      </c>
      <c r="C1071" s="798" t="s">
        <v>19</v>
      </c>
      <c r="D1071" s="800">
        <v>9.24</v>
      </c>
    </row>
    <row r="1072" spans="1:4" ht="27">
      <c r="A1072" s="798">
        <v>93235</v>
      </c>
      <c r="B1072" s="799" t="s">
        <v>2183</v>
      </c>
      <c r="C1072" s="798" t="s">
        <v>19</v>
      </c>
      <c r="D1072" s="800">
        <v>0.99</v>
      </c>
    </row>
    <row r="1073" spans="1:4" ht="54">
      <c r="A1073" s="798">
        <v>93238</v>
      </c>
      <c r="B1073" s="799" t="s">
        <v>2184</v>
      </c>
      <c r="C1073" s="798" t="s">
        <v>19</v>
      </c>
      <c r="D1073" s="800">
        <v>1.33</v>
      </c>
    </row>
    <row r="1074" spans="1:4" ht="54">
      <c r="A1074" s="798">
        <v>93239</v>
      </c>
      <c r="B1074" s="799" t="s">
        <v>2185</v>
      </c>
      <c r="C1074" s="798" t="s">
        <v>19</v>
      </c>
      <c r="D1074" s="800">
        <v>6.05</v>
      </c>
    </row>
    <row r="1075" spans="1:4" ht="54">
      <c r="A1075" s="798">
        <v>93240</v>
      </c>
      <c r="B1075" s="799" t="s">
        <v>2186</v>
      </c>
      <c r="C1075" s="798" t="s">
        <v>19</v>
      </c>
      <c r="D1075" s="800">
        <v>11.82</v>
      </c>
    </row>
    <row r="1076" spans="1:4" ht="27">
      <c r="A1076" s="798">
        <v>93267</v>
      </c>
      <c r="B1076" s="799" t="s">
        <v>2187</v>
      </c>
      <c r="C1076" s="798" t="s">
        <v>19</v>
      </c>
      <c r="D1076" s="800">
        <v>41.71</v>
      </c>
    </row>
    <row r="1077" spans="1:4" ht="27">
      <c r="A1077" s="798">
        <v>93269</v>
      </c>
      <c r="B1077" s="799" t="s">
        <v>2188</v>
      </c>
      <c r="C1077" s="798" t="s">
        <v>19</v>
      </c>
      <c r="D1077" s="800">
        <v>4.95</v>
      </c>
    </row>
    <row r="1078" spans="1:4" ht="27">
      <c r="A1078" s="798">
        <v>93270</v>
      </c>
      <c r="B1078" s="799" t="s">
        <v>2189</v>
      </c>
      <c r="C1078" s="798" t="s">
        <v>19</v>
      </c>
      <c r="D1078" s="800">
        <v>45.63</v>
      </c>
    </row>
    <row r="1079" spans="1:4" ht="40.5">
      <c r="A1079" s="798">
        <v>93271</v>
      </c>
      <c r="B1079" s="799" t="s">
        <v>2190</v>
      </c>
      <c r="C1079" s="798" t="s">
        <v>19</v>
      </c>
      <c r="D1079" s="800">
        <v>8.5</v>
      </c>
    </row>
    <row r="1080" spans="1:4" ht="40.5">
      <c r="A1080" s="798">
        <v>93277</v>
      </c>
      <c r="B1080" s="799" t="s">
        <v>2193</v>
      </c>
      <c r="C1080" s="798" t="s">
        <v>19</v>
      </c>
      <c r="D1080" s="800">
        <v>0.33</v>
      </c>
    </row>
    <row r="1081" spans="1:4" ht="40.5">
      <c r="A1081" s="798">
        <v>93278</v>
      </c>
      <c r="B1081" s="799" t="s">
        <v>2194</v>
      </c>
      <c r="C1081" s="798" t="s">
        <v>19</v>
      </c>
      <c r="D1081" s="800">
        <v>0.03</v>
      </c>
    </row>
    <row r="1082" spans="1:4" ht="40.5">
      <c r="A1082" s="798">
        <v>93279</v>
      </c>
      <c r="B1082" s="799" t="s">
        <v>2195</v>
      </c>
      <c r="C1082" s="798" t="s">
        <v>19</v>
      </c>
      <c r="D1082" s="800">
        <v>0.31</v>
      </c>
    </row>
    <row r="1083" spans="1:4" ht="40.5">
      <c r="A1083" s="798">
        <v>93280</v>
      </c>
      <c r="B1083" s="799" t="s">
        <v>2196</v>
      </c>
      <c r="C1083" s="798" t="s">
        <v>19</v>
      </c>
      <c r="D1083" s="800">
        <v>0.7</v>
      </c>
    </row>
    <row r="1084" spans="1:4" ht="40.5">
      <c r="A1084" s="798">
        <v>93283</v>
      </c>
      <c r="B1084" s="799" t="s">
        <v>2199</v>
      </c>
      <c r="C1084" s="798" t="s">
        <v>19</v>
      </c>
      <c r="D1084" s="800">
        <v>87.68</v>
      </c>
    </row>
    <row r="1085" spans="1:4" ht="40.5">
      <c r="A1085" s="798">
        <v>93284</v>
      </c>
      <c r="B1085" s="799" t="s">
        <v>2200</v>
      </c>
      <c r="C1085" s="798" t="s">
        <v>19</v>
      </c>
      <c r="D1085" s="800">
        <v>15.78</v>
      </c>
    </row>
    <row r="1086" spans="1:4" ht="40.5">
      <c r="A1086" s="798">
        <v>93285</v>
      </c>
      <c r="B1086" s="799" t="s">
        <v>2201</v>
      </c>
      <c r="C1086" s="798" t="s">
        <v>19</v>
      </c>
      <c r="D1086" s="800">
        <v>140.94999999999999</v>
      </c>
    </row>
    <row r="1087" spans="1:4" ht="40.5">
      <c r="A1087" s="798">
        <v>93286</v>
      </c>
      <c r="B1087" s="799" t="s">
        <v>2202</v>
      </c>
      <c r="C1087" s="798" t="s">
        <v>19</v>
      </c>
      <c r="D1087" s="800">
        <v>11.83</v>
      </c>
    </row>
    <row r="1088" spans="1:4" ht="40.5">
      <c r="A1088" s="798">
        <v>93296</v>
      </c>
      <c r="B1088" s="799" t="s">
        <v>2205</v>
      </c>
      <c r="C1088" s="798" t="s">
        <v>19</v>
      </c>
      <c r="D1088" s="800">
        <v>12.49</v>
      </c>
    </row>
    <row r="1089" spans="1:4" ht="54">
      <c r="A1089" s="798">
        <v>93397</v>
      </c>
      <c r="B1089" s="799" t="s">
        <v>2224</v>
      </c>
      <c r="C1089" s="798" t="s">
        <v>19</v>
      </c>
      <c r="D1089" s="800">
        <v>16.97</v>
      </c>
    </row>
    <row r="1090" spans="1:4" ht="54">
      <c r="A1090" s="798">
        <v>93398</v>
      </c>
      <c r="B1090" s="799" t="s">
        <v>2225</v>
      </c>
      <c r="C1090" s="798" t="s">
        <v>19</v>
      </c>
      <c r="D1090" s="800">
        <v>3.17</v>
      </c>
    </row>
    <row r="1091" spans="1:4" ht="67.5">
      <c r="A1091" s="798">
        <v>93399</v>
      </c>
      <c r="B1091" s="799" t="s">
        <v>2226</v>
      </c>
      <c r="C1091" s="798" t="s">
        <v>19</v>
      </c>
      <c r="D1091" s="800">
        <v>2.5099999999999998</v>
      </c>
    </row>
    <row r="1092" spans="1:4" ht="54">
      <c r="A1092" s="798">
        <v>93400</v>
      </c>
      <c r="B1092" s="799" t="s">
        <v>2227</v>
      </c>
      <c r="C1092" s="798" t="s">
        <v>19</v>
      </c>
      <c r="D1092" s="800">
        <v>28.73</v>
      </c>
    </row>
    <row r="1093" spans="1:4" ht="67.5">
      <c r="A1093" s="798">
        <v>93401</v>
      </c>
      <c r="B1093" s="799" t="s">
        <v>2228</v>
      </c>
      <c r="C1093" s="798" t="s">
        <v>19</v>
      </c>
      <c r="D1093" s="800">
        <v>156.19999999999999</v>
      </c>
    </row>
    <row r="1094" spans="1:4" ht="67.5">
      <c r="A1094" s="798">
        <v>93404</v>
      </c>
      <c r="B1094" s="799" t="s">
        <v>4143</v>
      </c>
      <c r="C1094" s="798" t="s">
        <v>19</v>
      </c>
      <c r="D1094" s="800">
        <v>5.79</v>
      </c>
    </row>
    <row r="1095" spans="1:4" ht="67.5">
      <c r="A1095" s="798">
        <v>93405</v>
      </c>
      <c r="B1095" s="799" t="s">
        <v>4144</v>
      </c>
      <c r="C1095" s="798" t="s">
        <v>19</v>
      </c>
      <c r="D1095" s="800">
        <v>0.79</v>
      </c>
    </row>
    <row r="1096" spans="1:4" ht="67.5">
      <c r="A1096" s="798">
        <v>93406</v>
      </c>
      <c r="B1096" s="799" t="s">
        <v>4145</v>
      </c>
      <c r="C1096" s="798" t="s">
        <v>19</v>
      </c>
      <c r="D1096" s="800">
        <v>7.24</v>
      </c>
    </row>
    <row r="1097" spans="1:4" ht="67.5">
      <c r="A1097" s="798">
        <v>93407</v>
      </c>
      <c r="B1097" s="799" t="s">
        <v>4146</v>
      </c>
      <c r="C1097" s="798" t="s">
        <v>19</v>
      </c>
      <c r="D1097" s="800">
        <v>46.57</v>
      </c>
    </row>
    <row r="1098" spans="1:4" ht="40.5">
      <c r="A1098" s="798">
        <v>93411</v>
      </c>
      <c r="B1098" s="799" t="s">
        <v>2230</v>
      </c>
      <c r="C1098" s="798" t="s">
        <v>19</v>
      </c>
      <c r="D1098" s="800">
        <v>0.26</v>
      </c>
    </row>
    <row r="1099" spans="1:4" ht="40.5">
      <c r="A1099" s="798">
        <v>93412</v>
      </c>
      <c r="B1099" s="799" t="s">
        <v>2231</v>
      </c>
      <c r="C1099" s="798" t="s">
        <v>19</v>
      </c>
      <c r="D1099" s="800">
        <v>0.04</v>
      </c>
    </row>
    <row r="1100" spans="1:4" ht="40.5">
      <c r="A1100" s="798">
        <v>93413</v>
      </c>
      <c r="B1100" s="799" t="s">
        <v>2232</v>
      </c>
      <c r="C1100" s="798" t="s">
        <v>19</v>
      </c>
      <c r="D1100" s="800">
        <v>0.23</v>
      </c>
    </row>
    <row r="1101" spans="1:4" ht="40.5">
      <c r="A1101" s="798">
        <v>93414</v>
      </c>
      <c r="B1101" s="799" t="s">
        <v>2233</v>
      </c>
      <c r="C1101" s="798" t="s">
        <v>19</v>
      </c>
      <c r="D1101" s="800">
        <v>15.98</v>
      </c>
    </row>
    <row r="1102" spans="1:4" ht="27">
      <c r="A1102" s="798">
        <v>93417</v>
      </c>
      <c r="B1102" s="799" t="s">
        <v>2236</v>
      </c>
      <c r="C1102" s="798" t="s">
        <v>19</v>
      </c>
      <c r="D1102" s="800">
        <v>3.49</v>
      </c>
    </row>
    <row r="1103" spans="1:4" ht="27">
      <c r="A1103" s="798">
        <v>93418</v>
      </c>
      <c r="B1103" s="799" t="s">
        <v>2237</v>
      </c>
      <c r="C1103" s="798" t="s">
        <v>19</v>
      </c>
      <c r="D1103" s="800">
        <v>0.62</v>
      </c>
    </row>
    <row r="1104" spans="1:4" ht="27">
      <c r="A1104" s="798">
        <v>93419</v>
      </c>
      <c r="B1104" s="799" t="s">
        <v>485</v>
      </c>
      <c r="C1104" s="798" t="s">
        <v>19</v>
      </c>
      <c r="D1104" s="800">
        <v>3.11</v>
      </c>
    </row>
    <row r="1105" spans="1:4" ht="27">
      <c r="A1105" s="798">
        <v>93420</v>
      </c>
      <c r="B1105" s="799" t="s">
        <v>2238</v>
      </c>
      <c r="C1105" s="798" t="s">
        <v>19</v>
      </c>
      <c r="D1105" s="800">
        <v>66.25</v>
      </c>
    </row>
    <row r="1106" spans="1:4" ht="27">
      <c r="A1106" s="798">
        <v>93423</v>
      </c>
      <c r="B1106" s="799" t="s">
        <v>2239</v>
      </c>
      <c r="C1106" s="798" t="s">
        <v>19</v>
      </c>
      <c r="D1106" s="800">
        <v>4.9400000000000004</v>
      </c>
    </row>
    <row r="1107" spans="1:4" ht="27">
      <c r="A1107" s="798">
        <v>93424</v>
      </c>
      <c r="B1107" s="799" t="s">
        <v>2240</v>
      </c>
      <c r="C1107" s="798" t="s">
        <v>19</v>
      </c>
      <c r="D1107" s="800">
        <v>0.88</v>
      </c>
    </row>
    <row r="1108" spans="1:4" ht="27">
      <c r="A1108" s="798">
        <v>93425</v>
      </c>
      <c r="B1108" s="799" t="s">
        <v>2241</v>
      </c>
      <c r="C1108" s="798" t="s">
        <v>19</v>
      </c>
      <c r="D1108" s="800">
        <v>4.41</v>
      </c>
    </row>
    <row r="1109" spans="1:4" ht="27">
      <c r="A1109" s="798">
        <v>93426</v>
      </c>
      <c r="B1109" s="799" t="s">
        <v>2242</v>
      </c>
      <c r="C1109" s="798" t="s">
        <v>19</v>
      </c>
      <c r="D1109" s="800">
        <v>158.32</v>
      </c>
    </row>
    <row r="1110" spans="1:4" ht="40.5">
      <c r="A1110" s="798">
        <v>93429</v>
      </c>
      <c r="B1110" s="799" t="s">
        <v>2245</v>
      </c>
      <c r="C1110" s="798" t="s">
        <v>19</v>
      </c>
      <c r="D1110" s="800">
        <v>105.69</v>
      </c>
    </row>
    <row r="1111" spans="1:4" ht="27">
      <c r="A1111" s="798">
        <v>93430</v>
      </c>
      <c r="B1111" s="799" t="s">
        <v>2246</v>
      </c>
      <c r="C1111" s="798" t="s">
        <v>19</v>
      </c>
      <c r="D1111" s="800">
        <v>19.02</v>
      </c>
    </row>
    <row r="1112" spans="1:4" ht="27">
      <c r="A1112" s="798">
        <v>93431</v>
      </c>
      <c r="B1112" s="799" t="s">
        <v>2247</v>
      </c>
      <c r="C1112" s="798" t="s">
        <v>19</v>
      </c>
      <c r="D1112" s="800">
        <v>169.9</v>
      </c>
    </row>
    <row r="1113" spans="1:4" ht="40.5">
      <c r="A1113" s="798">
        <v>93432</v>
      </c>
      <c r="B1113" s="799" t="s">
        <v>2248</v>
      </c>
      <c r="C1113" s="798" t="s">
        <v>19</v>
      </c>
      <c r="D1113" s="800">
        <v>2836.8</v>
      </c>
    </row>
    <row r="1114" spans="1:4" ht="40.5">
      <c r="A1114" s="798">
        <v>93435</v>
      </c>
      <c r="B1114" s="799" t="s">
        <v>2251</v>
      </c>
      <c r="C1114" s="798" t="s">
        <v>19</v>
      </c>
      <c r="D1114" s="800">
        <v>5.72</v>
      </c>
    </row>
    <row r="1115" spans="1:4" ht="27">
      <c r="A1115" s="798">
        <v>93436</v>
      </c>
      <c r="B1115" s="799" t="s">
        <v>2252</v>
      </c>
      <c r="C1115" s="798" t="s">
        <v>19</v>
      </c>
      <c r="D1115" s="800">
        <v>1.2</v>
      </c>
    </row>
    <row r="1116" spans="1:4" ht="40.5">
      <c r="A1116" s="798">
        <v>93437</v>
      </c>
      <c r="B1116" s="799" t="s">
        <v>2253</v>
      </c>
      <c r="C1116" s="798" t="s">
        <v>19</v>
      </c>
      <c r="D1116" s="800">
        <v>10.72</v>
      </c>
    </row>
    <row r="1117" spans="1:4" ht="40.5">
      <c r="A1117" s="798">
        <v>93438</v>
      </c>
      <c r="B1117" s="799" t="s">
        <v>2254</v>
      </c>
      <c r="C1117" s="798" t="s">
        <v>19</v>
      </c>
      <c r="D1117" s="800">
        <v>24.82</v>
      </c>
    </row>
    <row r="1118" spans="1:4" ht="27">
      <c r="A1118" s="798">
        <v>95114</v>
      </c>
      <c r="B1118" s="799" t="s">
        <v>2453</v>
      </c>
      <c r="C1118" s="798" t="s">
        <v>19</v>
      </c>
      <c r="D1118" s="800">
        <v>1.61</v>
      </c>
    </row>
    <row r="1119" spans="1:4" ht="27">
      <c r="A1119" s="798">
        <v>95115</v>
      </c>
      <c r="B1119" s="799" t="s">
        <v>2454</v>
      </c>
      <c r="C1119" s="798" t="s">
        <v>19</v>
      </c>
      <c r="D1119" s="800">
        <v>0.19</v>
      </c>
    </row>
    <row r="1120" spans="1:4" ht="27">
      <c r="A1120" s="798">
        <v>95116</v>
      </c>
      <c r="B1120" s="799" t="s">
        <v>512</v>
      </c>
      <c r="C1120" s="798" t="s">
        <v>19</v>
      </c>
      <c r="D1120" s="800">
        <v>31.99</v>
      </c>
    </row>
    <row r="1121" spans="1:4" ht="27">
      <c r="A1121" s="798">
        <v>95117</v>
      </c>
      <c r="B1121" s="799" t="s">
        <v>513</v>
      </c>
      <c r="C1121" s="798" t="s">
        <v>19</v>
      </c>
      <c r="D1121" s="800">
        <v>5.04</v>
      </c>
    </row>
    <row r="1122" spans="1:4" ht="27">
      <c r="A1122" s="798">
        <v>95118</v>
      </c>
      <c r="B1122" s="799" t="s">
        <v>2455</v>
      </c>
      <c r="C1122" s="798" t="s">
        <v>19</v>
      </c>
      <c r="D1122" s="800">
        <v>62.29</v>
      </c>
    </row>
    <row r="1123" spans="1:4" ht="27">
      <c r="A1123" s="798">
        <v>95119</v>
      </c>
      <c r="B1123" s="799" t="s">
        <v>2456</v>
      </c>
      <c r="C1123" s="798" t="s">
        <v>19</v>
      </c>
      <c r="D1123" s="800">
        <v>9.81</v>
      </c>
    </row>
    <row r="1124" spans="1:4" ht="40.5">
      <c r="A1124" s="798">
        <v>95120</v>
      </c>
      <c r="B1124" s="799" t="s">
        <v>2457</v>
      </c>
      <c r="C1124" s="798" t="s">
        <v>19</v>
      </c>
      <c r="D1124" s="800">
        <v>58.01</v>
      </c>
    </row>
    <row r="1125" spans="1:4" ht="27">
      <c r="A1125" s="798">
        <v>95123</v>
      </c>
      <c r="B1125" s="799" t="s">
        <v>514</v>
      </c>
      <c r="C1125" s="798" t="s">
        <v>19</v>
      </c>
      <c r="D1125" s="800">
        <v>16.3</v>
      </c>
    </row>
    <row r="1126" spans="1:4" ht="27">
      <c r="A1126" s="798">
        <v>95124</v>
      </c>
      <c r="B1126" s="799" t="s">
        <v>515</v>
      </c>
      <c r="C1126" s="798" t="s">
        <v>19</v>
      </c>
      <c r="D1126" s="800">
        <v>2.56</v>
      </c>
    </row>
    <row r="1127" spans="1:4" ht="27">
      <c r="A1127" s="798">
        <v>95125</v>
      </c>
      <c r="B1127" s="799" t="s">
        <v>516</v>
      </c>
      <c r="C1127" s="798" t="s">
        <v>19</v>
      </c>
      <c r="D1127" s="800">
        <v>17.84</v>
      </c>
    </row>
    <row r="1128" spans="1:4" ht="40.5">
      <c r="A1128" s="798">
        <v>95126</v>
      </c>
      <c r="B1128" s="799" t="s">
        <v>2460</v>
      </c>
      <c r="C1128" s="798" t="s">
        <v>19</v>
      </c>
      <c r="D1128" s="800">
        <v>145.44</v>
      </c>
    </row>
    <row r="1129" spans="1:4" ht="40.5">
      <c r="A1129" s="798">
        <v>95129</v>
      </c>
      <c r="B1129" s="799" t="s">
        <v>2461</v>
      </c>
      <c r="C1129" s="798" t="s">
        <v>19</v>
      </c>
      <c r="D1129" s="800">
        <v>24.73</v>
      </c>
    </row>
    <row r="1130" spans="1:4" ht="27">
      <c r="A1130" s="798">
        <v>95130</v>
      </c>
      <c r="B1130" s="799" t="s">
        <v>2462</v>
      </c>
      <c r="C1130" s="798" t="s">
        <v>19</v>
      </c>
      <c r="D1130" s="800">
        <v>5.2</v>
      </c>
    </row>
    <row r="1131" spans="1:4" ht="40.5">
      <c r="A1131" s="798">
        <v>95131</v>
      </c>
      <c r="B1131" s="799" t="s">
        <v>2463</v>
      </c>
      <c r="C1131" s="798" t="s">
        <v>19</v>
      </c>
      <c r="D1131" s="800">
        <v>46.43</v>
      </c>
    </row>
    <row r="1132" spans="1:4" ht="40.5">
      <c r="A1132" s="798">
        <v>95132</v>
      </c>
      <c r="B1132" s="799" t="s">
        <v>2464</v>
      </c>
      <c r="C1132" s="798" t="s">
        <v>19</v>
      </c>
      <c r="D1132" s="800">
        <v>31.85</v>
      </c>
    </row>
    <row r="1133" spans="1:4" ht="27">
      <c r="A1133" s="798">
        <v>95136</v>
      </c>
      <c r="B1133" s="799" t="s">
        <v>2466</v>
      </c>
      <c r="C1133" s="798" t="s">
        <v>19</v>
      </c>
      <c r="D1133" s="800">
        <v>0.03</v>
      </c>
    </row>
    <row r="1134" spans="1:4" ht="27">
      <c r="A1134" s="798">
        <v>95137</v>
      </c>
      <c r="B1134" s="799" t="s">
        <v>2467</v>
      </c>
      <c r="C1134" s="798" t="s">
        <v>19</v>
      </c>
      <c r="D1134" s="800">
        <v>0</v>
      </c>
    </row>
    <row r="1135" spans="1:4" ht="27">
      <c r="A1135" s="798">
        <v>95138</v>
      </c>
      <c r="B1135" s="799" t="s">
        <v>2468</v>
      </c>
      <c r="C1135" s="798" t="s">
        <v>19</v>
      </c>
      <c r="D1135" s="800">
        <v>0.03</v>
      </c>
    </row>
    <row r="1136" spans="1:4" ht="27">
      <c r="A1136" s="798">
        <v>95208</v>
      </c>
      <c r="B1136" s="799" t="s">
        <v>2472</v>
      </c>
      <c r="C1136" s="798" t="s">
        <v>19</v>
      </c>
      <c r="D1136" s="800">
        <v>47.26</v>
      </c>
    </row>
    <row r="1137" spans="1:4" ht="27">
      <c r="A1137" s="798">
        <v>95209</v>
      </c>
      <c r="B1137" s="799" t="s">
        <v>2473</v>
      </c>
      <c r="C1137" s="798" t="s">
        <v>19</v>
      </c>
      <c r="D1137" s="800">
        <v>5.61</v>
      </c>
    </row>
    <row r="1138" spans="1:4" ht="27">
      <c r="A1138" s="798">
        <v>95210</v>
      </c>
      <c r="B1138" s="799" t="s">
        <v>2474</v>
      </c>
      <c r="C1138" s="798" t="s">
        <v>19</v>
      </c>
      <c r="D1138" s="800">
        <v>51.69</v>
      </c>
    </row>
    <row r="1139" spans="1:4" ht="40.5">
      <c r="A1139" s="798">
        <v>95211</v>
      </c>
      <c r="B1139" s="799" t="s">
        <v>2475</v>
      </c>
      <c r="C1139" s="798" t="s">
        <v>19</v>
      </c>
      <c r="D1139" s="800">
        <v>8.5</v>
      </c>
    </row>
    <row r="1140" spans="1:4" ht="40.5">
      <c r="A1140" s="798">
        <v>95217</v>
      </c>
      <c r="B1140" s="799" t="s">
        <v>2478</v>
      </c>
      <c r="C1140" s="798" t="s">
        <v>19</v>
      </c>
      <c r="D1140" s="800">
        <v>0.56999999999999995</v>
      </c>
    </row>
    <row r="1141" spans="1:4" ht="27">
      <c r="A1141" s="798">
        <v>95255</v>
      </c>
      <c r="B1141" s="799" t="s">
        <v>519</v>
      </c>
      <c r="C1141" s="798" t="s">
        <v>19</v>
      </c>
      <c r="D1141" s="800">
        <v>1.43</v>
      </c>
    </row>
    <row r="1142" spans="1:4" ht="27">
      <c r="A1142" s="798">
        <v>95256</v>
      </c>
      <c r="B1142" s="799" t="s">
        <v>520</v>
      </c>
      <c r="C1142" s="798" t="s">
        <v>19</v>
      </c>
      <c r="D1142" s="800">
        <v>0.17</v>
      </c>
    </row>
    <row r="1143" spans="1:4" ht="27">
      <c r="A1143" s="798">
        <v>95257</v>
      </c>
      <c r="B1143" s="799" t="s">
        <v>521</v>
      </c>
      <c r="C1143" s="798" t="s">
        <v>19</v>
      </c>
      <c r="D1143" s="800">
        <v>1.79</v>
      </c>
    </row>
    <row r="1144" spans="1:4" ht="27">
      <c r="A1144" s="798">
        <v>95260</v>
      </c>
      <c r="B1144" s="799" t="s">
        <v>2480</v>
      </c>
      <c r="C1144" s="798" t="s">
        <v>19</v>
      </c>
      <c r="D1144" s="800">
        <v>0.59</v>
      </c>
    </row>
    <row r="1145" spans="1:4" ht="27">
      <c r="A1145" s="798">
        <v>95261</v>
      </c>
      <c r="B1145" s="799" t="s">
        <v>2481</v>
      </c>
      <c r="C1145" s="798" t="s">
        <v>19</v>
      </c>
      <c r="D1145" s="800">
        <v>0.16</v>
      </c>
    </row>
    <row r="1146" spans="1:4" ht="27">
      <c r="A1146" s="798">
        <v>95262</v>
      </c>
      <c r="B1146" s="799" t="s">
        <v>2482</v>
      </c>
      <c r="C1146" s="798" t="s">
        <v>19</v>
      </c>
      <c r="D1146" s="800">
        <v>1.49</v>
      </c>
    </row>
    <row r="1147" spans="1:4" ht="40.5">
      <c r="A1147" s="798">
        <v>95263</v>
      </c>
      <c r="B1147" s="799" t="s">
        <v>2483</v>
      </c>
      <c r="C1147" s="798" t="s">
        <v>19</v>
      </c>
      <c r="D1147" s="800">
        <v>5</v>
      </c>
    </row>
    <row r="1148" spans="1:4" ht="40.5">
      <c r="A1148" s="798">
        <v>95266</v>
      </c>
      <c r="B1148" s="799" t="s">
        <v>2486</v>
      </c>
      <c r="C1148" s="798" t="s">
        <v>19</v>
      </c>
      <c r="D1148" s="800">
        <v>0.44</v>
      </c>
    </row>
    <row r="1149" spans="1:4" ht="40.5">
      <c r="A1149" s="798">
        <v>95267</v>
      </c>
      <c r="B1149" s="799" t="s">
        <v>2487</v>
      </c>
      <c r="C1149" s="798" t="s">
        <v>19</v>
      </c>
      <c r="D1149" s="800">
        <v>0.04</v>
      </c>
    </row>
    <row r="1150" spans="1:4" ht="40.5">
      <c r="A1150" s="798">
        <v>95268</v>
      </c>
      <c r="B1150" s="799" t="s">
        <v>2488</v>
      </c>
      <c r="C1150" s="798" t="s">
        <v>19</v>
      </c>
      <c r="D1150" s="800">
        <v>0.42</v>
      </c>
    </row>
    <row r="1151" spans="1:4" ht="40.5">
      <c r="A1151" s="798">
        <v>95269</v>
      </c>
      <c r="B1151" s="799" t="s">
        <v>2489</v>
      </c>
      <c r="C1151" s="798" t="s">
        <v>19</v>
      </c>
      <c r="D1151" s="800">
        <v>9.24</v>
      </c>
    </row>
    <row r="1152" spans="1:4" ht="40.5">
      <c r="A1152" s="798">
        <v>95272</v>
      </c>
      <c r="B1152" s="799" t="s">
        <v>2492</v>
      </c>
      <c r="C1152" s="798" t="s">
        <v>19</v>
      </c>
      <c r="D1152" s="800">
        <v>0.43</v>
      </c>
    </row>
    <row r="1153" spans="1:4" ht="40.5">
      <c r="A1153" s="798">
        <v>95273</v>
      </c>
      <c r="B1153" s="799" t="s">
        <v>2493</v>
      </c>
      <c r="C1153" s="798" t="s">
        <v>19</v>
      </c>
      <c r="D1153" s="800">
        <v>0.05</v>
      </c>
    </row>
    <row r="1154" spans="1:4" ht="40.5">
      <c r="A1154" s="798">
        <v>95274</v>
      </c>
      <c r="B1154" s="799" t="s">
        <v>2494</v>
      </c>
      <c r="C1154" s="798" t="s">
        <v>19</v>
      </c>
      <c r="D1154" s="800">
        <v>0.33</v>
      </c>
    </row>
    <row r="1155" spans="1:4" ht="40.5">
      <c r="A1155" s="798">
        <v>95275</v>
      </c>
      <c r="B1155" s="799" t="s">
        <v>2495</v>
      </c>
      <c r="C1155" s="798" t="s">
        <v>19</v>
      </c>
      <c r="D1155" s="800">
        <v>2.31</v>
      </c>
    </row>
    <row r="1156" spans="1:4" ht="40.5">
      <c r="A1156" s="798">
        <v>95278</v>
      </c>
      <c r="B1156" s="799" t="s">
        <v>2498</v>
      </c>
      <c r="C1156" s="798" t="s">
        <v>19</v>
      </c>
      <c r="D1156" s="800">
        <v>0.52</v>
      </c>
    </row>
    <row r="1157" spans="1:4" ht="27">
      <c r="A1157" s="798">
        <v>95279</v>
      </c>
      <c r="B1157" s="799" t="s">
        <v>2499</v>
      </c>
      <c r="C1157" s="798" t="s">
        <v>19</v>
      </c>
      <c r="D1157" s="800">
        <v>0.05</v>
      </c>
    </row>
    <row r="1158" spans="1:4" ht="40.5">
      <c r="A1158" s="798">
        <v>95280</v>
      </c>
      <c r="B1158" s="799" t="s">
        <v>2500</v>
      </c>
      <c r="C1158" s="798" t="s">
        <v>19</v>
      </c>
      <c r="D1158" s="800">
        <v>0.51</v>
      </c>
    </row>
    <row r="1159" spans="1:4" ht="40.5">
      <c r="A1159" s="798">
        <v>95281</v>
      </c>
      <c r="B1159" s="799" t="s">
        <v>2501</v>
      </c>
      <c r="C1159" s="798" t="s">
        <v>19</v>
      </c>
      <c r="D1159" s="800">
        <v>9.24</v>
      </c>
    </row>
    <row r="1160" spans="1:4" ht="54">
      <c r="A1160" s="798">
        <v>95617</v>
      </c>
      <c r="B1160" s="799" t="s">
        <v>2621</v>
      </c>
      <c r="C1160" s="798" t="s">
        <v>19</v>
      </c>
      <c r="D1160" s="800">
        <v>1.17</v>
      </c>
    </row>
    <row r="1161" spans="1:4" ht="40.5">
      <c r="A1161" s="798">
        <v>95618</v>
      </c>
      <c r="B1161" s="799" t="s">
        <v>2622</v>
      </c>
      <c r="C1161" s="798" t="s">
        <v>19</v>
      </c>
      <c r="D1161" s="800">
        <v>0.13</v>
      </c>
    </row>
    <row r="1162" spans="1:4" ht="40.5">
      <c r="A1162" s="798">
        <v>95619</v>
      </c>
      <c r="B1162" s="799" t="s">
        <v>2623</v>
      </c>
      <c r="C1162" s="798" t="s">
        <v>19</v>
      </c>
      <c r="D1162" s="800">
        <v>1.47</v>
      </c>
    </row>
    <row r="1163" spans="1:4" ht="40.5">
      <c r="A1163" s="798">
        <v>95627</v>
      </c>
      <c r="B1163" s="799" t="s">
        <v>2628</v>
      </c>
      <c r="C1163" s="798" t="s">
        <v>19</v>
      </c>
      <c r="D1163" s="800">
        <v>47.73</v>
      </c>
    </row>
    <row r="1164" spans="1:4" ht="40.5">
      <c r="A1164" s="798">
        <v>95628</v>
      </c>
      <c r="B1164" s="799" t="s">
        <v>2629</v>
      </c>
      <c r="C1164" s="798" t="s">
        <v>19</v>
      </c>
      <c r="D1164" s="800">
        <v>6.62</v>
      </c>
    </row>
    <row r="1165" spans="1:4" ht="40.5">
      <c r="A1165" s="798">
        <v>95629</v>
      </c>
      <c r="B1165" s="799" t="s">
        <v>2630</v>
      </c>
      <c r="C1165" s="798" t="s">
        <v>19</v>
      </c>
      <c r="D1165" s="800">
        <v>59.73</v>
      </c>
    </row>
    <row r="1166" spans="1:4" ht="54">
      <c r="A1166" s="798">
        <v>95630</v>
      </c>
      <c r="B1166" s="799" t="s">
        <v>2631</v>
      </c>
      <c r="C1166" s="798" t="s">
        <v>19</v>
      </c>
      <c r="D1166" s="800">
        <v>88.17</v>
      </c>
    </row>
    <row r="1167" spans="1:4" ht="40.5">
      <c r="A1167" s="798">
        <v>95698</v>
      </c>
      <c r="B1167" s="799" t="s">
        <v>2649</v>
      </c>
      <c r="C1167" s="798" t="s">
        <v>19</v>
      </c>
      <c r="D1167" s="800">
        <v>4.7699999999999996</v>
      </c>
    </row>
    <row r="1168" spans="1:4" ht="27">
      <c r="A1168" s="798">
        <v>95699</v>
      </c>
      <c r="B1168" s="799" t="s">
        <v>2650</v>
      </c>
      <c r="C1168" s="798" t="s">
        <v>19</v>
      </c>
      <c r="D1168" s="800">
        <v>0.56000000000000005</v>
      </c>
    </row>
    <row r="1169" spans="1:4" ht="40.5">
      <c r="A1169" s="798">
        <v>95700</v>
      </c>
      <c r="B1169" s="799" t="s">
        <v>2651</v>
      </c>
      <c r="C1169" s="798" t="s">
        <v>19</v>
      </c>
      <c r="D1169" s="800">
        <v>5.97</v>
      </c>
    </row>
    <row r="1170" spans="1:4" ht="40.5">
      <c r="A1170" s="798">
        <v>95701</v>
      </c>
      <c r="B1170" s="799" t="s">
        <v>2652</v>
      </c>
      <c r="C1170" s="798" t="s">
        <v>19</v>
      </c>
      <c r="D1170" s="800">
        <v>2.84</v>
      </c>
    </row>
    <row r="1171" spans="1:4" ht="40.5">
      <c r="A1171" s="798">
        <v>95704</v>
      </c>
      <c r="B1171" s="799" t="s">
        <v>2655</v>
      </c>
      <c r="C1171" s="798" t="s">
        <v>19</v>
      </c>
      <c r="D1171" s="800">
        <v>43.7</v>
      </c>
    </row>
    <row r="1172" spans="1:4" ht="40.5">
      <c r="A1172" s="798">
        <v>95705</v>
      </c>
      <c r="B1172" s="799" t="s">
        <v>2656</v>
      </c>
      <c r="C1172" s="798" t="s">
        <v>19</v>
      </c>
      <c r="D1172" s="800">
        <v>5.98</v>
      </c>
    </row>
    <row r="1173" spans="1:4" ht="40.5">
      <c r="A1173" s="798">
        <v>95706</v>
      </c>
      <c r="B1173" s="799" t="s">
        <v>2657</v>
      </c>
      <c r="C1173" s="798" t="s">
        <v>19</v>
      </c>
      <c r="D1173" s="800">
        <v>54.69</v>
      </c>
    </row>
    <row r="1174" spans="1:4" ht="40.5">
      <c r="A1174" s="798">
        <v>95707</v>
      </c>
      <c r="B1174" s="799" t="s">
        <v>2658</v>
      </c>
      <c r="C1174" s="798" t="s">
        <v>19</v>
      </c>
      <c r="D1174" s="800">
        <v>3.73</v>
      </c>
    </row>
    <row r="1175" spans="1:4" ht="54">
      <c r="A1175" s="798">
        <v>95710</v>
      </c>
      <c r="B1175" s="799" t="s">
        <v>2661</v>
      </c>
      <c r="C1175" s="798" t="s">
        <v>19</v>
      </c>
      <c r="D1175" s="800">
        <v>52.52</v>
      </c>
    </row>
    <row r="1176" spans="1:4" ht="54">
      <c r="A1176" s="798">
        <v>95711</v>
      </c>
      <c r="B1176" s="799" t="s">
        <v>2662</v>
      </c>
      <c r="C1176" s="798" t="s">
        <v>19</v>
      </c>
      <c r="D1176" s="800">
        <v>7.12</v>
      </c>
    </row>
    <row r="1177" spans="1:4" ht="54">
      <c r="A1177" s="798">
        <v>95712</v>
      </c>
      <c r="B1177" s="799" t="s">
        <v>2663</v>
      </c>
      <c r="C1177" s="798" t="s">
        <v>19</v>
      </c>
      <c r="D1177" s="800">
        <v>65.66</v>
      </c>
    </row>
    <row r="1178" spans="1:4" ht="54">
      <c r="A1178" s="798">
        <v>95713</v>
      </c>
      <c r="B1178" s="799" t="s">
        <v>2664</v>
      </c>
      <c r="C1178" s="798" t="s">
        <v>19</v>
      </c>
      <c r="D1178" s="800">
        <v>88.82</v>
      </c>
    </row>
    <row r="1179" spans="1:4" ht="67.5">
      <c r="A1179" s="798">
        <v>95716</v>
      </c>
      <c r="B1179" s="799" t="s">
        <v>2667</v>
      </c>
      <c r="C1179" s="798" t="s">
        <v>19</v>
      </c>
      <c r="D1179" s="800">
        <v>50.56</v>
      </c>
    </row>
    <row r="1180" spans="1:4" ht="67.5">
      <c r="A1180" s="798">
        <v>95717</v>
      </c>
      <c r="B1180" s="799" t="s">
        <v>2668</v>
      </c>
      <c r="C1180" s="798" t="s">
        <v>19</v>
      </c>
      <c r="D1180" s="800">
        <v>6.86</v>
      </c>
    </row>
    <row r="1181" spans="1:4" ht="67.5">
      <c r="A1181" s="798">
        <v>95718</v>
      </c>
      <c r="B1181" s="799" t="s">
        <v>2669</v>
      </c>
      <c r="C1181" s="798" t="s">
        <v>19</v>
      </c>
      <c r="D1181" s="800">
        <v>63.21</v>
      </c>
    </row>
    <row r="1182" spans="1:4" ht="67.5">
      <c r="A1182" s="798">
        <v>95719</v>
      </c>
      <c r="B1182" s="799" t="s">
        <v>2670</v>
      </c>
      <c r="C1182" s="798" t="s">
        <v>19</v>
      </c>
      <c r="D1182" s="800">
        <v>88.82</v>
      </c>
    </row>
    <row r="1183" spans="1:4" ht="27">
      <c r="A1183" s="798">
        <v>95869</v>
      </c>
      <c r="B1183" s="799" t="s">
        <v>540</v>
      </c>
      <c r="C1183" s="798" t="s">
        <v>19</v>
      </c>
      <c r="D1183" s="800">
        <v>1.42</v>
      </c>
    </row>
    <row r="1184" spans="1:4" ht="27">
      <c r="A1184" s="798">
        <v>95870</v>
      </c>
      <c r="B1184" s="799" t="s">
        <v>541</v>
      </c>
      <c r="C1184" s="798" t="s">
        <v>19</v>
      </c>
      <c r="D1184" s="800">
        <v>7.04</v>
      </c>
    </row>
    <row r="1185" spans="1:4" ht="40.5">
      <c r="A1185" s="798">
        <v>95871</v>
      </c>
      <c r="B1185" s="799" t="s">
        <v>542</v>
      </c>
      <c r="C1185" s="798" t="s">
        <v>19</v>
      </c>
      <c r="D1185" s="800">
        <v>269.73</v>
      </c>
    </row>
    <row r="1186" spans="1:4" ht="40.5">
      <c r="A1186" s="798">
        <v>95874</v>
      </c>
      <c r="B1186" s="799" t="s">
        <v>545</v>
      </c>
      <c r="C1186" s="798" t="s">
        <v>19</v>
      </c>
      <c r="D1186" s="800">
        <v>7.89</v>
      </c>
    </row>
    <row r="1187" spans="1:4" ht="40.5">
      <c r="A1187" s="798">
        <v>96008</v>
      </c>
      <c r="B1187" s="799" t="s">
        <v>2731</v>
      </c>
      <c r="C1187" s="798" t="s">
        <v>19</v>
      </c>
      <c r="D1187" s="800">
        <v>22.61</v>
      </c>
    </row>
    <row r="1188" spans="1:4" ht="27">
      <c r="A1188" s="798">
        <v>96009</v>
      </c>
      <c r="B1188" s="799" t="s">
        <v>2732</v>
      </c>
      <c r="C1188" s="798" t="s">
        <v>19</v>
      </c>
      <c r="D1188" s="800">
        <v>3.13</v>
      </c>
    </row>
    <row r="1189" spans="1:4" ht="40.5">
      <c r="A1189" s="798">
        <v>96011</v>
      </c>
      <c r="B1189" s="799" t="s">
        <v>2733</v>
      </c>
      <c r="C1189" s="798" t="s">
        <v>19</v>
      </c>
      <c r="D1189" s="800">
        <v>24.72</v>
      </c>
    </row>
    <row r="1190" spans="1:4" ht="40.5">
      <c r="A1190" s="798">
        <v>96012</v>
      </c>
      <c r="B1190" s="799" t="s">
        <v>2734</v>
      </c>
      <c r="C1190" s="798" t="s">
        <v>19</v>
      </c>
      <c r="D1190" s="800">
        <v>95.5</v>
      </c>
    </row>
    <row r="1191" spans="1:4" ht="40.5">
      <c r="A1191" s="798">
        <v>96015</v>
      </c>
      <c r="B1191" s="799" t="s">
        <v>2737</v>
      </c>
      <c r="C1191" s="798" t="s">
        <v>19</v>
      </c>
      <c r="D1191" s="800">
        <v>22.36</v>
      </c>
    </row>
    <row r="1192" spans="1:4" ht="27">
      <c r="A1192" s="798">
        <v>96016</v>
      </c>
      <c r="B1192" s="799" t="s">
        <v>2738</v>
      </c>
      <c r="C1192" s="798" t="s">
        <v>19</v>
      </c>
      <c r="D1192" s="800">
        <v>3.1</v>
      </c>
    </row>
    <row r="1193" spans="1:4" ht="27">
      <c r="A1193" s="798">
        <v>96018</v>
      </c>
      <c r="B1193" s="799" t="s">
        <v>2739</v>
      </c>
      <c r="C1193" s="798" t="s">
        <v>19</v>
      </c>
      <c r="D1193" s="800">
        <v>24.45</v>
      </c>
    </row>
    <row r="1194" spans="1:4" ht="40.5">
      <c r="A1194" s="798">
        <v>96019</v>
      </c>
      <c r="B1194" s="799" t="s">
        <v>2740</v>
      </c>
      <c r="C1194" s="798" t="s">
        <v>19</v>
      </c>
      <c r="D1194" s="800">
        <v>169.79</v>
      </c>
    </row>
    <row r="1195" spans="1:4" ht="40.5">
      <c r="A1195" s="798">
        <v>96023</v>
      </c>
      <c r="B1195" s="799" t="s">
        <v>628</v>
      </c>
      <c r="C1195" s="798" t="s">
        <v>19</v>
      </c>
      <c r="D1195" s="800">
        <v>17.5</v>
      </c>
    </row>
    <row r="1196" spans="1:4" ht="27">
      <c r="A1196" s="798">
        <v>96024</v>
      </c>
      <c r="B1196" s="799" t="s">
        <v>629</v>
      </c>
      <c r="C1196" s="798" t="s">
        <v>19</v>
      </c>
      <c r="D1196" s="800">
        <v>2.4300000000000002</v>
      </c>
    </row>
    <row r="1197" spans="1:4" ht="27">
      <c r="A1197" s="798">
        <v>96026</v>
      </c>
      <c r="B1197" s="799" t="s">
        <v>630</v>
      </c>
      <c r="C1197" s="798" t="s">
        <v>19</v>
      </c>
      <c r="D1197" s="800">
        <v>19.14</v>
      </c>
    </row>
    <row r="1198" spans="1:4" ht="40.5">
      <c r="A1198" s="798">
        <v>96027</v>
      </c>
      <c r="B1198" s="799" t="s">
        <v>631</v>
      </c>
      <c r="C1198" s="798" t="s">
        <v>19</v>
      </c>
      <c r="D1198" s="800">
        <v>118.31</v>
      </c>
    </row>
    <row r="1199" spans="1:4" ht="40.5">
      <c r="A1199" s="798">
        <v>96030</v>
      </c>
      <c r="B1199" s="799" t="s">
        <v>2743</v>
      </c>
      <c r="C1199" s="798" t="s">
        <v>19</v>
      </c>
      <c r="D1199" s="800">
        <v>25.93</v>
      </c>
    </row>
    <row r="1200" spans="1:4" ht="40.5">
      <c r="A1200" s="798">
        <v>96031</v>
      </c>
      <c r="B1200" s="799" t="s">
        <v>634</v>
      </c>
      <c r="C1200" s="798" t="s">
        <v>19</v>
      </c>
      <c r="D1200" s="800">
        <v>4.8600000000000003</v>
      </c>
    </row>
    <row r="1201" spans="1:4" ht="40.5">
      <c r="A1201" s="798">
        <v>96032</v>
      </c>
      <c r="B1201" s="799" t="s">
        <v>2744</v>
      </c>
      <c r="C1201" s="798" t="s">
        <v>19</v>
      </c>
      <c r="D1201" s="800">
        <v>3.84</v>
      </c>
    </row>
    <row r="1202" spans="1:4" ht="40.5">
      <c r="A1202" s="798">
        <v>96033</v>
      </c>
      <c r="B1202" s="799" t="s">
        <v>2745</v>
      </c>
      <c r="C1202" s="798" t="s">
        <v>19</v>
      </c>
      <c r="D1202" s="800">
        <v>43.64</v>
      </c>
    </row>
    <row r="1203" spans="1:4" ht="54">
      <c r="A1203" s="798">
        <v>96034</v>
      </c>
      <c r="B1203" s="799" t="s">
        <v>2746</v>
      </c>
      <c r="C1203" s="798" t="s">
        <v>19</v>
      </c>
      <c r="D1203" s="800">
        <v>140.06</v>
      </c>
    </row>
    <row r="1204" spans="1:4" ht="40.5">
      <c r="A1204" s="798">
        <v>96053</v>
      </c>
      <c r="B1204" s="799" t="s">
        <v>2749</v>
      </c>
      <c r="C1204" s="798" t="s">
        <v>19</v>
      </c>
      <c r="D1204" s="800">
        <v>17.75</v>
      </c>
    </row>
    <row r="1205" spans="1:4" ht="40.5">
      <c r="A1205" s="798">
        <v>96054</v>
      </c>
      <c r="B1205" s="799" t="s">
        <v>635</v>
      </c>
      <c r="C1205" s="798" t="s">
        <v>19</v>
      </c>
      <c r="D1205" s="800">
        <v>21.83</v>
      </c>
    </row>
    <row r="1206" spans="1:4" ht="27">
      <c r="A1206" s="798">
        <v>96055</v>
      </c>
      <c r="B1206" s="799" t="s">
        <v>2750</v>
      </c>
      <c r="C1206" s="798" t="s">
        <v>19</v>
      </c>
      <c r="D1206" s="800">
        <v>2.46</v>
      </c>
    </row>
    <row r="1207" spans="1:4" ht="40.5">
      <c r="A1207" s="798">
        <v>96056</v>
      </c>
      <c r="B1207" s="799" t="s">
        <v>2751</v>
      </c>
      <c r="C1207" s="798" t="s">
        <v>19</v>
      </c>
      <c r="D1207" s="800">
        <v>19.41</v>
      </c>
    </row>
    <row r="1208" spans="1:4" ht="40.5">
      <c r="A1208" s="798">
        <v>96057</v>
      </c>
      <c r="B1208" s="799" t="s">
        <v>2752</v>
      </c>
      <c r="C1208" s="798" t="s">
        <v>19</v>
      </c>
      <c r="D1208" s="800">
        <v>66.540000000000006</v>
      </c>
    </row>
    <row r="1209" spans="1:4" ht="40.5">
      <c r="A1209" s="798">
        <v>96060</v>
      </c>
      <c r="B1209" s="799" t="s">
        <v>636</v>
      </c>
      <c r="C1209" s="798" t="s">
        <v>19</v>
      </c>
      <c r="D1209" s="800">
        <v>2.2000000000000002</v>
      </c>
    </row>
    <row r="1210" spans="1:4" ht="40.5">
      <c r="A1210" s="798">
        <v>96061</v>
      </c>
      <c r="B1210" s="799" t="s">
        <v>637</v>
      </c>
      <c r="C1210" s="798" t="s">
        <v>19</v>
      </c>
      <c r="D1210" s="800">
        <v>27.28</v>
      </c>
    </row>
    <row r="1211" spans="1:4" ht="40.5">
      <c r="A1211" s="798">
        <v>96062</v>
      </c>
      <c r="B1211" s="799" t="s">
        <v>638</v>
      </c>
      <c r="C1211" s="798" t="s">
        <v>19</v>
      </c>
      <c r="D1211" s="800">
        <v>39.36</v>
      </c>
    </row>
    <row r="1212" spans="1:4" ht="40.5">
      <c r="A1212" s="798">
        <v>96241</v>
      </c>
      <c r="B1212" s="799" t="s">
        <v>2778</v>
      </c>
      <c r="C1212" s="798" t="s">
        <v>19</v>
      </c>
      <c r="D1212" s="800">
        <v>16.13</v>
      </c>
    </row>
    <row r="1213" spans="1:4" ht="40.5">
      <c r="A1213" s="798">
        <v>96242</v>
      </c>
      <c r="B1213" s="799" t="s">
        <v>2779</v>
      </c>
      <c r="C1213" s="798" t="s">
        <v>19</v>
      </c>
      <c r="D1213" s="800">
        <v>2.1800000000000002</v>
      </c>
    </row>
    <row r="1214" spans="1:4" ht="40.5">
      <c r="A1214" s="798">
        <v>96243</v>
      </c>
      <c r="B1214" s="799" t="s">
        <v>2780</v>
      </c>
      <c r="C1214" s="798" t="s">
        <v>19</v>
      </c>
      <c r="D1214" s="800">
        <v>20.16</v>
      </c>
    </row>
    <row r="1215" spans="1:4" ht="40.5">
      <c r="A1215" s="798">
        <v>96244</v>
      </c>
      <c r="B1215" s="799" t="s">
        <v>2781</v>
      </c>
      <c r="C1215" s="798" t="s">
        <v>19</v>
      </c>
      <c r="D1215" s="800">
        <v>17.190000000000001</v>
      </c>
    </row>
    <row r="1216" spans="1:4" ht="40.5">
      <c r="A1216" s="798">
        <v>96301</v>
      </c>
      <c r="B1216" s="799" t="s">
        <v>2788</v>
      </c>
      <c r="C1216" s="798" t="s">
        <v>19</v>
      </c>
      <c r="D1216" s="800">
        <v>48.52</v>
      </c>
    </row>
    <row r="1217" spans="1:4" ht="54">
      <c r="A1217" s="798">
        <v>96457</v>
      </c>
      <c r="B1217" s="799" t="s">
        <v>2805</v>
      </c>
      <c r="C1217" s="798" t="s">
        <v>19</v>
      </c>
      <c r="D1217" s="800">
        <v>63.05</v>
      </c>
    </row>
    <row r="1218" spans="1:4" ht="54">
      <c r="A1218" s="798">
        <v>96458</v>
      </c>
      <c r="B1218" s="799" t="s">
        <v>2806</v>
      </c>
      <c r="C1218" s="798" t="s">
        <v>19</v>
      </c>
      <c r="D1218" s="800">
        <v>66.25</v>
      </c>
    </row>
    <row r="1219" spans="1:4" ht="54">
      <c r="A1219" s="798">
        <v>96459</v>
      </c>
      <c r="B1219" s="799" t="s">
        <v>2807</v>
      </c>
      <c r="C1219" s="798" t="s">
        <v>19</v>
      </c>
      <c r="D1219" s="800">
        <v>7.35</v>
      </c>
    </row>
    <row r="1220" spans="1:4" ht="54">
      <c r="A1220" s="798">
        <v>96460</v>
      </c>
      <c r="B1220" s="799" t="s">
        <v>2808</v>
      </c>
      <c r="C1220" s="798" t="s">
        <v>19</v>
      </c>
      <c r="D1220" s="800">
        <v>52.94</v>
      </c>
    </row>
    <row r="1221" spans="1:4" ht="40.5">
      <c r="A1221" s="798">
        <v>98760</v>
      </c>
      <c r="B1221" s="799" t="s">
        <v>3276</v>
      </c>
      <c r="C1221" s="798" t="s">
        <v>19</v>
      </c>
      <c r="D1221" s="800">
        <v>0.1</v>
      </c>
    </row>
    <row r="1222" spans="1:4" ht="40.5">
      <c r="A1222" s="798">
        <v>98761</v>
      </c>
      <c r="B1222" s="799" t="s">
        <v>3277</v>
      </c>
      <c r="C1222" s="798" t="s">
        <v>19</v>
      </c>
      <c r="D1222" s="800">
        <v>0.01</v>
      </c>
    </row>
    <row r="1223" spans="1:4" ht="40.5">
      <c r="A1223" s="798">
        <v>98762</v>
      </c>
      <c r="B1223" s="799" t="s">
        <v>3278</v>
      </c>
      <c r="C1223" s="798" t="s">
        <v>19</v>
      </c>
      <c r="D1223" s="800">
        <v>0.12</v>
      </c>
    </row>
    <row r="1224" spans="1:4" ht="54">
      <c r="A1224" s="798">
        <v>98763</v>
      </c>
      <c r="B1224" s="799" t="s">
        <v>3279</v>
      </c>
      <c r="C1224" s="798" t="s">
        <v>19</v>
      </c>
      <c r="D1224" s="800">
        <v>4.17</v>
      </c>
    </row>
    <row r="1225" spans="1:4" ht="40.5">
      <c r="A1225" s="798">
        <v>99829</v>
      </c>
      <c r="B1225" s="799" t="s">
        <v>3589</v>
      </c>
      <c r="C1225" s="798" t="s">
        <v>19</v>
      </c>
      <c r="D1225" s="800">
        <v>0.23</v>
      </c>
    </row>
    <row r="1226" spans="1:4" ht="40.5">
      <c r="A1226" s="798">
        <v>99830</v>
      </c>
      <c r="B1226" s="799" t="s">
        <v>3590</v>
      </c>
      <c r="C1226" s="798" t="s">
        <v>19</v>
      </c>
      <c r="D1226" s="800">
        <v>0.02</v>
      </c>
    </row>
    <row r="1227" spans="1:4" ht="40.5">
      <c r="A1227" s="798">
        <v>99831</v>
      </c>
      <c r="B1227" s="799" t="s">
        <v>3591</v>
      </c>
      <c r="C1227" s="798" t="s">
        <v>19</v>
      </c>
      <c r="D1227" s="800">
        <v>0.28999999999999998</v>
      </c>
    </row>
    <row r="1228" spans="1:4" ht="54">
      <c r="A1228" s="798">
        <v>99832</v>
      </c>
      <c r="B1228" s="799" t="s">
        <v>3592</v>
      </c>
      <c r="C1228" s="798" t="s">
        <v>19</v>
      </c>
      <c r="D1228" s="800">
        <v>4.0199999999999996</v>
      </c>
    </row>
    <row r="1229" spans="1:4" ht="40.5">
      <c r="A1229" s="798">
        <v>100637</v>
      </c>
      <c r="B1229" s="799" t="s">
        <v>4147</v>
      </c>
      <c r="C1229" s="798" t="s">
        <v>19</v>
      </c>
      <c r="D1229" s="800">
        <v>129.83000000000001</v>
      </c>
    </row>
    <row r="1230" spans="1:4" ht="27">
      <c r="A1230" s="798">
        <v>100638</v>
      </c>
      <c r="B1230" s="799" t="s">
        <v>4148</v>
      </c>
      <c r="C1230" s="798" t="s">
        <v>19</v>
      </c>
      <c r="D1230" s="800">
        <v>23.36</v>
      </c>
    </row>
    <row r="1231" spans="1:4" ht="40.5">
      <c r="A1231" s="798">
        <v>100639</v>
      </c>
      <c r="B1231" s="799" t="s">
        <v>4149</v>
      </c>
      <c r="C1231" s="798" t="s">
        <v>19</v>
      </c>
      <c r="D1231" s="800">
        <v>208.7</v>
      </c>
    </row>
    <row r="1232" spans="1:4" ht="40.5">
      <c r="A1232" s="798">
        <v>100640</v>
      </c>
      <c r="B1232" s="799" t="s">
        <v>4150</v>
      </c>
      <c r="C1232" s="798" t="s">
        <v>19</v>
      </c>
      <c r="D1232" s="800">
        <v>216.58</v>
      </c>
    </row>
    <row r="1233" spans="1:4" ht="27">
      <c r="A1233" s="798">
        <v>100643</v>
      </c>
      <c r="B1233" s="799" t="s">
        <v>4151</v>
      </c>
      <c r="C1233" s="798" t="s">
        <v>19</v>
      </c>
      <c r="D1233" s="800">
        <v>341.83</v>
      </c>
    </row>
    <row r="1234" spans="1:4" ht="27">
      <c r="A1234" s="798">
        <v>100644</v>
      </c>
      <c r="B1234" s="799" t="s">
        <v>4152</v>
      </c>
      <c r="C1234" s="798" t="s">
        <v>19</v>
      </c>
      <c r="D1234" s="800">
        <v>61.53</v>
      </c>
    </row>
    <row r="1235" spans="1:4" ht="27">
      <c r="A1235" s="798">
        <v>100645</v>
      </c>
      <c r="B1235" s="799" t="s">
        <v>4153</v>
      </c>
      <c r="C1235" s="798" t="s">
        <v>19</v>
      </c>
      <c r="D1235" s="800">
        <v>549.5</v>
      </c>
    </row>
    <row r="1236" spans="1:4" ht="27">
      <c r="A1236" s="798">
        <v>100646</v>
      </c>
      <c r="B1236" s="799" t="s">
        <v>4154</v>
      </c>
      <c r="C1236" s="798" t="s">
        <v>19</v>
      </c>
      <c r="D1236" s="800">
        <v>309.39999999999998</v>
      </c>
    </row>
    <row r="1237" spans="1:4" ht="40.5">
      <c r="A1237" s="798">
        <v>102270</v>
      </c>
      <c r="B1237" s="799" t="s">
        <v>6231</v>
      </c>
      <c r="C1237" s="798" t="s">
        <v>19</v>
      </c>
      <c r="D1237" s="800">
        <v>0.7</v>
      </c>
    </row>
    <row r="1238" spans="1:4" ht="40.5">
      <c r="A1238" s="798">
        <v>102271</v>
      </c>
      <c r="B1238" s="799" t="s">
        <v>6232</v>
      </c>
      <c r="C1238" s="798" t="s">
        <v>19</v>
      </c>
      <c r="D1238" s="800">
        <v>0.08</v>
      </c>
    </row>
    <row r="1239" spans="1:4" ht="40.5">
      <c r="A1239" s="798">
        <v>102272</v>
      </c>
      <c r="B1239" s="799" t="s">
        <v>6233</v>
      </c>
      <c r="C1239" s="798" t="s">
        <v>19</v>
      </c>
      <c r="D1239" s="800">
        <v>0.88</v>
      </c>
    </row>
    <row r="1240" spans="1:4" ht="40.5">
      <c r="A1240" s="798">
        <v>102273</v>
      </c>
      <c r="B1240" s="799" t="s">
        <v>6234</v>
      </c>
      <c r="C1240" s="798" t="s">
        <v>19</v>
      </c>
      <c r="D1240" s="800">
        <v>1.54</v>
      </c>
    </row>
    <row r="1241" spans="1:4" ht="27">
      <c r="A1241" s="798">
        <v>102809</v>
      </c>
      <c r="B1241" s="799" t="s">
        <v>7686</v>
      </c>
      <c r="C1241" s="798" t="s">
        <v>19</v>
      </c>
      <c r="D1241" s="800">
        <v>20.21</v>
      </c>
    </row>
    <row r="1242" spans="1:4" ht="67.5">
      <c r="A1242" s="798">
        <v>102815</v>
      </c>
      <c r="B1242" s="799" t="s">
        <v>7687</v>
      </c>
      <c r="C1242" s="798" t="s">
        <v>19</v>
      </c>
      <c r="D1242" s="800">
        <v>3.09</v>
      </c>
    </row>
    <row r="1243" spans="1:4" ht="40.5">
      <c r="A1243" s="798">
        <v>102826</v>
      </c>
      <c r="B1243" s="799" t="s">
        <v>7688</v>
      </c>
      <c r="C1243" s="798" t="s">
        <v>19</v>
      </c>
      <c r="D1243" s="800">
        <v>5.8</v>
      </c>
    </row>
    <row r="1244" spans="1:4" ht="40.5">
      <c r="A1244" s="798">
        <v>102832</v>
      </c>
      <c r="B1244" s="799" t="s">
        <v>7689</v>
      </c>
      <c r="C1244" s="798" t="s">
        <v>19</v>
      </c>
      <c r="D1244" s="800">
        <v>7.73</v>
      </c>
    </row>
    <row r="1245" spans="1:4" ht="40.5">
      <c r="A1245" s="798">
        <v>102843</v>
      </c>
      <c r="B1245" s="799" t="s">
        <v>7690</v>
      </c>
      <c r="C1245" s="798" t="s">
        <v>19</v>
      </c>
      <c r="D1245" s="800">
        <v>132.97</v>
      </c>
    </row>
    <row r="1246" spans="1:4" ht="40.5">
      <c r="A1246" s="798">
        <v>102849</v>
      </c>
      <c r="B1246" s="799" t="s">
        <v>7691</v>
      </c>
      <c r="C1246" s="798" t="s">
        <v>19</v>
      </c>
      <c r="D1246" s="800">
        <v>65.010000000000005</v>
      </c>
    </row>
    <row r="1247" spans="1:4" ht="40.5">
      <c r="A1247" s="798">
        <v>102855</v>
      </c>
      <c r="B1247" s="799" t="s">
        <v>7692</v>
      </c>
      <c r="C1247" s="798" t="s">
        <v>19</v>
      </c>
      <c r="D1247" s="800">
        <v>65.010000000000005</v>
      </c>
    </row>
    <row r="1248" spans="1:4" ht="40.5">
      <c r="A1248" s="798">
        <v>102861</v>
      </c>
      <c r="B1248" s="799" t="s">
        <v>7693</v>
      </c>
      <c r="C1248" s="798" t="s">
        <v>19</v>
      </c>
      <c r="D1248" s="800">
        <v>1.1299999999999999</v>
      </c>
    </row>
    <row r="1249" spans="1:4" ht="40.5">
      <c r="A1249" s="798">
        <v>102867</v>
      </c>
      <c r="B1249" s="799" t="s">
        <v>7694</v>
      </c>
      <c r="C1249" s="798" t="s">
        <v>19</v>
      </c>
      <c r="D1249" s="800">
        <v>0.61</v>
      </c>
    </row>
    <row r="1250" spans="1:4" ht="54">
      <c r="A1250" s="798">
        <v>102873</v>
      </c>
      <c r="B1250" s="799" t="s">
        <v>7695</v>
      </c>
      <c r="C1250" s="798" t="s">
        <v>19</v>
      </c>
      <c r="D1250" s="800">
        <v>118.14</v>
      </c>
    </row>
    <row r="1251" spans="1:4" ht="40.5">
      <c r="A1251" s="798">
        <v>102879</v>
      </c>
      <c r="B1251" s="799" t="s">
        <v>7696</v>
      </c>
      <c r="C1251" s="798" t="s">
        <v>19</v>
      </c>
      <c r="D1251" s="800">
        <v>177.3</v>
      </c>
    </row>
    <row r="1252" spans="1:4" ht="27">
      <c r="A1252" s="798">
        <v>102885</v>
      </c>
      <c r="B1252" s="799" t="s">
        <v>7697</v>
      </c>
      <c r="C1252" s="798" t="s">
        <v>19</v>
      </c>
      <c r="D1252" s="800">
        <v>1.1599999999999999</v>
      </c>
    </row>
    <row r="1253" spans="1:4" ht="27">
      <c r="A1253" s="798">
        <v>102891</v>
      </c>
      <c r="B1253" s="799" t="s">
        <v>7698</v>
      </c>
      <c r="C1253" s="798" t="s">
        <v>19</v>
      </c>
      <c r="D1253" s="800">
        <v>1.1599999999999999</v>
      </c>
    </row>
    <row r="1254" spans="1:4" ht="54">
      <c r="A1254" s="798">
        <v>102897</v>
      </c>
      <c r="B1254" s="799" t="s">
        <v>7699</v>
      </c>
      <c r="C1254" s="798" t="s">
        <v>19</v>
      </c>
      <c r="D1254" s="800">
        <v>88.82</v>
      </c>
    </row>
    <row r="1255" spans="1:4" ht="40.5">
      <c r="A1255" s="798">
        <v>102903</v>
      </c>
      <c r="B1255" s="799" t="s">
        <v>7700</v>
      </c>
      <c r="C1255" s="798" t="s">
        <v>19</v>
      </c>
      <c r="D1255" s="800">
        <v>11.52</v>
      </c>
    </row>
    <row r="1256" spans="1:4" ht="27">
      <c r="A1256" s="798">
        <v>102909</v>
      </c>
      <c r="B1256" s="799" t="s">
        <v>7701</v>
      </c>
      <c r="C1256" s="798" t="s">
        <v>19</v>
      </c>
      <c r="D1256" s="800">
        <v>88.95</v>
      </c>
    </row>
    <row r="1257" spans="1:4" ht="27">
      <c r="A1257" s="798">
        <v>102915</v>
      </c>
      <c r="B1257" s="799" t="s">
        <v>7702</v>
      </c>
      <c r="C1257" s="798" t="s">
        <v>19</v>
      </c>
      <c r="D1257" s="800">
        <v>0.56999999999999995</v>
      </c>
    </row>
    <row r="1258" spans="1:4" ht="54">
      <c r="A1258" s="798">
        <v>102927</v>
      </c>
      <c r="B1258" s="799" t="s">
        <v>7703</v>
      </c>
      <c r="C1258" s="798" t="s">
        <v>19</v>
      </c>
      <c r="D1258" s="800">
        <v>0.85</v>
      </c>
    </row>
    <row r="1259" spans="1:4" ht="67.5">
      <c r="A1259" s="798">
        <v>102933</v>
      </c>
      <c r="B1259" s="799" t="s">
        <v>7704</v>
      </c>
      <c r="C1259" s="798" t="s">
        <v>19</v>
      </c>
      <c r="D1259" s="800">
        <v>0.85</v>
      </c>
    </row>
    <row r="1260" spans="1:4" ht="27">
      <c r="A1260" s="798">
        <v>102939</v>
      </c>
      <c r="B1260" s="799" t="s">
        <v>7705</v>
      </c>
      <c r="C1260" s="798" t="s">
        <v>19</v>
      </c>
      <c r="D1260" s="800">
        <v>8.5</v>
      </c>
    </row>
    <row r="1261" spans="1:4" ht="54">
      <c r="A1261" s="798">
        <v>102945</v>
      </c>
      <c r="B1261" s="799" t="s">
        <v>7706</v>
      </c>
      <c r="C1261" s="798" t="s">
        <v>19</v>
      </c>
      <c r="D1261" s="800">
        <v>0.01</v>
      </c>
    </row>
    <row r="1262" spans="1:4" ht="40.5">
      <c r="A1262" s="798">
        <v>102951</v>
      </c>
      <c r="B1262" s="799" t="s">
        <v>7707</v>
      </c>
      <c r="C1262" s="798" t="s">
        <v>19</v>
      </c>
      <c r="D1262" s="800">
        <v>0.56999999999999995</v>
      </c>
    </row>
    <row r="1263" spans="1:4" ht="54">
      <c r="A1263" s="798">
        <v>102957</v>
      </c>
      <c r="B1263" s="799" t="s">
        <v>7708</v>
      </c>
      <c r="C1263" s="798" t="s">
        <v>19</v>
      </c>
      <c r="D1263" s="800">
        <v>50.41</v>
      </c>
    </row>
    <row r="1264" spans="1:4" ht="54">
      <c r="A1264" s="798">
        <v>102963</v>
      </c>
      <c r="B1264" s="799" t="s">
        <v>7709</v>
      </c>
      <c r="C1264" s="798" t="s">
        <v>19</v>
      </c>
      <c r="D1264" s="800">
        <v>83.74</v>
      </c>
    </row>
    <row r="1265" spans="1:4" ht="54">
      <c r="A1265" s="798">
        <v>102969</v>
      </c>
      <c r="B1265" s="799" t="s">
        <v>7710</v>
      </c>
      <c r="C1265" s="798" t="s">
        <v>19</v>
      </c>
      <c r="D1265" s="800">
        <v>1.1499999999999999</v>
      </c>
    </row>
    <row r="1266" spans="1:4" ht="40.5">
      <c r="A1266" s="798">
        <v>102985</v>
      </c>
      <c r="B1266" s="799" t="s">
        <v>7711</v>
      </c>
      <c r="C1266" s="798" t="s">
        <v>19</v>
      </c>
      <c r="D1266" s="800">
        <v>3.3</v>
      </c>
    </row>
    <row r="1267" spans="1:4" ht="54">
      <c r="A1267" s="798">
        <v>103156</v>
      </c>
      <c r="B1267" s="799" t="s">
        <v>7712</v>
      </c>
      <c r="C1267" s="798" t="s">
        <v>19</v>
      </c>
      <c r="D1267" s="800">
        <v>2.16</v>
      </c>
    </row>
    <row r="1268" spans="1:4" ht="54">
      <c r="A1268" s="798">
        <v>103162</v>
      </c>
      <c r="B1268" s="799" t="s">
        <v>7713</v>
      </c>
      <c r="C1268" s="798" t="s">
        <v>19</v>
      </c>
      <c r="D1268" s="800">
        <v>2.71</v>
      </c>
    </row>
    <row r="1269" spans="1:4" ht="54">
      <c r="A1269" s="798">
        <v>103168</v>
      </c>
      <c r="B1269" s="799" t="s">
        <v>7714</v>
      </c>
      <c r="C1269" s="798" t="s">
        <v>19</v>
      </c>
      <c r="D1269" s="800">
        <v>3.09</v>
      </c>
    </row>
    <row r="1270" spans="1:4" ht="54">
      <c r="A1270" s="798">
        <v>103174</v>
      </c>
      <c r="B1270" s="799" t="s">
        <v>7715</v>
      </c>
      <c r="C1270" s="798" t="s">
        <v>19</v>
      </c>
      <c r="D1270" s="800">
        <v>7.73</v>
      </c>
    </row>
    <row r="1271" spans="1:4" ht="54">
      <c r="A1271" s="798">
        <v>103180</v>
      </c>
      <c r="B1271" s="799" t="s">
        <v>7716</v>
      </c>
      <c r="C1271" s="798" t="s">
        <v>19</v>
      </c>
      <c r="D1271" s="800">
        <v>17.79</v>
      </c>
    </row>
    <row r="1272" spans="1:4" ht="54">
      <c r="A1272" s="798">
        <v>103223</v>
      </c>
      <c r="B1272" s="799" t="s">
        <v>7717</v>
      </c>
      <c r="C1272" s="798" t="s">
        <v>19</v>
      </c>
      <c r="D1272" s="800">
        <v>34.630000000000003</v>
      </c>
    </row>
    <row r="1273" spans="1:4" ht="54">
      <c r="A1273" s="798">
        <v>103229</v>
      </c>
      <c r="B1273" s="799" t="s">
        <v>7718</v>
      </c>
      <c r="C1273" s="798" t="s">
        <v>19</v>
      </c>
      <c r="D1273" s="800">
        <v>85.99</v>
      </c>
    </row>
    <row r="1274" spans="1:4" ht="54">
      <c r="A1274" s="798">
        <v>103235</v>
      </c>
      <c r="B1274" s="799" t="s">
        <v>7719</v>
      </c>
      <c r="C1274" s="798" t="s">
        <v>19</v>
      </c>
      <c r="D1274" s="800">
        <v>152.12</v>
      </c>
    </row>
    <row r="1275" spans="1:4" ht="54">
      <c r="A1275" s="798">
        <v>103241</v>
      </c>
      <c r="B1275" s="799" t="s">
        <v>7720</v>
      </c>
      <c r="C1275" s="798" t="s">
        <v>19</v>
      </c>
      <c r="D1275" s="800">
        <v>8.24</v>
      </c>
    </row>
    <row r="1276" spans="1:4" ht="27">
      <c r="A1276" s="798">
        <v>103660</v>
      </c>
      <c r="B1276" s="799" t="s">
        <v>13419</v>
      </c>
      <c r="C1276" s="798" t="s">
        <v>19</v>
      </c>
      <c r="D1276" s="800">
        <v>9.6300000000000008</v>
      </c>
    </row>
    <row r="1277" spans="1:4" ht="27">
      <c r="A1277" s="798">
        <v>103666</v>
      </c>
      <c r="B1277" s="799" t="s">
        <v>13420</v>
      </c>
      <c r="C1277" s="798" t="s">
        <v>19</v>
      </c>
      <c r="D1277" s="800">
        <v>91.72</v>
      </c>
    </row>
    <row r="1278" spans="1:4" ht="54">
      <c r="A1278" s="798">
        <v>92259</v>
      </c>
      <c r="B1278" s="799" t="s">
        <v>3593</v>
      </c>
      <c r="C1278" s="798" t="s">
        <v>24</v>
      </c>
      <c r="D1278" s="800">
        <v>366.72</v>
      </c>
    </row>
    <row r="1279" spans="1:4" ht="54">
      <c r="A1279" s="798">
        <v>92260</v>
      </c>
      <c r="B1279" s="799" t="s">
        <v>3594</v>
      </c>
      <c r="C1279" s="798" t="s">
        <v>24</v>
      </c>
      <c r="D1279" s="800">
        <v>411.33</v>
      </c>
    </row>
    <row r="1280" spans="1:4" ht="54">
      <c r="A1280" s="798">
        <v>92261</v>
      </c>
      <c r="B1280" s="799" t="s">
        <v>3595</v>
      </c>
      <c r="C1280" s="798" t="s">
        <v>24</v>
      </c>
      <c r="D1280" s="800">
        <v>454.56</v>
      </c>
    </row>
    <row r="1281" spans="1:4" ht="54">
      <c r="A1281" s="798">
        <v>92262</v>
      </c>
      <c r="B1281" s="799" t="s">
        <v>3596</v>
      </c>
      <c r="C1281" s="798" t="s">
        <v>24</v>
      </c>
      <c r="D1281" s="800">
        <v>524.17999999999995</v>
      </c>
    </row>
    <row r="1282" spans="1:4" ht="54">
      <c r="A1282" s="798">
        <v>92539</v>
      </c>
      <c r="B1282" s="799" t="s">
        <v>3597</v>
      </c>
      <c r="C1282" s="798" t="s">
        <v>32</v>
      </c>
      <c r="D1282" s="800">
        <v>59.85</v>
      </c>
    </row>
    <row r="1283" spans="1:4" ht="54">
      <c r="A1283" s="798">
        <v>92540</v>
      </c>
      <c r="B1283" s="799" t="s">
        <v>3598</v>
      </c>
      <c r="C1283" s="798" t="s">
        <v>32</v>
      </c>
      <c r="D1283" s="800">
        <v>66.56</v>
      </c>
    </row>
    <row r="1284" spans="1:4" ht="40.5">
      <c r="A1284" s="798">
        <v>92541</v>
      </c>
      <c r="B1284" s="799" t="s">
        <v>3599</v>
      </c>
      <c r="C1284" s="798" t="s">
        <v>32</v>
      </c>
      <c r="D1284" s="800">
        <v>64.56</v>
      </c>
    </row>
    <row r="1285" spans="1:4" ht="40.5">
      <c r="A1285" s="798">
        <v>92542</v>
      </c>
      <c r="B1285" s="799" t="s">
        <v>3600</v>
      </c>
      <c r="C1285" s="798" t="s">
        <v>32</v>
      </c>
      <c r="D1285" s="800">
        <v>77.73</v>
      </c>
    </row>
    <row r="1286" spans="1:4" ht="54">
      <c r="A1286" s="798">
        <v>92543</v>
      </c>
      <c r="B1286" s="799" t="s">
        <v>3601</v>
      </c>
      <c r="C1286" s="798" t="s">
        <v>32</v>
      </c>
      <c r="D1286" s="800">
        <v>18.02</v>
      </c>
    </row>
    <row r="1287" spans="1:4" ht="40.5">
      <c r="A1287" s="798">
        <v>92544</v>
      </c>
      <c r="B1287" s="799" t="s">
        <v>3602</v>
      </c>
      <c r="C1287" s="798" t="s">
        <v>32</v>
      </c>
      <c r="D1287" s="800">
        <v>14.31</v>
      </c>
    </row>
    <row r="1288" spans="1:4" ht="40.5">
      <c r="A1288" s="798">
        <v>92545</v>
      </c>
      <c r="B1288" s="799" t="s">
        <v>3603</v>
      </c>
      <c r="C1288" s="798" t="s">
        <v>24</v>
      </c>
      <c r="D1288" s="800">
        <v>794.07</v>
      </c>
    </row>
    <row r="1289" spans="1:4" ht="40.5">
      <c r="A1289" s="798">
        <v>92546</v>
      </c>
      <c r="B1289" s="799" t="s">
        <v>3604</v>
      </c>
      <c r="C1289" s="798" t="s">
        <v>24</v>
      </c>
      <c r="D1289" s="800">
        <v>969.56</v>
      </c>
    </row>
    <row r="1290" spans="1:4" ht="40.5">
      <c r="A1290" s="798">
        <v>92547</v>
      </c>
      <c r="B1290" s="799" t="s">
        <v>3605</v>
      </c>
      <c r="C1290" s="798" t="s">
        <v>24</v>
      </c>
      <c r="D1290" s="800">
        <v>1028.3499999999999</v>
      </c>
    </row>
    <row r="1291" spans="1:4" ht="40.5">
      <c r="A1291" s="798">
        <v>92548</v>
      </c>
      <c r="B1291" s="799" t="s">
        <v>3606</v>
      </c>
      <c r="C1291" s="798" t="s">
        <v>24</v>
      </c>
      <c r="D1291" s="800">
        <v>1142.74</v>
      </c>
    </row>
    <row r="1292" spans="1:4" ht="40.5">
      <c r="A1292" s="798">
        <v>92549</v>
      </c>
      <c r="B1292" s="799" t="s">
        <v>3607</v>
      </c>
      <c r="C1292" s="798" t="s">
        <v>24</v>
      </c>
      <c r="D1292" s="800">
        <v>1415.58</v>
      </c>
    </row>
    <row r="1293" spans="1:4" ht="40.5">
      <c r="A1293" s="798">
        <v>92550</v>
      </c>
      <c r="B1293" s="799" t="s">
        <v>3608</v>
      </c>
      <c r="C1293" s="798" t="s">
        <v>24</v>
      </c>
      <c r="D1293" s="800">
        <v>1808.31</v>
      </c>
    </row>
    <row r="1294" spans="1:4" ht="40.5">
      <c r="A1294" s="798">
        <v>92551</v>
      </c>
      <c r="B1294" s="799" t="s">
        <v>3609</v>
      </c>
      <c r="C1294" s="798" t="s">
        <v>24</v>
      </c>
      <c r="D1294" s="800">
        <v>1883.41</v>
      </c>
    </row>
    <row r="1295" spans="1:4" ht="40.5">
      <c r="A1295" s="798">
        <v>92552</v>
      </c>
      <c r="B1295" s="799" t="s">
        <v>3610</v>
      </c>
      <c r="C1295" s="798" t="s">
        <v>24</v>
      </c>
      <c r="D1295" s="800">
        <v>2039.14</v>
      </c>
    </row>
    <row r="1296" spans="1:4" ht="40.5">
      <c r="A1296" s="798">
        <v>92553</v>
      </c>
      <c r="B1296" s="799" t="s">
        <v>3611</v>
      </c>
      <c r="C1296" s="798" t="s">
        <v>24</v>
      </c>
      <c r="D1296" s="800">
        <v>2322.23</v>
      </c>
    </row>
    <row r="1297" spans="1:4" ht="40.5">
      <c r="A1297" s="798">
        <v>92554</v>
      </c>
      <c r="B1297" s="799" t="s">
        <v>3612</v>
      </c>
      <c r="C1297" s="798" t="s">
        <v>24</v>
      </c>
      <c r="D1297" s="800">
        <v>2408.16</v>
      </c>
    </row>
    <row r="1298" spans="1:4" ht="54">
      <c r="A1298" s="798">
        <v>92555</v>
      </c>
      <c r="B1298" s="799" t="s">
        <v>3613</v>
      </c>
      <c r="C1298" s="798" t="s">
        <v>24</v>
      </c>
      <c r="D1298" s="800">
        <v>783.08</v>
      </c>
    </row>
    <row r="1299" spans="1:4" ht="54">
      <c r="A1299" s="798">
        <v>92556</v>
      </c>
      <c r="B1299" s="799" t="s">
        <v>3614</v>
      </c>
      <c r="C1299" s="798" t="s">
        <v>24</v>
      </c>
      <c r="D1299" s="800">
        <v>950.3</v>
      </c>
    </row>
    <row r="1300" spans="1:4" ht="54">
      <c r="A1300" s="798">
        <v>92557</v>
      </c>
      <c r="B1300" s="799" t="s">
        <v>3615</v>
      </c>
      <c r="C1300" s="798" t="s">
        <v>24</v>
      </c>
      <c r="D1300" s="800">
        <v>1009.08</v>
      </c>
    </row>
    <row r="1301" spans="1:4" ht="54">
      <c r="A1301" s="798">
        <v>92558</v>
      </c>
      <c r="B1301" s="799" t="s">
        <v>3616</v>
      </c>
      <c r="C1301" s="798" t="s">
        <v>24</v>
      </c>
      <c r="D1301" s="800">
        <v>1131.74</v>
      </c>
    </row>
    <row r="1302" spans="1:4" ht="54">
      <c r="A1302" s="798">
        <v>92559</v>
      </c>
      <c r="B1302" s="799" t="s">
        <v>3617</v>
      </c>
      <c r="C1302" s="798" t="s">
        <v>24</v>
      </c>
      <c r="D1302" s="800">
        <v>1395.1</v>
      </c>
    </row>
    <row r="1303" spans="1:4" ht="54">
      <c r="A1303" s="798">
        <v>92560</v>
      </c>
      <c r="B1303" s="799" t="s">
        <v>3618</v>
      </c>
      <c r="C1303" s="798" t="s">
        <v>24</v>
      </c>
      <c r="D1303" s="800">
        <v>1780.42</v>
      </c>
    </row>
    <row r="1304" spans="1:4" ht="54">
      <c r="A1304" s="798">
        <v>92561</v>
      </c>
      <c r="B1304" s="799" t="s">
        <v>3619</v>
      </c>
      <c r="C1304" s="798" t="s">
        <v>24</v>
      </c>
      <c r="D1304" s="800">
        <v>1856.27</v>
      </c>
    </row>
    <row r="1305" spans="1:4" ht="54">
      <c r="A1305" s="798">
        <v>92562</v>
      </c>
      <c r="B1305" s="799" t="s">
        <v>3620</v>
      </c>
      <c r="C1305" s="798" t="s">
        <v>24</v>
      </c>
      <c r="D1305" s="800">
        <v>1992.74</v>
      </c>
    </row>
    <row r="1306" spans="1:4" ht="54">
      <c r="A1306" s="798">
        <v>92563</v>
      </c>
      <c r="B1306" s="799" t="s">
        <v>3621</v>
      </c>
      <c r="C1306" s="798" t="s">
        <v>24</v>
      </c>
      <c r="D1306" s="800">
        <v>2267.9699999999998</v>
      </c>
    </row>
    <row r="1307" spans="1:4" ht="54">
      <c r="A1307" s="798">
        <v>92564</v>
      </c>
      <c r="B1307" s="799" t="s">
        <v>3622</v>
      </c>
      <c r="C1307" s="798" t="s">
        <v>24</v>
      </c>
      <c r="D1307" s="800">
        <v>2341.6999999999998</v>
      </c>
    </row>
    <row r="1308" spans="1:4" ht="54">
      <c r="A1308" s="798">
        <v>92565</v>
      </c>
      <c r="B1308" s="799" t="s">
        <v>1979</v>
      </c>
      <c r="C1308" s="798" t="s">
        <v>32</v>
      </c>
      <c r="D1308" s="800">
        <v>30.82</v>
      </c>
    </row>
    <row r="1309" spans="1:4" ht="67.5">
      <c r="A1309" s="798">
        <v>92566</v>
      </c>
      <c r="B1309" s="799" t="s">
        <v>1980</v>
      </c>
      <c r="C1309" s="798" t="s">
        <v>32</v>
      </c>
      <c r="D1309" s="800">
        <v>19.07</v>
      </c>
    </row>
    <row r="1310" spans="1:4" ht="54">
      <c r="A1310" s="798">
        <v>92567</v>
      </c>
      <c r="B1310" s="799" t="s">
        <v>1981</v>
      </c>
      <c r="C1310" s="798" t="s">
        <v>32</v>
      </c>
      <c r="D1310" s="800">
        <v>28.02</v>
      </c>
    </row>
    <row r="1311" spans="1:4" ht="54">
      <c r="A1311" s="798">
        <v>100379</v>
      </c>
      <c r="B1311" s="799" t="s">
        <v>3623</v>
      </c>
      <c r="C1311" s="798" t="s">
        <v>32</v>
      </c>
      <c r="D1311" s="800">
        <v>30.82</v>
      </c>
    </row>
    <row r="1312" spans="1:4" ht="67.5">
      <c r="A1312" s="798">
        <v>100380</v>
      </c>
      <c r="B1312" s="799" t="s">
        <v>3624</v>
      </c>
      <c r="C1312" s="798" t="s">
        <v>32</v>
      </c>
      <c r="D1312" s="800">
        <v>39.96</v>
      </c>
    </row>
    <row r="1313" spans="1:4" ht="54">
      <c r="A1313" s="798">
        <v>100381</v>
      </c>
      <c r="B1313" s="799" t="s">
        <v>3625</v>
      </c>
      <c r="C1313" s="798" t="s">
        <v>32</v>
      </c>
      <c r="D1313" s="800">
        <v>44.11</v>
      </c>
    </row>
    <row r="1314" spans="1:4" ht="67.5">
      <c r="A1314" s="798">
        <v>100383</v>
      </c>
      <c r="B1314" s="799" t="s">
        <v>3626</v>
      </c>
      <c r="C1314" s="798" t="s">
        <v>32</v>
      </c>
      <c r="D1314" s="800">
        <v>20.75</v>
      </c>
    </row>
    <row r="1315" spans="1:4" ht="67.5">
      <c r="A1315" s="798">
        <v>100384</v>
      </c>
      <c r="B1315" s="799" t="s">
        <v>3627</v>
      </c>
      <c r="C1315" s="798" t="s">
        <v>32</v>
      </c>
      <c r="D1315" s="800">
        <v>21.45</v>
      </c>
    </row>
    <row r="1316" spans="1:4" ht="54">
      <c r="A1316" s="798">
        <v>100385</v>
      </c>
      <c r="B1316" s="799" t="s">
        <v>3628</v>
      </c>
      <c r="C1316" s="798" t="s">
        <v>32</v>
      </c>
      <c r="D1316" s="800">
        <v>28.02</v>
      </c>
    </row>
    <row r="1317" spans="1:4" ht="54">
      <c r="A1317" s="798">
        <v>100386</v>
      </c>
      <c r="B1317" s="799" t="s">
        <v>3629</v>
      </c>
      <c r="C1317" s="798" t="s">
        <v>32</v>
      </c>
      <c r="D1317" s="800">
        <v>35.42</v>
      </c>
    </row>
    <row r="1318" spans="1:4" ht="67.5">
      <c r="A1318" s="798">
        <v>100387</v>
      </c>
      <c r="B1318" s="799" t="s">
        <v>3630</v>
      </c>
      <c r="C1318" s="798" t="s">
        <v>32</v>
      </c>
      <c r="D1318" s="800">
        <v>42.49</v>
      </c>
    </row>
    <row r="1319" spans="1:4" ht="40.5">
      <c r="A1319" s="798">
        <v>100388</v>
      </c>
      <c r="B1319" s="799" t="s">
        <v>3631</v>
      </c>
      <c r="C1319" s="798" t="s">
        <v>32</v>
      </c>
      <c r="D1319" s="800">
        <v>14.53</v>
      </c>
    </row>
    <row r="1320" spans="1:4" ht="40.5">
      <c r="A1320" s="798">
        <v>100389</v>
      </c>
      <c r="B1320" s="799" t="s">
        <v>3632</v>
      </c>
      <c r="C1320" s="798" t="s">
        <v>32</v>
      </c>
      <c r="D1320" s="800">
        <v>13.03</v>
      </c>
    </row>
    <row r="1321" spans="1:4" ht="40.5">
      <c r="A1321" s="798">
        <v>100390</v>
      </c>
      <c r="B1321" s="799" t="s">
        <v>3633</v>
      </c>
      <c r="C1321" s="798" t="s">
        <v>32</v>
      </c>
      <c r="D1321" s="800">
        <v>17.18</v>
      </c>
    </row>
    <row r="1322" spans="1:4" ht="40.5">
      <c r="A1322" s="798">
        <v>100391</v>
      </c>
      <c r="B1322" s="799" t="s">
        <v>3634</v>
      </c>
      <c r="C1322" s="798" t="s">
        <v>32</v>
      </c>
      <c r="D1322" s="800">
        <v>14.85</v>
      </c>
    </row>
    <row r="1323" spans="1:4" ht="40.5">
      <c r="A1323" s="798">
        <v>100392</v>
      </c>
      <c r="B1323" s="799" t="s">
        <v>3635</v>
      </c>
      <c r="C1323" s="798" t="s">
        <v>32</v>
      </c>
      <c r="D1323" s="800">
        <v>11.52</v>
      </c>
    </row>
    <row r="1324" spans="1:4" ht="40.5">
      <c r="A1324" s="798">
        <v>100393</v>
      </c>
      <c r="B1324" s="799" t="s">
        <v>3636</v>
      </c>
      <c r="C1324" s="798" t="s">
        <v>32</v>
      </c>
      <c r="D1324" s="800">
        <v>14.97</v>
      </c>
    </row>
    <row r="1325" spans="1:4" ht="40.5">
      <c r="A1325" s="798">
        <v>100394</v>
      </c>
      <c r="B1325" s="799" t="s">
        <v>3637</v>
      </c>
      <c r="C1325" s="798" t="s">
        <v>32</v>
      </c>
      <c r="D1325" s="800">
        <v>13.6</v>
      </c>
    </row>
    <row r="1326" spans="1:4" ht="40.5">
      <c r="A1326" s="798">
        <v>100395</v>
      </c>
      <c r="B1326" s="799" t="s">
        <v>3638</v>
      </c>
      <c r="C1326" s="798" t="s">
        <v>32</v>
      </c>
      <c r="D1326" s="800">
        <v>17.61</v>
      </c>
    </row>
    <row r="1327" spans="1:4" ht="27">
      <c r="A1327" s="798">
        <v>94189</v>
      </c>
      <c r="B1327" s="799" t="s">
        <v>3639</v>
      </c>
      <c r="C1327" s="798" t="s">
        <v>32</v>
      </c>
      <c r="D1327" s="800">
        <v>35.76</v>
      </c>
    </row>
    <row r="1328" spans="1:4" ht="27">
      <c r="A1328" s="798">
        <v>94192</v>
      </c>
      <c r="B1328" s="799" t="s">
        <v>3640</v>
      </c>
      <c r="C1328" s="798" t="s">
        <v>32</v>
      </c>
      <c r="D1328" s="800">
        <v>37.58</v>
      </c>
    </row>
    <row r="1329" spans="1:4" ht="40.5">
      <c r="A1329" s="798">
        <v>94195</v>
      </c>
      <c r="B1329" s="799" t="s">
        <v>3641</v>
      </c>
      <c r="C1329" s="798" t="s">
        <v>32</v>
      </c>
      <c r="D1329" s="800">
        <v>42.02</v>
      </c>
    </row>
    <row r="1330" spans="1:4" ht="40.5">
      <c r="A1330" s="798">
        <v>94198</v>
      </c>
      <c r="B1330" s="799" t="s">
        <v>3642</v>
      </c>
      <c r="C1330" s="798" t="s">
        <v>32</v>
      </c>
      <c r="D1330" s="800">
        <v>44.42</v>
      </c>
    </row>
    <row r="1331" spans="1:4" ht="40.5">
      <c r="A1331" s="798">
        <v>94201</v>
      </c>
      <c r="B1331" s="799" t="s">
        <v>3643</v>
      </c>
      <c r="C1331" s="798" t="s">
        <v>32</v>
      </c>
      <c r="D1331" s="800">
        <v>59</v>
      </c>
    </row>
    <row r="1332" spans="1:4" ht="40.5">
      <c r="A1332" s="798">
        <v>94204</v>
      </c>
      <c r="B1332" s="799" t="s">
        <v>3644</v>
      </c>
      <c r="C1332" s="798" t="s">
        <v>32</v>
      </c>
      <c r="D1332" s="800">
        <v>63.08</v>
      </c>
    </row>
    <row r="1333" spans="1:4" ht="27">
      <c r="A1333" s="798">
        <v>94224</v>
      </c>
      <c r="B1333" s="799" t="s">
        <v>3645</v>
      </c>
      <c r="C1333" s="798" t="s">
        <v>14</v>
      </c>
      <c r="D1333" s="800">
        <v>18.62</v>
      </c>
    </row>
    <row r="1334" spans="1:4" ht="40.5">
      <c r="A1334" s="798">
        <v>94226</v>
      </c>
      <c r="B1334" s="799" t="s">
        <v>3646</v>
      </c>
      <c r="C1334" s="798" t="s">
        <v>32</v>
      </c>
      <c r="D1334" s="800">
        <v>17.920000000000002</v>
      </c>
    </row>
    <row r="1335" spans="1:4" ht="27">
      <c r="A1335" s="798">
        <v>94232</v>
      </c>
      <c r="B1335" s="799" t="s">
        <v>3647</v>
      </c>
      <c r="C1335" s="798" t="s">
        <v>24</v>
      </c>
      <c r="D1335" s="800">
        <v>2.0099999999999998</v>
      </c>
    </row>
    <row r="1336" spans="1:4" ht="40.5">
      <c r="A1336" s="798">
        <v>94440</v>
      </c>
      <c r="B1336" s="799" t="s">
        <v>3648</v>
      </c>
      <c r="C1336" s="798" t="s">
        <v>32</v>
      </c>
      <c r="D1336" s="800">
        <v>42.02</v>
      </c>
    </row>
    <row r="1337" spans="1:4" ht="40.5">
      <c r="A1337" s="798">
        <v>94441</v>
      </c>
      <c r="B1337" s="799" t="s">
        <v>3649</v>
      </c>
      <c r="C1337" s="798" t="s">
        <v>32</v>
      </c>
      <c r="D1337" s="800">
        <v>44.42</v>
      </c>
    </row>
    <row r="1338" spans="1:4" ht="40.5">
      <c r="A1338" s="798">
        <v>94442</v>
      </c>
      <c r="B1338" s="799" t="s">
        <v>3650</v>
      </c>
      <c r="C1338" s="798" t="s">
        <v>32</v>
      </c>
      <c r="D1338" s="800">
        <v>42.02</v>
      </c>
    </row>
    <row r="1339" spans="1:4" ht="40.5">
      <c r="A1339" s="798">
        <v>94443</v>
      </c>
      <c r="B1339" s="799" t="s">
        <v>3651</v>
      </c>
      <c r="C1339" s="798" t="s">
        <v>32</v>
      </c>
      <c r="D1339" s="800">
        <v>44.42</v>
      </c>
    </row>
    <row r="1340" spans="1:4" ht="40.5">
      <c r="A1340" s="798">
        <v>94445</v>
      </c>
      <c r="B1340" s="799" t="s">
        <v>3652</v>
      </c>
      <c r="C1340" s="798" t="s">
        <v>32</v>
      </c>
      <c r="D1340" s="800">
        <v>59</v>
      </c>
    </row>
    <row r="1341" spans="1:4" ht="40.5">
      <c r="A1341" s="798">
        <v>94446</v>
      </c>
      <c r="B1341" s="799" t="s">
        <v>3653</v>
      </c>
      <c r="C1341" s="798" t="s">
        <v>32</v>
      </c>
      <c r="D1341" s="800">
        <v>63.08</v>
      </c>
    </row>
    <row r="1342" spans="1:4" ht="40.5">
      <c r="A1342" s="798">
        <v>94447</v>
      </c>
      <c r="B1342" s="799" t="s">
        <v>3654</v>
      </c>
      <c r="C1342" s="798" t="s">
        <v>32</v>
      </c>
      <c r="D1342" s="800">
        <v>59</v>
      </c>
    </row>
    <row r="1343" spans="1:4" ht="40.5">
      <c r="A1343" s="798">
        <v>94448</v>
      </c>
      <c r="B1343" s="799" t="s">
        <v>3655</v>
      </c>
      <c r="C1343" s="798" t="s">
        <v>32</v>
      </c>
      <c r="D1343" s="800">
        <v>63.08</v>
      </c>
    </row>
    <row r="1344" spans="1:4" ht="54">
      <c r="A1344" s="798">
        <v>94207</v>
      </c>
      <c r="B1344" s="799" t="s">
        <v>3656</v>
      </c>
      <c r="C1344" s="798" t="s">
        <v>32</v>
      </c>
      <c r="D1344" s="800">
        <v>47.85</v>
      </c>
    </row>
    <row r="1345" spans="1:4" ht="54">
      <c r="A1345" s="798">
        <v>94210</v>
      </c>
      <c r="B1345" s="799" t="s">
        <v>3657</v>
      </c>
      <c r="C1345" s="798" t="s">
        <v>32</v>
      </c>
      <c r="D1345" s="800">
        <v>50.77</v>
      </c>
    </row>
    <row r="1346" spans="1:4" ht="27">
      <c r="A1346" s="798">
        <v>94218</v>
      </c>
      <c r="B1346" s="799" t="s">
        <v>6235</v>
      </c>
      <c r="C1346" s="798" t="s">
        <v>32</v>
      </c>
      <c r="D1346" s="800">
        <v>128.41</v>
      </c>
    </row>
    <row r="1347" spans="1:4" ht="27">
      <c r="A1347" s="798">
        <v>94213</v>
      </c>
      <c r="B1347" s="799" t="s">
        <v>3658</v>
      </c>
      <c r="C1347" s="798" t="s">
        <v>32</v>
      </c>
      <c r="D1347" s="800">
        <v>73.739999999999995</v>
      </c>
    </row>
    <row r="1348" spans="1:4" ht="27">
      <c r="A1348" s="798">
        <v>94216</v>
      </c>
      <c r="B1348" s="799" t="s">
        <v>3659</v>
      </c>
      <c r="C1348" s="798" t="s">
        <v>32</v>
      </c>
      <c r="D1348" s="800">
        <v>216.07</v>
      </c>
    </row>
    <row r="1349" spans="1:4" ht="54">
      <c r="A1349" s="798">
        <v>94219</v>
      </c>
      <c r="B1349" s="799" t="s">
        <v>3660</v>
      </c>
      <c r="C1349" s="798" t="s">
        <v>14</v>
      </c>
      <c r="D1349" s="800">
        <v>30.05</v>
      </c>
    </row>
    <row r="1350" spans="1:4" ht="54">
      <c r="A1350" s="798">
        <v>94220</v>
      </c>
      <c r="B1350" s="799" t="s">
        <v>3661</v>
      </c>
      <c r="C1350" s="798" t="s">
        <v>14</v>
      </c>
      <c r="D1350" s="800">
        <v>46.46</v>
      </c>
    </row>
    <row r="1351" spans="1:4" ht="40.5">
      <c r="A1351" s="798">
        <v>94221</v>
      </c>
      <c r="B1351" s="799" t="s">
        <v>3662</v>
      </c>
      <c r="C1351" s="798" t="s">
        <v>14</v>
      </c>
      <c r="D1351" s="800">
        <v>25.3</v>
      </c>
    </row>
    <row r="1352" spans="1:4" ht="54">
      <c r="A1352" s="798">
        <v>94222</v>
      </c>
      <c r="B1352" s="799" t="s">
        <v>3663</v>
      </c>
      <c r="C1352" s="798" t="s">
        <v>14</v>
      </c>
      <c r="D1352" s="800">
        <v>41.71</v>
      </c>
    </row>
    <row r="1353" spans="1:4" ht="40.5">
      <c r="A1353" s="798">
        <v>94223</v>
      </c>
      <c r="B1353" s="799" t="s">
        <v>3664</v>
      </c>
      <c r="C1353" s="798" t="s">
        <v>14</v>
      </c>
      <c r="D1353" s="800">
        <v>84.46</v>
      </c>
    </row>
    <row r="1354" spans="1:4" ht="40.5">
      <c r="A1354" s="798">
        <v>94451</v>
      </c>
      <c r="B1354" s="799" t="s">
        <v>3665</v>
      </c>
      <c r="C1354" s="798" t="s">
        <v>14</v>
      </c>
      <c r="D1354" s="800">
        <v>94.57</v>
      </c>
    </row>
    <row r="1355" spans="1:4" ht="40.5">
      <c r="A1355" s="798">
        <v>100325</v>
      </c>
      <c r="B1355" s="799" t="s">
        <v>3666</v>
      </c>
      <c r="C1355" s="798" t="s">
        <v>14</v>
      </c>
      <c r="D1355" s="800">
        <v>92.13</v>
      </c>
    </row>
    <row r="1356" spans="1:4" ht="40.5">
      <c r="A1356" s="798">
        <v>100327</v>
      </c>
      <c r="B1356" s="799" t="s">
        <v>3667</v>
      </c>
      <c r="C1356" s="798" t="s">
        <v>14</v>
      </c>
      <c r="D1356" s="800">
        <v>57.6</v>
      </c>
    </row>
    <row r="1357" spans="1:4" ht="27">
      <c r="A1357" s="798">
        <v>100328</v>
      </c>
      <c r="B1357" s="799" t="s">
        <v>3668</v>
      </c>
      <c r="C1357" s="798" t="s">
        <v>32</v>
      </c>
      <c r="D1357" s="800">
        <v>13.08</v>
      </c>
    </row>
    <row r="1358" spans="1:4" ht="27">
      <c r="A1358" s="798">
        <v>100329</v>
      </c>
      <c r="B1358" s="799" t="s">
        <v>3669</v>
      </c>
      <c r="C1358" s="798" t="s">
        <v>32</v>
      </c>
      <c r="D1358" s="800">
        <v>15.49</v>
      </c>
    </row>
    <row r="1359" spans="1:4" ht="27">
      <c r="A1359" s="798">
        <v>100330</v>
      </c>
      <c r="B1359" s="799" t="s">
        <v>3670</v>
      </c>
      <c r="C1359" s="798" t="s">
        <v>32</v>
      </c>
      <c r="D1359" s="800">
        <v>17.78</v>
      </c>
    </row>
    <row r="1360" spans="1:4" ht="27">
      <c r="A1360" s="798">
        <v>100331</v>
      </c>
      <c r="B1360" s="799" t="s">
        <v>3671</v>
      </c>
      <c r="C1360" s="798" t="s">
        <v>32</v>
      </c>
      <c r="D1360" s="800">
        <v>21.89</v>
      </c>
    </row>
    <row r="1361" spans="1:4" ht="54">
      <c r="A1361" s="798">
        <v>100434</v>
      </c>
      <c r="B1361" s="799" t="s">
        <v>3672</v>
      </c>
      <c r="C1361" s="798" t="s">
        <v>14</v>
      </c>
      <c r="D1361" s="800">
        <v>62.05</v>
      </c>
    </row>
    <row r="1362" spans="1:4" ht="40.5">
      <c r="A1362" s="798">
        <v>100435</v>
      </c>
      <c r="B1362" s="799" t="s">
        <v>3673</v>
      </c>
      <c r="C1362" s="798" t="s">
        <v>14</v>
      </c>
      <c r="D1362" s="800">
        <v>64.33</v>
      </c>
    </row>
    <row r="1363" spans="1:4" ht="40.5">
      <c r="A1363" s="798">
        <v>94227</v>
      </c>
      <c r="B1363" s="799" t="s">
        <v>3674</v>
      </c>
      <c r="C1363" s="798" t="s">
        <v>14</v>
      </c>
      <c r="D1363" s="800">
        <v>65.569999999999993</v>
      </c>
    </row>
    <row r="1364" spans="1:4" ht="40.5">
      <c r="A1364" s="798">
        <v>94228</v>
      </c>
      <c r="B1364" s="799" t="s">
        <v>3675</v>
      </c>
      <c r="C1364" s="798" t="s">
        <v>14</v>
      </c>
      <c r="D1364" s="800">
        <v>88.17</v>
      </c>
    </row>
    <row r="1365" spans="1:4" ht="40.5">
      <c r="A1365" s="798">
        <v>94229</v>
      </c>
      <c r="B1365" s="799" t="s">
        <v>3676</v>
      </c>
      <c r="C1365" s="798" t="s">
        <v>14</v>
      </c>
      <c r="D1365" s="800">
        <v>171.24</v>
      </c>
    </row>
    <row r="1366" spans="1:4" ht="27">
      <c r="A1366" s="798">
        <v>94231</v>
      </c>
      <c r="B1366" s="799" t="s">
        <v>3677</v>
      </c>
      <c r="C1366" s="798" t="s">
        <v>14</v>
      </c>
      <c r="D1366" s="800">
        <v>51.65</v>
      </c>
    </row>
    <row r="1367" spans="1:4" ht="40.5">
      <c r="A1367" s="798">
        <v>94449</v>
      </c>
      <c r="B1367" s="799" t="s">
        <v>3678</v>
      </c>
      <c r="C1367" s="798" t="s">
        <v>32</v>
      </c>
      <c r="D1367" s="800">
        <v>55.31</v>
      </c>
    </row>
    <row r="1368" spans="1:4" ht="40.5">
      <c r="A1368" s="798">
        <v>92255</v>
      </c>
      <c r="B1368" s="799" t="s">
        <v>3679</v>
      </c>
      <c r="C1368" s="798" t="s">
        <v>24</v>
      </c>
      <c r="D1368" s="800">
        <v>141.71</v>
      </c>
    </row>
    <row r="1369" spans="1:4" ht="40.5">
      <c r="A1369" s="798">
        <v>92256</v>
      </c>
      <c r="B1369" s="799" t="s">
        <v>3680</v>
      </c>
      <c r="C1369" s="798" t="s">
        <v>24</v>
      </c>
      <c r="D1369" s="800">
        <v>167.27</v>
      </c>
    </row>
    <row r="1370" spans="1:4" ht="40.5">
      <c r="A1370" s="798">
        <v>92257</v>
      </c>
      <c r="B1370" s="799" t="s">
        <v>3681</v>
      </c>
      <c r="C1370" s="798" t="s">
        <v>24</v>
      </c>
      <c r="D1370" s="800">
        <v>192.66</v>
      </c>
    </row>
    <row r="1371" spans="1:4" ht="40.5">
      <c r="A1371" s="798">
        <v>92258</v>
      </c>
      <c r="B1371" s="799" t="s">
        <v>3682</v>
      </c>
      <c r="C1371" s="798" t="s">
        <v>24</v>
      </c>
      <c r="D1371" s="800">
        <v>233.48</v>
      </c>
    </row>
    <row r="1372" spans="1:4" ht="54">
      <c r="A1372" s="798">
        <v>92568</v>
      </c>
      <c r="B1372" s="799" t="s">
        <v>3683</v>
      </c>
      <c r="C1372" s="798" t="s">
        <v>32</v>
      </c>
      <c r="D1372" s="800">
        <v>148.43</v>
      </c>
    </row>
    <row r="1373" spans="1:4" ht="54">
      <c r="A1373" s="798">
        <v>92569</v>
      </c>
      <c r="B1373" s="799" t="s">
        <v>3684</v>
      </c>
      <c r="C1373" s="798" t="s">
        <v>32</v>
      </c>
      <c r="D1373" s="800">
        <v>83.69</v>
      </c>
    </row>
    <row r="1374" spans="1:4" ht="40.5">
      <c r="A1374" s="798">
        <v>92570</v>
      </c>
      <c r="B1374" s="799" t="s">
        <v>3685</v>
      </c>
      <c r="C1374" s="798" t="s">
        <v>32</v>
      </c>
      <c r="D1374" s="800">
        <v>53.63</v>
      </c>
    </row>
    <row r="1375" spans="1:4" ht="54">
      <c r="A1375" s="798">
        <v>92571</v>
      </c>
      <c r="B1375" s="799" t="s">
        <v>3686</v>
      </c>
      <c r="C1375" s="798" t="s">
        <v>32</v>
      </c>
      <c r="D1375" s="800">
        <v>154.04</v>
      </c>
    </row>
    <row r="1376" spans="1:4" ht="54">
      <c r="A1376" s="798">
        <v>92572</v>
      </c>
      <c r="B1376" s="799" t="s">
        <v>3687</v>
      </c>
      <c r="C1376" s="798" t="s">
        <v>32</v>
      </c>
      <c r="D1376" s="800">
        <v>93.61</v>
      </c>
    </row>
    <row r="1377" spans="1:4" ht="54">
      <c r="A1377" s="798">
        <v>92573</v>
      </c>
      <c r="B1377" s="799" t="s">
        <v>3688</v>
      </c>
      <c r="C1377" s="798" t="s">
        <v>32</v>
      </c>
      <c r="D1377" s="800">
        <v>55.91</v>
      </c>
    </row>
    <row r="1378" spans="1:4" ht="40.5">
      <c r="A1378" s="798">
        <v>92574</v>
      </c>
      <c r="B1378" s="799" t="s">
        <v>3689</v>
      </c>
      <c r="C1378" s="798" t="s">
        <v>32</v>
      </c>
      <c r="D1378" s="800">
        <v>150.36000000000001</v>
      </c>
    </row>
    <row r="1379" spans="1:4" ht="40.5">
      <c r="A1379" s="798">
        <v>92575</v>
      </c>
      <c r="B1379" s="799" t="s">
        <v>3690</v>
      </c>
      <c r="C1379" s="798" t="s">
        <v>32</v>
      </c>
      <c r="D1379" s="800">
        <v>76.349999999999994</v>
      </c>
    </row>
    <row r="1380" spans="1:4" ht="40.5">
      <c r="A1380" s="798">
        <v>92576</v>
      </c>
      <c r="B1380" s="799" t="s">
        <v>3691</v>
      </c>
      <c r="C1380" s="798" t="s">
        <v>32</v>
      </c>
      <c r="D1380" s="800">
        <v>42.34</v>
      </c>
    </row>
    <row r="1381" spans="1:4" ht="40.5">
      <c r="A1381" s="798">
        <v>92577</v>
      </c>
      <c r="B1381" s="799" t="s">
        <v>3692</v>
      </c>
      <c r="C1381" s="798" t="s">
        <v>32</v>
      </c>
      <c r="D1381" s="800">
        <v>156.57</v>
      </c>
    </row>
    <row r="1382" spans="1:4" ht="40.5">
      <c r="A1382" s="798">
        <v>92578</v>
      </c>
      <c r="B1382" s="799" t="s">
        <v>3693</v>
      </c>
      <c r="C1382" s="798" t="s">
        <v>32</v>
      </c>
      <c r="D1382" s="800">
        <v>79.739999999999995</v>
      </c>
    </row>
    <row r="1383" spans="1:4" ht="40.5">
      <c r="A1383" s="798">
        <v>92579</v>
      </c>
      <c r="B1383" s="799" t="s">
        <v>3694</v>
      </c>
      <c r="C1383" s="798" t="s">
        <v>32</v>
      </c>
      <c r="D1383" s="800">
        <v>44.16</v>
      </c>
    </row>
    <row r="1384" spans="1:4" ht="54">
      <c r="A1384" s="798">
        <v>92580</v>
      </c>
      <c r="B1384" s="799" t="s">
        <v>3695</v>
      </c>
      <c r="C1384" s="798" t="s">
        <v>32</v>
      </c>
      <c r="D1384" s="800">
        <v>54.26</v>
      </c>
    </row>
    <row r="1385" spans="1:4" ht="40.5">
      <c r="A1385" s="798">
        <v>92581</v>
      </c>
      <c r="B1385" s="799" t="s">
        <v>3696</v>
      </c>
      <c r="C1385" s="798" t="s">
        <v>32</v>
      </c>
      <c r="D1385" s="800">
        <v>57.16</v>
      </c>
    </row>
    <row r="1386" spans="1:4" ht="40.5">
      <c r="A1386" s="798">
        <v>92582</v>
      </c>
      <c r="B1386" s="799" t="s">
        <v>1982</v>
      </c>
      <c r="C1386" s="798" t="s">
        <v>24</v>
      </c>
      <c r="D1386" s="800">
        <v>749.73</v>
      </c>
    </row>
    <row r="1387" spans="1:4" ht="40.5">
      <c r="A1387" s="798">
        <v>92584</v>
      </c>
      <c r="B1387" s="799" t="s">
        <v>1983</v>
      </c>
      <c r="C1387" s="798" t="s">
        <v>24</v>
      </c>
      <c r="D1387" s="800">
        <v>898.23</v>
      </c>
    </row>
    <row r="1388" spans="1:4" ht="40.5">
      <c r="A1388" s="798">
        <v>92586</v>
      </c>
      <c r="B1388" s="799" t="s">
        <v>1984</v>
      </c>
      <c r="C1388" s="798" t="s">
        <v>24</v>
      </c>
      <c r="D1388" s="800">
        <v>1046.73</v>
      </c>
    </row>
    <row r="1389" spans="1:4" ht="40.5">
      <c r="A1389" s="798">
        <v>92588</v>
      </c>
      <c r="B1389" s="799" t="s">
        <v>1985</v>
      </c>
      <c r="C1389" s="798" t="s">
        <v>24</v>
      </c>
      <c r="D1389" s="800">
        <v>1312.26</v>
      </c>
    </row>
    <row r="1390" spans="1:4" ht="40.5">
      <c r="A1390" s="798">
        <v>92590</v>
      </c>
      <c r="B1390" s="799" t="s">
        <v>1986</v>
      </c>
      <c r="C1390" s="798" t="s">
        <v>24</v>
      </c>
      <c r="D1390" s="800">
        <v>1460.76</v>
      </c>
    </row>
    <row r="1391" spans="1:4" ht="40.5">
      <c r="A1391" s="798">
        <v>92592</v>
      </c>
      <c r="B1391" s="799" t="s">
        <v>1987</v>
      </c>
      <c r="C1391" s="798" t="s">
        <v>24</v>
      </c>
      <c r="D1391" s="800">
        <v>1634.65</v>
      </c>
    </row>
    <row r="1392" spans="1:4" ht="54">
      <c r="A1392" s="798">
        <v>92593</v>
      </c>
      <c r="B1392" s="799" t="s">
        <v>466</v>
      </c>
      <c r="C1392" s="798" t="s">
        <v>16</v>
      </c>
      <c r="D1392" s="800">
        <v>12.41</v>
      </c>
    </row>
    <row r="1393" spans="1:4" ht="40.5">
      <c r="A1393" s="798">
        <v>92594</v>
      </c>
      <c r="B1393" s="799" t="s">
        <v>1988</v>
      </c>
      <c r="C1393" s="798" t="s">
        <v>24</v>
      </c>
      <c r="D1393" s="800">
        <v>1912.24</v>
      </c>
    </row>
    <row r="1394" spans="1:4" ht="40.5">
      <c r="A1394" s="798">
        <v>92596</v>
      </c>
      <c r="B1394" s="799" t="s">
        <v>1989</v>
      </c>
      <c r="C1394" s="798" t="s">
        <v>24</v>
      </c>
      <c r="D1394" s="800">
        <v>2107.9299999999998</v>
      </c>
    </row>
    <row r="1395" spans="1:4" ht="40.5">
      <c r="A1395" s="798">
        <v>92598</v>
      </c>
      <c r="B1395" s="799" t="s">
        <v>1990</v>
      </c>
      <c r="C1395" s="798" t="s">
        <v>24</v>
      </c>
      <c r="D1395" s="800">
        <v>2256.42</v>
      </c>
    </row>
    <row r="1396" spans="1:4" ht="40.5">
      <c r="A1396" s="798">
        <v>92600</v>
      </c>
      <c r="B1396" s="799" t="s">
        <v>1991</v>
      </c>
      <c r="C1396" s="798" t="s">
        <v>24</v>
      </c>
      <c r="D1396" s="800">
        <v>2442.5100000000002</v>
      </c>
    </row>
    <row r="1397" spans="1:4" ht="54">
      <c r="A1397" s="798">
        <v>92602</v>
      </c>
      <c r="B1397" s="799" t="s">
        <v>1992</v>
      </c>
      <c r="C1397" s="798" t="s">
        <v>24</v>
      </c>
      <c r="D1397" s="800">
        <v>749.73</v>
      </c>
    </row>
    <row r="1398" spans="1:4" ht="54">
      <c r="A1398" s="798">
        <v>92604</v>
      </c>
      <c r="B1398" s="799" t="s">
        <v>1993</v>
      </c>
      <c r="C1398" s="798" t="s">
        <v>24</v>
      </c>
      <c r="D1398" s="800">
        <v>860.64</v>
      </c>
    </row>
    <row r="1399" spans="1:4" ht="54">
      <c r="A1399" s="798">
        <v>92606</v>
      </c>
      <c r="B1399" s="799" t="s">
        <v>1994</v>
      </c>
      <c r="C1399" s="798" t="s">
        <v>24</v>
      </c>
      <c r="D1399" s="800">
        <v>1009.14</v>
      </c>
    </row>
    <row r="1400" spans="1:4" ht="54">
      <c r="A1400" s="798">
        <v>92608</v>
      </c>
      <c r="B1400" s="799" t="s">
        <v>1995</v>
      </c>
      <c r="C1400" s="798" t="s">
        <v>24</v>
      </c>
      <c r="D1400" s="800">
        <v>1237.08</v>
      </c>
    </row>
    <row r="1401" spans="1:4" ht="54">
      <c r="A1401" s="798">
        <v>92610</v>
      </c>
      <c r="B1401" s="799" t="s">
        <v>1996</v>
      </c>
      <c r="C1401" s="798" t="s">
        <v>24</v>
      </c>
      <c r="D1401" s="800">
        <v>1385.58</v>
      </c>
    </row>
    <row r="1402" spans="1:4" ht="54">
      <c r="A1402" s="798">
        <v>92612</v>
      </c>
      <c r="B1402" s="799" t="s">
        <v>1997</v>
      </c>
      <c r="C1402" s="798" t="s">
        <v>24</v>
      </c>
      <c r="D1402" s="800">
        <v>1559.47</v>
      </c>
    </row>
    <row r="1403" spans="1:4" ht="54">
      <c r="A1403" s="798">
        <v>92614</v>
      </c>
      <c r="B1403" s="799" t="s">
        <v>1998</v>
      </c>
      <c r="C1403" s="798" t="s">
        <v>24</v>
      </c>
      <c r="D1403" s="800">
        <v>1761.89</v>
      </c>
    </row>
    <row r="1404" spans="1:4" ht="54">
      <c r="A1404" s="798">
        <v>92616</v>
      </c>
      <c r="B1404" s="799" t="s">
        <v>1999</v>
      </c>
      <c r="C1404" s="798" t="s">
        <v>24</v>
      </c>
      <c r="D1404" s="800">
        <v>1995.16</v>
      </c>
    </row>
    <row r="1405" spans="1:4" ht="54">
      <c r="A1405" s="798">
        <v>92618</v>
      </c>
      <c r="B1405" s="799" t="s">
        <v>2000</v>
      </c>
      <c r="C1405" s="798" t="s">
        <v>24</v>
      </c>
      <c r="D1405" s="800">
        <v>2143.66</v>
      </c>
    </row>
    <row r="1406" spans="1:4" ht="54">
      <c r="A1406" s="798">
        <v>92620</v>
      </c>
      <c r="B1406" s="799" t="s">
        <v>2001</v>
      </c>
      <c r="C1406" s="798" t="s">
        <v>24</v>
      </c>
      <c r="D1406" s="800">
        <v>2292.16</v>
      </c>
    </row>
    <row r="1407" spans="1:4" ht="40.5">
      <c r="A1407" s="798">
        <v>100357</v>
      </c>
      <c r="B1407" s="799" t="s">
        <v>3697</v>
      </c>
      <c r="C1407" s="798" t="s">
        <v>24</v>
      </c>
      <c r="D1407" s="800">
        <v>823.61</v>
      </c>
    </row>
    <row r="1408" spans="1:4" ht="40.5">
      <c r="A1408" s="798">
        <v>100358</v>
      </c>
      <c r="B1408" s="799" t="s">
        <v>3698</v>
      </c>
      <c r="C1408" s="798" t="s">
        <v>24</v>
      </c>
      <c r="D1408" s="800">
        <v>1099.97</v>
      </c>
    </row>
    <row r="1409" spans="1:4" ht="40.5">
      <c r="A1409" s="798">
        <v>100359</v>
      </c>
      <c r="B1409" s="799" t="s">
        <v>3699</v>
      </c>
      <c r="C1409" s="798" t="s">
        <v>24</v>
      </c>
      <c r="D1409" s="800">
        <v>1159.52</v>
      </c>
    </row>
    <row r="1410" spans="1:4" ht="40.5">
      <c r="A1410" s="798">
        <v>100360</v>
      </c>
      <c r="B1410" s="799" t="s">
        <v>3700</v>
      </c>
      <c r="C1410" s="798" t="s">
        <v>24</v>
      </c>
      <c r="D1410" s="800">
        <v>1284.92</v>
      </c>
    </row>
    <row r="1411" spans="1:4" ht="40.5">
      <c r="A1411" s="798">
        <v>100361</v>
      </c>
      <c r="B1411" s="799" t="s">
        <v>3701</v>
      </c>
      <c r="C1411" s="798" t="s">
        <v>24</v>
      </c>
      <c r="D1411" s="800">
        <v>1585.69</v>
      </c>
    </row>
    <row r="1412" spans="1:4" ht="40.5">
      <c r="A1412" s="798">
        <v>100362</v>
      </c>
      <c r="B1412" s="799" t="s">
        <v>3702</v>
      </c>
      <c r="C1412" s="798" t="s">
        <v>24</v>
      </c>
      <c r="D1412" s="800">
        <v>2246.2199999999998</v>
      </c>
    </row>
    <row r="1413" spans="1:4" ht="40.5">
      <c r="A1413" s="798">
        <v>100363</v>
      </c>
      <c r="B1413" s="799" t="s">
        <v>3703</v>
      </c>
      <c r="C1413" s="798" t="s">
        <v>24</v>
      </c>
      <c r="D1413" s="800">
        <v>2321.2199999999998</v>
      </c>
    </row>
    <row r="1414" spans="1:4" ht="40.5">
      <c r="A1414" s="798">
        <v>100364</v>
      </c>
      <c r="B1414" s="799" t="s">
        <v>3704</v>
      </c>
      <c r="C1414" s="798" t="s">
        <v>24</v>
      </c>
      <c r="D1414" s="800">
        <v>2508.91</v>
      </c>
    </row>
    <row r="1415" spans="1:4" ht="40.5">
      <c r="A1415" s="798">
        <v>100365</v>
      </c>
      <c r="B1415" s="799" t="s">
        <v>3705</v>
      </c>
      <c r="C1415" s="798" t="s">
        <v>24</v>
      </c>
      <c r="D1415" s="800">
        <v>2855.44</v>
      </c>
    </row>
    <row r="1416" spans="1:4" ht="40.5">
      <c r="A1416" s="798">
        <v>100366</v>
      </c>
      <c r="B1416" s="799" t="s">
        <v>3706</v>
      </c>
      <c r="C1416" s="798" t="s">
        <v>24</v>
      </c>
      <c r="D1416" s="800">
        <v>3049.35</v>
      </c>
    </row>
    <row r="1417" spans="1:4" ht="54">
      <c r="A1417" s="798">
        <v>100367</v>
      </c>
      <c r="B1417" s="799" t="s">
        <v>3707</v>
      </c>
      <c r="C1417" s="798" t="s">
        <v>24</v>
      </c>
      <c r="D1417" s="800">
        <v>801.62</v>
      </c>
    </row>
    <row r="1418" spans="1:4" ht="54">
      <c r="A1418" s="798">
        <v>100368</v>
      </c>
      <c r="B1418" s="799" t="s">
        <v>3708</v>
      </c>
      <c r="C1418" s="798" t="s">
        <v>24</v>
      </c>
      <c r="D1418" s="800">
        <v>1072.83</v>
      </c>
    </row>
    <row r="1419" spans="1:4" ht="54">
      <c r="A1419" s="798">
        <v>100369</v>
      </c>
      <c r="B1419" s="799" t="s">
        <v>3709</v>
      </c>
      <c r="C1419" s="798" t="s">
        <v>24</v>
      </c>
      <c r="D1419" s="800">
        <v>1132.3900000000001</v>
      </c>
    </row>
    <row r="1420" spans="1:4" ht="54">
      <c r="A1420" s="798">
        <v>100370</v>
      </c>
      <c r="B1420" s="799" t="s">
        <v>3710</v>
      </c>
      <c r="C1420" s="798" t="s">
        <v>24</v>
      </c>
      <c r="D1420" s="800">
        <v>1341.83</v>
      </c>
    </row>
    <row r="1421" spans="1:4" ht="54">
      <c r="A1421" s="798">
        <v>100371</v>
      </c>
      <c r="B1421" s="799" t="s">
        <v>3711</v>
      </c>
      <c r="C1421" s="798" t="s">
        <v>24</v>
      </c>
      <c r="D1421" s="800">
        <v>1513.34</v>
      </c>
    </row>
    <row r="1422" spans="1:4" ht="54">
      <c r="A1422" s="798">
        <v>100372</v>
      </c>
      <c r="B1422" s="799" t="s">
        <v>3712</v>
      </c>
      <c r="C1422" s="798" t="s">
        <v>24</v>
      </c>
      <c r="D1422" s="800">
        <v>2122.2399999999998</v>
      </c>
    </row>
    <row r="1423" spans="1:4" ht="54">
      <c r="A1423" s="798">
        <v>100373</v>
      </c>
      <c r="B1423" s="799" t="s">
        <v>3713</v>
      </c>
      <c r="C1423" s="798" t="s">
        <v>24</v>
      </c>
      <c r="D1423" s="800">
        <v>2194.19</v>
      </c>
    </row>
    <row r="1424" spans="1:4" ht="54">
      <c r="A1424" s="798">
        <v>100374</v>
      </c>
      <c r="B1424" s="799" t="s">
        <v>3714</v>
      </c>
      <c r="C1424" s="798" t="s">
        <v>24</v>
      </c>
      <c r="D1424" s="800">
        <v>2339.6999999999998</v>
      </c>
    </row>
    <row r="1425" spans="1:4" ht="54">
      <c r="A1425" s="798">
        <v>100375</v>
      </c>
      <c r="B1425" s="799" t="s">
        <v>3715</v>
      </c>
      <c r="C1425" s="798" t="s">
        <v>24</v>
      </c>
      <c r="D1425" s="800">
        <v>2605.48</v>
      </c>
    </row>
    <row r="1426" spans="1:4" ht="54">
      <c r="A1426" s="798">
        <v>100376</v>
      </c>
      <c r="B1426" s="799" t="s">
        <v>3716</v>
      </c>
      <c r="C1426" s="798" t="s">
        <v>24</v>
      </c>
      <c r="D1426" s="800">
        <v>2554.87</v>
      </c>
    </row>
    <row r="1427" spans="1:4" ht="40.5">
      <c r="A1427" s="798">
        <v>100377</v>
      </c>
      <c r="B1427" s="799" t="s">
        <v>3717</v>
      </c>
      <c r="C1427" s="798" t="s">
        <v>16</v>
      </c>
      <c r="D1427" s="800">
        <v>12.9</v>
      </c>
    </row>
    <row r="1428" spans="1:4" ht="40.5">
      <c r="A1428" s="798">
        <v>100378</v>
      </c>
      <c r="B1428" s="799" t="s">
        <v>3718</v>
      </c>
      <c r="C1428" s="798" t="s">
        <v>16</v>
      </c>
      <c r="D1428" s="800">
        <v>12.15</v>
      </c>
    </row>
    <row r="1429" spans="1:4" ht="67.5">
      <c r="A1429" s="798">
        <v>100382</v>
      </c>
      <c r="B1429" s="799" t="s">
        <v>3719</v>
      </c>
      <c r="C1429" s="798" t="s">
        <v>32</v>
      </c>
      <c r="D1429" s="800">
        <v>19.07</v>
      </c>
    </row>
    <row r="1430" spans="1:4" ht="40.5">
      <c r="A1430" s="798">
        <v>94444</v>
      </c>
      <c r="B1430" s="799" t="s">
        <v>3720</v>
      </c>
      <c r="C1430" s="798" t="s">
        <v>32</v>
      </c>
      <c r="D1430" s="800">
        <v>818.89</v>
      </c>
    </row>
    <row r="1431" spans="1:4" ht="40.5">
      <c r="A1431" s="798">
        <v>102661</v>
      </c>
      <c r="B1431" s="799" t="s">
        <v>7096</v>
      </c>
      <c r="C1431" s="798" t="s">
        <v>14</v>
      </c>
      <c r="D1431" s="800">
        <v>29.57</v>
      </c>
    </row>
    <row r="1432" spans="1:4" ht="40.5">
      <c r="A1432" s="798">
        <v>102663</v>
      </c>
      <c r="B1432" s="799" t="s">
        <v>7097</v>
      </c>
      <c r="C1432" s="798" t="s">
        <v>14</v>
      </c>
      <c r="D1432" s="800">
        <v>46.7</v>
      </c>
    </row>
    <row r="1433" spans="1:4" ht="40.5">
      <c r="A1433" s="798">
        <v>102664</v>
      </c>
      <c r="B1433" s="799" t="s">
        <v>7098</v>
      </c>
      <c r="C1433" s="798" t="s">
        <v>14</v>
      </c>
      <c r="D1433" s="800">
        <v>40.75</v>
      </c>
    </row>
    <row r="1434" spans="1:4" ht="27">
      <c r="A1434" s="798">
        <v>102665</v>
      </c>
      <c r="B1434" s="799" t="s">
        <v>7099</v>
      </c>
      <c r="C1434" s="798" t="s">
        <v>14</v>
      </c>
      <c r="D1434" s="800">
        <v>19.600000000000001</v>
      </c>
    </row>
    <row r="1435" spans="1:4" ht="40.5">
      <c r="A1435" s="798">
        <v>102666</v>
      </c>
      <c r="B1435" s="799" t="s">
        <v>7100</v>
      </c>
      <c r="C1435" s="798" t="s">
        <v>14</v>
      </c>
      <c r="D1435" s="800">
        <v>50.77</v>
      </c>
    </row>
    <row r="1436" spans="1:4" ht="40.5">
      <c r="A1436" s="798">
        <v>102669</v>
      </c>
      <c r="B1436" s="799" t="s">
        <v>7101</v>
      </c>
      <c r="C1436" s="798" t="s">
        <v>14</v>
      </c>
      <c r="D1436" s="800">
        <v>67.87</v>
      </c>
    </row>
    <row r="1437" spans="1:4" ht="40.5">
      <c r="A1437" s="798">
        <v>102670</v>
      </c>
      <c r="B1437" s="799" t="s">
        <v>7102</v>
      </c>
      <c r="C1437" s="798" t="s">
        <v>14</v>
      </c>
      <c r="D1437" s="800">
        <v>87.55</v>
      </c>
    </row>
    <row r="1438" spans="1:4" ht="40.5">
      <c r="A1438" s="798">
        <v>102673</v>
      </c>
      <c r="B1438" s="799" t="s">
        <v>7103</v>
      </c>
      <c r="C1438" s="798" t="s">
        <v>14</v>
      </c>
      <c r="D1438" s="800">
        <v>123.3</v>
      </c>
    </row>
    <row r="1439" spans="1:4" ht="40.5">
      <c r="A1439" s="798">
        <v>102674</v>
      </c>
      <c r="B1439" s="799" t="s">
        <v>7104</v>
      </c>
      <c r="C1439" s="798" t="s">
        <v>14</v>
      </c>
      <c r="D1439" s="800">
        <v>94.54</v>
      </c>
    </row>
    <row r="1440" spans="1:4" ht="40.5">
      <c r="A1440" s="798">
        <v>102677</v>
      </c>
      <c r="B1440" s="799" t="s">
        <v>7105</v>
      </c>
      <c r="C1440" s="798" t="s">
        <v>14</v>
      </c>
      <c r="D1440" s="800">
        <v>115.56</v>
      </c>
    </row>
    <row r="1441" spans="1:4" ht="40.5">
      <c r="A1441" s="798">
        <v>102678</v>
      </c>
      <c r="B1441" s="799" t="s">
        <v>7106</v>
      </c>
      <c r="C1441" s="798" t="s">
        <v>14</v>
      </c>
      <c r="D1441" s="800">
        <v>117.56</v>
      </c>
    </row>
    <row r="1442" spans="1:4" ht="40.5">
      <c r="A1442" s="798">
        <v>102679</v>
      </c>
      <c r="B1442" s="799" t="s">
        <v>7107</v>
      </c>
      <c r="C1442" s="798" t="s">
        <v>14</v>
      </c>
      <c r="D1442" s="800">
        <v>126.35</v>
      </c>
    </row>
    <row r="1443" spans="1:4" ht="54">
      <c r="A1443" s="798">
        <v>102680</v>
      </c>
      <c r="B1443" s="799" t="s">
        <v>7108</v>
      </c>
      <c r="C1443" s="798" t="s">
        <v>14</v>
      </c>
      <c r="D1443" s="800">
        <v>128.36000000000001</v>
      </c>
    </row>
    <row r="1444" spans="1:4" ht="54">
      <c r="A1444" s="798">
        <v>102683</v>
      </c>
      <c r="B1444" s="799" t="s">
        <v>7109</v>
      </c>
      <c r="C1444" s="798" t="s">
        <v>14</v>
      </c>
      <c r="D1444" s="800">
        <v>153.46</v>
      </c>
    </row>
    <row r="1445" spans="1:4" ht="40.5">
      <c r="A1445" s="798">
        <v>102684</v>
      </c>
      <c r="B1445" s="799" t="s">
        <v>7110</v>
      </c>
      <c r="C1445" s="798" t="s">
        <v>14</v>
      </c>
      <c r="D1445" s="800">
        <v>137.13999999999999</v>
      </c>
    </row>
    <row r="1446" spans="1:4" ht="40.5">
      <c r="A1446" s="798">
        <v>102687</v>
      </c>
      <c r="B1446" s="799" t="s">
        <v>7111</v>
      </c>
      <c r="C1446" s="798" t="s">
        <v>14</v>
      </c>
      <c r="D1446" s="800">
        <v>158.16</v>
      </c>
    </row>
    <row r="1447" spans="1:4" ht="40.5">
      <c r="A1447" s="798">
        <v>102688</v>
      </c>
      <c r="B1447" s="799" t="s">
        <v>7112</v>
      </c>
      <c r="C1447" s="798" t="s">
        <v>14</v>
      </c>
      <c r="D1447" s="800">
        <v>34.840000000000003</v>
      </c>
    </row>
    <row r="1448" spans="1:4" ht="54">
      <c r="A1448" s="798">
        <v>102690</v>
      </c>
      <c r="B1448" s="799" t="s">
        <v>7113</v>
      </c>
      <c r="C1448" s="798" t="s">
        <v>14</v>
      </c>
      <c r="D1448" s="800">
        <v>56.03</v>
      </c>
    </row>
    <row r="1449" spans="1:4" ht="40.5">
      <c r="A1449" s="798">
        <v>102694</v>
      </c>
      <c r="B1449" s="799" t="s">
        <v>7114</v>
      </c>
      <c r="C1449" s="798" t="s">
        <v>14</v>
      </c>
      <c r="D1449" s="800">
        <v>63.71</v>
      </c>
    </row>
    <row r="1450" spans="1:4" ht="54">
      <c r="A1450" s="798">
        <v>102697</v>
      </c>
      <c r="B1450" s="799" t="s">
        <v>7115</v>
      </c>
      <c r="C1450" s="798" t="s">
        <v>14</v>
      </c>
      <c r="D1450" s="800">
        <v>92.71</v>
      </c>
    </row>
    <row r="1451" spans="1:4" ht="27">
      <c r="A1451" s="798">
        <v>102704</v>
      </c>
      <c r="B1451" s="799" t="s">
        <v>7116</v>
      </c>
      <c r="C1451" s="798" t="s">
        <v>14</v>
      </c>
      <c r="D1451" s="800">
        <v>10.68</v>
      </c>
    </row>
    <row r="1452" spans="1:4" ht="27">
      <c r="A1452" s="798">
        <v>102706</v>
      </c>
      <c r="B1452" s="799" t="s">
        <v>7117</v>
      </c>
      <c r="C1452" s="798" t="s">
        <v>14</v>
      </c>
      <c r="D1452" s="800">
        <v>12.34</v>
      </c>
    </row>
    <row r="1453" spans="1:4" ht="27">
      <c r="A1453" s="798">
        <v>102707</v>
      </c>
      <c r="B1453" s="799" t="s">
        <v>7118</v>
      </c>
      <c r="C1453" s="798" t="s">
        <v>14</v>
      </c>
      <c r="D1453" s="800">
        <v>30.81</v>
      </c>
    </row>
    <row r="1454" spans="1:4" ht="40.5">
      <c r="A1454" s="798">
        <v>102708</v>
      </c>
      <c r="B1454" s="799" t="s">
        <v>7119</v>
      </c>
      <c r="C1454" s="798" t="s">
        <v>24</v>
      </c>
      <c r="D1454" s="800">
        <v>20.16</v>
      </c>
    </row>
    <row r="1455" spans="1:4" ht="40.5">
      <c r="A1455" s="798">
        <v>102710</v>
      </c>
      <c r="B1455" s="799" t="s">
        <v>7120</v>
      </c>
      <c r="C1455" s="798" t="s">
        <v>24</v>
      </c>
      <c r="D1455" s="800">
        <v>51.46</v>
      </c>
    </row>
    <row r="1456" spans="1:4" ht="40.5">
      <c r="A1456" s="798">
        <v>102711</v>
      </c>
      <c r="B1456" s="799" t="s">
        <v>7121</v>
      </c>
      <c r="C1456" s="798" t="s">
        <v>24</v>
      </c>
      <c r="D1456" s="800">
        <v>73.540000000000006</v>
      </c>
    </row>
    <row r="1457" spans="1:4" ht="40.5">
      <c r="A1457" s="798">
        <v>102712</v>
      </c>
      <c r="B1457" s="799" t="s">
        <v>7122</v>
      </c>
      <c r="C1457" s="798" t="s">
        <v>32</v>
      </c>
      <c r="D1457" s="800">
        <v>8.17</v>
      </c>
    </row>
    <row r="1458" spans="1:4" ht="40.5">
      <c r="A1458" s="798">
        <v>102713</v>
      </c>
      <c r="B1458" s="799" t="s">
        <v>7123</v>
      </c>
      <c r="C1458" s="798" t="s">
        <v>32</v>
      </c>
      <c r="D1458" s="800">
        <v>11.27</v>
      </c>
    </row>
    <row r="1459" spans="1:4" ht="40.5">
      <c r="A1459" s="798">
        <v>102715</v>
      </c>
      <c r="B1459" s="799" t="s">
        <v>7124</v>
      </c>
      <c r="C1459" s="798" t="s">
        <v>32</v>
      </c>
      <c r="D1459" s="800">
        <v>22.4</v>
      </c>
    </row>
    <row r="1460" spans="1:4" ht="27">
      <c r="A1460" s="798">
        <v>102716</v>
      </c>
      <c r="B1460" s="799" t="s">
        <v>7125</v>
      </c>
      <c r="C1460" s="798" t="s">
        <v>22</v>
      </c>
      <c r="D1460" s="800">
        <v>110.12</v>
      </c>
    </row>
    <row r="1461" spans="1:4" ht="27">
      <c r="A1461" s="798">
        <v>102717</v>
      </c>
      <c r="B1461" s="799" t="s">
        <v>7126</v>
      </c>
      <c r="C1461" s="798" t="s">
        <v>22</v>
      </c>
      <c r="D1461" s="800">
        <v>110.41</v>
      </c>
    </row>
    <row r="1462" spans="1:4" ht="27">
      <c r="A1462" s="798">
        <v>102718</v>
      </c>
      <c r="B1462" s="799" t="s">
        <v>7127</v>
      </c>
      <c r="C1462" s="798" t="s">
        <v>22</v>
      </c>
      <c r="D1462" s="800">
        <v>116.9</v>
      </c>
    </row>
    <row r="1463" spans="1:4" ht="27">
      <c r="A1463" s="798">
        <v>102719</v>
      </c>
      <c r="B1463" s="799" t="s">
        <v>7128</v>
      </c>
      <c r="C1463" s="798" t="s">
        <v>22</v>
      </c>
      <c r="D1463" s="800">
        <v>117.19</v>
      </c>
    </row>
    <row r="1464" spans="1:4" ht="54">
      <c r="A1464" s="798">
        <v>102722</v>
      </c>
      <c r="B1464" s="799" t="s">
        <v>7129</v>
      </c>
      <c r="C1464" s="798" t="s">
        <v>14</v>
      </c>
      <c r="D1464" s="800">
        <v>46.14</v>
      </c>
    </row>
    <row r="1465" spans="1:4" ht="54">
      <c r="A1465" s="798">
        <v>102723</v>
      </c>
      <c r="B1465" s="799" t="s">
        <v>7130</v>
      </c>
      <c r="C1465" s="798" t="s">
        <v>14</v>
      </c>
      <c r="D1465" s="800">
        <v>46.62</v>
      </c>
    </row>
    <row r="1466" spans="1:4" ht="27">
      <c r="A1466" s="798">
        <v>102724</v>
      </c>
      <c r="B1466" s="799" t="s">
        <v>7131</v>
      </c>
      <c r="C1466" s="798" t="s">
        <v>24</v>
      </c>
      <c r="D1466" s="800">
        <v>26.67</v>
      </c>
    </row>
    <row r="1467" spans="1:4" ht="27">
      <c r="A1467" s="798">
        <v>102725</v>
      </c>
      <c r="B1467" s="799" t="s">
        <v>7132</v>
      </c>
      <c r="C1467" s="798" t="s">
        <v>24</v>
      </c>
      <c r="D1467" s="800">
        <v>25.43</v>
      </c>
    </row>
    <row r="1468" spans="1:4" ht="27">
      <c r="A1468" s="798">
        <v>102726</v>
      </c>
      <c r="B1468" s="799" t="s">
        <v>7133</v>
      </c>
      <c r="C1468" s="798" t="s">
        <v>24</v>
      </c>
      <c r="D1468" s="800">
        <v>22.73</v>
      </c>
    </row>
    <row r="1469" spans="1:4" ht="40.5">
      <c r="A1469" s="798">
        <v>103653</v>
      </c>
      <c r="B1469" s="799" t="s">
        <v>8378</v>
      </c>
      <c r="C1469" s="798" t="s">
        <v>32</v>
      </c>
      <c r="D1469" s="800">
        <v>26.77</v>
      </c>
    </row>
    <row r="1470" spans="1:4" ht="54">
      <c r="A1470" s="798">
        <v>92743</v>
      </c>
      <c r="B1470" s="799" t="s">
        <v>3280</v>
      </c>
      <c r="C1470" s="798" t="s">
        <v>22</v>
      </c>
      <c r="D1470" s="800">
        <v>552.36</v>
      </c>
    </row>
    <row r="1471" spans="1:4" ht="54">
      <c r="A1471" s="798">
        <v>92744</v>
      </c>
      <c r="B1471" s="799" t="s">
        <v>3281</v>
      </c>
      <c r="C1471" s="798" t="s">
        <v>22</v>
      </c>
      <c r="D1471" s="800">
        <v>535.08000000000004</v>
      </c>
    </row>
    <row r="1472" spans="1:4" ht="67.5">
      <c r="A1472" s="798">
        <v>92745</v>
      </c>
      <c r="B1472" s="799" t="s">
        <v>3282</v>
      </c>
      <c r="C1472" s="798" t="s">
        <v>22</v>
      </c>
      <c r="D1472" s="800">
        <v>685.67</v>
      </c>
    </row>
    <row r="1473" spans="1:4" ht="67.5">
      <c r="A1473" s="798">
        <v>92746</v>
      </c>
      <c r="B1473" s="799" t="s">
        <v>3721</v>
      </c>
      <c r="C1473" s="798" t="s">
        <v>22</v>
      </c>
      <c r="D1473" s="800">
        <v>633.54999999999995</v>
      </c>
    </row>
    <row r="1474" spans="1:4" ht="67.5">
      <c r="A1474" s="798">
        <v>92747</v>
      </c>
      <c r="B1474" s="799" t="s">
        <v>3722</v>
      </c>
      <c r="C1474" s="798" t="s">
        <v>22</v>
      </c>
      <c r="D1474" s="800">
        <v>761.8</v>
      </c>
    </row>
    <row r="1475" spans="1:4" ht="67.5">
      <c r="A1475" s="798">
        <v>92748</v>
      </c>
      <c r="B1475" s="799" t="s">
        <v>3283</v>
      </c>
      <c r="C1475" s="798" t="s">
        <v>22</v>
      </c>
      <c r="D1475" s="800">
        <v>690.15</v>
      </c>
    </row>
    <row r="1476" spans="1:4" ht="54">
      <c r="A1476" s="798">
        <v>92749</v>
      </c>
      <c r="B1476" s="799" t="s">
        <v>3723</v>
      </c>
      <c r="C1476" s="798" t="s">
        <v>22</v>
      </c>
      <c r="D1476" s="800">
        <v>795.92</v>
      </c>
    </row>
    <row r="1477" spans="1:4" ht="54">
      <c r="A1477" s="798">
        <v>92750</v>
      </c>
      <c r="B1477" s="799" t="s">
        <v>3724</v>
      </c>
      <c r="C1477" s="798" t="s">
        <v>22</v>
      </c>
      <c r="D1477" s="800">
        <v>1373.08</v>
      </c>
    </row>
    <row r="1478" spans="1:4" ht="54">
      <c r="A1478" s="798">
        <v>92751</v>
      </c>
      <c r="B1478" s="799" t="s">
        <v>3725</v>
      </c>
      <c r="C1478" s="798" t="s">
        <v>22</v>
      </c>
      <c r="D1478" s="800">
        <v>1708.69</v>
      </c>
    </row>
    <row r="1479" spans="1:4" ht="54">
      <c r="A1479" s="798">
        <v>92752</v>
      </c>
      <c r="B1479" s="799" t="s">
        <v>3726</v>
      </c>
      <c r="C1479" s="798" t="s">
        <v>22</v>
      </c>
      <c r="D1479" s="800">
        <v>2043.05</v>
      </c>
    </row>
    <row r="1480" spans="1:4" ht="54">
      <c r="A1480" s="798">
        <v>92753</v>
      </c>
      <c r="B1480" s="799" t="s">
        <v>3727</v>
      </c>
      <c r="C1480" s="798" t="s">
        <v>22</v>
      </c>
      <c r="D1480" s="800">
        <v>529.17999999999995</v>
      </c>
    </row>
    <row r="1481" spans="1:4" ht="67.5">
      <c r="A1481" s="798">
        <v>92754</v>
      </c>
      <c r="B1481" s="799" t="s">
        <v>3728</v>
      </c>
      <c r="C1481" s="798" t="s">
        <v>22</v>
      </c>
      <c r="D1481" s="800">
        <v>483.22</v>
      </c>
    </row>
    <row r="1482" spans="1:4" ht="40.5">
      <c r="A1482" s="798">
        <v>92755</v>
      </c>
      <c r="B1482" s="799" t="s">
        <v>2008</v>
      </c>
      <c r="C1482" s="798" t="s">
        <v>32</v>
      </c>
      <c r="D1482" s="800">
        <v>203.54</v>
      </c>
    </row>
    <row r="1483" spans="1:4" ht="40.5">
      <c r="A1483" s="798">
        <v>92756</v>
      </c>
      <c r="B1483" s="799" t="s">
        <v>2009</v>
      </c>
      <c r="C1483" s="798" t="s">
        <v>32</v>
      </c>
      <c r="D1483" s="800">
        <v>230.86</v>
      </c>
    </row>
    <row r="1484" spans="1:4" ht="40.5">
      <c r="A1484" s="798">
        <v>92757</v>
      </c>
      <c r="B1484" s="799" t="s">
        <v>2010</v>
      </c>
      <c r="C1484" s="798" t="s">
        <v>32</v>
      </c>
      <c r="D1484" s="800">
        <v>264.08</v>
      </c>
    </row>
    <row r="1485" spans="1:4" ht="54">
      <c r="A1485" s="798">
        <v>92758</v>
      </c>
      <c r="B1485" s="799" t="s">
        <v>2011</v>
      </c>
      <c r="C1485" s="798" t="s">
        <v>22</v>
      </c>
      <c r="D1485" s="800">
        <v>624.35</v>
      </c>
    </row>
    <row r="1486" spans="1:4" ht="54">
      <c r="A1486" s="798">
        <v>91069</v>
      </c>
      <c r="B1486" s="799" t="s">
        <v>1669</v>
      </c>
      <c r="C1486" s="798" t="s">
        <v>32</v>
      </c>
      <c r="D1486" s="800">
        <v>121.02</v>
      </c>
    </row>
    <row r="1487" spans="1:4" ht="54">
      <c r="A1487" s="798">
        <v>91070</v>
      </c>
      <c r="B1487" s="799" t="s">
        <v>1670</v>
      </c>
      <c r="C1487" s="798" t="s">
        <v>32</v>
      </c>
      <c r="D1487" s="800">
        <v>132.69</v>
      </c>
    </row>
    <row r="1488" spans="1:4" ht="54">
      <c r="A1488" s="798">
        <v>91071</v>
      </c>
      <c r="B1488" s="799" t="s">
        <v>1671</v>
      </c>
      <c r="C1488" s="798" t="s">
        <v>32</v>
      </c>
      <c r="D1488" s="800">
        <v>151.97999999999999</v>
      </c>
    </row>
    <row r="1489" spans="1:4" ht="54">
      <c r="A1489" s="798">
        <v>91072</v>
      </c>
      <c r="B1489" s="799" t="s">
        <v>1672</v>
      </c>
      <c r="C1489" s="798" t="s">
        <v>32</v>
      </c>
      <c r="D1489" s="800">
        <v>163.61000000000001</v>
      </c>
    </row>
    <row r="1490" spans="1:4" ht="54">
      <c r="A1490" s="798">
        <v>91073</v>
      </c>
      <c r="B1490" s="799" t="s">
        <v>1673</v>
      </c>
      <c r="C1490" s="798" t="s">
        <v>32</v>
      </c>
      <c r="D1490" s="800">
        <v>130.91</v>
      </c>
    </row>
    <row r="1491" spans="1:4" ht="54">
      <c r="A1491" s="798">
        <v>91074</v>
      </c>
      <c r="B1491" s="799" t="s">
        <v>1674</v>
      </c>
      <c r="C1491" s="798" t="s">
        <v>32</v>
      </c>
      <c r="D1491" s="800">
        <v>143.65</v>
      </c>
    </row>
    <row r="1492" spans="1:4" ht="54">
      <c r="A1492" s="798">
        <v>91075</v>
      </c>
      <c r="B1492" s="799" t="s">
        <v>1675</v>
      </c>
      <c r="C1492" s="798" t="s">
        <v>32</v>
      </c>
      <c r="D1492" s="800">
        <v>163.12</v>
      </c>
    </row>
    <row r="1493" spans="1:4" ht="54">
      <c r="A1493" s="798">
        <v>91076</v>
      </c>
      <c r="B1493" s="799" t="s">
        <v>1676</v>
      </c>
      <c r="C1493" s="798" t="s">
        <v>32</v>
      </c>
      <c r="D1493" s="800">
        <v>175.87</v>
      </c>
    </row>
    <row r="1494" spans="1:4" ht="67.5">
      <c r="A1494" s="798">
        <v>91077</v>
      </c>
      <c r="B1494" s="799" t="s">
        <v>1677</v>
      </c>
      <c r="C1494" s="798" t="s">
        <v>32</v>
      </c>
      <c r="D1494" s="800">
        <v>121.65</v>
      </c>
    </row>
    <row r="1495" spans="1:4" ht="67.5">
      <c r="A1495" s="798">
        <v>91078</v>
      </c>
      <c r="B1495" s="799" t="s">
        <v>1678</v>
      </c>
      <c r="C1495" s="798" t="s">
        <v>32</v>
      </c>
      <c r="D1495" s="800">
        <v>143.11000000000001</v>
      </c>
    </row>
    <row r="1496" spans="1:4" ht="67.5">
      <c r="A1496" s="798">
        <v>91079</v>
      </c>
      <c r="B1496" s="799" t="s">
        <v>1679</v>
      </c>
      <c r="C1496" s="798" t="s">
        <v>32</v>
      </c>
      <c r="D1496" s="800">
        <v>126.3</v>
      </c>
    </row>
    <row r="1497" spans="1:4" ht="67.5">
      <c r="A1497" s="798">
        <v>91080</v>
      </c>
      <c r="B1497" s="799" t="s">
        <v>1680</v>
      </c>
      <c r="C1497" s="798" t="s">
        <v>32</v>
      </c>
      <c r="D1497" s="800">
        <v>147.59</v>
      </c>
    </row>
    <row r="1498" spans="1:4" ht="67.5">
      <c r="A1498" s="798">
        <v>91081</v>
      </c>
      <c r="B1498" s="799" t="s">
        <v>1681</v>
      </c>
      <c r="C1498" s="798" t="s">
        <v>32</v>
      </c>
      <c r="D1498" s="800">
        <v>132.99</v>
      </c>
    </row>
    <row r="1499" spans="1:4" ht="67.5">
      <c r="A1499" s="798">
        <v>91082</v>
      </c>
      <c r="B1499" s="799" t="s">
        <v>1682</v>
      </c>
      <c r="C1499" s="798" t="s">
        <v>32</v>
      </c>
      <c r="D1499" s="800">
        <v>155.38999999999999</v>
      </c>
    </row>
    <row r="1500" spans="1:4" ht="67.5">
      <c r="A1500" s="798">
        <v>91083</v>
      </c>
      <c r="B1500" s="799" t="s">
        <v>1683</v>
      </c>
      <c r="C1500" s="798" t="s">
        <v>32</v>
      </c>
      <c r="D1500" s="800">
        <v>140.94999999999999</v>
      </c>
    </row>
    <row r="1501" spans="1:4" ht="67.5">
      <c r="A1501" s="798">
        <v>91084</v>
      </c>
      <c r="B1501" s="799" t="s">
        <v>1684</v>
      </c>
      <c r="C1501" s="798" t="s">
        <v>32</v>
      </c>
      <c r="D1501" s="800">
        <v>163.13</v>
      </c>
    </row>
    <row r="1502" spans="1:4" ht="67.5">
      <c r="A1502" s="798">
        <v>91086</v>
      </c>
      <c r="B1502" s="799" t="s">
        <v>1685</v>
      </c>
      <c r="C1502" s="798" t="s">
        <v>32</v>
      </c>
      <c r="D1502" s="800">
        <v>129.43</v>
      </c>
    </row>
    <row r="1503" spans="1:4" ht="67.5">
      <c r="A1503" s="798">
        <v>91087</v>
      </c>
      <c r="B1503" s="799" t="s">
        <v>1686</v>
      </c>
      <c r="C1503" s="798" t="s">
        <v>32</v>
      </c>
      <c r="D1503" s="800">
        <v>141.38</v>
      </c>
    </row>
    <row r="1504" spans="1:4" ht="54">
      <c r="A1504" s="798">
        <v>91088</v>
      </c>
      <c r="B1504" s="799" t="s">
        <v>390</v>
      </c>
      <c r="C1504" s="798" t="s">
        <v>32</v>
      </c>
      <c r="D1504" s="800">
        <v>161.44</v>
      </c>
    </row>
    <row r="1505" spans="1:4" ht="54">
      <c r="A1505" s="798">
        <v>91089</v>
      </c>
      <c r="B1505" s="799" t="s">
        <v>391</v>
      </c>
      <c r="C1505" s="798" t="s">
        <v>32</v>
      </c>
      <c r="D1505" s="800">
        <v>173.5</v>
      </c>
    </row>
    <row r="1506" spans="1:4" ht="67.5">
      <c r="A1506" s="798">
        <v>91090</v>
      </c>
      <c r="B1506" s="799" t="s">
        <v>1687</v>
      </c>
      <c r="C1506" s="798" t="s">
        <v>32</v>
      </c>
      <c r="D1506" s="800">
        <v>137.61000000000001</v>
      </c>
    </row>
    <row r="1507" spans="1:4" ht="67.5">
      <c r="A1507" s="798">
        <v>91091</v>
      </c>
      <c r="B1507" s="799" t="s">
        <v>1688</v>
      </c>
      <c r="C1507" s="798" t="s">
        <v>32</v>
      </c>
      <c r="D1507" s="800">
        <v>150.77000000000001</v>
      </c>
    </row>
    <row r="1508" spans="1:4" ht="54">
      <c r="A1508" s="798">
        <v>91092</v>
      </c>
      <c r="B1508" s="799" t="s">
        <v>392</v>
      </c>
      <c r="C1508" s="798" t="s">
        <v>32</v>
      </c>
      <c r="D1508" s="800">
        <v>170.52</v>
      </c>
    </row>
    <row r="1509" spans="1:4" ht="54">
      <c r="A1509" s="798">
        <v>91093</v>
      </c>
      <c r="B1509" s="799" t="s">
        <v>393</v>
      </c>
      <c r="C1509" s="798" t="s">
        <v>32</v>
      </c>
      <c r="D1509" s="800">
        <v>183.91</v>
      </c>
    </row>
    <row r="1510" spans="1:4" ht="67.5">
      <c r="A1510" s="798">
        <v>91094</v>
      </c>
      <c r="B1510" s="799" t="s">
        <v>1689</v>
      </c>
      <c r="C1510" s="798" t="s">
        <v>32</v>
      </c>
      <c r="D1510" s="800">
        <v>126.16</v>
      </c>
    </row>
    <row r="1511" spans="1:4" ht="67.5">
      <c r="A1511" s="798">
        <v>91095</v>
      </c>
      <c r="B1511" s="799" t="s">
        <v>1690</v>
      </c>
      <c r="C1511" s="798" t="s">
        <v>32</v>
      </c>
      <c r="D1511" s="800">
        <v>147.99</v>
      </c>
    </row>
    <row r="1512" spans="1:4" ht="67.5">
      <c r="A1512" s="798">
        <v>91096</v>
      </c>
      <c r="B1512" s="799" t="s">
        <v>1691</v>
      </c>
      <c r="C1512" s="798" t="s">
        <v>32</v>
      </c>
      <c r="D1512" s="800">
        <v>128.55000000000001</v>
      </c>
    </row>
    <row r="1513" spans="1:4" ht="67.5">
      <c r="A1513" s="798">
        <v>91097</v>
      </c>
      <c r="B1513" s="799" t="s">
        <v>1692</v>
      </c>
      <c r="C1513" s="798" t="s">
        <v>32</v>
      </c>
      <c r="D1513" s="800">
        <v>150.24</v>
      </c>
    </row>
    <row r="1514" spans="1:4" ht="67.5">
      <c r="A1514" s="798">
        <v>91098</v>
      </c>
      <c r="B1514" s="799" t="s">
        <v>1693</v>
      </c>
      <c r="C1514" s="798" t="s">
        <v>32</v>
      </c>
      <c r="D1514" s="800">
        <v>137.19999999999999</v>
      </c>
    </row>
    <row r="1515" spans="1:4" ht="67.5">
      <c r="A1515" s="798">
        <v>91099</v>
      </c>
      <c r="B1515" s="799" t="s">
        <v>1694</v>
      </c>
      <c r="C1515" s="798" t="s">
        <v>32</v>
      </c>
      <c r="D1515" s="800">
        <v>160.03</v>
      </c>
    </row>
    <row r="1516" spans="1:4" ht="67.5">
      <c r="A1516" s="798">
        <v>91100</v>
      </c>
      <c r="B1516" s="799" t="s">
        <v>1695</v>
      </c>
      <c r="C1516" s="798" t="s">
        <v>32</v>
      </c>
      <c r="D1516" s="800">
        <v>143.54</v>
      </c>
    </row>
    <row r="1517" spans="1:4" ht="67.5">
      <c r="A1517" s="798">
        <v>91101</v>
      </c>
      <c r="B1517" s="799" t="s">
        <v>1696</v>
      </c>
      <c r="C1517" s="798" t="s">
        <v>32</v>
      </c>
      <c r="D1517" s="800">
        <v>166.29</v>
      </c>
    </row>
    <row r="1518" spans="1:4" ht="54">
      <c r="A1518" s="798">
        <v>93952</v>
      </c>
      <c r="B1518" s="799" t="s">
        <v>494</v>
      </c>
      <c r="C1518" s="798" t="s">
        <v>14</v>
      </c>
      <c r="D1518" s="800">
        <v>192.62</v>
      </c>
    </row>
    <row r="1519" spans="1:4" ht="54">
      <c r="A1519" s="798">
        <v>93953</v>
      </c>
      <c r="B1519" s="799" t="s">
        <v>2264</v>
      </c>
      <c r="C1519" s="798" t="s">
        <v>14</v>
      </c>
      <c r="D1519" s="800">
        <v>180.49</v>
      </c>
    </row>
    <row r="1520" spans="1:4" ht="54">
      <c r="A1520" s="798">
        <v>93954</v>
      </c>
      <c r="B1520" s="799" t="s">
        <v>2265</v>
      </c>
      <c r="C1520" s="798" t="s">
        <v>14</v>
      </c>
      <c r="D1520" s="800">
        <v>173.18</v>
      </c>
    </row>
    <row r="1521" spans="1:4" ht="54">
      <c r="A1521" s="798">
        <v>93955</v>
      </c>
      <c r="B1521" s="799" t="s">
        <v>495</v>
      </c>
      <c r="C1521" s="798" t="s">
        <v>14</v>
      </c>
      <c r="D1521" s="800">
        <v>167.97</v>
      </c>
    </row>
    <row r="1522" spans="1:4" ht="54">
      <c r="A1522" s="798">
        <v>93956</v>
      </c>
      <c r="B1522" s="799" t="s">
        <v>2266</v>
      </c>
      <c r="C1522" s="798" t="s">
        <v>14</v>
      </c>
      <c r="D1522" s="800">
        <v>163.84</v>
      </c>
    </row>
    <row r="1523" spans="1:4" ht="54">
      <c r="A1523" s="798">
        <v>93957</v>
      </c>
      <c r="B1523" s="799" t="s">
        <v>496</v>
      </c>
      <c r="C1523" s="798" t="s">
        <v>14</v>
      </c>
      <c r="D1523" s="800">
        <v>207.89</v>
      </c>
    </row>
    <row r="1524" spans="1:4" ht="54">
      <c r="A1524" s="798">
        <v>93958</v>
      </c>
      <c r="B1524" s="799" t="s">
        <v>2267</v>
      </c>
      <c r="C1524" s="798" t="s">
        <v>14</v>
      </c>
      <c r="D1524" s="800">
        <v>195.02</v>
      </c>
    </row>
    <row r="1525" spans="1:4" ht="54">
      <c r="A1525" s="798">
        <v>93959</v>
      </c>
      <c r="B1525" s="799" t="s">
        <v>2268</v>
      </c>
      <c r="C1525" s="798" t="s">
        <v>14</v>
      </c>
      <c r="D1525" s="800">
        <v>187.3</v>
      </c>
    </row>
    <row r="1526" spans="1:4" ht="54">
      <c r="A1526" s="798">
        <v>93960</v>
      </c>
      <c r="B1526" s="799" t="s">
        <v>497</v>
      </c>
      <c r="C1526" s="798" t="s">
        <v>14</v>
      </c>
      <c r="D1526" s="800">
        <v>181.88</v>
      </c>
    </row>
    <row r="1527" spans="1:4" ht="54">
      <c r="A1527" s="798">
        <v>93961</v>
      </c>
      <c r="B1527" s="799" t="s">
        <v>2269</v>
      </c>
      <c r="C1527" s="798" t="s">
        <v>14</v>
      </c>
      <c r="D1527" s="800">
        <v>177.59</v>
      </c>
    </row>
    <row r="1528" spans="1:4" ht="54">
      <c r="A1528" s="798">
        <v>93962</v>
      </c>
      <c r="B1528" s="799" t="s">
        <v>498</v>
      </c>
      <c r="C1528" s="798" t="s">
        <v>14</v>
      </c>
      <c r="D1528" s="800">
        <v>180.42</v>
      </c>
    </row>
    <row r="1529" spans="1:4" ht="54">
      <c r="A1529" s="798">
        <v>93963</v>
      </c>
      <c r="B1529" s="799" t="s">
        <v>2270</v>
      </c>
      <c r="C1529" s="798" t="s">
        <v>14</v>
      </c>
      <c r="D1529" s="800">
        <v>168.34</v>
      </c>
    </row>
    <row r="1530" spans="1:4" ht="54">
      <c r="A1530" s="798">
        <v>93964</v>
      </c>
      <c r="B1530" s="799" t="s">
        <v>2271</v>
      </c>
      <c r="C1530" s="798" t="s">
        <v>14</v>
      </c>
      <c r="D1530" s="800">
        <v>161.09</v>
      </c>
    </row>
    <row r="1531" spans="1:4" ht="54">
      <c r="A1531" s="798">
        <v>93965</v>
      </c>
      <c r="B1531" s="799" t="s">
        <v>2272</v>
      </c>
      <c r="C1531" s="798" t="s">
        <v>14</v>
      </c>
      <c r="D1531" s="800">
        <v>154.47</v>
      </c>
    </row>
    <row r="1532" spans="1:4" ht="54">
      <c r="A1532" s="798">
        <v>93966</v>
      </c>
      <c r="B1532" s="799" t="s">
        <v>2273</v>
      </c>
      <c r="C1532" s="798" t="s">
        <v>14</v>
      </c>
      <c r="D1532" s="800">
        <v>151.79</v>
      </c>
    </row>
    <row r="1533" spans="1:4" ht="54">
      <c r="A1533" s="798">
        <v>93967</v>
      </c>
      <c r="B1533" s="799" t="s">
        <v>499</v>
      </c>
      <c r="C1533" s="798" t="s">
        <v>14</v>
      </c>
      <c r="D1533" s="800">
        <v>195.71</v>
      </c>
    </row>
    <row r="1534" spans="1:4" ht="54">
      <c r="A1534" s="798">
        <v>93968</v>
      </c>
      <c r="B1534" s="799" t="s">
        <v>2274</v>
      </c>
      <c r="C1534" s="798" t="s">
        <v>14</v>
      </c>
      <c r="D1534" s="800">
        <v>182.88</v>
      </c>
    </row>
    <row r="1535" spans="1:4" ht="54">
      <c r="A1535" s="798">
        <v>93969</v>
      </c>
      <c r="B1535" s="799" t="s">
        <v>2275</v>
      </c>
      <c r="C1535" s="798" t="s">
        <v>14</v>
      </c>
      <c r="D1535" s="800">
        <v>175.21</v>
      </c>
    </row>
    <row r="1536" spans="1:4" ht="54">
      <c r="A1536" s="798">
        <v>93970</v>
      </c>
      <c r="B1536" s="799" t="s">
        <v>2276</v>
      </c>
      <c r="C1536" s="798" t="s">
        <v>14</v>
      </c>
      <c r="D1536" s="800">
        <v>169.81</v>
      </c>
    </row>
    <row r="1537" spans="1:4" ht="54">
      <c r="A1537" s="798">
        <v>93971</v>
      </c>
      <c r="B1537" s="799" t="s">
        <v>2277</v>
      </c>
      <c r="C1537" s="798" t="s">
        <v>14</v>
      </c>
      <c r="D1537" s="800">
        <v>160.5</v>
      </c>
    </row>
    <row r="1538" spans="1:4" ht="40.5">
      <c r="A1538" s="798">
        <v>95108</v>
      </c>
      <c r="B1538" s="799" t="s">
        <v>2452</v>
      </c>
      <c r="C1538" s="798" t="s">
        <v>24</v>
      </c>
      <c r="D1538" s="800">
        <v>23.78</v>
      </c>
    </row>
    <row r="1539" spans="1:4" ht="40.5">
      <c r="A1539" s="798">
        <v>100332</v>
      </c>
      <c r="B1539" s="799" t="s">
        <v>3729</v>
      </c>
      <c r="C1539" s="798" t="s">
        <v>32</v>
      </c>
      <c r="D1539" s="800">
        <v>975.79</v>
      </c>
    </row>
    <row r="1540" spans="1:4" ht="40.5">
      <c r="A1540" s="798">
        <v>100333</v>
      </c>
      <c r="B1540" s="799" t="s">
        <v>3730</v>
      </c>
      <c r="C1540" s="798" t="s">
        <v>32</v>
      </c>
      <c r="D1540" s="800">
        <v>589.97</v>
      </c>
    </row>
    <row r="1541" spans="1:4" ht="40.5">
      <c r="A1541" s="798">
        <v>100334</v>
      </c>
      <c r="B1541" s="799" t="s">
        <v>3731</v>
      </c>
      <c r="C1541" s="798" t="s">
        <v>32</v>
      </c>
      <c r="D1541" s="800">
        <v>767.48</v>
      </c>
    </row>
    <row r="1542" spans="1:4" ht="40.5">
      <c r="A1542" s="798">
        <v>100335</v>
      </c>
      <c r="B1542" s="799" t="s">
        <v>3732</v>
      </c>
      <c r="C1542" s="798" t="s">
        <v>32</v>
      </c>
      <c r="D1542" s="800">
        <v>478.11</v>
      </c>
    </row>
    <row r="1543" spans="1:4" ht="40.5">
      <c r="A1543" s="798">
        <v>100341</v>
      </c>
      <c r="B1543" s="799" t="s">
        <v>3733</v>
      </c>
      <c r="C1543" s="798" t="s">
        <v>32</v>
      </c>
      <c r="D1543" s="800">
        <v>35.08</v>
      </c>
    </row>
    <row r="1544" spans="1:4" ht="27">
      <c r="A1544" s="798">
        <v>100342</v>
      </c>
      <c r="B1544" s="799" t="s">
        <v>3734</v>
      </c>
      <c r="C1544" s="798" t="s">
        <v>16</v>
      </c>
      <c r="D1544" s="800">
        <v>15.66</v>
      </c>
    </row>
    <row r="1545" spans="1:4" ht="27">
      <c r="A1545" s="798">
        <v>100343</v>
      </c>
      <c r="B1545" s="799" t="s">
        <v>3735</v>
      </c>
      <c r="C1545" s="798" t="s">
        <v>16</v>
      </c>
      <c r="D1545" s="800">
        <v>15.14</v>
      </c>
    </row>
    <row r="1546" spans="1:4" ht="27">
      <c r="A1546" s="798">
        <v>100344</v>
      </c>
      <c r="B1546" s="799" t="s">
        <v>3736</v>
      </c>
      <c r="C1546" s="798" t="s">
        <v>16</v>
      </c>
      <c r="D1546" s="800">
        <v>13.74</v>
      </c>
    </row>
    <row r="1547" spans="1:4" ht="27">
      <c r="A1547" s="798">
        <v>100345</v>
      </c>
      <c r="B1547" s="799" t="s">
        <v>3737</v>
      </c>
      <c r="C1547" s="798" t="s">
        <v>16</v>
      </c>
      <c r="D1547" s="800">
        <v>11.71</v>
      </c>
    </row>
    <row r="1548" spans="1:4" ht="27">
      <c r="A1548" s="798">
        <v>100346</v>
      </c>
      <c r="B1548" s="799" t="s">
        <v>3738</v>
      </c>
      <c r="C1548" s="798" t="s">
        <v>16</v>
      </c>
      <c r="D1548" s="800">
        <v>11.28</v>
      </c>
    </row>
    <row r="1549" spans="1:4" ht="27">
      <c r="A1549" s="798">
        <v>100347</v>
      </c>
      <c r="B1549" s="799" t="s">
        <v>3739</v>
      </c>
      <c r="C1549" s="798" t="s">
        <v>16</v>
      </c>
      <c r="D1549" s="800">
        <v>12.88</v>
      </c>
    </row>
    <row r="1550" spans="1:4" ht="27">
      <c r="A1550" s="798">
        <v>100348</v>
      </c>
      <c r="B1550" s="799" t="s">
        <v>3740</v>
      </c>
      <c r="C1550" s="798" t="s">
        <v>16</v>
      </c>
      <c r="D1550" s="800">
        <v>12.69</v>
      </c>
    </row>
    <row r="1551" spans="1:4" ht="27">
      <c r="A1551" s="798">
        <v>100349</v>
      </c>
      <c r="B1551" s="799" t="s">
        <v>3741</v>
      </c>
      <c r="C1551" s="798" t="s">
        <v>22</v>
      </c>
      <c r="D1551" s="800">
        <v>679.17</v>
      </c>
    </row>
    <row r="1552" spans="1:4" ht="27">
      <c r="A1552" s="798">
        <v>102989</v>
      </c>
      <c r="B1552" s="799" t="s">
        <v>7492</v>
      </c>
      <c r="C1552" s="798" t="s">
        <v>14</v>
      </c>
      <c r="D1552" s="800">
        <v>26.39</v>
      </c>
    </row>
    <row r="1553" spans="1:4" ht="27">
      <c r="A1553" s="798">
        <v>102990</v>
      </c>
      <c r="B1553" s="799" t="s">
        <v>7493</v>
      </c>
      <c r="C1553" s="798" t="s">
        <v>14</v>
      </c>
      <c r="D1553" s="800">
        <v>32.11</v>
      </c>
    </row>
    <row r="1554" spans="1:4" ht="27">
      <c r="A1554" s="798">
        <v>102991</v>
      </c>
      <c r="B1554" s="799" t="s">
        <v>7494</v>
      </c>
      <c r="C1554" s="798" t="s">
        <v>14</v>
      </c>
      <c r="D1554" s="800">
        <v>41.59</v>
      </c>
    </row>
    <row r="1555" spans="1:4" ht="27">
      <c r="A1555" s="798">
        <v>102992</v>
      </c>
      <c r="B1555" s="799" t="s">
        <v>7495</v>
      </c>
      <c r="C1555" s="798" t="s">
        <v>14</v>
      </c>
      <c r="D1555" s="800">
        <v>61</v>
      </c>
    </row>
    <row r="1556" spans="1:4" ht="27">
      <c r="A1556" s="798">
        <v>102993</v>
      </c>
      <c r="B1556" s="799" t="s">
        <v>7496</v>
      </c>
      <c r="C1556" s="798" t="s">
        <v>14</v>
      </c>
      <c r="D1556" s="800">
        <v>79.430000000000007</v>
      </c>
    </row>
    <row r="1557" spans="1:4" ht="27">
      <c r="A1557" s="798">
        <v>102994</v>
      </c>
      <c r="B1557" s="799" t="s">
        <v>7497</v>
      </c>
      <c r="C1557" s="798" t="s">
        <v>14</v>
      </c>
      <c r="D1557" s="800">
        <v>135.05000000000001</v>
      </c>
    </row>
    <row r="1558" spans="1:4" ht="40.5">
      <c r="A1558" s="798">
        <v>102995</v>
      </c>
      <c r="B1558" s="799" t="s">
        <v>7498</v>
      </c>
      <c r="C1558" s="798" t="s">
        <v>14</v>
      </c>
      <c r="D1558" s="800">
        <v>43.06</v>
      </c>
    </row>
    <row r="1559" spans="1:4" ht="40.5">
      <c r="A1559" s="798">
        <v>102996</v>
      </c>
      <c r="B1559" s="799" t="s">
        <v>7499</v>
      </c>
      <c r="C1559" s="798" t="s">
        <v>14</v>
      </c>
      <c r="D1559" s="800">
        <v>60.98</v>
      </c>
    </row>
    <row r="1560" spans="1:4" ht="40.5">
      <c r="A1560" s="798">
        <v>102997</v>
      </c>
      <c r="B1560" s="799" t="s">
        <v>7500</v>
      </c>
      <c r="C1560" s="798" t="s">
        <v>14</v>
      </c>
      <c r="D1560" s="800">
        <v>82.14</v>
      </c>
    </row>
    <row r="1561" spans="1:4" ht="40.5">
      <c r="A1561" s="798">
        <v>102998</v>
      </c>
      <c r="B1561" s="799" t="s">
        <v>7501</v>
      </c>
      <c r="C1561" s="798" t="s">
        <v>14</v>
      </c>
      <c r="D1561" s="800">
        <v>78.34</v>
      </c>
    </row>
    <row r="1562" spans="1:4" ht="40.5">
      <c r="A1562" s="798">
        <v>102999</v>
      </c>
      <c r="B1562" s="799" t="s">
        <v>7502</v>
      </c>
      <c r="C1562" s="798" t="s">
        <v>14</v>
      </c>
      <c r="D1562" s="800">
        <v>99.17</v>
      </c>
    </row>
    <row r="1563" spans="1:4" ht="40.5">
      <c r="A1563" s="798">
        <v>103000</v>
      </c>
      <c r="B1563" s="799" t="s">
        <v>7503</v>
      </c>
      <c r="C1563" s="798" t="s">
        <v>14</v>
      </c>
      <c r="D1563" s="800">
        <v>99.58</v>
      </c>
    </row>
    <row r="1564" spans="1:4" ht="40.5">
      <c r="A1564" s="798">
        <v>103001</v>
      </c>
      <c r="B1564" s="799" t="s">
        <v>7504</v>
      </c>
      <c r="C1564" s="798" t="s">
        <v>24</v>
      </c>
      <c r="D1564" s="800">
        <v>241.71</v>
      </c>
    </row>
    <row r="1565" spans="1:4" ht="40.5">
      <c r="A1565" s="798">
        <v>103002</v>
      </c>
      <c r="B1565" s="799" t="s">
        <v>7505</v>
      </c>
      <c r="C1565" s="798" t="s">
        <v>24</v>
      </c>
      <c r="D1565" s="800">
        <v>302.95</v>
      </c>
    </row>
    <row r="1566" spans="1:4" ht="40.5">
      <c r="A1566" s="798">
        <v>103003</v>
      </c>
      <c r="B1566" s="799" t="s">
        <v>7506</v>
      </c>
      <c r="C1566" s="798" t="s">
        <v>24</v>
      </c>
      <c r="D1566" s="800">
        <v>425.47</v>
      </c>
    </row>
    <row r="1567" spans="1:4" ht="40.5">
      <c r="A1567" s="798">
        <v>103005</v>
      </c>
      <c r="B1567" s="799" t="s">
        <v>7507</v>
      </c>
      <c r="C1567" s="798" t="s">
        <v>24</v>
      </c>
      <c r="D1567" s="800">
        <v>557</v>
      </c>
    </row>
    <row r="1568" spans="1:4" ht="40.5">
      <c r="A1568" s="798">
        <v>103006</v>
      </c>
      <c r="B1568" s="799" t="s">
        <v>7508</v>
      </c>
      <c r="C1568" s="798" t="s">
        <v>24</v>
      </c>
      <c r="D1568" s="800">
        <v>757.45</v>
      </c>
    </row>
    <row r="1569" spans="1:4" ht="40.5">
      <c r="A1569" s="798">
        <v>103007</v>
      </c>
      <c r="B1569" s="799" t="s">
        <v>7509</v>
      </c>
      <c r="C1569" s="798" t="s">
        <v>24</v>
      </c>
      <c r="D1569" s="800">
        <v>1011.51</v>
      </c>
    </row>
    <row r="1570" spans="1:4" ht="40.5">
      <c r="A1570" s="798">
        <v>97933</v>
      </c>
      <c r="B1570" s="799" t="s">
        <v>6236</v>
      </c>
      <c r="C1570" s="798" t="s">
        <v>24</v>
      </c>
      <c r="D1570" s="800">
        <v>910.87</v>
      </c>
    </row>
    <row r="1571" spans="1:4" ht="40.5">
      <c r="A1571" s="798">
        <v>97934</v>
      </c>
      <c r="B1571" s="799" t="s">
        <v>6237</v>
      </c>
      <c r="C1571" s="798" t="s">
        <v>24</v>
      </c>
      <c r="D1571" s="800">
        <v>1936.2</v>
      </c>
    </row>
    <row r="1572" spans="1:4" ht="40.5">
      <c r="A1572" s="798">
        <v>97935</v>
      </c>
      <c r="B1572" s="799" t="s">
        <v>6238</v>
      </c>
      <c r="C1572" s="798" t="s">
        <v>24</v>
      </c>
      <c r="D1572" s="800">
        <v>738.09</v>
      </c>
    </row>
    <row r="1573" spans="1:4" ht="40.5">
      <c r="A1573" s="798">
        <v>97936</v>
      </c>
      <c r="B1573" s="799" t="s">
        <v>6239</v>
      </c>
      <c r="C1573" s="798" t="s">
        <v>24</v>
      </c>
      <c r="D1573" s="800">
        <v>1623.59</v>
      </c>
    </row>
    <row r="1574" spans="1:4" ht="40.5">
      <c r="A1574" s="798">
        <v>97947</v>
      </c>
      <c r="B1574" s="799" t="s">
        <v>6240</v>
      </c>
      <c r="C1574" s="798" t="s">
        <v>24</v>
      </c>
      <c r="D1574" s="800">
        <v>1558.03</v>
      </c>
    </row>
    <row r="1575" spans="1:4" ht="40.5">
      <c r="A1575" s="798">
        <v>97948</v>
      </c>
      <c r="B1575" s="799" t="s">
        <v>6241</v>
      </c>
      <c r="C1575" s="798" t="s">
        <v>24</v>
      </c>
      <c r="D1575" s="800">
        <v>2867.57</v>
      </c>
    </row>
    <row r="1576" spans="1:4" ht="40.5">
      <c r="A1576" s="798">
        <v>97949</v>
      </c>
      <c r="B1576" s="799" t="s">
        <v>6242</v>
      </c>
      <c r="C1576" s="798" t="s">
        <v>24</v>
      </c>
      <c r="D1576" s="800">
        <v>1559.62</v>
      </c>
    </row>
    <row r="1577" spans="1:4" ht="40.5">
      <c r="A1577" s="798">
        <v>97950</v>
      </c>
      <c r="B1577" s="799" t="s">
        <v>6243</v>
      </c>
      <c r="C1577" s="798" t="s">
        <v>24</v>
      </c>
      <c r="D1577" s="800">
        <v>2742.98</v>
      </c>
    </row>
    <row r="1578" spans="1:4" ht="40.5">
      <c r="A1578" s="798">
        <v>97951</v>
      </c>
      <c r="B1578" s="799" t="s">
        <v>6244</v>
      </c>
      <c r="C1578" s="798" t="s">
        <v>24</v>
      </c>
      <c r="D1578" s="800">
        <v>2495.0300000000002</v>
      </c>
    </row>
    <row r="1579" spans="1:4" ht="54">
      <c r="A1579" s="798">
        <v>97952</v>
      </c>
      <c r="B1579" s="799" t="s">
        <v>6245</v>
      </c>
      <c r="C1579" s="798" t="s">
        <v>24</v>
      </c>
      <c r="D1579" s="800">
        <v>4300.1899999999996</v>
      </c>
    </row>
    <row r="1580" spans="1:4" ht="40.5">
      <c r="A1580" s="798">
        <v>97953</v>
      </c>
      <c r="B1580" s="799" t="s">
        <v>6246</v>
      </c>
      <c r="C1580" s="798" t="s">
        <v>24</v>
      </c>
      <c r="D1580" s="800">
        <v>1122.71</v>
      </c>
    </row>
    <row r="1581" spans="1:4" ht="40.5">
      <c r="A1581" s="798">
        <v>97955</v>
      </c>
      <c r="B1581" s="799" t="s">
        <v>6247</v>
      </c>
      <c r="C1581" s="798" t="s">
        <v>24</v>
      </c>
      <c r="D1581" s="800">
        <v>2463.94</v>
      </c>
    </row>
    <row r="1582" spans="1:4" ht="40.5">
      <c r="A1582" s="798">
        <v>97956</v>
      </c>
      <c r="B1582" s="799" t="s">
        <v>6248</v>
      </c>
      <c r="C1582" s="798" t="s">
        <v>24</v>
      </c>
      <c r="D1582" s="800">
        <v>1195.18</v>
      </c>
    </row>
    <row r="1583" spans="1:4" ht="40.5">
      <c r="A1583" s="798">
        <v>97957</v>
      </c>
      <c r="B1583" s="799" t="s">
        <v>6249</v>
      </c>
      <c r="C1583" s="798" t="s">
        <v>24</v>
      </c>
      <c r="D1583" s="800">
        <v>2142.56</v>
      </c>
    </row>
    <row r="1584" spans="1:4" ht="40.5">
      <c r="A1584" s="798">
        <v>97961</v>
      </c>
      <c r="B1584" s="799" t="s">
        <v>6250</v>
      </c>
      <c r="C1584" s="798" t="s">
        <v>24</v>
      </c>
      <c r="D1584" s="800">
        <v>1957.17</v>
      </c>
    </row>
    <row r="1585" spans="1:4" ht="40.5">
      <c r="A1585" s="798">
        <v>97973</v>
      </c>
      <c r="B1585" s="799" t="s">
        <v>6251</v>
      </c>
      <c r="C1585" s="798" t="s">
        <v>24</v>
      </c>
      <c r="D1585" s="800">
        <v>3697.98</v>
      </c>
    </row>
    <row r="1586" spans="1:4" ht="40.5">
      <c r="A1586" s="798">
        <v>97974</v>
      </c>
      <c r="B1586" s="799" t="s">
        <v>6252</v>
      </c>
      <c r="C1586" s="798" t="s">
        <v>24</v>
      </c>
      <c r="D1586" s="800">
        <v>414.41</v>
      </c>
    </row>
    <row r="1587" spans="1:4" ht="40.5">
      <c r="A1587" s="798">
        <v>97975</v>
      </c>
      <c r="B1587" s="799" t="s">
        <v>6253</v>
      </c>
      <c r="C1587" s="798" t="s">
        <v>24</v>
      </c>
      <c r="D1587" s="800">
        <v>431.01</v>
      </c>
    </row>
    <row r="1588" spans="1:4" ht="40.5">
      <c r="A1588" s="798">
        <v>97976</v>
      </c>
      <c r="B1588" s="799" t="s">
        <v>6254</v>
      </c>
      <c r="C1588" s="798" t="s">
        <v>24</v>
      </c>
      <c r="D1588" s="800">
        <v>964.48</v>
      </c>
    </row>
    <row r="1589" spans="1:4" ht="40.5">
      <c r="A1589" s="798">
        <v>97977</v>
      </c>
      <c r="B1589" s="799" t="s">
        <v>6255</v>
      </c>
      <c r="C1589" s="798" t="s">
        <v>24</v>
      </c>
      <c r="D1589" s="800">
        <v>1356.86</v>
      </c>
    </row>
    <row r="1590" spans="1:4" ht="40.5">
      <c r="A1590" s="798">
        <v>97978</v>
      </c>
      <c r="B1590" s="799" t="s">
        <v>6256</v>
      </c>
      <c r="C1590" s="798" t="s">
        <v>24</v>
      </c>
      <c r="D1590" s="800">
        <v>807.1</v>
      </c>
    </row>
    <row r="1591" spans="1:4" ht="54">
      <c r="A1591" s="798">
        <v>97980</v>
      </c>
      <c r="B1591" s="799" t="s">
        <v>6257</v>
      </c>
      <c r="C1591" s="798" t="s">
        <v>24</v>
      </c>
      <c r="D1591" s="800">
        <v>1795.47</v>
      </c>
    </row>
    <row r="1592" spans="1:4" ht="40.5">
      <c r="A1592" s="798">
        <v>97981</v>
      </c>
      <c r="B1592" s="799" t="s">
        <v>6258</v>
      </c>
      <c r="C1592" s="798" t="s">
        <v>14</v>
      </c>
      <c r="D1592" s="800">
        <v>1006.84</v>
      </c>
    </row>
    <row r="1593" spans="1:4" ht="40.5">
      <c r="A1593" s="798">
        <v>97983</v>
      </c>
      <c r="B1593" s="799" t="s">
        <v>6259</v>
      </c>
      <c r="C1593" s="798" t="s">
        <v>14</v>
      </c>
      <c r="D1593" s="800">
        <v>434.54</v>
      </c>
    </row>
    <row r="1594" spans="1:4" ht="40.5">
      <c r="A1594" s="798">
        <v>97985</v>
      </c>
      <c r="B1594" s="799" t="s">
        <v>6260</v>
      </c>
      <c r="C1594" s="798" t="s">
        <v>14</v>
      </c>
      <c r="D1594" s="800">
        <v>1215.3399999999999</v>
      </c>
    </row>
    <row r="1595" spans="1:4" ht="40.5">
      <c r="A1595" s="798">
        <v>97987</v>
      </c>
      <c r="B1595" s="799" t="s">
        <v>6261</v>
      </c>
      <c r="C1595" s="798" t="s">
        <v>14</v>
      </c>
      <c r="D1595" s="800">
        <v>579.84</v>
      </c>
    </row>
    <row r="1596" spans="1:4" ht="54">
      <c r="A1596" s="798">
        <v>97988</v>
      </c>
      <c r="B1596" s="799" t="s">
        <v>6262</v>
      </c>
      <c r="C1596" s="798" t="s">
        <v>24</v>
      </c>
      <c r="D1596" s="800">
        <v>2667.57</v>
      </c>
    </row>
    <row r="1597" spans="1:4" ht="40.5">
      <c r="A1597" s="798">
        <v>97989</v>
      </c>
      <c r="B1597" s="799" t="s">
        <v>6263</v>
      </c>
      <c r="C1597" s="798" t="s">
        <v>14</v>
      </c>
      <c r="D1597" s="800">
        <v>1423.88</v>
      </c>
    </row>
    <row r="1598" spans="1:4" ht="40.5">
      <c r="A1598" s="798">
        <v>97991</v>
      </c>
      <c r="B1598" s="799" t="s">
        <v>6264</v>
      </c>
      <c r="C1598" s="798" t="s">
        <v>14</v>
      </c>
      <c r="D1598" s="800">
        <v>836.54</v>
      </c>
    </row>
    <row r="1599" spans="1:4" ht="54">
      <c r="A1599" s="798">
        <v>97992</v>
      </c>
      <c r="B1599" s="799" t="s">
        <v>6265</v>
      </c>
      <c r="C1599" s="798" t="s">
        <v>24</v>
      </c>
      <c r="D1599" s="800">
        <v>3451.03</v>
      </c>
    </row>
    <row r="1600" spans="1:4" ht="40.5">
      <c r="A1600" s="798">
        <v>97993</v>
      </c>
      <c r="B1600" s="799" t="s">
        <v>6266</v>
      </c>
      <c r="C1600" s="798" t="s">
        <v>14</v>
      </c>
      <c r="D1600" s="800">
        <v>1736.67</v>
      </c>
    </row>
    <row r="1601" spans="1:4" ht="54">
      <c r="A1601" s="798">
        <v>97994</v>
      </c>
      <c r="B1601" s="799" t="s">
        <v>6267</v>
      </c>
      <c r="C1601" s="798" t="s">
        <v>24</v>
      </c>
      <c r="D1601" s="800">
        <v>2201.0100000000002</v>
      </c>
    </row>
    <row r="1602" spans="1:4" ht="40.5">
      <c r="A1602" s="798">
        <v>97995</v>
      </c>
      <c r="B1602" s="799" t="s">
        <v>6268</v>
      </c>
      <c r="C1602" s="798" t="s">
        <v>14</v>
      </c>
      <c r="D1602" s="800">
        <v>1041.1300000000001</v>
      </c>
    </row>
    <row r="1603" spans="1:4" ht="54">
      <c r="A1603" s="798">
        <v>97996</v>
      </c>
      <c r="B1603" s="799" t="s">
        <v>6269</v>
      </c>
      <c r="C1603" s="798" t="s">
        <v>24</v>
      </c>
      <c r="D1603" s="800">
        <v>2788.29</v>
      </c>
    </row>
    <row r="1604" spans="1:4" ht="40.5">
      <c r="A1604" s="798">
        <v>97997</v>
      </c>
      <c r="B1604" s="799" t="s">
        <v>6270</v>
      </c>
      <c r="C1604" s="798" t="s">
        <v>14</v>
      </c>
      <c r="D1604" s="800">
        <v>1242.68</v>
      </c>
    </row>
    <row r="1605" spans="1:4" ht="40.5">
      <c r="A1605" s="798">
        <v>97999</v>
      </c>
      <c r="B1605" s="799" t="s">
        <v>6271</v>
      </c>
      <c r="C1605" s="798" t="s">
        <v>14</v>
      </c>
      <c r="D1605" s="800">
        <v>1444.25</v>
      </c>
    </row>
    <row r="1606" spans="1:4" ht="40.5">
      <c r="A1606" s="798">
        <v>98001</v>
      </c>
      <c r="B1606" s="799" t="s">
        <v>6272</v>
      </c>
      <c r="C1606" s="798" t="s">
        <v>14</v>
      </c>
      <c r="D1606" s="800">
        <v>1645.81</v>
      </c>
    </row>
    <row r="1607" spans="1:4" ht="54">
      <c r="A1607" s="798">
        <v>98002</v>
      </c>
      <c r="B1607" s="799" t="s">
        <v>6273</v>
      </c>
      <c r="C1607" s="798" t="s">
        <v>24</v>
      </c>
      <c r="D1607" s="800">
        <v>4586.17</v>
      </c>
    </row>
    <row r="1608" spans="1:4" ht="40.5">
      <c r="A1608" s="798">
        <v>98003</v>
      </c>
      <c r="B1608" s="799" t="s">
        <v>6274</v>
      </c>
      <c r="C1608" s="798" t="s">
        <v>14</v>
      </c>
      <c r="D1608" s="800">
        <v>1847.4</v>
      </c>
    </row>
    <row r="1609" spans="1:4" ht="40.5">
      <c r="A1609" s="798">
        <v>98005</v>
      </c>
      <c r="B1609" s="799" t="s">
        <v>6275</v>
      </c>
      <c r="C1609" s="798" t="s">
        <v>14</v>
      </c>
      <c r="D1609" s="800">
        <v>2048.96</v>
      </c>
    </row>
    <row r="1610" spans="1:4" ht="54">
      <c r="A1610" s="798">
        <v>98006</v>
      </c>
      <c r="B1610" s="799" t="s">
        <v>6276</v>
      </c>
      <c r="C1610" s="798" t="s">
        <v>24</v>
      </c>
      <c r="D1610" s="800">
        <v>5765.95</v>
      </c>
    </row>
    <row r="1611" spans="1:4" ht="40.5">
      <c r="A1611" s="798">
        <v>98007</v>
      </c>
      <c r="B1611" s="799" t="s">
        <v>6277</v>
      </c>
      <c r="C1611" s="798" t="s">
        <v>14</v>
      </c>
      <c r="D1611" s="800">
        <v>2250.5100000000002</v>
      </c>
    </row>
    <row r="1612" spans="1:4" ht="54">
      <c r="A1612" s="798">
        <v>98008</v>
      </c>
      <c r="B1612" s="799" t="s">
        <v>6278</v>
      </c>
      <c r="C1612" s="798" t="s">
        <v>24</v>
      </c>
      <c r="D1612" s="800">
        <v>3473.93</v>
      </c>
    </row>
    <row r="1613" spans="1:4" ht="40.5">
      <c r="A1613" s="798">
        <v>98009</v>
      </c>
      <c r="B1613" s="799" t="s">
        <v>6279</v>
      </c>
      <c r="C1613" s="798" t="s">
        <v>14</v>
      </c>
      <c r="D1613" s="800">
        <v>1444.25</v>
      </c>
    </row>
    <row r="1614" spans="1:4" ht="54">
      <c r="A1614" s="798">
        <v>98010</v>
      </c>
      <c r="B1614" s="799" t="s">
        <v>6280</v>
      </c>
      <c r="C1614" s="798" t="s">
        <v>24</v>
      </c>
      <c r="D1614" s="800">
        <v>4253.97</v>
      </c>
    </row>
    <row r="1615" spans="1:4" ht="40.5">
      <c r="A1615" s="798">
        <v>98011</v>
      </c>
      <c r="B1615" s="799" t="s">
        <v>6281</v>
      </c>
      <c r="C1615" s="798" t="s">
        <v>14</v>
      </c>
      <c r="D1615" s="800">
        <v>1645.81</v>
      </c>
    </row>
    <row r="1616" spans="1:4" ht="54">
      <c r="A1616" s="798">
        <v>98012</v>
      </c>
      <c r="B1616" s="799" t="s">
        <v>6282</v>
      </c>
      <c r="C1616" s="798" t="s">
        <v>24</v>
      </c>
      <c r="D1616" s="800">
        <v>5005.21</v>
      </c>
    </row>
    <row r="1617" spans="1:4" ht="40.5">
      <c r="A1617" s="798">
        <v>98013</v>
      </c>
      <c r="B1617" s="799" t="s">
        <v>6283</v>
      </c>
      <c r="C1617" s="798" t="s">
        <v>14</v>
      </c>
      <c r="D1617" s="800">
        <v>1847.4</v>
      </c>
    </row>
    <row r="1618" spans="1:4" ht="54">
      <c r="A1618" s="798">
        <v>98014</v>
      </c>
      <c r="B1618" s="799" t="s">
        <v>6284</v>
      </c>
      <c r="C1618" s="798" t="s">
        <v>24</v>
      </c>
      <c r="D1618" s="800">
        <v>5756.41</v>
      </c>
    </row>
    <row r="1619" spans="1:4" ht="40.5">
      <c r="A1619" s="798">
        <v>98015</v>
      </c>
      <c r="B1619" s="799" t="s">
        <v>6285</v>
      </c>
      <c r="C1619" s="798" t="s">
        <v>14</v>
      </c>
      <c r="D1619" s="800">
        <v>2048.96</v>
      </c>
    </row>
    <row r="1620" spans="1:4" ht="54">
      <c r="A1620" s="798">
        <v>98016</v>
      </c>
      <c r="B1620" s="799" t="s">
        <v>6286</v>
      </c>
      <c r="C1620" s="798" t="s">
        <v>24</v>
      </c>
      <c r="D1620" s="800">
        <v>6512.02</v>
      </c>
    </row>
    <row r="1621" spans="1:4" ht="40.5">
      <c r="A1621" s="798">
        <v>98017</v>
      </c>
      <c r="B1621" s="799" t="s">
        <v>6287</v>
      </c>
      <c r="C1621" s="798" t="s">
        <v>14</v>
      </c>
      <c r="D1621" s="800">
        <v>2250.5100000000002</v>
      </c>
    </row>
    <row r="1622" spans="1:4" ht="54">
      <c r="A1622" s="798">
        <v>98018</v>
      </c>
      <c r="B1622" s="799" t="s">
        <v>6288</v>
      </c>
      <c r="C1622" s="798" t="s">
        <v>24</v>
      </c>
      <c r="D1622" s="800">
        <v>7258.93</v>
      </c>
    </row>
    <row r="1623" spans="1:4" ht="40.5">
      <c r="A1623" s="798">
        <v>98019</v>
      </c>
      <c r="B1623" s="799" t="s">
        <v>6289</v>
      </c>
      <c r="C1623" s="798" t="s">
        <v>14</v>
      </c>
      <c r="D1623" s="800">
        <v>2470.71</v>
      </c>
    </row>
    <row r="1624" spans="1:4" ht="54">
      <c r="A1624" s="798">
        <v>98020</v>
      </c>
      <c r="B1624" s="799" t="s">
        <v>6290</v>
      </c>
      <c r="C1624" s="798" t="s">
        <v>24</v>
      </c>
      <c r="D1624" s="800">
        <v>5141.2299999999996</v>
      </c>
    </row>
    <row r="1625" spans="1:4" ht="40.5">
      <c r="A1625" s="798">
        <v>98021</v>
      </c>
      <c r="B1625" s="799" t="s">
        <v>6291</v>
      </c>
      <c r="C1625" s="798" t="s">
        <v>14</v>
      </c>
      <c r="D1625" s="800">
        <v>1866.09</v>
      </c>
    </row>
    <row r="1626" spans="1:4" ht="54">
      <c r="A1626" s="798">
        <v>98022</v>
      </c>
      <c r="B1626" s="799" t="s">
        <v>6292</v>
      </c>
      <c r="C1626" s="798" t="s">
        <v>24</v>
      </c>
      <c r="D1626" s="800">
        <v>6043.41</v>
      </c>
    </row>
    <row r="1627" spans="1:4" ht="40.5">
      <c r="A1627" s="798">
        <v>98023</v>
      </c>
      <c r="B1627" s="799" t="s">
        <v>6293</v>
      </c>
      <c r="C1627" s="798" t="s">
        <v>14</v>
      </c>
      <c r="D1627" s="800">
        <v>2067.59</v>
      </c>
    </row>
    <row r="1628" spans="1:4" ht="54">
      <c r="A1628" s="798">
        <v>98024</v>
      </c>
      <c r="B1628" s="799" t="s">
        <v>6294</v>
      </c>
      <c r="C1628" s="798" t="s">
        <v>24</v>
      </c>
      <c r="D1628" s="800">
        <v>7004.98</v>
      </c>
    </row>
    <row r="1629" spans="1:4" ht="40.5">
      <c r="A1629" s="798">
        <v>98025</v>
      </c>
      <c r="B1629" s="799" t="s">
        <v>6295</v>
      </c>
      <c r="C1629" s="798" t="s">
        <v>14</v>
      </c>
      <c r="D1629" s="800">
        <v>2269.1999999999998</v>
      </c>
    </row>
    <row r="1630" spans="1:4" ht="54">
      <c r="A1630" s="798">
        <v>98026</v>
      </c>
      <c r="B1630" s="799" t="s">
        <v>6296</v>
      </c>
      <c r="C1630" s="798" t="s">
        <v>24</v>
      </c>
      <c r="D1630" s="800">
        <v>7910.88</v>
      </c>
    </row>
    <row r="1631" spans="1:4" ht="40.5">
      <c r="A1631" s="798">
        <v>98027</v>
      </c>
      <c r="B1631" s="799" t="s">
        <v>6297</v>
      </c>
      <c r="C1631" s="798" t="s">
        <v>14</v>
      </c>
      <c r="D1631" s="800">
        <v>2470.71</v>
      </c>
    </row>
    <row r="1632" spans="1:4" ht="54">
      <c r="A1632" s="798">
        <v>98028</v>
      </c>
      <c r="B1632" s="799" t="s">
        <v>6298</v>
      </c>
      <c r="C1632" s="798" t="s">
        <v>24</v>
      </c>
      <c r="D1632" s="800">
        <v>8816.84</v>
      </c>
    </row>
    <row r="1633" spans="1:4" ht="40.5">
      <c r="A1633" s="798">
        <v>98029</v>
      </c>
      <c r="B1633" s="799" t="s">
        <v>6299</v>
      </c>
      <c r="C1633" s="798" t="s">
        <v>14</v>
      </c>
      <c r="D1633" s="800">
        <v>2676.14</v>
      </c>
    </row>
    <row r="1634" spans="1:4" ht="54">
      <c r="A1634" s="798">
        <v>98030</v>
      </c>
      <c r="B1634" s="799" t="s">
        <v>6300</v>
      </c>
      <c r="C1634" s="798" t="s">
        <v>24</v>
      </c>
      <c r="D1634" s="800">
        <v>7200.83</v>
      </c>
    </row>
    <row r="1635" spans="1:4" ht="40.5">
      <c r="A1635" s="798">
        <v>98031</v>
      </c>
      <c r="B1635" s="799" t="s">
        <v>6301</v>
      </c>
      <c r="C1635" s="798" t="s">
        <v>14</v>
      </c>
      <c r="D1635" s="800">
        <v>2273.1</v>
      </c>
    </row>
    <row r="1636" spans="1:4" ht="54">
      <c r="A1636" s="798">
        <v>98032</v>
      </c>
      <c r="B1636" s="799" t="s">
        <v>6302</v>
      </c>
      <c r="C1636" s="798" t="s">
        <v>24</v>
      </c>
      <c r="D1636" s="800">
        <v>8300.5</v>
      </c>
    </row>
    <row r="1637" spans="1:4" ht="40.5">
      <c r="A1637" s="798">
        <v>98033</v>
      </c>
      <c r="B1637" s="799" t="s">
        <v>6303</v>
      </c>
      <c r="C1637" s="798" t="s">
        <v>14</v>
      </c>
      <c r="D1637" s="800">
        <v>2474.61</v>
      </c>
    </row>
    <row r="1638" spans="1:4" ht="54">
      <c r="A1638" s="798">
        <v>98034</v>
      </c>
      <c r="B1638" s="799" t="s">
        <v>6304</v>
      </c>
      <c r="C1638" s="798" t="s">
        <v>24</v>
      </c>
      <c r="D1638" s="800">
        <v>9400.1</v>
      </c>
    </row>
    <row r="1639" spans="1:4" ht="40.5">
      <c r="A1639" s="798">
        <v>98035</v>
      </c>
      <c r="B1639" s="799" t="s">
        <v>6305</v>
      </c>
      <c r="C1639" s="798" t="s">
        <v>14</v>
      </c>
      <c r="D1639" s="800">
        <v>2676.14</v>
      </c>
    </row>
    <row r="1640" spans="1:4" ht="54">
      <c r="A1640" s="798">
        <v>98036</v>
      </c>
      <c r="B1640" s="799" t="s">
        <v>6306</v>
      </c>
      <c r="C1640" s="798" t="s">
        <v>24</v>
      </c>
      <c r="D1640" s="800">
        <v>10499.75</v>
      </c>
    </row>
    <row r="1641" spans="1:4" ht="40.5">
      <c r="A1641" s="798">
        <v>98037</v>
      </c>
      <c r="B1641" s="799" t="s">
        <v>6307</v>
      </c>
      <c r="C1641" s="798" t="s">
        <v>14</v>
      </c>
      <c r="D1641" s="800">
        <v>2881.58</v>
      </c>
    </row>
    <row r="1642" spans="1:4" ht="54">
      <c r="A1642" s="798">
        <v>98038</v>
      </c>
      <c r="B1642" s="799" t="s">
        <v>6308</v>
      </c>
      <c r="C1642" s="798" t="s">
        <v>24</v>
      </c>
      <c r="D1642" s="800">
        <v>9609.06</v>
      </c>
    </row>
    <row r="1643" spans="1:4" ht="40.5">
      <c r="A1643" s="798">
        <v>98039</v>
      </c>
      <c r="B1643" s="799" t="s">
        <v>6309</v>
      </c>
      <c r="C1643" s="798" t="s">
        <v>14</v>
      </c>
      <c r="D1643" s="800">
        <v>2680.04</v>
      </c>
    </row>
    <row r="1644" spans="1:4" ht="54">
      <c r="A1644" s="798">
        <v>98040</v>
      </c>
      <c r="B1644" s="799" t="s">
        <v>6310</v>
      </c>
      <c r="C1644" s="798" t="s">
        <v>24</v>
      </c>
      <c r="D1644" s="800">
        <v>10878.18</v>
      </c>
    </row>
    <row r="1645" spans="1:4" ht="40.5">
      <c r="A1645" s="798">
        <v>98041</v>
      </c>
      <c r="B1645" s="799" t="s">
        <v>6311</v>
      </c>
      <c r="C1645" s="798" t="s">
        <v>14</v>
      </c>
      <c r="D1645" s="800">
        <v>2881.58</v>
      </c>
    </row>
    <row r="1646" spans="1:4" ht="54">
      <c r="A1646" s="798">
        <v>98042</v>
      </c>
      <c r="B1646" s="799" t="s">
        <v>6312</v>
      </c>
      <c r="C1646" s="798" t="s">
        <v>24</v>
      </c>
      <c r="D1646" s="800">
        <v>12147.3</v>
      </c>
    </row>
    <row r="1647" spans="1:4" ht="40.5">
      <c r="A1647" s="798">
        <v>98043</v>
      </c>
      <c r="B1647" s="799" t="s">
        <v>6313</v>
      </c>
      <c r="C1647" s="798" t="s">
        <v>14</v>
      </c>
      <c r="D1647" s="800">
        <v>3087.05</v>
      </c>
    </row>
    <row r="1648" spans="1:4" ht="54">
      <c r="A1648" s="798">
        <v>98044</v>
      </c>
      <c r="B1648" s="799" t="s">
        <v>6314</v>
      </c>
      <c r="C1648" s="798" t="s">
        <v>24</v>
      </c>
      <c r="D1648" s="800">
        <v>12347.1</v>
      </c>
    </row>
    <row r="1649" spans="1:4" ht="40.5">
      <c r="A1649" s="798">
        <v>98045</v>
      </c>
      <c r="B1649" s="799" t="s">
        <v>6315</v>
      </c>
      <c r="C1649" s="798" t="s">
        <v>14</v>
      </c>
      <c r="D1649" s="800">
        <v>3087.05</v>
      </c>
    </row>
    <row r="1650" spans="1:4" ht="54">
      <c r="A1650" s="798">
        <v>98046</v>
      </c>
      <c r="B1650" s="799" t="s">
        <v>6316</v>
      </c>
      <c r="C1650" s="798" t="s">
        <v>24</v>
      </c>
      <c r="D1650" s="800">
        <v>13794.8</v>
      </c>
    </row>
    <row r="1651" spans="1:4" ht="40.5">
      <c r="A1651" s="798">
        <v>98047</v>
      </c>
      <c r="B1651" s="799" t="s">
        <v>6317</v>
      </c>
      <c r="C1651" s="798" t="s">
        <v>14</v>
      </c>
      <c r="D1651" s="800">
        <v>3292.49</v>
      </c>
    </row>
    <row r="1652" spans="1:4" ht="54">
      <c r="A1652" s="798">
        <v>98048</v>
      </c>
      <c r="B1652" s="799" t="s">
        <v>6318</v>
      </c>
      <c r="C1652" s="798" t="s">
        <v>24</v>
      </c>
      <c r="D1652" s="800">
        <v>16130.66</v>
      </c>
    </row>
    <row r="1653" spans="1:4" ht="40.5">
      <c r="A1653" s="798">
        <v>98049</v>
      </c>
      <c r="B1653" s="799" t="s">
        <v>6319</v>
      </c>
      <c r="C1653" s="798" t="s">
        <v>14</v>
      </c>
      <c r="D1653" s="800">
        <v>3459.82</v>
      </c>
    </row>
    <row r="1654" spans="1:4" ht="40.5">
      <c r="A1654" s="798">
        <v>98050</v>
      </c>
      <c r="B1654" s="799" t="s">
        <v>6320</v>
      </c>
      <c r="C1654" s="798" t="s">
        <v>14</v>
      </c>
      <c r="D1654" s="800">
        <v>240.92</v>
      </c>
    </row>
    <row r="1655" spans="1:4" ht="40.5">
      <c r="A1655" s="798">
        <v>98051</v>
      </c>
      <c r="B1655" s="799" t="s">
        <v>6321</v>
      </c>
      <c r="C1655" s="798" t="s">
        <v>14</v>
      </c>
      <c r="D1655" s="800">
        <v>802.31</v>
      </c>
    </row>
    <row r="1656" spans="1:4" ht="54">
      <c r="A1656" s="798">
        <v>98405</v>
      </c>
      <c r="B1656" s="799" t="s">
        <v>6322</v>
      </c>
      <c r="C1656" s="798" t="s">
        <v>24</v>
      </c>
      <c r="D1656" s="800">
        <v>2228.96</v>
      </c>
    </row>
    <row r="1657" spans="1:4" ht="54">
      <c r="A1657" s="798">
        <v>98406</v>
      </c>
      <c r="B1657" s="799" t="s">
        <v>6323</v>
      </c>
      <c r="C1657" s="798" t="s">
        <v>24</v>
      </c>
      <c r="D1657" s="800">
        <v>5177.95</v>
      </c>
    </row>
    <row r="1658" spans="1:4" ht="54">
      <c r="A1658" s="798">
        <v>98407</v>
      </c>
      <c r="B1658" s="799" t="s">
        <v>6324</v>
      </c>
      <c r="C1658" s="798" t="s">
        <v>24</v>
      </c>
      <c r="D1658" s="800">
        <v>3375.44</v>
      </c>
    </row>
    <row r="1659" spans="1:4" ht="54">
      <c r="A1659" s="798">
        <v>98408</v>
      </c>
      <c r="B1659" s="799" t="s">
        <v>6325</v>
      </c>
      <c r="C1659" s="798" t="s">
        <v>24</v>
      </c>
      <c r="D1659" s="800">
        <v>3962.71</v>
      </c>
    </row>
    <row r="1660" spans="1:4" ht="40.5">
      <c r="A1660" s="798">
        <v>98409</v>
      </c>
      <c r="B1660" s="799" t="s">
        <v>6326</v>
      </c>
      <c r="C1660" s="798" t="s">
        <v>14</v>
      </c>
      <c r="D1660" s="800">
        <v>328.29</v>
      </c>
    </row>
    <row r="1661" spans="1:4" ht="40.5">
      <c r="A1661" s="798">
        <v>98410</v>
      </c>
      <c r="B1661" s="799" t="s">
        <v>6327</v>
      </c>
      <c r="C1661" s="798" t="s">
        <v>24</v>
      </c>
      <c r="D1661" s="800">
        <v>1073.5</v>
      </c>
    </row>
    <row r="1662" spans="1:4" ht="40.5">
      <c r="A1662" s="798">
        <v>98414</v>
      </c>
      <c r="B1662" s="799" t="s">
        <v>6328</v>
      </c>
      <c r="C1662" s="798" t="s">
        <v>24</v>
      </c>
      <c r="D1662" s="800">
        <v>1062.21</v>
      </c>
    </row>
    <row r="1663" spans="1:4" ht="54">
      <c r="A1663" s="798">
        <v>98415</v>
      </c>
      <c r="B1663" s="799" t="s">
        <v>3284</v>
      </c>
      <c r="C1663" s="798" t="s">
        <v>24</v>
      </c>
      <c r="D1663" s="800">
        <v>1223.8699999999999</v>
      </c>
    </row>
    <row r="1664" spans="1:4" ht="54">
      <c r="A1664" s="798">
        <v>98416</v>
      </c>
      <c r="B1664" s="799" t="s">
        <v>3285</v>
      </c>
      <c r="C1664" s="798" t="s">
        <v>24</v>
      </c>
      <c r="D1664" s="800">
        <v>1279.48</v>
      </c>
    </row>
    <row r="1665" spans="1:4" ht="54">
      <c r="A1665" s="798">
        <v>98417</v>
      </c>
      <c r="B1665" s="799" t="s">
        <v>3286</v>
      </c>
      <c r="C1665" s="798" t="s">
        <v>24</v>
      </c>
      <c r="D1665" s="800">
        <v>1496.75</v>
      </c>
    </row>
    <row r="1666" spans="1:4" ht="54">
      <c r="A1666" s="798">
        <v>98418</v>
      </c>
      <c r="B1666" s="799" t="s">
        <v>3287</v>
      </c>
      <c r="C1666" s="798" t="s">
        <v>24</v>
      </c>
      <c r="D1666" s="800">
        <v>1617.21</v>
      </c>
    </row>
    <row r="1667" spans="1:4" ht="54">
      <c r="A1667" s="798">
        <v>98419</v>
      </c>
      <c r="B1667" s="799" t="s">
        <v>3288</v>
      </c>
      <c r="C1667" s="798" t="s">
        <v>24</v>
      </c>
      <c r="D1667" s="800">
        <v>1737.67</v>
      </c>
    </row>
    <row r="1668" spans="1:4" ht="67.5">
      <c r="A1668" s="798">
        <v>98420</v>
      </c>
      <c r="B1668" s="799" t="s">
        <v>3289</v>
      </c>
      <c r="C1668" s="798" t="s">
        <v>24</v>
      </c>
      <c r="D1668" s="800">
        <v>1781.68</v>
      </c>
    </row>
    <row r="1669" spans="1:4" ht="67.5">
      <c r="A1669" s="798">
        <v>98421</v>
      </c>
      <c r="B1669" s="799" t="s">
        <v>3290</v>
      </c>
      <c r="C1669" s="798" t="s">
        <v>24</v>
      </c>
      <c r="D1669" s="800">
        <v>1998.95</v>
      </c>
    </row>
    <row r="1670" spans="1:4" ht="67.5">
      <c r="A1670" s="798">
        <v>98422</v>
      </c>
      <c r="B1670" s="799" t="s">
        <v>3291</v>
      </c>
      <c r="C1670" s="798" t="s">
        <v>24</v>
      </c>
      <c r="D1670" s="800">
        <v>2216.2199999999998</v>
      </c>
    </row>
    <row r="1671" spans="1:4" ht="67.5">
      <c r="A1671" s="798">
        <v>98423</v>
      </c>
      <c r="B1671" s="799" t="s">
        <v>3292</v>
      </c>
      <c r="C1671" s="798" t="s">
        <v>24</v>
      </c>
      <c r="D1671" s="800">
        <v>2336.6799999999998</v>
      </c>
    </row>
    <row r="1672" spans="1:4" ht="67.5">
      <c r="A1672" s="798">
        <v>98424</v>
      </c>
      <c r="B1672" s="799" t="s">
        <v>3293</v>
      </c>
      <c r="C1672" s="798" t="s">
        <v>24</v>
      </c>
      <c r="D1672" s="800">
        <v>2457.14</v>
      </c>
    </row>
    <row r="1673" spans="1:4" ht="54">
      <c r="A1673" s="798">
        <v>98425</v>
      </c>
      <c r="B1673" s="799" t="s">
        <v>3294</v>
      </c>
      <c r="C1673" s="798" t="s">
        <v>24</v>
      </c>
      <c r="D1673" s="800">
        <v>2667.57</v>
      </c>
    </row>
    <row r="1674" spans="1:4" ht="54">
      <c r="A1674" s="798">
        <v>98426</v>
      </c>
      <c r="B1674" s="799" t="s">
        <v>3295</v>
      </c>
      <c r="C1674" s="798" t="s">
        <v>24</v>
      </c>
      <c r="D1674" s="800">
        <v>3379.51</v>
      </c>
    </row>
    <row r="1675" spans="1:4" ht="54">
      <c r="A1675" s="798">
        <v>98427</v>
      </c>
      <c r="B1675" s="799" t="s">
        <v>3296</v>
      </c>
      <c r="C1675" s="798" t="s">
        <v>24</v>
      </c>
      <c r="D1675" s="800">
        <v>4091.45</v>
      </c>
    </row>
    <row r="1676" spans="1:4" ht="54">
      <c r="A1676" s="798">
        <v>98428</v>
      </c>
      <c r="B1676" s="799" t="s">
        <v>3297</v>
      </c>
      <c r="C1676" s="798" t="s">
        <v>24</v>
      </c>
      <c r="D1676" s="800">
        <v>4492.6000000000004</v>
      </c>
    </row>
    <row r="1677" spans="1:4" ht="54">
      <c r="A1677" s="798">
        <v>98429</v>
      </c>
      <c r="B1677" s="799" t="s">
        <v>3298</v>
      </c>
      <c r="C1677" s="798" t="s">
        <v>24</v>
      </c>
      <c r="D1677" s="800">
        <v>4893.76</v>
      </c>
    </row>
    <row r="1678" spans="1:4" ht="67.5">
      <c r="A1678" s="798">
        <v>98430</v>
      </c>
      <c r="B1678" s="799" t="s">
        <v>3299</v>
      </c>
      <c r="C1678" s="798" t="s">
        <v>24</v>
      </c>
      <c r="D1678" s="800">
        <v>3387.04</v>
      </c>
    </row>
    <row r="1679" spans="1:4" ht="67.5">
      <c r="A1679" s="798">
        <v>98431</v>
      </c>
      <c r="B1679" s="799" t="s">
        <v>3300</v>
      </c>
      <c r="C1679" s="798" t="s">
        <v>24</v>
      </c>
      <c r="D1679" s="800">
        <v>4098.9799999999996</v>
      </c>
    </row>
    <row r="1680" spans="1:4" ht="67.5">
      <c r="A1680" s="798">
        <v>98432</v>
      </c>
      <c r="B1680" s="799" t="s">
        <v>3301</v>
      </c>
      <c r="C1680" s="798" t="s">
        <v>24</v>
      </c>
      <c r="D1680" s="800">
        <v>4810.92</v>
      </c>
    </row>
    <row r="1681" spans="1:4" ht="67.5">
      <c r="A1681" s="798">
        <v>98433</v>
      </c>
      <c r="B1681" s="799" t="s">
        <v>3302</v>
      </c>
      <c r="C1681" s="798" t="s">
        <v>24</v>
      </c>
      <c r="D1681" s="800">
        <v>5212.07</v>
      </c>
    </row>
    <row r="1682" spans="1:4" ht="67.5">
      <c r="A1682" s="798">
        <v>98434</v>
      </c>
      <c r="B1682" s="799" t="s">
        <v>3303</v>
      </c>
      <c r="C1682" s="798" t="s">
        <v>24</v>
      </c>
      <c r="D1682" s="800">
        <v>5613.23</v>
      </c>
    </row>
    <row r="1683" spans="1:4" ht="40.5">
      <c r="A1683" s="798">
        <v>99240</v>
      </c>
      <c r="B1683" s="799" t="s">
        <v>6329</v>
      </c>
      <c r="C1683" s="798" t="s">
        <v>14</v>
      </c>
      <c r="D1683" s="800">
        <v>577.27</v>
      </c>
    </row>
    <row r="1684" spans="1:4" ht="40.5">
      <c r="A1684" s="798">
        <v>99241</v>
      </c>
      <c r="B1684" s="799" t="s">
        <v>6330</v>
      </c>
      <c r="C1684" s="798" t="s">
        <v>14</v>
      </c>
      <c r="D1684" s="800">
        <v>1390.23</v>
      </c>
    </row>
    <row r="1685" spans="1:4" ht="54">
      <c r="A1685" s="798">
        <v>99242</v>
      </c>
      <c r="B1685" s="799" t="s">
        <v>6331</v>
      </c>
      <c r="C1685" s="798" t="s">
        <v>24</v>
      </c>
      <c r="D1685" s="800">
        <v>2594.11</v>
      </c>
    </row>
    <row r="1686" spans="1:4" ht="40.5">
      <c r="A1686" s="798">
        <v>99243</v>
      </c>
      <c r="B1686" s="799" t="s">
        <v>6332</v>
      </c>
      <c r="C1686" s="798" t="s">
        <v>14</v>
      </c>
      <c r="D1686" s="800">
        <v>1354.31</v>
      </c>
    </row>
    <row r="1687" spans="1:4" ht="54">
      <c r="A1687" s="798">
        <v>99244</v>
      </c>
      <c r="B1687" s="799" t="s">
        <v>6333</v>
      </c>
      <c r="C1687" s="798" t="s">
        <v>24</v>
      </c>
      <c r="D1687" s="800">
        <v>4165.71</v>
      </c>
    </row>
    <row r="1688" spans="1:4" ht="40.5">
      <c r="A1688" s="798">
        <v>99246</v>
      </c>
      <c r="B1688" s="799" t="s">
        <v>6334</v>
      </c>
      <c r="C1688" s="798" t="s">
        <v>14</v>
      </c>
      <c r="D1688" s="800">
        <v>833.02</v>
      </c>
    </row>
    <row r="1689" spans="1:4" ht="40.5">
      <c r="A1689" s="798">
        <v>99247</v>
      </c>
      <c r="B1689" s="799" t="s">
        <v>6335</v>
      </c>
      <c r="C1689" s="798" t="s">
        <v>14</v>
      </c>
      <c r="D1689" s="800">
        <v>1583.84</v>
      </c>
    </row>
    <row r="1690" spans="1:4" ht="54">
      <c r="A1690" s="798">
        <v>99248</v>
      </c>
      <c r="B1690" s="799" t="s">
        <v>6336</v>
      </c>
      <c r="C1690" s="798" t="s">
        <v>24</v>
      </c>
      <c r="D1690" s="800">
        <v>3977.41</v>
      </c>
    </row>
    <row r="1691" spans="1:4" ht="40.5">
      <c r="A1691" s="798">
        <v>99249</v>
      </c>
      <c r="B1691" s="799" t="s">
        <v>6337</v>
      </c>
      <c r="C1691" s="798" t="s">
        <v>14</v>
      </c>
      <c r="D1691" s="800">
        <v>1656.27</v>
      </c>
    </row>
    <row r="1692" spans="1:4" ht="54">
      <c r="A1692" s="798">
        <v>99252</v>
      </c>
      <c r="B1692" s="799" t="s">
        <v>6338</v>
      </c>
      <c r="C1692" s="798" t="s">
        <v>24</v>
      </c>
      <c r="D1692" s="800">
        <v>2155</v>
      </c>
    </row>
    <row r="1693" spans="1:4" ht="40.5">
      <c r="A1693" s="798">
        <v>99254</v>
      </c>
      <c r="B1693" s="799" t="s">
        <v>6339</v>
      </c>
      <c r="C1693" s="798" t="s">
        <v>14</v>
      </c>
      <c r="D1693" s="800">
        <v>1002.99</v>
      </c>
    </row>
    <row r="1694" spans="1:4" ht="54">
      <c r="A1694" s="798">
        <v>99256</v>
      </c>
      <c r="B1694" s="799" t="s">
        <v>6340</v>
      </c>
      <c r="C1694" s="798" t="s">
        <v>24</v>
      </c>
      <c r="D1694" s="800">
        <v>4913.41</v>
      </c>
    </row>
    <row r="1695" spans="1:4" ht="54">
      <c r="A1695" s="798">
        <v>99259</v>
      </c>
      <c r="B1695" s="799" t="s">
        <v>6341</v>
      </c>
      <c r="C1695" s="798" t="s">
        <v>24</v>
      </c>
      <c r="D1695" s="800">
        <v>2729.58</v>
      </c>
    </row>
    <row r="1696" spans="1:4" ht="40.5">
      <c r="A1696" s="798">
        <v>99261</v>
      </c>
      <c r="B1696" s="799" t="s">
        <v>6342</v>
      </c>
      <c r="C1696" s="798" t="s">
        <v>14</v>
      </c>
      <c r="D1696" s="800">
        <v>1196.5999999999999</v>
      </c>
    </row>
    <row r="1697" spans="1:4" ht="40.5">
      <c r="A1697" s="798">
        <v>99263</v>
      </c>
      <c r="B1697" s="799" t="s">
        <v>6343</v>
      </c>
      <c r="C1697" s="798" t="s">
        <v>14</v>
      </c>
      <c r="D1697" s="800">
        <v>1777.49</v>
      </c>
    </row>
    <row r="1698" spans="1:4" ht="54">
      <c r="A1698" s="798">
        <v>99265</v>
      </c>
      <c r="B1698" s="799" t="s">
        <v>6344</v>
      </c>
      <c r="C1698" s="798" t="s">
        <v>24</v>
      </c>
      <c r="D1698" s="800">
        <v>3304.01</v>
      </c>
    </row>
    <row r="1699" spans="1:4" ht="40.5">
      <c r="A1699" s="798">
        <v>99266</v>
      </c>
      <c r="B1699" s="799" t="s">
        <v>6345</v>
      </c>
      <c r="C1699" s="798" t="s">
        <v>14</v>
      </c>
      <c r="D1699" s="800">
        <v>1390.23</v>
      </c>
    </row>
    <row r="1700" spans="1:4" ht="54">
      <c r="A1700" s="798">
        <v>99267</v>
      </c>
      <c r="B1700" s="799" t="s">
        <v>6346</v>
      </c>
      <c r="C1700" s="798" t="s">
        <v>24</v>
      </c>
      <c r="D1700" s="800">
        <v>3881.01</v>
      </c>
    </row>
    <row r="1701" spans="1:4" ht="40.5">
      <c r="A1701" s="798">
        <v>99268</v>
      </c>
      <c r="B1701" s="799" t="s">
        <v>6347</v>
      </c>
      <c r="C1701" s="798" t="s">
        <v>24</v>
      </c>
      <c r="D1701" s="800">
        <v>411.13</v>
      </c>
    </row>
    <row r="1702" spans="1:4" ht="40.5">
      <c r="A1702" s="798">
        <v>99269</v>
      </c>
      <c r="B1702" s="799" t="s">
        <v>6348</v>
      </c>
      <c r="C1702" s="798" t="s">
        <v>14</v>
      </c>
      <c r="D1702" s="800">
        <v>1583.84</v>
      </c>
    </row>
    <row r="1703" spans="1:4" ht="40.5">
      <c r="A1703" s="798">
        <v>99270</v>
      </c>
      <c r="B1703" s="799" t="s">
        <v>6349</v>
      </c>
      <c r="C1703" s="798" t="s">
        <v>24</v>
      </c>
      <c r="D1703" s="800">
        <v>571.35</v>
      </c>
    </row>
    <row r="1704" spans="1:4" ht="54">
      <c r="A1704" s="798">
        <v>99271</v>
      </c>
      <c r="B1704" s="799" t="s">
        <v>6350</v>
      </c>
      <c r="C1704" s="798" t="s">
        <v>24</v>
      </c>
      <c r="D1704" s="800">
        <v>5636.32</v>
      </c>
    </row>
    <row r="1705" spans="1:4" ht="40.5">
      <c r="A1705" s="798">
        <v>99272</v>
      </c>
      <c r="B1705" s="799" t="s">
        <v>6351</v>
      </c>
      <c r="C1705" s="798" t="s">
        <v>24</v>
      </c>
      <c r="D1705" s="800">
        <v>931.41</v>
      </c>
    </row>
    <row r="1706" spans="1:4" ht="40.5">
      <c r="A1706" s="798">
        <v>99273</v>
      </c>
      <c r="B1706" s="799" t="s">
        <v>6352</v>
      </c>
      <c r="C1706" s="798" t="s">
        <v>24</v>
      </c>
      <c r="D1706" s="800">
        <v>1314.14</v>
      </c>
    </row>
    <row r="1707" spans="1:4" ht="54">
      <c r="A1707" s="798">
        <v>99274</v>
      </c>
      <c r="B1707" s="799" t="s">
        <v>6353</v>
      </c>
      <c r="C1707" s="798" t="s">
        <v>24</v>
      </c>
      <c r="D1707" s="800">
        <v>4489.38</v>
      </c>
    </row>
    <row r="1708" spans="1:4" ht="40.5">
      <c r="A1708" s="798">
        <v>99275</v>
      </c>
      <c r="B1708" s="799" t="s">
        <v>6354</v>
      </c>
      <c r="C1708" s="798" t="s">
        <v>24</v>
      </c>
      <c r="D1708" s="800">
        <v>800.65</v>
      </c>
    </row>
    <row r="1709" spans="1:4" ht="40.5">
      <c r="A1709" s="798">
        <v>99276</v>
      </c>
      <c r="B1709" s="799" t="s">
        <v>6355</v>
      </c>
      <c r="C1709" s="798" t="s">
        <v>14</v>
      </c>
      <c r="D1709" s="800">
        <v>1971.1</v>
      </c>
    </row>
    <row r="1710" spans="1:4" ht="40.5">
      <c r="A1710" s="798">
        <v>99277</v>
      </c>
      <c r="B1710" s="799" t="s">
        <v>6356</v>
      </c>
      <c r="C1710" s="798" t="s">
        <v>14</v>
      </c>
      <c r="D1710" s="800">
        <v>1777.49</v>
      </c>
    </row>
    <row r="1711" spans="1:4" ht="40.5">
      <c r="A1711" s="798">
        <v>99278</v>
      </c>
      <c r="B1711" s="799" t="s">
        <v>6357</v>
      </c>
      <c r="C1711" s="798" t="s">
        <v>14</v>
      </c>
      <c r="D1711" s="800">
        <v>326.72000000000003</v>
      </c>
    </row>
    <row r="1712" spans="1:4" ht="54">
      <c r="A1712" s="798">
        <v>99279</v>
      </c>
      <c r="B1712" s="799" t="s">
        <v>6358</v>
      </c>
      <c r="C1712" s="798" t="s">
        <v>24</v>
      </c>
      <c r="D1712" s="800">
        <v>5068.47</v>
      </c>
    </row>
    <row r="1713" spans="1:4" ht="54">
      <c r="A1713" s="798">
        <v>99280</v>
      </c>
      <c r="B1713" s="799" t="s">
        <v>6359</v>
      </c>
      <c r="C1713" s="798" t="s">
        <v>24</v>
      </c>
      <c r="D1713" s="800">
        <v>1737.54</v>
      </c>
    </row>
    <row r="1714" spans="1:4" ht="40.5">
      <c r="A1714" s="798">
        <v>99281</v>
      </c>
      <c r="B1714" s="799" t="s">
        <v>6360</v>
      </c>
      <c r="C1714" s="798" t="s">
        <v>14</v>
      </c>
      <c r="D1714" s="800">
        <v>1971.1</v>
      </c>
    </row>
    <row r="1715" spans="1:4" ht="40.5">
      <c r="A1715" s="798">
        <v>99282</v>
      </c>
      <c r="B1715" s="799" t="s">
        <v>6361</v>
      </c>
      <c r="C1715" s="798" t="s">
        <v>14</v>
      </c>
      <c r="D1715" s="800">
        <v>2184.41</v>
      </c>
    </row>
    <row r="1716" spans="1:4" ht="40.5">
      <c r="A1716" s="798">
        <v>99283</v>
      </c>
      <c r="B1716" s="799" t="s">
        <v>6362</v>
      </c>
      <c r="C1716" s="798" t="s">
        <v>14</v>
      </c>
      <c r="D1716" s="800">
        <v>951.69</v>
      </c>
    </row>
    <row r="1717" spans="1:4" ht="54">
      <c r="A1717" s="798">
        <v>99284</v>
      </c>
      <c r="B1717" s="799" t="s">
        <v>6363</v>
      </c>
      <c r="C1717" s="798" t="s">
        <v>24</v>
      </c>
      <c r="D1717" s="800">
        <v>6371.74</v>
      </c>
    </row>
    <row r="1718" spans="1:4" ht="40.5">
      <c r="A1718" s="798">
        <v>99285</v>
      </c>
      <c r="B1718" s="799" t="s">
        <v>5760</v>
      </c>
      <c r="C1718" s="798" t="s">
        <v>24</v>
      </c>
      <c r="D1718" s="800">
        <v>1139.26</v>
      </c>
    </row>
    <row r="1719" spans="1:4" ht="54">
      <c r="A1719" s="798">
        <v>99286</v>
      </c>
      <c r="B1719" s="799" t="s">
        <v>6364</v>
      </c>
      <c r="C1719" s="798" t="s">
        <v>24</v>
      </c>
      <c r="D1719" s="800">
        <v>5643.77</v>
      </c>
    </row>
    <row r="1720" spans="1:4" ht="54">
      <c r="A1720" s="798">
        <v>99287</v>
      </c>
      <c r="B1720" s="799" t="s">
        <v>6365</v>
      </c>
      <c r="C1720" s="798" t="s">
        <v>24</v>
      </c>
      <c r="D1720" s="800">
        <v>8127.55</v>
      </c>
    </row>
    <row r="1721" spans="1:4" ht="40.5">
      <c r="A1721" s="798">
        <v>99288</v>
      </c>
      <c r="B1721" s="799" t="s">
        <v>6366</v>
      </c>
      <c r="C1721" s="798" t="s">
        <v>14</v>
      </c>
      <c r="D1721" s="800">
        <v>432.49</v>
      </c>
    </row>
    <row r="1722" spans="1:4" ht="40.5">
      <c r="A1722" s="798">
        <v>99289</v>
      </c>
      <c r="B1722" s="799" t="s">
        <v>6367</v>
      </c>
      <c r="C1722" s="798" t="s">
        <v>14</v>
      </c>
      <c r="D1722" s="800">
        <v>2141.1999999999998</v>
      </c>
    </row>
    <row r="1723" spans="1:4" ht="54">
      <c r="A1723" s="798">
        <v>99290</v>
      </c>
      <c r="B1723" s="799" t="s">
        <v>6368</v>
      </c>
      <c r="C1723" s="798" t="s">
        <v>24</v>
      </c>
      <c r="D1723" s="800">
        <v>3401.59</v>
      </c>
    </row>
    <row r="1724" spans="1:4" ht="40.5">
      <c r="A1724" s="798">
        <v>99291</v>
      </c>
      <c r="B1724" s="799" t="s">
        <v>6369</v>
      </c>
      <c r="C1724" s="798" t="s">
        <v>14</v>
      </c>
      <c r="D1724" s="800">
        <v>2164.7199999999998</v>
      </c>
    </row>
    <row r="1725" spans="1:4" ht="54">
      <c r="A1725" s="798">
        <v>99292</v>
      </c>
      <c r="B1725" s="799" t="s">
        <v>6370</v>
      </c>
      <c r="C1725" s="798" t="s">
        <v>24</v>
      </c>
      <c r="D1725" s="800">
        <v>2162.9</v>
      </c>
    </row>
    <row r="1726" spans="1:4" ht="40.5">
      <c r="A1726" s="798">
        <v>99293</v>
      </c>
      <c r="B1726" s="799" t="s">
        <v>6371</v>
      </c>
      <c r="C1726" s="798" t="s">
        <v>14</v>
      </c>
      <c r="D1726" s="800">
        <v>1152.98</v>
      </c>
    </row>
    <row r="1727" spans="1:4" ht="54">
      <c r="A1727" s="798">
        <v>99294</v>
      </c>
      <c r="B1727" s="799" t="s">
        <v>6372</v>
      </c>
      <c r="C1727" s="798" t="s">
        <v>24</v>
      </c>
      <c r="D1727" s="800">
        <v>7057.88</v>
      </c>
    </row>
    <row r="1728" spans="1:4" ht="40.5">
      <c r="A1728" s="798">
        <v>99296</v>
      </c>
      <c r="B1728" s="799" t="s">
        <v>6373</v>
      </c>
      <c r="C1728" s="798" t="s">
        <v>14</v>
      </c>
      <c r="D1728" s="800">
        <v>2377.98</v>
      </c>
    </row>
    <row r="1729" spans="1:4" ht="40.5">
      <c r="A1729" s="798">
        <v>99297</v>
      </c>
      <c r="B1729" s="799" t="s">
        <v>6374</v>
      </c>
      <c r="C1729" s="798" t="s">
        <v>14</v>
      </c>
      <c r="D1729" s="800">
        <v>2374.59</v>
      </c>
    </row>
    <row r="1730" spans="1:4" ht="54">
      <c r="A1730" s="798">
        <v>99298</v>
      </c>
      <c r="B1730" s="799" t="s">
        <v>6375</v>
      </c>
      <c r="C1730" s="798" t="s">
        <v>24</v>
      </c>
      <c r="D1730" s="800">
        <v>9203.73</v>
      </c>
    </row>
    <row r="1731" spans="1:4" ht="40.5">
      <c r="A1731" s="798">
        <v>99299</v>
      </c>
      <c r="B1731" s="799" t="s">
        <v>6376</v>
      </c>
      <c r="C1731" s="798" t="s">
        <v>14</v>
      </c>
      <c r="D1731" s="800">
        <v>2571.56</v>
      </c>
    </row>
    <row r="1732" spans="1:4" ht="54">
      <c r="A1732" s="798">
        <v>99300</v>
      </c>
      <c r="B1732" s="799" t="s">
        <v>6377</v>
      </c>
      <c r="C1732" s="798" t="s">
        <v>24</v>
      </c>
      <c r="D1732" s="800">
        <v>10280.129999999999</v>
      </c>
    </row>
    <row r="1733" spans="1:4" ht="54">
      <c r="A1733" s="798">
        <v>99301</v>
      </c>
      <c r="B1733" s="799" t="s">
        <v>6378</v>
      </c>
      <c r="C1733" s="798" t="s">
        <v>24</v>
      </c>
      <c r="D1733" s="800">
        <v>5038.01</v>
      </c>
    </row>
    <row r="1734" spans="1:4" ht="40.5">
      <c r="A1734" s="798">
        <v>99302</v>
      </c>
      <c r="B1734" s="799" t="s">
        <v>6379</v>
      </c>
      <c r="C1734" s="798" t="s">
        <v>14</v>
      </c>
      <c r="D1734" s="800">
        <v>2768.57</v>
      </c>
    </row>
    <row r="1735" spans="1:4" ht="54">
      <c r="A1735" s="798">
        <v>99303</v>
      </c>
      <c r="B1735" s="799" t="s">
        <v>6380</v>
      </c>
      <c r="C1735" s="798" t="s">
        <v>24</v>
      </c>
      <c r="D1735" s="800">
        <v>9408.25</v>
      </c>
    </row>
    <row r="1736" spans="1:4" ht="40.5">
      <c r="A1736" s="798">
        <v>99304</v>
      </c>
      <c r="B1736" s="799" t="s">
        <v>6381</v>
      </c>
      <c r="C1736" s="798" t="s">
        <v>14</v>
      </c>
      <c r="D1736" s="800">
        <v>2574.96</v>
      </c>
    </row>
    <row r="1737" spans="1:4" ht="54">
      <c r="A1737" s="798">
        <v>99305</v>
      </c>
      <c r="B1737" s="799" t="s">
        <v>6382</v>
      </c>
      <c r="C1737" s="798" t="s">
        <v>24</v>
      </c>
      <c r="D1737" s="800">
        <v>10650.73</v>
      </c>
    </row>
    <row r="1738" spans="1:4" ht="40.5">
      <c r="A1738" s="798">
        <v>99306</v>
      </c>
      <c r="B1738" s="799" t="s">
        <v>6383</v>
      </c>
      <c r="C1738" s="798" t="s">
        <v>14</v>
      </c>
      <c r="D1738" s="800">
        <v>2768.57</v>
      </c>
    </row>
    <row r="1739" spans="1:4" ht="40.5">
      <c r="A1739" s="798">
        <v>99307</v>
      </c>
      <c r="B1739" s="799" t="s">
        <v>6384</v>
      </c>
      <c r="C1739" s="798" t="s">
        <v>14</v>
      </c>
      <c r="D1739" s="800">
        <v>1853.68</v>
      </c>
    </row>
    <row r="1740" spans="1:4" ht="54">
      <c r="A1740" s="798">
        <v>99308</v>
      </c>
      <c r="B1740" s="799" t="s">
        <v>6385</v>
      </c>
      <c r="C1740" s="798" t="s">
        <v>24</v>
      </c>
      <c r="D1740" s="800">
        <v>11890.17</v>
      </c>
    </row>
    <row r="1741" spans="1:4" ht="40.5">
      <c r="A1741" s="798">
        <v>99309</v>
      </c>
      <c r="B1741" s="799" t="s">
        <v>6386</v>
      </c>
      <c r="C1741" s="798" t="s">
        <v>14</v>
      </c>
      <c r="D1741" s="800">
        <v>2965.59</v>
      </c>
    </row>
    <row r="1742" spans="1:4" ht="54">
      <c r="A1742" s="798">
        <v>99310</v>
      </c>
      <c r="B1742" s="799" t="s">
        <v>6387</v>
      </c>
      <c r="C1742" s="798" t="s">
        <v>24</v>
      </c>
      <c r="D1742" s="800">
        <v>12099.64</v>
      </c>
    </row>
    <row r="1743" spans="1:4" ht="40.5">
      <c r="A1743" s="798">
        <v>99311</v>
      </c>
      <c r="B1743" s="799" t="s">
        <v>6388</v>
      </c>
      <c r="C1743" s="798" t="s">
        <v>14</v>
      </c>
      <c r="D1743" s="800">
        <v>2965.59</v>
      </c>
    </row>
    <row r="1744" spans="1:4" ht="54">
      <c r="A1744" s="798">
        <v>99312</v>
      </c>
      <c r="B1744" s="799" t="s">
        <v>6389</v>
      </c>
      <c r="C1744" s="798" t="s">
        <v>24</v>
      </c>
      <c r="D1744" s="800">
        <v>5917.15</v>
      </c>
    </row>
    <row r="1745" spans="1:4" ht="54">
      <c r="A1745" s="798">
        <v>99313</v>
      </c>
      <c r="B1745" s="799" t="s">
        <v>6390</v>
      </c>
      <c r="C1745" s="798" t="s">
        <v>24</v>
      </c>
      <c r="D1745" s="800">
        <v>13506.21</v>
      </c>
    </row>
    <row r="1746" spans="1:4" ht="40.5">
      <c r="A1746" s="798">
        <v>99314</v>
      </c>
      <c r="B1746" s="799" t="s">
        <v>6391</v>
      </c>
      <c r="C1746" s="798" t="s">
        <v>14</v>
      </c>
      <c r="D1746" s="800">
        <v>3162.59</v>
      </c>
    </row>
    <row r="1747" spans="1:4" ht="54">
      <c r="A1747" s="798">
        <v>99315</v>
      </c>
      <c r="B1747" s="799" t="s">
        <v>6392</v>
      </c>
      <c r="C1747" s="798" t="s">
        <v>24</v>
      </c>
      <c r="D1747" s="800">
        <v>15119.25</v>
      </c>
    </row>
    <row r="1748" spans="1:4" ht="40.5">
      <c r="A1748" s="798">
        <v>99317</v>
      </c>
      <c r="B1748" s="799" t="s">
        <v>6393</v>
      </c>
      <c r="C1748" s="798" t="s">
        <v>14</v>
      </c>
      <c r="D1748" s="800">
        <v>1987.35</v>
      </c>
    </row>
    <row r="1749" spans="1:4" ht="40.5">
      <c r="A1749" s="798">
        <v>99318</v>
      </c>
      <c r="B1749" s="799" t="s">
        <v>6394</v>
      </c>
      <c r="C1749" s="798" t="s">
        <v>14</v>
      </c>
      <c r="D1749" s="800">
        <v>240.21</v>
      </c>
    </row>
    <row r="1750" spans="1:4" ht="40.5">
      <c r="A1750" s="798">
        <v>99319</v>
      </c>
      <c r="B1750" s="799" t="s">
        <v>6395</v>
      </c>
      <c r="C1750" s="798" t="s">
        <v>14</v>
      </c>
      <c r="D1750" s="800">
        <v>756.18</v>
      </c>
    </row>
    <row r="1751" spans="1:4" ht="54">
      <c r="A1751" s="798">
        <v>99320</v>
      </c>
      <c r="B1751" s="799" t="s">
        <v>6396</v>
      </c>
      <c r="C1751" s="798" t="s">
        <v>24</v>
      </c>
      <c r="D1751" s="800">
        <v>6859.96</v>
      </c>
    </row>
    <row r="1752" spans="1:4" ht="40.5">
      <c r="A1752" s="798">
        <v>99321</v>
      </c>
      <c r="B1752" s="799" t="s">
        <v>6397</v>
      </c>
      <c r="C1752" s="798" t="s">
        <v>14</v>
      </c>
      <c r="D1752" s="800">
        <v>2181.0100000000002</v>
      </c>
    </row>
    <row r="1753" spans="1:4" ht="54">
      <c r="A1753" s="798">
        <v>99322</v>
      </c>
      <c r="B1753" s="799" t="s">
        <v>6398</v>
      </c>
      <c r="C1753" s="798" t="s">
        <v>24</v>
      </c>
      <c r="D1753" s="800">
        <v>7747.12</v>
      </c>
    </row>
    <row r="1754" spans="1:4" ht="40.5">
      <c r="A1754" s="798">
        <v>99323</v>
      </c>
      <c r="B1754" s="799" t="s">
        <v>6399</v>
      </c>
      <c r="C1754" s="798" t="s">
        <v>14</v>
      </c>
      <c r="D1754" s="800">
        <v>2374.59</v>
      </c>
    </row>
    <row r="1755" spans="1:4" ht="54">
      <c r="A1755" s="798">
        <v>99324</v>
      </c>
      <c r="B1755" s="799" t="s">
        <v>6400</v>
      </c>
      <c r="C1755" s="798" t="s">
        <v>24</v>
      </c>
      <c r="D1755" s="800">
        <v>8634.32</v>
      </c>
    </row>
    <row r="1756" spans="1:4" ht="40.5">
      <c r="A1756" s="798">
        <v>99325</v>
      </c>
      <c r="B1756" s="799" t="s">
        <v>6401</v>
      </c>
      <c r="C1756" s="798" t="s">
        <v>14</v>
      </c>
      <c r="D1756" s="800">
        <v>2571.56</v>
      </c>
    </row>
    <row r="1757" spans="1:4" ht="54">
      <c r="A1757" s="798">
        <v>99326</v>
      </c>
      <c r="B1757" s="799" t="s">
        <v>6402</v>
      </c>
      <c r="C1757" s="798" t="s">
        <v>24</v>
      </c>
      <c r="D1757" s="800">
        <v>7050.98</v>
      </c>
    </row>
    <row r="1758" spans="1:4" ht="40.5">
      <c r="A1758" s="798">
        <v>99327</v>
      </c>
      <c r="B1758" s="799" t="s">
        <v>6403</v>
      </c>
      <c r="C1758" s="798" t="s">
        <v>14</v>
      </c>
      <c r="D1758" s="800">
        <v>3326.35</v>
      </c>
    </row>
    <row r="1759" spans="1:4" ht="40.5">
      <c r="A1759" s="798">
        <v>101800</v>
      </c>
      <c r="B1759" s="799" t="s">
        <v>6404</v>
      </c>
      <c r="C1759" s="798" t="s">
        <v>24</v>
      </c>
      <c r="D1759" s="800">
        <v>1328.46</v>
      </c>
    </row>
    <row r="1760" spans="1:4" ht="40.5">
      <c r="A1760" s="798">
        <v>101801</v>
      </c>
      <c r="B1760" s="799" t="s">
        <v>6405</v>
      </c>
      <c r="C1760" s="798" t="s">
        <v>24</v>
      </c>
      <c r="D1760" s="800">
        <v>1022.85</v>
      </c>
    </row>
    <row r="1761" spans="1:4" ht="54">
      <c r="A1761" s="798">
        <v>101806</v>
      </c>
      <c r="B1761" s="799" t="s">
        <v>6406</v>
      </c>
      <c r="C1761" s="798" t="s">
        <v>24</v>
      </c>
      <c r="D1761" s="800">
        <v>437.59</v>
      </c>
    </row>
    <row r="1762" spans="1:4" ht="54">
      <c r="A1762" s="798">
        <v>101807</v>
      </c>
      <c r="B1762" s="799" t="s">
        <v>6407</v>
      </c>
      <c r="C1762" s="798" t="s">
        <v>24</v>
      </c>
      <c r="D1762" s="800">
        <v>379.99</v>
      </c>
    </row>
    <row r="1763" spans="1:4" ht="40.5">
      <c r="A1763" s="798">
        <v>101808</v>
      </c>
      <c r="B1763" s="799" t="s">
        <v>6408</v>
      </c>
      <c r="C1763" s="798" t="s">
        <v>24</v>
      </c>
      <c r="D1763" s="800">
        <v>434.7</v>
      </c>
    </row>
    <row r="1764" spans="1:4" ht="54">
      <c r="A1764" s="798">
        <v>101809</v>
      </c>
      <c r="B1764" s="799" t="s">
        <v>6409</v>
      </c>
      <c r="C1764" s="798" t="s">
        <v>24</v>
      </c>
      <c r="D1764" s="800">
        <v>2495.79</v>
      </c>
    </row>
    <row r="1765" spans="1:4" ht="40.5">
      <c r="A1765" s="798">
        <v>102139</v>
      </c>
      <c r="B1765" s="799" t="s">
        <v>6410</v>
      </c>
      <c r="C1765" s="798" t="s">
        <v>24</v>
      </c>
      <c r="D1765" s="800">
        <v>1488.56</v>
      </c>
    </row>
    <row r="1766" spans="1:4" ht="40.5">
      <c r="A1766" s="798">
        <v>102141</v>
      </c>
      <c r="B1766" s="799" t="s">
        <v>6411</v>
      </c>
      <c r="C1766" s="798" t="s">
        <v>24</v>
      </c>
      <c r="D1766" s="800">
        <v>2398.15</v>
      </c>
    </row>
    <row r="1767" spans="1:4" ht="40.5">
      <c r="A1767" s="798">
        <v>102142</v>
      </c>
      <c r="B1767" s="799" t="s">
        <v>6412</v>
      </c>
      <c r="C1767" s="798" t="s">
        <v>24</v>
      </c>
      <c r="D1767" s="800">
        <v>2369.0100000000002</v>
      </c>
    </row>
    <row r="1768" spans="1:4" ht="40.5">
      <c r="A1768" s="798">
        <v>102457</v>
      </c>
      <c r="B1768" s="799" t="s">
        <v>6413</v>
      </c>
      <c r="C1768" s="798" t="s">
        <v>24</v>
      </c>
      <c r="D1768" s="800">
        <v>1471.27</v>
      </c>
    </row>
    <row r="1769" spans="1:4" ht="40.5">
      <c r="A1769" s="798">
        <v>94263</v>
      </c>
      <c r="B1769" s="799" t="s">
        <v>3742</v>
      </c>
      <c r="C1769" s="798" t="s">
        <v>14</v>
      </c>
      <c r="D1769" s="800">
        <v>30.04</v>
      </c>
    </row>
    <row r="1770" spans="1:4" ht="40.5">
      <c r="A1770" s="798">
        <v>94264</v>
      </c>
      <c r="B1770" s="799" t="s">
        <v>3743</v>
      </c>
      <c r="C1770" s="798" t="s">
        <v>14</v>
      </c>
      <c r="D1770" s="800">
        <v>32.74</v>
      </c>
    </row>
    <row r="1771" spans="1:4" ht="40.5">
      <c r="A1771" s="798">
        <v>94265</v>
      </c>
      <c r="B1771" s="799" t="s">
        <v>3744</v>
      </c>
      <c r="C1771" s="798" t="s">
        <v>14</v>
      </c>
      <c r="D1771" s="800">
        <v>41.36</v>
      </c>
    </row>
    <row r="1772" spans="1:4" ht="40.5">
      <c r="A1772" s="798">
        <v>94266</v>
      </c>
      <c r="B1772" s="799" t="s">
        <v>3745</v>
      </c>
      <c r="C1772" s="798" t="s">
        <v>14</v>
      </c>
      <c r="D1772" s="800">
        <v>44.44</v>
      </c>
    </row>
    <row r="1773" spans="1:4" ht="54">
      <c r="A1773" s="798">
        <v>94267</v>
      </c>
      <c r="B1773" s="799" t="s">
        <v>3746</v>
      </c>
      <c r="C1773" s="798" t="s">
        <v>14</v>
      </c>
      <c r="D1773" s="800">
        <v>50.01</v>
      </c>
    </row>
    <row r="1774" spans="1:4" ht="54">
      <c r="A1774" s="798">
        <v>94268</v>
      </c>
      <c r="B1774" s="799" t="s">
        <v>3747</v>
      </c>
      <c r="C1774" s="798" t="s">
        <v>14</v>
      </c>
      <c r="D1774" s="800">
        <v>53.39</v>
      </c>
    </row>
    <row r="1775" spans="1:4" ht="54">
      <c r="A1775" s="798">
        <v>94269</v>
      </c>
      <c r="B1775" s="799" t="s">
        <v>3748</v>
      </c>
      <c r="C1775" s="798" t="s">
        <v>14</v>
      </c>
      <c r="D1775" s="800">
        <v>73.27</v>
      </c>
    </row>
    <row r="1776" spans="1:4" ht="54">
      <c r="A1776" s="798">
        <v>94270</v>
      </c>
      <c r="B1776" s="799" t="s">
        <v>3749</v>
      </c>
      <c r="C1776" s="798" t="s">
        <v>14</v>
      </c>
      <c r="D1776" s="800">
        <v>77.989999999999995</v>
      </c>
    </row>
    <row r="1777" spans="1:4" ht="54">
      <c r="A1777" s="798">
        <v>94271</v>
      </c>
      <c r="B1777" s="799" t="s">
        <v>3750</v>
      </c>
      <c r="C1777" s="798" t="s">
        <v>14</v>
      </c>
      <c r="D1777" s="800">
        <v>89.53</v>
      </c>
    </row>
    <row r="1778" spans="1:4" ht="54">
      <c r="A1778" s="798">
        <v>94272</v>
      </c>
      <c r="B1778" s="799" t="s">
        <v>3751</v>
      </c>
      <c r="C1778" s="798" t="s">
        <v>14</v>
      </c>
      <c r="D1778" s="800">
        <v>95.81</v>
      </c>
    </row>
    <row r="1779" spans="1:4" ht="67.5">
      <c r="A1779" s="798">
        <v>94273</v>
      </c>
      <c r="B1779" s="799" t="s">
        <v>2278</v>
      </c>
      <c r="C1779" s="798" t="s">
        <v>14</v>
      </c>
      <c r="D1779" s="800">
        <v>48.67</v>
      </c>
    </row>
    <row r="1780" spans="1:4" ht="67.5">
      <c r="A1780" s="798">
        <v>94274</v>
      </c>
      <c r="B1780" s="799" t="s">
        <v>2279</v>
      </c>
      <c r="C1780" s="798" t="s">
        <v>14</v>
      </c>
      <c r="D1780" s="800">
        <v>51.69</v>
      </c>
    </row>
    <row r="1781" spans="1:4" ht="67.5">
      <c r="A1781" s="798">
        <v>94275</v>
      </c>
      <c r="B1781" s="799" t="s">
        <v>2280</v>
      </c>
      <c r="C1781" s="798" t="s">
        <v>14</v>
      </c>
      <c r="D1781" s="800">
        <v>46.93</v>
      </c>
    </row>
    <row r="1782" spans="1:4" ht="67.5">
      <c r="A1782" s="798">
        <v>94276</v>
      </c>
      <c r="B1782" s="799" t="s">
        <v>2281</v>
      </c>
      <c r="C1782" s="798" t="s">
        <v>14</v>
      </c>
      <c r="D1782" s="800">
        <v>49.96</v>
      </c>
    </row>
    <row r="1783" spans="1:4" ht="67.5">
      <c r="A1783" s="798">
        <v>94277</v>
      </c>
      <c r="B1783" s="799" t="s">
        <v>6414</v>
      </c>
      <c r="C1783" s="798" t="s">
        <v>14</v>
      </c>
      <c r="D1783" s="800">
        <v>38.409999999999997</v>
      </c>
    </row>
    <row r="1784" spans="1:4" ht="67.5">
      <c r="A1784" s="798">
        <v>94278</v>
      </c>
      <c r="B1784" s="799" t="s">
        <v>6415</v>
      </c>
      <c r="C1784" s="798" t="s">
        <v>14</v>
      </c>
      <c r="D1784" s="800">
        <v>41.44</v>
      </c>
    </row>
    <row r="1785" spans="1:4" ht="67.5">
      <c r="A1785" s="798">
        <v>94279</v>
      </c>
      <c r="B1785" s="799" t="s">
        <v>6416</v>
      </c>
      <c r="C1785" s="798" t="s">
        <v>14</v>
      </c>
      <c r="D1785" s="800">
        <v>45.6</v>
      </c>
    </row>
    <row r="1786" spans="1:4" ht="67.5">
      <c r="A1786" s="798">
        <v>94280</v>
      </c>
      <c r="B1786" s="799" t="s">
        <v>6417</v>
      </c>
      <c r="C1786" s="798" t="s">
        <v>14</v>
      </c>
      <c r="D1786" s="800">
        <v>48.63</v>
      </c>
    </row>
    <row r="1787" spans="1:4" ht="40.5">
      <c r="A1787" s="798">
        <v>94281</v>
      </c>
      <c r="B1787" s="799" t="s">
        <v>2282</v>
      </c>
      <c r="C1787" s="798" t="s">
        <v>14</v>
      </c>
      <c r="D1787" s="800">
        <v>50.18</v>
      </c>
    </row>
    <row r="1788" spans="1:4" ht="40.5">
      <c r="A1788" s="798">
        <v>94282</v>
      </c>
      <c r="B1788" s="799" t="s">
        <v>2283</v>
      </c>
      <c r="C1788" s="798" t="s">
        <v>14</v>
      </c>
      <c r="D1788" s="800">
        <v>59.4</v>
      </c>
    </row>
    <row r="1789" spans="1:4" ht="40.5">
      <c r="A1789" s="798">
        <v>94283</v>
      </c>
      <c r="B1789" s="799" t="s">
        <v>2284</v>
      </c>
      <c r="C1789" s="798" t="s">
        <v>14</v>
      </c>
      <c r="D1789" s="800">
        <v>66.7</v>
      </c>
    </row>
    <row r="1790" spans="1:4" ht="40.5">
      <c r="A1790" s="798">
        <v>94284</v>
      </c>
      <c r="B1790" s="799" t="s">
        <v>2285</v>
      </c>
      <c r="C1790" s="798" t="s">
        <v>14</v>
      </c>
      <c r="D1790" s="800">
        <v>75.92</v>
      </c>
    </row>
    <row r="1791" spans="1:4" ht="40.5">
      <c r="A1791" s="798">
        <v>94285</v>
      </c>
      <c r="B1791" s="799" t="s">
        <v>2286</v>
      </c>
      <c r="C1791" s="798" t="s">
        <v>14</v>
      </c>
      <c r="D1791" s="800">
        <v>82.76</v>
      </c>
    </row>
    <row r="1792" spans="1:4" ht="40.5">
      <c r="A1792" s="798">
        <v>94286</v>
      </c>
      <c r="B1792" s="799" t="s">
        <v>2287</v>
      </c>
      <c r="C1792" s="798" t="s">
        <v>14</v>
      </c>
      <c r="D1792" s="800">
        <v>91.98</v>
      </c>
    </row>
    <row r="1793" spans="1:4" ht="40.5">
      <c r="A1793" s="798">
        <v>94287</v>
      </c>
      <c r="B1793" s="799" t="s">
        <v>2288</v>
      </c>
      <c r="C1793" s="798" t="s">
        <v>14</v>
      </c>
      <c r="D1793" s="800">
        <v>37.909999999999997</v>
      </c>
    </row>
    <row r="1794" spans="1:4" ht="40.5">
      <c r="A1794" s="798">
        <v>94288</v>
      </c>
      <c r="B1794" s="799" t="s">
        <v>2289</v>
      </c>
      <c r="C1794" s="798" t="s">
        <v>14</v>
      </c>
      <c r="D1794" s="800">
        <v>45.97</v>
      </c>
    </row>
    <row r="1795" spans="1:4" ht="40.5">
      <c r="A1795" s="798">
        <v>94289</v>
      </c>
      <c r="B1795" s="799" t="s">
        <v>2290</v>
      </c>
      <c r="C1795" s="798" t="s">
        <v>14</v>
      </c>
      <c r="D1795" s="800">
        <v>49.56</v>
      </c>
    </row>
    <row r="1796" spans="1:4" ht="40.5">
      <c r="A1796" s="798">
        <v>94290</v>
      </c>
      <c r="B1796" s="799" t="s">
        <v>2291</v>
      </c>
      <c r="C1796" s="798" t="s">
        <v>14</v>
      </c>
      <c r="D1796" s="800">
        <v>57.63</v>
      </c>
    </row>
    <row r="1797" spans="1:4" ht="40.5">
      <c r="A1797" s="798">
        <v>94291</v>
      </c>
      <c r="B1797" s="799" t="s">
        <v>2292</v>
      </c>
      <c r="C1797" s="798" t="s">
        <v>14</v>
      </c>
      <c r="D1797" s="800">
        <v>60.82</v>
      </c>
    </row>
    <row r="1798" spans="1:4" ht="40.5">
      <c r="A1798" s="798">
        <v>94292</v>
      </c>
      <c r="B1798" s="799" t="s">
        <v>2293</v>
      </c>
      <c r="C1798" s="798" t="s">
        <v>14</v>
      </c>
      <c r="D1798" s="800">
        <v>68.88</v>
      </c>
    </row>
    <row r="1799" spans="1:4" ht="40.5">
      <c r="A1799" s="798">
        <v>94293</v>
      </c>
      <c r="B1799" s="799" t="s">
        <v>500</v>
      </c>
      <c r="C1799" s="798" t="s">
        <v>14</v>
      </c>
      <c r="D1799" s="800">
        <v>169.3</v>
      </c>
    </row>
    <row r="1800" spans="1:4" ht="27">
      <c r="A1800" s="798">
        <v>94294</v>
      </c>
      <c r="B1800" s="799" t="s">
        <v>2294</v>
      </c>
      <c r="C1800" s="798" t="s">
        <v>14</v>
      </c>
      <c r="D1800" s="800">
        <v>7.48</v>
      </c>
    </row>
    <row r="1801" spans="1:4" ht="40.5">
      <c r="A1801" s="798">
        <v>102727</v>
      </c>
      <c r="B1801" s="799" t="s">
        <v>7134</v>
      </c>
      <c r="C1801" s="798" t="s">
        <v>32</v>
      </c>
      <c r="D1801" s="800">
        <v>90.98</v>
      </c>
    </row>
    <row r="1802" spans="1:4" ht="27">
      <c r="A1802" s="798">
        <v>102728</v>
      </c>
      <c r="B1802" s="799" t="s">
        <v>7135</v>
      </c>
      <c r="C1802" s="798" t="s">
        <v>16</v>
      </c>
      <c r="D1802" s="800">
        <v>15.94</v>
      </c>
    </row>
    <row r="1803" spans="1:4" ht="27">
      <c r="A1803" s="798">
        <v>102729</v>
      </c>
      <c r="B1803" s="799" t="s">
        <v>7136</v>
      </c>
      <c r="C1803" s="798" t="s">
        <v>16</v>
      </c>
      <c r="D1803" s="800">
        <v>15.35</v>
      </c>
    </row>
    <row r="1804" spans="1:4" ht="27">
      <c r="A1804" s="798">
        <v>102730</v>
      </c>
      <c r="B1804" s="799" t="s">
        <v>7137</v>
      </c>
      <c r="C1804" s="798" t="s">
        <v>16</v>
      </c>
      <c r="D1804" s="800">
        <v>13.9</v>
      </c>
    </row>
    <row r="1805" spans="1:4" ht="27">
      <c r="A1805" s="798">
        <v>102731</v>
      </c>
      <c r="B1805" s="799" t="s">
        <v>7138</v>
      </c>
      <c r="C1805" s="798" t="s">
        <v>16</v>
      </c>
      <c r="D1805" s="800">
        <v>11.82</v>
      </c>
    </row>
    <row r="1806" spans="1:4" ht="27">
      <c r="A1806" s="798">
        <v>102732</v>
      </c>
      <c r="B1806" s="799" t="s">
        <v>7139</v>
      </c>
      <c r="C1806" s="798" t="s">
        <v>16</v>
      </c>
      <c r="D1806" s="800">
        <v>11.36</v>
      </c>
    </row>
    <row r="1807" spans="1:4" ht="27">
      <c r="A1807" s="798">
        <v>102733</v>
      </c>
      <c r="B1807" s="799" t="s">
        <v>7140</v>
      </c>
      <c r="C1807" s="798" t="s">
        <v>16</v>
      </c>
      <c r="D1807" s="800">
        <v>12.93</v>
      </c>
    </row>
    <row r="1808" spans="1:4" ht="27">
      <c r="A1808" s="798">
        <v>102734</v>
      </c>
      <c r="B1808" s="799" t="s">
        <v>7141</v>
      </c>
      <c r="C1808" s="798" t="s">
        <v>16</v>
      </c>
      <c r="D1808" s="800">
        <v>15.16</v>
      </c>
    </row>
    <row r="1809" spans="1:4" ht="27">
      <c r="A1809" s="798">
        <v>102735</v>
      </c>
      <c r="B1809" s="799" t="s">
        <v>7142</v>
      </c>
      <c r="C1809" s="798" t="s">
        <v>16</v>
      </c>
      <c r="D1809" s="800">
        <v>14.69</v>
      </c>
    </row>
    <row r="1810" spans="1:4" ht="40.5">
      <c r="A1810" s="798">
        <v>102736</v>
      </c>
      <c r="B1810" s="799" t="s">
        <v>7143</v>
      </c>
      <c r="C1810" s="798" t="s">
        <v>22</v>
      </c>
      <c r="D1810" s="800">
        <v>651.15</v>
      </c>
    </row>
    <row r="1811" spans="1:4" ht="40.5">
      <c r="A1811" s="798">
        <v>102737</v>
      </c>
      <c r="B1811" s="799" t="s">
        <v>7144</v>
      </c>
      <c r="C1811" s="798" t="s">
        <v>24</v>
      </c>
      <c r="D1811" s="800">
        <v>1085.74</v>
      </c>
    </row>
    <row r="1812" spans="1:4" ht="40.5">
      <c r="A1812" s="798">
        <v>102738</v>
      </c>
      <c r="B1812" s="799" t="s">
        <v>7145</v>
      </c>
      <c r="C1812" s="798" t="s">
        <v>24</v>
      </c>
      <c r="D1812" s="800">
        <v>2239.16</v>
      </c>
    </row>
    <row r="1813" spans="1:4" ht="40.5">
      <c r="A1813" s="798">
        <v>102739</v>
      </c>
      <c r="B1813" s="799" t="s">
        <v>7146</v>
      </c>
      <c r="C1813" s="798" t="s">
        <v>24</v>
      </c>
      <c r="D1813" s="800">
        <v>3769.12</v>
      </c>
    </row>
    <row r="1814" spans="1:4" ht="40.5">
      <c r="A1814" s="798">
        <v>102740</v>
      </c>
      <c r="B1814" s="799" t="s">
        <v>7147</v>
      </c>
      <c r="C1814" s="798" t="s">
        <v>24</v>
      </c>
      <c r="D1814" s="800">
        <v>5673.12</v>
      </c>
    </row>
    <row r="1815" spans="1:4" ht="40.5">
      <c r="A1815" s="798">
        <v>102741</v>
      </c>
      <c r="B1815" s="799" t="s">
        <v>7148</v>
      </c>
      <c r="C1815" s="798" t="s">
        <v>24</v>
      </c>
      <c r="D1815" s="800">
        <v>7991.71</v>
      </c>
    </row>
    <row r="1816" spans="1:4" ht="40.5">
      <c r="A1816" s="798">
        <v>102742</v>
      </c>
      <c r="B1816" s="799" t="s">
        <v>7149</v>
      </c>
      <c r="C1816" s="798" t="s">
        <v>24</v>
      </c>
      <c r="D1816" s="800">
        <v>13886.05</v>
      </c>
    </row>
    <row r="1817" spans="1:4" ht="40.5">
      <c r="A1817" s="798">
        <v>102743</v>
      </c>
      <c r="B1817" s="799" t="s">
        <v>7150</v>
      </c>
      <c r="C1817" s="798" t="s">
        <v>24</v>
      </c>
      <c r="D1817" s="800">
        <v>4553.08</v>
      </c>
    </row>
    <row r="1818" spans="1:4" ht="40.5">
      <c r="A1818" s="798">
        <v>102744</v>
      </c>
      <c r="B1818" s="799" t="s">
        <v>7151</v>
      </c>
      <c r="C1818" s="798" t="s">
        <v>24</v>
      </c>
      <c r="D1818" s="800">
        <v>6852.17</v>
      </c>
    </row>
    <row r="1819" spans="1:4" ht="40.5">
      <c r="A1819" s="798">
        <v>102745</v>
      </c>
      <c r="B1819" s="799" t="s">
        <v>7152</v>
      </c>
      <c r="C1819" s="798" t="s">
        <v>24</v>
      </c>
      <c r="D1819" s="800">
        <v>9669.15</v>
      </c>
    </row>
    <row r="1820" spans="1:4" ht="40.5">
      <c r="A1820" s="798">
        <v>102746</v>
      </c>
      <c r="B1820" s="799" t="s">
        <v>7153</v>
      </c>
      <c r="C1820" s="798" t="s">
        <v>24</v>
      </c>
      <c r="D1820" s="800">
        <v>16824.53</v>
      </c>
    </row>
    <row r="1821" spans="1:4" ht="40.5">
      <c r="A1821" s="798">
        <v>102747</v>
      </c>
      <c r="B1821" s="799" t="s">
        <v>7154</v>
      </c>
      <c r="C1821" s="798" t="s">
        <v>24</v>
      </c>
      <c r="D1821" s="800">
        <v>8507.3700000000008</v>
      </c>
    </row>
    <row r="1822" spans="1:4" ht="40.5">
      <c r="A1822" s="798">
        <v>102748</v>
      </c>
      <c r="B1822" s="799" t="s">
        <v>7155</v>
      </c>
      <c r="C1822" s="798" t="s">
        <v>24</v>
      </c>
      <c r="D1822" s="800">
        <v>11951.39</v>
      </c>
    </row>
    <row r="1823" spans="1:4" ht="40.5">
      <c r="A1823" s="798">
        <v>102749</v>
      </c>
      <c r="B1823" s="799" t="s">
        <v>7156</v>
      </c>
      <c r="C1823" s="798" t="s">
        <v>24</v>
      </c>
      <c r="D1823" s="800">
        <v>20592.38</v>
      </c>
    </row>
    <row r="1824" spans="1:4" ht="40.5">
      <c r="A1824" s="798">
        <v>102750</v>
      </c>
      <c r="B1824" s="799" t="s">
        <v>7157</v>
      </c>
      <c r="C1824" s="798" t="s">
        <v>24</v>
      </c>
      <c r="D1824" s="800">
        <v>2737.93</v>
      </c>
    </row>
    <row r="1825" spans="1:4" ht="40.5">
      <c r="A1825" s="798">
        <v>102751</v>
      </c>
      <c r="B1825" s="799" t="s">
        <v>7158</v>
      </c>
      <c r="C1825" s="798" t="s">
        <v>24</v>
      </c>
      <c r="D1825" s="800">
        <v>4797.0600000000004</v>
      </c>
    </row>
    <row r="1826" spans="1:4" ht="40.5">
      <c r="A1826" s="798">
        <v>102752</v>
      </c>
      <c r="B1826" s="799" t="s">
        <v>7159</v>
      </c>
      <c r="C1826" s="798" t="s">
        <v>24</v>
      </c>
      <c r="D1826" s="800">
        <v>7688.53</v>
      </c>
    </row>
    <row r="1827" spans="1:4" ht="40.5">
      <c r="A1827" s="798">
        <v>102753</v>
      </c>
      <c r="B1827" s="799" t="s">
        <v>7160</v>
      </c>
      <c r="C1827" s="798" t="s">
        <v>24</v>
      </c>
      <c r="D1827" s="800">
        <v>11440.94</v>
      </c>
    </row>
    <row r="1828" spans="1:4" ht="40.5">
      <c r="A1828" s="798">
        <v>102754</v>
      </c>
      <c r="B1828" s="799" t="s">
        <v>7161</v>
      </c>
      <c r="C1828" s="798" t="s">
        <v>24</v>
      </c>
      <c r="D1828" s="800">
        <v>21828.74</v>
      </c>
    </row>
    <row r="1829" spans="1:4" ht="40.5">
      <c r="A1829" s="798">
        <v>102755</v>
      </c>
      <c r="B1829" s="799" t="s">
        <v>7162</v>
      </c>
      <c r="C1829" s="798" t="s">
        <v>24</v>
      </c>
      <c r="D1829" s="800">
        <v>10760.43</v>
      </c>
    </row>
    <row r="1830" spans="1:4" ht="40.5">
      <c r="A1830" s="798">
        <v>102756</v>
      </c>
      <c r="B1830" s="799" t="s">
        <v>7163</v>
      </c>
      <c r="C1830" s="798" t="s">
        <v>24</v>
      </c>
      <c r="D1830" s="800">
        <v>16065.35</v>
      </c>
    </row>
    <row r="1831" spans="1:4" ht="40.5">
      <c r="A1831" s="798">
        <v>102757</v>
      </c>
      <c r="B1831" s="799" t="s">
        <v>7164</v>
      </c>
      <c r="C1831" s="798" t="s">
        <v>24</v>
      </c>
      <c r="D1831" s="800">
        <v>29993.65</v>
      </c>
    </row>
    <row r="1832" spans="1:4" ht="40.5">
      <c r="A1832" s="798">
        <v>102758</v>
      </c>
      <c r="B1832" s="799" t="s">
        <v>7165</v>
      </c>
      <c r="C1832" s="798" t="s">
        <v>24</v>
      </c>
      <c r="D1832" s="800">
        <v>13846.15</v>
      </c>
    </row>
    <row r="1833" spans="1:4" ht="40.5">
      <c r="A1833" s="798">
        <v>102759</v>
      </c>
      <c r="B1833" s="799" t="s">
        <v>7166</v>
      </c>
      <c r="C1833" s="798" t="s">
        <v>24</v>
      </c>
      <c r="D1833" s="800">
        <v>20710.759999999998</v>
      </c>
    </row>
    <row r="1834" spans="1:4" ht="40.5">
      <c r="A1834" s="798">
        <v>102760</v>
      </c>
      <c r="B1834" s="799" t="s">
        <v>7167</v>
      </c>
      <c r="C1834" s="798" t="s">
        <v>24</v>
      </c>
      <c r="D1834" s="800">
        <v>38308.980000000003</v>
      </c>
    </row>
    <row r="1835" spans="1:4" ht="40.5">
      <c r="A1835" s="798">
        <v>102761</v>
      </c>
      <c r="B1835" s="799" t="s">
        <v>7168</v>
      </c>
      <c r="C1835" s="798" t="s">
        <v>24</v>
      </c>
      <c r="D1835" s="800">
        <v>12974.67</v>
      </c>
    </row>
    <row r="1836" spans="1:4" ht="40.5">
      <c r="A1836" s="798">
        <v>102762</v>
      </c>
      <c r="B1836" s="799" t="s">
        <v>7169</v>
      </c>
      <c r="C1836" s="798" t="s">
        <v>24</v>
      </c>
      <c r="D1836" s="800">
        <v>20224.38</v>
      </c>
    </row>
    <row r="1837" spans="1:4" ht="40.5">
      <c r="A1837" s="798">
        <v>102763</v>
      </c>
      <c r="B1837" s="799" t="s">
        <v>7170</v>
      </c>
      <c r="C1837" s="798" t="s">
        <v>24</v>
      </c>
      <c r="D1837" s="800">
        <v>28226.45</v>
      </c>
    </row>
    <row r="1838" spans="1:4" ht="40.5">
      <c r="A1838" s="798">
        <v>102764</v>
      </c>
      <c r="B1838" s="799" t="s">
        <v>7171</v>
      </c>
      <c r="C1838" s="798" t="s">
        <v>24</v>
      </c>
      <c r="D1838" s="800">
        <v>40201.83</v>
      </c>
    </row>
    <row r="1839" spans="1:4" ht="40.5">
      <c r="A1839" s="798">
        <v>102765</v>
      </c>
      <c r="B1839" s="799" t="s">
        <v>7172</v>
      </c>
      <c r="C1839" s="798" t="s">
        <v>24</v>
      </c>
      <c r="D1839" s="800">
        <v>16103.13</v>
      </c>
    </row>
    <row r="1840" spans="1:4" ht="40.5">
      <c r="A1840" s="798">
        <v>102766</v>
      </c>
      <c r="B1840" s="799" t="s">
        <v>7173</v>
      </c>
      <c r="C1840" s="798" t="s">
        <v>24</v>
      </c>
      <c r="D1840" s="800">
        <v>24474.05</v>
      </c>
    </row>
    <row r="1841" spans="1:4" ht="40.5">
      <c r="A1841" s="798">
        <v>102767</v>
      </c>
      <c r="B1841" s="799" t="s">
        <v>7174</v>
      </c>
      <c r="C1841" s="798" t="s">
        <v>24</v>
      </c>
      <c r="D1841" s="800">
        <v>34416.720000000001</v>
      </c>
    </row>
    <row r="1842" spans="1:4" ht="40.5">
      <c r="A1842" s="798">
        <v>102768</v>
      </c>
      <c r="B1842" s="799" t="s">
        <v>7175</v>
      </c>
      <c r="C1842" s="798" t="s">
        <v>24</v>
      </c>
      <c r="D1842" s="800">
        <v>48594.55</v>
      </c>
    </row>
    <row r="1843" spans="1:4" ht="40.5">
      <c r="A1843" s="798">
        <v>102769</v>
      </c>
      <c r="B1843" s="799" t="s">
        <v>7176</v>
      </c>
      <c r="C1843" s="798" t="s">
        <v>24</v>
      </c>
      <c r="D1843" s="800">
        <v>18626.310000000001</v>
      </c>
    </row>
    <row r="1844" spans="1:4" ht="40.5">
      <c r="A1844" s="798">
        <v>102770</v>
      </c>
      <c r="B1844" s="799" t="s">
        <v>7177</v>
      </c>
      <c r="C1844" s="798" t="s">
        <v>24</v>
      </c>
      <c r="D1844" s="800">
        <v>28786.639999999999</v>
      </c>
    </row>
    <row r="1845" spans="1:4" ht="40.5">
      <c r="A1845" s="798">
        <v>102771</v>
      </c>
      <c r="B1845" s="799" t="s">
        <v>7178</v>
      </c>
      <c r="C1845" s="798" t="s">
        <v>24</v>
      </c>
      <c r="D1845" s="800">
        <v>40456.589999999997</v>
      </c>
    </row>
    <row r="1846" spans="1:4" ht="40.5">
      <c r="A1846" s="798">
        <v>102772</v>
      </c>
      <c r="B1846" s="799" t="s">
        <v>7179</v>
      </c>
      <c r="C1846" s="798" t="s">
        <v>24</v>
      </c>
      <c r="D1846" s="800">
        <v>57616.59</v>
      </c>
    </row>
    <row r="1847" spans="1:4" ht="40.5">
      <c r="A1847" s="798">
        <v>102773</v>
      </c>
      <c r="B1847" s="799" t="s">
        <v>7180</v>
      </c>
      <c r="C1847" s="798" t="s">
        <v>24</v>
      </c>
      <c r="D1847" s="800">
        <v>6727.48</v>
      </c>
    </row>
    <row r="1848" spans="1:4" ht="40.5">
      <c r="A1848" s="798">
        <v>102774</v>
      </c>
      <c r="B1848" s="799" t="s">
        <v>7181</v>
      </c>
      <c r="C1848" s="798" t="s">
        <v>24</v>
      </c>
      <c r="D1848" s="800">
        <v>6727.48</v>
      </c>
    </row>
    <row r="1849" spans="1:4" ht="40.5">
      <c r="A1849" s="798">
        <v>102775</v>
      </c>
      <c r="B1849" s="799" t="s">
        <v>7182</v>
      </c>
      <c r="C1849" s="798" t="s">
        <v>24</v>
      </c>
      <c r="D1849" s="800">
        <v>10041.64</v>
      </c>
    </row>
    <row r="1850" spans="1:4" ht="40.5">
      <c r="A1850" s="798">
        <v>102776</v>
      </c>
      <c r="B1850" s="799" t="s">
        <v>7183</v>
      </c>
      <c r="C1850" s="798" t="s">
        <v>24</v>
      </c>
      <c r="D1850" s="800">
        <v>10041.64</v>
      </c>
    </row>
    <row r="1851" spans="1:4" ht="40.5">
      <c r="A1851" s="798">
        <v>102777</v>
      </c>
      <c r="B1851" s="799" t="s">
        <v>7184</v>
      </c>
      <c r="C1851" s="798" t="s">
        <v>24</v>
      </c>
      <c r="D1851" s="800">
        <v>15198.42</v>
      </c>
    </row>
    <row r="1852" spans="1:4" ht="40.5">
      <c r="A1852" s="798">
        <v>102778</v>
      </c>
      <c r="B1852" s="799" t="s">
        <v>7185</v>
      </c>
      <c r="C1852" s="798" t="s">
        <v>24</v>
      </c>
      <c r="D1852" s="800">
        <v>23060.34</v>
      </c>
    </row>
    <row r="1853" spans="1:4" ht="40.5">
      <c r="A1853" s="798">
        <v>102779</v>
      </c>
      <c r="B1853" s="799" t="s">
        <v>7186</v>
      </c>
      <c r="C1853" s="798" t="s">
        <v>24</v>
      </c>
      <c r="D1853" s="800">
        <v>6727.48</v>
      </c>
    </row>
    <row r="1854" spans="1:4" ht="40.5">
      <c r="A1854" s="798">
        <v>102780</v>
      </c>
      <c r="B1854" s="799" t="s">
        <v>7187</v>
      </c>
      <c r="C1854" s="798" t="s">
        <v>24</v>
      </c>
      <c r="D1854" s="800">
        <v>7741.56</v>
      </c>
    </row>
    <row r="1855" spans="1:4" ht="40.5">
      <c r="A1855" s="798">
        <v>102781</v>
      </c>
      <c r="B1855" s="799" t="s">
        <v>7188</v>
      </c>
      <c r="C1855" s="798" t="s">
        <v>24</v>
      </c>
      <c r="D1855" s="800">
        <v>11469.99</v>
      </c>
    </row>
    <row r="1856" spans="1:4" ht="40.5">
      <c r="A1856" s="798">
        <v>102782</v>
      </c>
      <c r="B1856" s="799" t="s">
        <v>7189</v>
      </c>
      <c r="C1856" s="798" t="s">
        <v>24</v>
      </c>
      <c r="D1856" s="800">
        <v>12829.22</v>
      </c>
    </row>
    <row r="1857" spans="1:4" ht="40.5">
      <c r="A1857" s="798">
        <v>102783</v>
      </c>
      <c r="B1857" s="799" t="s">
        <v>7190</v>
      </c>
      <c r="C1857" s="798" t="s">
        <v>24</v>
      </c>
      <c r="D1857" s="800">
        <v>16971.919999999998</v>
      </c>
    </row>
    <row r="1858" spans="1:4" ht="40.5">
      <c r="A1858" s="798">
        <v>102784</v>
      </c>
      <c r="B1858" s="799" t="s">
        <v>7191</v>
      </c>
      <c r="C1858" s="798" t="s">
        <v>24</v>
      </c>
      <c r="D1858" s="800">
        <v>26991.3</v>
      </c>
    </row>
    <row r="1859" spans="1:4" ht="40.5">
      <c r="A1859" s="798">
        <v>102785</v>
      </c>
      <c r="B1859" s="799" t="s">
        <v>7192</v>
      </c>
      <c r="C1859" s="798" t="s">
        <v>24</v>
      </c>
      <c r="D1859" s="800">
        <v>7741.56</v>
      </c>
    </row>
    <row r="1860" spans="1:4" ht="40.5">
      <c r="A1860" s="798">
        <v>102786</v>
      </c>
      <c r="B1860" s="799" t="s">
        <v>7193</v>
      </c>
      <c r="C1860" s="798" t="s">
        <v>24</v>
      </c>
      <c r="D1860" s="800">
        <v>8686.52</v>
      </c>
    </row>
    <row r="1861" spans="1:4" ht="40.5">
      <c r="A1861" s="798">
        <v>102787</v>
      </c>
      <c r="B1861" s="799" t="s">
        <v>7194</v>
      </c>
      <c r="C1861" s="798" t="s">
        <v>24</v>
      </c>
      <c r="D1861" s="800">
        <v>12829.22</v>
      </c>
    </row>
    <row r="1862" spans="1:4" ht="40.5">
      <c r="A1862" s="798">
        <v>102788</v>
      </c>
      <c r="B1862" s="799" t="s">
        <v>7195</v>
      </c>
      <c r="C1862" s="798" t="s">
        <v>24</v>
      </c>
      <c r="D1862" s="800">
        <v>14175.49</v>
      </c>
    </row>
    <row r="1863" spans="1:4" ht="40.5">
      <c r="A1863" s="798">
        <v>102789</v>
      </c>
      <c r="B1863" s="799" t="s">
        <v>7196</v>
      </c>
      <c r="C1863" s="798" t="s">
        <v>24</v>
      </c>
      <c r="D1863" s="800">
        <v>18667.66</v>
      </c>
    </row>
    <row r="1864" spans="1:4" ht="40.5">
      <c r="A1864" s="798">
        <v>102790</v>
      </c>
      <c r="B1864" s="799" t="s">
        <v>7197</v>
      </c>
      <c r="C1864" s="798" t="s">
        <v>24</v>
      </c>
      <c r="D1864" s="800">
        <v>31138.26</v>
      </c>
    </row>
    <row r="1865" spans="1:4" ht="40.5">
      <c r="A1865" s="798">
        <v>102791</v>
      </c>
      <c r="B1865" s="799" t="s">
        <v>7198</v>
      </c>
      <c r="C1865" s="798" t="s">
        <v>24</v>
      </c>
      <c r="D1865" s="800">
        <v>24700.44</v>
      </c>
    </row>
    <row r="1866" spans="1:4" ht="40.5">
      <c r="A1866" s="798">
        <v>102792</v>
      </c>
      <c r="B1866" s="799" t="s">
        <v>7199</v>
      </c>
      <c r="C1866" s="798" t="s">
        <v>24</v>
      </c>
      <c r="D1866" s="800">
        <v>40330.11</v>
      </c>
    </row>
    <row r="1867" spans="1:4" ht="40.5">
      <c r="A1867" s="798">
        <v>102793</v>
      </c>
      <c r="B1867" s="799" t="s">
        <v>7200</v>
      </c>
      <c r="C1867" s="798" t="s">
        <v>24</v>
      </c>
      <c r="D1867" s="800">
        <v>54544.18</v>
      </c>
    </row>
    <row r="1868" spans="1:4" ht="40.5">
      <c r="A1868" s="798">
        <v>102794</v>
      </c>
      <c r="B1868" s="799" t="s">
        <v>7201</v>
      </c>
      <c r="C1868" s="798" t="s">
        <v>24</v>
      </c>
      <c r="D1868" s="800">
        <v>78247.63</v>
      </c>
    </row>
    <row r="1869" spans="1:4" ht="40.5">
      <c r="A1869" s="798">
        <v>102795</v>
      </c>
      <c r="B1869" s="799" t="s">
        <v>7202</v>
      </c>
      <c r="C1869" s="798" t="s">
        <v>24</v>
      </c>
      <c r="D1869" s="800">
        <v>26353.14</v>
      </c>
    </row>
    <row r="1870" spans="1:4" ht="40.5">
      <c r="A1870" s="798">
        <v>102796</v>
      </c>
      <c r="B1870" s="799" t="s">
        <v>7203</v>
      </c>
      <c r="C1870" s="798" t="s">
        <v>24</v>
      </c>
      <c r="D1870" s="800">
        <v>42686.15</v>
      </c>
    </row>
    <row r="1871" spans="1:4" ht="40.5">
      <c r="A1871" s="798">
        <v>102797</v>
      </c>
      <c r="B1871" s="799" t="s">
        <v>7204</v>
      </c>
      <c r="C1871" s="798" t="s">
        <v>24</v>
      </c>
      <c r="D1871" s="800">
        <v>60628.67</v>
      </c>
    </row>
    <row r="1872" spans="1:4" ht="40.5">
      <c r="A1872" s="798">
        <v>102798</v>
      </c>
      <c r="B1872" s="799" t="s">
        <v>7205</v>
      </c>
      <c r="C1872" s="798" t="s">
        <v>24</v>
      </c>
      <c r="D1872" s="800">
        <v>74282.009999999995</v>
      </c>
    </row>
    <row r="1873" spans="1:4" ht="40.5">
      <c r="A1873" s="798">
        <v>102799</v>
      </c>
      <c r="B1873" s="799" t="s">
        <v>7206</v>
      </c>
      <c r="C1873" s="798" t="s">
        <v>24</v>
      </c>
      <c r="D1873" s="800">
        <v>26905.5</v>
      </c>
    </row>
    <row r="1874" spans="1:4" ht="40.5">
      <c r="A1874" s="798">
        <v>102800</v>
      </c>
      <c r="B1874" s="799" t="s">
        <v>7207</v>
      </c>
      <c r="C1874" s="798" t="s">
        <v>24</v>
      </c>
      <c r="D1874" s="800">
        <v>46846</v>
      </c>
    </row>
    <row r="1875" spans="1:4" ht="40.5">
      <c r="A1875" s="798">
        <v>102801</v>
      </c>
      <c r="B1875" s="799" t="s">
        <v>7208</v>
      </c>
      <c r="C1875" s="798" t="s">
        <v>24</v>
      </c>
      <c r="D1875" s="800">
        <v>65750.759999999995</v>
      </c>
    </row>
    <row r="1876" spans="1:4" ht="40.5">
      <c r="A1876" s="798">
        <v>102802</v>
      </c>
      <c r="B1876" s="799" t="s">
        <v>7209</v>
      </c>
      <c r="C1876" s="798" t="s">
        <v>24</v>
      </c>
      <c r="D1876" s="800">
        <v>78890.559999999998</v>
      </c>
    </row>
    <row r="1877" spans="1:4" ht="40.5">
      <c r="A1877" s="798">
        <v>101570</v>
      </c>
      <c r="B1877" s="799" t="s">
        <v>5537</v>
      </c>
      <c r="C1877" s="798" t="s">
        <v>32</v>
      </c>
      <c r="D1877" s="800">
        <v>16.98</v>
      </c>
    </row>
    <row r="1878" spans="1:4" ht="40.5">
      <c r="A1878" s="798">
        <v>101571</v>
      </c>
      <c r="B1878" s="799" t="s">
        <v>5538</v>
      </c>
      <c r="C1878" s="798" t="s">
        <v>32</v>
      </c>
      <c r="D1878" s="800">
        <v>23.08</v>
      </c>
    </row>
    <row r="1879" spans="1:4" ht="40.5">
      <c r="A1879" s="798">
        <v>101572</v>
      </c>
      <c r="B1879" s="799" t="s">
        <v>5539</v>
      </c>
      <c r="C1879" s="798" t="s">
        <v>32</v>
      </c>
      <c r="D1879" s="800">
        <v>13.42</v>
      </c>
    </row>
    <row r="1880" spans="1:4" ht="40.5">
      <c r="A1880" s="798">
        <v>101573</v>
      </c>
      <c r="B1880" s="799" t="s">
        <v>5540</v>
      </c>
      <c r="C1880" s="798" t="s">
        <v>32</v>
      </c>
      <c r="D1880" s="800">
        <v>19.52</v>
      </c>
    </row>
    <row r="1881" spans="1:4" ht="40.5">
      <c r="A1881" s="798">
        <v>101574</v>
      </c>
      <c r="B1881" s="799" t="s">
        <v>5541</v>
      </c>
      <c r="C1881" s="798" t="s">
        <v>32</v>
      </c>
      <c r="D1881" s="800">
        <v>10.52</v>
      </c>
    </row>
    <row r="1882" spans="1:4" ht="40.5">
      <c r="A1882" s="798">
        <v>101575</v>
      </c>
      <c r="B1882" s="799" t="s">
        <v>5542</v>
      </c>
      <c r="C1882" s="798" t="s">
        <v>32</v>
      </c>
      <c r="D1882" s="800">
        <v>16.82</v>
      </c>
    </row>
    <row r="1883" spans="1:4" ht="40.5">
      <c r="A1883" s="798">
        <v>101576</v>
      </c>
      <c r="B1883" s="799" t="s">
        <v>5543</v>
      </c>
      <c r="C1883" s="798" t="s">
        <v>32</v>
      </c>
      <c r="D1883" s="800">
        <v>30.63</v>
      </c>
    </row>
    <row r="1884" spans="1:4" ht="40.5">
      <c r="A1884" s="798">
        <v>101577</v>
      </c>
      <c r="B1884" s="799" t="s">
        <v>5544</v>
      </c>
      <c r="C1884" s="798" t="s">
        <v>32</v>
      </c>
      <c r="D1884" s="800">
        <v>38.39</v>
      </c>
    </row>
    <row r="1885" spans="1:4" ht="40.5">
      <c r="A1885" s="798">
        <v>101578</v>
      </c>
      <c r="B1885" s="799" t="s">
        <v>5545</v>
      </c>
      <c r="C1885" s="798" t="s">
        <v>32</v>
      </c>
      <c r="D1885" s="800">
        <v>25.48</v>
      </c>
    </row>
    <row r="1886" spans="1:4" ht="40.5">
      <c r="A1886" s="798">
        <v>101579</v>
      </c>
      <c r="B1886" s="799" t="s">
        <v>5546</v>
      </c>
      <c r="C1886" s="798" t="s">
        <v>32</v>
      </c>
      <c r="D1886" s="800">
        <v>33.229999999999997</v>
      </c>
    </row>
    <row r="1887" spans="1:4" ht="40.5">
      <c r="A1887" s="798">
        <v>101580</v>
      </c>
      <c r="B1887" s="799" t="s">
        <v>5547</v>
      </c>
      <c r="C1887" s="798" t="s">
        <v>32</v>
      </c>
      <c r="D1887" s="800">
        <v>22.91</v>
      </c>
    </row>
    <row r="1888" spans="1:4" ht="40.5">
      <c r="A1888" s="798">
        <v>101581</v>
      </c>
      <c r="B1888" s="799" t="s">
        <v>5548</v>
      </c>
      <c r="C1888" s="798" t="s">
        <v>32</v>
      </c>
      <c r="D1888" s="800">
        <v>30.87</v>
      </c>
    </row>
    <row r="1889" spans="1:4" ht="27">
      <c r="A1889" s="798">
        <v>101582</v>
      </c>
      <c r="B1889" s="799" t="s">
        <v>5549</v>
      </c>
      <c r="C1889" s="798" t="s">
        <v>32</v>
      </c>
      <c r="D1889" s="800">
        <v>50.23</v>
      </c>
    </row>
    <row r="1890" spans="1:4" ht="40.5">
      <c r="A1890" s="798">
        <v>101583</v>
      </c>
      <c r="B1890" s="799" t="s">
        <v>5550</v>
      </c>
      <c r="C1890" s="798" t="s">
        <v>32</v>
      </c>
      <c r="D1890" s="800">
        <v>62.17</v>
      </c>
    </row>
    <row r="1891" spans="1:4" ht="27">
      <c r="A1891" s="798">
        <v>101584</v>
      </c>
      <c r="B1891" s="799" t="s">
        <v>5551</v>
      </c>
      <c r="C1891" s="798" t="s">
        <v>32</v>
      </c>
      <c r="D1891" s="800">
        <v>41.51</v>
      </c>
    </row>
    <row r="1892" spans="1:4" ht="40.5">
      <c r="A1892" s="798">
        <v>101585</v>
      </c>
      <c r="B1892" s="799" t="s">
        <v>5552</v>
      </c>
      <c r="C1892" s="798" t="s">
        <v>32</v>
      </c>
      <c r="D1892" s="800">
        <v>53.45</v>
      </c>
    </row>
    <row r="1893" spans="1:4" ht="27">
      <c r="A1893" s="798">
        <v>101586</v>
      </c>
      <c r="B1893" s="799" t="s">
        <v>5553</v>
      </c>
      <c r="C1893" s="798" t="s">
        <v>32</v>
      </c>
      <c r="D1893" s="800">
        <v>36.39</v>
      </c>
    </row>
    <row r="1894" spans="1:4" ht="40.5">
      <c r="A1894" s="798">
        <v>101587</v>
      </c>
      <c r="B1894" s="799" t="s">
        <v>5554</v>
      </c>
      <c r="C1894" s="798" t="s">
        <v>32</v>
      </c>
      <c r="D1894" s="800">
        <v>48.53</v>
      </c>
    </row>
    <row r="1895" spans="1:4" ht="40.5">
      <c r="A1895" s="798">
        <v>101588</v>
      </c>
      <c r="B1895" s="799" t="s">
        <v>5555</v>
      </c>
      <c r="C1895" s="798" t="s">
        <v>32</v>
      </c>
      <c r="D1895" s="800">
        <v>74.73</v>
      </c>
    </row>
    <row r="1896" spans="1:4" ht="40.5">
      <c r="A1896" s="798">
        <v>101589</v>
      </c>
      <c r="B1896" s="799" t="s">
        <v>5556</v>
      </c>
      <c r="C1896" s="798" t="s">
        <v>32</v>
      </c>
      <c r="D1896" s="800">
        <v>108.94</v>
      </c>
    </row>
    <row r="1897" spans="1:4" ht="40.5">
      <c r="A1897" s="798">
        <v>101590</v>
      </c>
      <c r="B1897" s="799" t="s">
        <v>5557</v>
      </c>
      <c r="C1897" s="798" t="s">
        <v>32</v>
      </c>
      <c r="D1897" s="800">
        <v>56.63</v>
      </c>
    </row>
    <row r="1898" spans="1:4" ht="54">
      <c r="A1898" s="798">
        <v>101591</v>
      </c>
      <c r="B1898" s="799" t="s">
        <v>5558</v>
      </c>
      <c r="C1898" s="798" t="s">
        <v>32</v>
      </c>
      <c r="D1898" s="800">
        <v>90.83</v>
      </c>
    </row>
    <row r="1899" spans="1:4" ht="40.5">
      <c r="A1899" s="798">
        <v>101592</v>
      </c>
      <c r="B1899" s="799" t="s">
        <v>5559</v>
      </c>
      <c r="C1899" s="798" t="s">
        <v>32</v>
      </c>
      <c r="D1899" s="800">
        <v>39.89</v>
      </c>
    </row>
    <row r="1900" spans="1:4" ht="54">
      <c r="A1900" s="798">
        <v>101593</v>
      </c>
      <c r="B1900" s="799" t="s">
        <v>5560</v>
      </c>
      <c r="C1900" s="798" t="s">
        <v>32</v>
      </c>
      <c r="D1900" s="800">
        <v>74.27</v>
      </c>
    </row>
    <row r="1901" spans="1:4" ht="40.5">
      <c r="A1901" s="798">
        <v>101600</v>
      </c>
      <c r="B1901" s="799" t="s">
        <v>5561</v>
      </c>
      <c r="C1901" s="798" t="s">
        <v>32</v>
      </c>
      <c r="D1901" s="800">
        <v>13.94</v>
      </c>
    </row>
    <row r="1902" spans="1:4" ht="40.5">
      <c r="A1902" s="798">
        <v>101601</v>
      </c>
      <c r="B1902" s="799" t="s">
        <v>5562</v>
      </c>
      <c r="C1902" s="798" t="s">
        <v>32</v>
      </c>
      <c r="D1902" s="800">
        <v>20.64</v>
      </c>
    </row>
    <row r="1903" spans="1:4" ht="40.5">
      <c r="A1903" s="798">
        <v>101602</v>
      </c>
      <c r="B1903" s="799" t="s">
        <v>5563</v>
      </c>
      <c r="C1903" s="798" t="s">
        <v>32</v>
      </c>
      <c r="D1903" s="800">
        <v>10.33</v>
      </c>
    </row>
    <row r="1904" spans="1:4" ht="54">
      <c r="A1904" s="798">
        <v>101603</v>
      </c>
      <c r="B1904" s="799" t="s">
        <v>5564</v>
      </c>
      <c r="C1904" s="798" t="s">
        <v>32</v>
      </c>
      <c r="D1904" s="800">
        <v>17.03</v>
      </c>
    </row>
    <row r="1905" spans="1:4" ht="40.5">
      <c r="A1905" s="798">
        <v>101604</v>
      </c>
      <c r="B1905" s="799" t="s">
        <v>5565</v>
      </c>
      <c r="C1905" s="798" t="s">
        <v>32</v>
      </c>
      <c r="D1905" s="800">
        <v>6.76</v>
      </c>
    </row>
    <row r="1906" spans="1:4" ht="54">
      <c r="A1906" s="798">
        <v>101605</v>
      </c>
      <c r="B1906" s="799" t="s">
        <v>5566</v>
      </c>
      <c r="C1906" s="798" t="s">
        <v>32</v>
      </c>
      <c r="D1906" s="800">
        <v>13.45</v>
      </c>
    </row>
    <row r="1907" spans="1:4" ht="67.5">
      <c r="A1907" s="798">
        <v>90788</v>
      </c>
      <c r="B1907" s="799" t="s">
        <v>4155</v>
      </c>
      <c r="C1907" s="798" t="s">
        <v>24</v>
      </c>
      <c r="D1907" s="800">
        <v>749.91</v>
      </c>
    </row>
    <row r="1908" spans="1:4" ht="67.5">
      <c r="A1908" s="798">
        <v>90789</v>
      </c>
      <c r="B1908" s="799" t="s">
        <v>4156</v>
      </c>
      <c r="C1908" s="798" t="s">
        <v>24</v>
      </c>
      <c r="D1908" s="800">
        <v>751.14</v>
      </c>
    </row>
    <row r="1909" spans="1:4" ht="67.5">
      <c r="A1909" s="798">
        <v>90790</v>
      </c>
      <c r="B1909" s="799" t="s">
        <v>4157</v>
      </c>
      <c r="C1909" s="798" t="s">
        <v>24</v>
      </c>
      <c r="D1909" s="800">
        <v>774.48</v>
      </c>
    </row>
    <row r="1910" spans="1:4" ht="54">
      <c r="A1910" s="798">
        <v>90791</v>
      </c>
      <c r="B1910" s="799" t="s">
        <v>5749</v>
      </c>
      <c r="C1910" s="798" t="s">
        <v>24</v>
      </c>
      <c r="D1910" s="800">
        <v>906.83</v>
      </c>
    </row>
    <row r="1911" spans="1:4" ht="54">
      <c r="A1911" s="798">
        <v>90793</v>
      </c>
      <c r="B1911" s="799" t="s">
        <v>5750</v>
      </c>
      <c r="C1911" s="798" t="s">
        <v>24</v>
      </c>
      <c r="D1911" s="800">
        <v>959.71</v>
      </c>
    </row>
    <row r="1912" spans="1:4" ht="54">
      <c r="A1912" s="798">
        <v>90794</v>
      </c>
      <c r="B1912" s="799" t="s">
        <v>5751</v>
      </c>
      <c r="C1912" s="798" t="s">
        <v>24</v>
      </c>
      <c r="D1912" s="800">
        <v>636.64</v>
      </c>
    </row>
    <row r="1913" spans="1:4" ht="54">
      <c r="A1913" s="798">
        <v>90795</v>
      </c>
      <c r="B1913" s="799" t="s">
        <v>5752</v>
      </c>
      <c r="C1913" s="798" t="s">
        <v>24</v>
      </c>
      <c r="D1913" s="800">
        <v>641.88</v>
      </c>
    </row>
    <row r="1914" spans="1:4" ht="54">
      <c r="A1914" s="798">
        <v>90796</v>
      </c>
      <c r="B1914" s="799" t="s">
        <v>5753</v>
      </c>
      <c r="C1914" s="798" t="s">
        <v>24</v>
      </c>
      <c r="D1914" s="800">
        <v>647.11</v>
      </c>
    </row>
    <row r="1915" spans="1:4" ht="54">
      <c r="A1915" s="798">
        <v>90797</v>
      </c>
      <c r="B1915" s="799" t="s">
        <v>5754</v>
      </c>
      <c r="C1915" s="798" t="s">
        <v>24</v>
      </c>
      <c r="D1915" s="800">
        <v>652.34</v>
      </c>
    </row>
    <row r="1916" spans="1:4" ht="54">
      <c r="A1916" s="798">
        <v>90798</v>
      </c>
      <c r="B1916" s="799" t="s">
        <v>5755</v>
      </c>
      <c r="C1916" s="798" t="s">
        <v>24</v>
      </c>
      <c r="D1916" s="800">
        <v>952.56</v>
      </c>
    </row>
    <row r="1917" spans="1:4" ht="54">
      <c r="A1917" s="798">
        <v>90799</v>
      </c>
      <c r="B1917" s="799" t="s">
        <v>5756</v>
      </c>
      <c r="C1917" s="798" t="s">
        <v>24</v>
      </c>
      <c r="D1917" s="800">
        <v>982.14</v>
      </c>
    </row>
    <row r="1918" spans="1:4" ht="27">
      <c r="A1918" s="798">
        <v>90801</v>
      </c>
      <c r="B1918" s="799" t="s">
        <v>4158</v>
      </c>
      <c r="C1918" s="798" t="s">
        <v>24</v>
      </c>
      <c r="D1918" s="800">
        <v>192.87</v>
      </c>
    </row>
    <row r="1919" spans="1:4" ht="40.5">
      <c r="A1919" s="798">
        <v>90806</v>
      </c>
      <c r="B1919" s="799" t="s">
        <v>4159</v>
      </c>
      <c r="C1919" s="798" t="s">
        <v>24</v>
      </c>
      <c r="D1919" s="800">
        <v>263.69</v>
      </c>
    </row>
    <row r="1920" spans="1:4" ht="40.5">
      <c r="A1920" s="798">
        <v>90820</v>
      </c>
      <c r="B1920" s="799" t="s">
        <v>4160</v>
      </c>
      <c r="C1920" s="798" t="s">
        <v>24</v>
      </c>
      <c r="D1920" s="800">
        <v>287.14999999999998</v>
      </c>
    </row>
    <row r="1921" spans="1:4" ht="40.5">
      <c r="A1921" s="798">
        <v>90821</v>
      </c>
      <c r="B1921" s="799" t="s">
        <v>4161</v>
      </c>
      <c r="C1921" s="798" t="s">
        <v>24</v>
      </c>
      <c r="D1921" s="800">
        <v>292.17</v>
      </c>
    </row>
    <row r="1922" spans="1:4" ht="40.5">
      <c r="A1922" s="798">
        <v>90822</v>
      </c>
      <c r="B1922" s="799" t="s">
        <v>4162</v>
      </c>
      <c r="C1922" s="798" t="s">
        <v>24</v>
      </c>
      <c r="D1922" s="800">
        <v>312.76</v>
      </c>
    </row>
    <row r="1923" spans="1:4" ht="40.5">
      <c r="A1923" s="798">
        <v>90823</v>
      </c>
      <c r="B1923" s="799" t="s">
        <v>4163</v>
      </c>
      <c r="C1923" s="798" t="s">
        <v>24</v>
      </c>
      <c r="D1923" s="800">
        <v>384.5</v>
      </c>
    </row>
    <row r="1924" spans="1:4" ht="40.5">
      <c r="A1924" s="798">
        <v>90824</v>
      </c>
      <c r="B1924" s="799" t="s">
        <v>4164</v>
      </c>
      <c r="C1924" s="798" t="s">
        <v>24</v>
      </c>
      <c r="D1924" s="800">
        <v>548.9</v>
      </c>
    </row>
    <row r="1925" spans="1:4" ht="40.5">
      <c r="A1925" s="798">
        <v>90825</v>
      </c>
      <c r="B1925" s="799" t="s">
        <v>4165</v>
      </c>
      <c r="C1925" s="798" t="s">
        <v>24</v>
      </c>
      <c r="D1925" s="800">
        <v>611.03</v>
      </c>
    </row>
    <row r="1926" spans="1:4" ht="40.5">
      <c r="A1926" s="798">
        <v>90830</v>
      </c>
      <c r="B1926" s="799" t="s">
        <v>4166</v>
      </c>
      <c r="C1926" s="798" t="s">
        <v>24</v>
      </c>
      <c r="D1926" s="800">
        <v>148.12</v>
      </c>
    </row>
    <row r="1927" spans="1:4" ht="40.5">
      <c r="A1927" s="798">
        <v>90831</v>
      </c>
      <c r="B1927" s="799" t="s">
        <v>4167</v>
      </c>
      <c r="C1927" s="798" t="s">
        <v>24</v>
      </c>
      <c r="D1927" s="800">
        <v>130.65</v>
      </c>
    </row>
    <row r="1928" spans="1:4" ht="67.5">
      <c r="A1928" s="798">
        <v>90841</v>
      </c>
      <c r="B1928" s="799" t="s">
        <v>4168</v>
      </c>
      <c r="C1928" s="798" t="s">
        <v>24</v>
      </c>
      <c r="D1928" s="800">
        <v>749.17</v>
      </c>
    </row>
    <row r="1929" spans="1:4" ht="67.5">
      <c r="A1929" s="798">
        <v>90842</v>
      </c>
      <c r="B1929" s="799" t="s">
        <v>4169</v>
      </c>
      <c r="C1929" s="798" t="s">
        <v>24</v>
      </c>
      <c r="D1929" s="800">
        <v>755.6</v>
      </c>
    </row>
    <row r="1930" spans="1:4" ht="67.5">
      <c r="A1930" s="798">
        <v>90843</v>
      </c>
      <c r="B1930" s="799" t="s">
        <v>4170</v>
      </c>
      <c r="C1930" s="798" t="s">
        <v>24</v>
      </c>
      <c r="D1930" s="800">
        <v>795.07</v>
      </c>
    </row>
    <row r="1931" spans="1:4" ht="67.5">
      <c r="A1931" s="798">
        <v>90844</v>
      </c>
      <c r="B1931" s="799" t="s">
        <v>4171</v>
      </c>
      <c r="C1931" s="798" t="s">
        <v>24</v>
      </c>
      <c r="D1931" s="800">
        <v>868.22</v>
      </c>
    </row>
    <row r="1932" spans="1:4" ht="81">
      <c r="A1932" s="798">
        <v>90845</v>
      </c>
      <c r="B1932" s="799" t="s">
        <v>5174</v>
      </c>
      <c r="C1932" s="798" t="s">
        <v>24</v>
      </c>
      <c r="D1932" s="800">
        <v>1031.21</v>
      </c>
    </row>
    <row r="1933" spans="1:4" ht="81">
      <c r="A1933" s="798">
        <v>90846</v>
      </c>
      <c r="B1933" s="799" t="s">
        <v>5175</v>
      </c>
      <c r="C1933" s="798" t="s">
        <v>24</v>
      </c>
      <c r="D1933" s="800">
        <v>1094.75</v>
      </c>
    </row>
    <row r="1934" spans="1:4" ht="67.5">
      <c r="A1934" s="798">
        <v>90847</v>
      </c>
      <c r="B1934" s="799" t="s">
        <v>4172</v>
      </c>
      <c r="C1934" s="798" t="s">
        <v>24</v>
      </c>
      <c r="D1934" s="800">
        <v>618.52</v>
      </c>
    </row>
    <row r="1935" spans="1:4" ht="67.5">
      <c r="A1935" s="798">
        <v>90848</v>
      </c>
      <c r="B1935" s="799" t="s">
        <v>4173</v>
      </c>
      <c r="C1935" s="798" t="s">
        <v>24</v>
      </c>
      <c r="D1935" s="800">
        <v>624.95000000000005</v>
      </c>
    </row>
    <row r="1936" spans="1:4" ht="67.5">
      <c r="A1936" s="798">
        <v>90849</v>
      </c>
      <c r="B1936" s="799" t="s">
        <v>4174</v>
      </c>
      <c r="C1936" s="798" t="s">
        <v>24</v>
      </c>
      <c r="D1936" s="800">
        <v>646.95000000000005</v>
      </c>
    </row>
    <row r="1937" spans="1:4" ht="67.5">
      <c r="A1937" s="798">
        <v>90850</v>
      </c>
      <c r="B1937" s="799" t="s">
        <v>4175</v>
      </c>
      <c r="C1937" s="798" t="s">
        <v>24</v>
      </c>
      <c r="D1937" s="800">
        <v>720.1</v>
      </c>
    </row>
    <row r="1938" spans="1:4" ht="67.5">
      <c r="A1938" s="798">
        <v>90851</v>
      </c>
      <c r="B1938" s="799" t="s">
        <v>5176</v>
      </c>
      <c r="C1938" s="798" t="s">
        <v>24</v>
      </c>
      <c r="D1938" s="800">
        <v>883.09</v>
      </c>
    </row>
    <row r="1939" spans="1:4" ht="67.5">
      <c r="A1939" s="798">
        <v>90852</v>
      </c>
      <c r="B1939" s="799" t="s">
        <v>5177</v>
      </c>
      <c r="C1939" s="798" t="s">
        <v>24</v>
      </c>
      <c r="D1939" s="800">
        <v>946.63</v>
      </c>
    </row>
    <row r="1940" spans="1:4" ht="40.5">
      <c r="A1940" s="798">
        <v>91009</v>
      </c>
      <c r="B1940" s="799" t="s">
        <v>4176</v>
      </c>
      <c r="C1940" s="798" t="s">
        <v>24</v>
      </c>
      <c r="D1940" s="800">
        <v>297.39</v>
      </c>
    </row>
    <row r="1941" spans="1:4" ht="40.5">
      <c r="A1941" s="798">
        <v>91010</v>
      </c>
      <c r="B1941" s="799" t="s">
        <v>4177</v>
      </c>
      <c r="C1941" s="798" t="s">
        <v>24</v>
      </c>
      <c r="D1941" s="800">
        <v>302.89999999999998</v>
      </c>
    </row>
    <row r="1942" spans="1:4" ht="40.5">
      <c r="A1942" s="798">
        <v>91011</v>
      </c>
      <c r="B1942" s="799" t="s">
        <v>4178</v>
      </c>
      <c r="C1942" s="798" t="s">
        <v>24</v>
      </c>
      <c r="D1942" s="800">
        <v>354.34</v>
      </c>
    </row>
    <row r="1943" spans="1:4" ht="40.5">
      <c r="A1943" s="798">
        <v>91012</v>
      </c>
      <c r="B1943" s="799" t="s">
        <v>4179</v>
      </c>
      <c r="C1943" s="798" t="s">
        <v>24</v>
      </c>
      <c r="D1943" s="800">
        <v>393.58</v>
      </c>
    </row>
    <row r="1944" spans="1:4" ht="67.5">
      <c r="A1944" s="798">
        <v>91013</v>
      </c>
      <c r="B1944" s="799" t="s">
        <v>4180</v>
      </c>
      <c r="C1944" s="798" t="s">
        <v>24</v>
      </c>
      <c r="D1944" s="800">
        <v>628.76</v>
      </c>
    </row>
    <row r="1945" spans="1:4" ht="67.5">
      <c r="A1945" s="798">
        <v>91014</v>
      </c>
      <c r="B1945" s="799" t="s">
        <v>4181</v>
      </c>
      <c r="C1945" s="798" t="s">
        <v>24</v>
      </c>
      <c r="D1945" s="800">
        <v>635.67999999999995</v>
      </c>
    </row>
    <row r="1946" spans="1:4" ht="67.5">
      <c r="A1946" s="798">
        <v>91015</v>
      </c>
      <c r="B1946" s="799" t="s">
        <v>4182</v>
      </c>
      <c r="C1946" s="798" t="s">
        <v>24</v>
      </c>
      <c r="D1946" s="800">
        <v>688.53</v>
      </c>
    </row>
    <row r="1947" spans="1:4" ht="67.5">
      <c r="A1947" s="798">
        <v>91016</v>
      </c>
      <c r="B1947" s="799" t="s">
        <v>4183</v>
      </c>
      <c r="C1947" s="798" t="s">
        <v>24</v>
      </c>
      <c r="D1947" s="800">
        <v>729.18</v>
      </c>
    </row>
    <row r="1948" spans="1:4" ht="27">
      <c r="A1948" s="798">
        <v>91287</v>
      </c>
      <c r="B1948" s="799" t="s">
        <v>4184</v>
      </c>
      <c r="C1948" s="798" t="s">
        <v>24</v>
      </c>
      <c r="D1948" s="800">
        <v>146.51</v>
      </c>
    </row>
    <row r="1949" spans="1:4" ht="40.5">
      <c r="A1949" s="798">
        <v>91292</v>
      </c>
      <c r="B1949" s="799" t="s">
        <v>4185</v>
      </c>
      <c r="C1949" s="798" t="s">
        <v>24</v>
      </c>
      <c r="D1949" s="800">
        <v>217.33</v>
      </c>
    </row>
    <row r="1950" spans="1:4" ht="40.5">
      <c r="A1950" s="798">
        <v>91295</v>
      </c>
      <c r="B1950" s="799" t="s">
        <v>4186</v>
      </c>
      <c r="C1950" s="798" t="s">
        <v>24</v>
      </c>
      <c r="D1950" s="800">
        <v>306.26</v>
      </c>
    </row>
    <row r="1951" spans="1:4" ht="40.5">
      <c r="A1951" s="798">
        <v>91296</v>
      </c>
      <c r="B1951" s="799" t="s">
        <v>4187</v>
      </c>
      <c r="C1951" s="798" t="s">
        <v>24</v>
      </c>
      <c r="D1951" s="800">
        <v>327.68</v>
      </c>
    </row>
    <row r="1952" spans="1:4" ht="40.5">
      <c r="A1952" s="798">
        <v>91297</v>
      </c>
      <c r="B1952" s="799" t="s">
        <v>4188</v>
      </c>
      <c r="C1952" s="798" t="s">
        <v>24</v>
      </c>
      <c r="D1952" s="800">
        <v>360.25</v>
      </c>
    </row>
    <row r="1953" spans="1:4" ht="40.5">
      <c r="A1953" s="798">
        <v>91298</v>
      </c>
      <c r="B1953" s="799" t="s">
        <v>4189</v>
      </c>
      <c r="C1953" s="798" t="s">
        <v>24</v>
      </c>
      <c r="D1953" s="800">
        <v>762.42</v>
      </c>
    </row>
    <row r="1954" spans="1:4" ht="40.5">
      <c r="A1954" s="798">
        <v>91299</v>
      </c>
      <c r="B1954" s="799" t="s">
        <v>4190</v>
      </c>
      <c r="C1954" s="798" t="s">
        <v>24</v>
      </c>
      <c r="D1954" s="800">
        <v>1064.73</v>
      </c>
    </row>
    <row r="1955" spans="1:4" ht="40.5">
      <c r="A1955" s="798">
        <v>91304</v>
      </c>
      <c r="B1955" s="799" t="s">
        <v>4191</v>
      </c>
      <c r="C1955" s="798" t="s">
        <v>24</v>
      </c>
      <c r="D1955" s="800">
        <v>87.46</v>
      </c>
    </row>
    <row r="1956" spans="1:4" ht="40.5">
      <c r="A1956" s="798">
        <v>91305</v>
      </c>
      <c r="B1956" s="799" t="s">
        <v>4192</v>
      </c>
      <c r="C1956" s="798" t="s">
        <v>24</v>
      </c>
      <c r="D1956" s="800">
        <v>88.92</v>
      </c>
    </row>
    <row r="1957" spans="1:4" ht="40.5">
      <c r="A1957" s="798">
        <v>91306</v>
      </c>
      <c r="B1957" s="799" t="s">
        <v>4193</v>
      </c>
      <c r="C1957" s="798" t="s">
        <v>24</v>
      </c>
      <c r="D1957" s="800">
        <v>130.65</v>
      </c>
    </row>
    <row r="1958" spans="1:4" ht="40.5">
      <c r="A1958" s="798">
        <v>91307</v>
      </c>
      <c r="B1958" s="799" t="s">
        <v>4194</v>
      </c>
      <c r="C1958" s="798" t="s">
        <v>24</v>
      </c>
      <c r="D1958" s="800">
        <v>74.84</v>
      </c>
    </row>
    <row r="1959" spans="1:4" ht="67.5">
      <c r="A1959" s="798">
        <v>91312</v>
      </c>
      <c r="B1959" s="799" t="s">
        <v>4195</v>
      </c>
      <c r="C1959" s="798" t="s">
        <v>24</v>
      </c>
      <c r="D1959" s="800">
        <v>641.01</v>
      </c>
    </row>
    <row r="1960" spans="1:4" ht="67.5">
      <c r="A1960" s="798">
        <v>91313</v>
      </c>
      <c r="B1960" s="799" t="s">
        <v>4196</v>
      </c>
      <c r="C1960" s="798" t="s">
        <v>24</v>
      </c>
      <c r="D1960" s="800">
        <v>632.94000000000005</v>
      </c>
    </row>
    <row r="1961" spans="1:4" ht="67.5">
      <c r="A1961" s="798">
        <v>91314</v>
      </c>
      <c r="B1961" s="799" t="s">
        <v>4197</v>
      </c>
      <c r="C1961" s="798" t="s">
        <v>24</v>
      </c>
      <c r="D1961" s="800">
        <v>667.15</v>
      </c>
    </row>
    <row r="1962" spans="1:4" ht="67.5">
      <c r="A1962" s="798">
        <v>91315</v>
      </c>
      <c r="B1962" s="799" t="s">
        <v>4198</v>
      </c>
      <c r="C1962" s="798" t="s">
        <v>24</v>
      </c>
      <c r="D1962" s="800">
        <v>739.88</v>
      </c>
    </row>
    <row r="1963" spans="1:4" ht="81">
      <c r="A1963" s="798">
        <v>91316</v>
      </c>
      <c r="B1963" s="799" t="s">
        <v>5178</v>
      </c>
      <c r="C1963" s="798" t="s">
        <v>24</v>
      </c>
      <c r="D1963" s="800">
        <v>903.29</v>
      </c>
    </row>
    <row r="1964" spans="1:4" ht="81">
      <c r="A1964" s="798">
        <v>91317</v>
      </c>
      <c r="B1964" s="799" t="s">
        <v>5179</v>
      </c>
      <c r="C1964" s="798" t="s">
        <v>24</v>
      </c>
      <c r="D1964" s="800">
        <v>966.41</v>
      </c>
    </row>
    <row r="1965" spans="1:4" ht="67.5">
      <c r="A1965" s="798">
        <v>91318</v>
      </c>
      <c r="B1965" s="799" t="s">
        <v>4199</v>
      </c>
      <c r="C1965" s="798" t="s">
        <v>24</v>
      </c>
      <c r="D1965" s="800">
        <v>552.09</v>
      </c>
    </row>
    <row r="1966" spans="1:4" ht="67.5">
      <c r="A1966" s="798">
        <v>91319</v>
      </c>
      <c r="B1966" s="799" t="s">
        <v>4200</v>
      </c>
      <c r="C1966" s="798" t="s">
        <v>24</v>
      </c>
      <c r="D1966" s="800">
        <v>558.1</v>
      </c>
    </row>
    <row r="1967" spans="1:4" ht="67.5">
      <c r="A1967" s="798">
        <v>91320</v>
      </c>
      <c r="B1967" s="799" t="s">
        <v>4201</v>
      </c>
      <c r="C1967" s="798" t="s">
        <v>24</v>
      </c>
      <c r="D1967" s="800">
        <v>579.69000000000005</v>
      </c>
    </row>
    <row r="1968" spans="1:4" ht="67.5">
      <c r="A1968" s="798">
        <v>91321</v>
      </c>
      <c r="B1968" s="799" t="s">
        <v>4202</v>
      </c>
      <c r="C1968" s="798" t="s">
        <v>24</v>
      </c>
      <c r="D1968" s="800">
        <v>652.41999999999996</v>
      </c>
    </row>
    <row r="1969" spans="1:4" ht="67.5">
      <c r="A1969" s="798">
        <v>91322</v>
      </c>
      <c r="B1969" s="799" t="s">
        <v>5180</v>
      </c>
      <c r="C1969" s="798" t="s">
        <v>24</v>
      </c>
      <c r="D1969" s="800">
        <v>815.83</v>
      </c>
    </row>
    <row r="1970" spans="1:4" ht="67.5">
      <c r="A1970" s="798">
        <v>91323</v>
      </c>
      <c r="B1970" s="799" t="s">
        <v>5181</v>
      </c>
      <c r="C1970" s="798" t="s">
        <v>24</v>
      </c>
      <c r="D1970" s="800">
        <v>878.95</v>
      </c>
    </row>
    <row r="1971" spans="1:4" ht="67.5">
      <c r="A1971" s="798">
        <v>91324</v>
      </c>
      <c r="B1971" s="799" t="s">
        <v>4203</v>
      </c>
      <c r="C1971" s="798" t="s">
        <v>24</v>
      </c>
      <c r="D1971" s="800">
        <v>562.33000000000004</v>
      </c>
    </row>
    <row r="1972" spans="1:4" ht="67.5">
      <c r="A1972" s="798">
        <v>91325</v>
      </c>
      <c r="B1972" s="799" t="s">
        <v>4204</v>
      </c>
      <c r="C1972" s="798" t="s">
        <v>24</v>
      </c>
      <c r="D1972" s="800">
        <v>568.83000000000004</v>
      </c>
    </row>
    <row r="1973" spans="1:4" ht="67.5">
      <c r="A1973" s="798">
        <v>91326</v>
      </c>
      <c r="B1973" s="799" t="s">
        <v>4205</v>
      </c>
      <c r="C1973" s="798" t="s">
        <v>24</v>
      </c>
      <c r="D1973" s="800">
        <v>621.27</v>
      </c>
    </row>
    <row r="1974" spans="1:4" ht="67.5">
      <c r="A1974" s="798">
        <v>91327</v>
      </c>
      <c r="B1974" s="799" t="s">
        <v>4206</v>
      </c>
      <c r="C1974" s="798" t="s">
        <v>24</v>
      </c>
      <c r="D1974" s="800">
        <v>661.5</v>
      </c>
    </row>
    <row r="1975" spans="1:4" ht="67.5">
      <c r="A1975" s="798">
        <v>91328</v>
      </c>
      <c r="B1975" s="799" t="s">
        <v>4207</v>
      </c>
      <c r="C1975" s="798" t="s">
        <v>24</v>
      </c>
      <c r="D1975" s="800">
        <v>637.63</v>
      </c>
    </row>
    <row r="1976" spans="1:4" ht="67.5">
      <c r="A1976" s="798">
        <v>91329</v>
      </c>
      <c r="B1976" s="799" t="s">
        <v>4208</v>
      </c>
      <c r="C1976" s="798" t="s">
        <v>24</v>
      </c>
      <c r="D1976" s="800">
        <v>571.20000000000005</v>
      </c>
    </row>
    <row r="1977" spans="1:4" ht="67.5">
      <c r="A1977" s="798">
        <v>91330</v>
      </c>
      <c r="B1977" s="799" t="s">
        <v>4209</v>
      </c>
      <c r="C1977" s="798" t="s">
        <v>24</v>
      </c>
      <c r="D1977" s="800">
        <v>660.46</v>
      </c>
    </row>
    <row r="1978" spans="1:4" ht="67.5">
      <c r="A1978" s="798">
        <v>91331</v>
      </c>
      <c r="B1978" s="799" t="s">
        <v>4210</v>
      </c>
      <c r="C1978" s="798" t="s">
        <v>24</v>
      </c>
      <c r="D1978" s="800">
        <v>593.61</v>
      </c>
    </row>
    <row r="1979" spans="1:4" ht="67.5">
      <c r="A1979" s="798">
        <v>91332</v>
      </c>
      <c r="B1979" s="799" t="s">
        <v>4211</v>
      </c>
      <c r="C1979" s="798" t="s">
        <v>24</v>
      </c>
      <c r="D1979" s="800">
        <v>694.44</v>
      </c>
    </row>
    <row r="1980" spans="1:4" ht="67.5">
      <c r="A1980" s="798">
        <v>91333</v>
      </c>
      <c r="B1980" s="799" t="s">
        <v>4212</v>
      </c>
      <c r="C1980" s="798" t="s">
        <v>24</v>
      </c>
      <c r="D1980" s="800">
        <v>627.17999999999995</v>
      </c>
    </row>
    <row r="1981" spans="1:4" ht="54">
      <c r="A1981" s="798">
        <v>91334</v>
      </c>
      <c r="B1981" s="799" t="s">
        <v>4213</v>
      </c>
      <c r="C1981" s="798" t="s">
        <v>24</v>
      </c>
      <c r="D1981" s="800">
        <v>1096.6099999999999</v>
      </c>
    </row>
    <row r="1982" spans="1:4" ht="54">
      <c r="A1982" s="798">
        <v>91335</v>
      </c>
      <c r="B1982" s="799" t="s">
        <v>4214</v>
      </c>
      <c r="C1982" s="798" t="s">
        <v>24</v>
      </c>
      <c r="D1982" s="800">
        <v>1029.3499999999999</v>
      </c>
    </row>
    <row r="1983" spans="1:4" ht="67.5">
      <c r="A1983" s="798">
        <v>91336</v>
      </c>
      <c r="B1983" s="799" t="s">
        <v>4215</v>
      </c>
      <c r="C1983" s="798" t="s">
        <v>24</v>
      </c>
      <c r="D1983" s="800">
        <v>1398.92</v>
      </c>
    </row>
    <row r="1984" spans="1:4" ht="67.5">
      <c r="A1984" s="798">
        <v>91337</v>
      </c>
      <c r="B1984" s="799" t="s">
        <v>4216</v>
      </c>
      <c r="C1984" s="798" t="s">
        <v>24</v>
      </c>
      <c r="D1984" s="800">
        <v>1331.66</v>
      </c>
    </row>
    <row r="1985" spans="1:4" ht="27">
      <c r="A1985" s="798">
        <v>100659</v>
      </c>
      <c r="B1985" s="799" t="s">
        <v>4217</v>
      </c>
      <c r="C1985" s="798" t="s">
        <v>14</v>
      </c>
      <c r="D1985" s="800">
        <v>7.05</v>
      </c>
    </row>
    <row r="1986" spans="1:4" ht="40.5">
      <c r="A1986" s="798">
        <v>100660</v>
      </c>
      <c r="B1986" s="799" t="s">
        <v>4218</v>
      </c>
      <c r="C1986" s="798" t="s">
        <v>14</v>
      </c>
      <c r="D1986" s="800">
        <v>4.96</v>
      </c>
    </row>
    <row r="1987" spans="1:4" ht="67.5">
      <c r="A1987" s="798">
        <v>100675</v>
      </c>
      <c r="B1987" s="799" t="s">
        <v>4219</v>
      </c>
      <c r="C1987" s="798" t="s">
        <v>24</v>
      </c>
      <c r="D1987" s="800">
        <v>856.61</v>
      </c>
    </row>
    <row r="1988" spans="1:4" ht="27">
      <c r="A1988" s="798">
        <v>100676</v>
      </c>
      <c r="B1988" s="799" t="s">
        <v>4220</v>
      </c>
      <c r="C1988" s="798" t="s">
        <v>24</v>
      </c>
      <c r="D1988" s="800">
        <v>123.2</v>
      </c>
    </row>
    <row r="1989" spans="1:4" ht="67.5">
      <c r="A1989" s="798">
        <v>100678</v>
      </c>
      <c r="B1989" s="799" t="s">
        <v>4221</v>
      </c>
      <c r="C1989" s="798" t="s">
        <v>24</v>
      </c>
      <c r="D1989" s="800">
        <v>759.41</v>
      </c>
    </row>
    <row r="1990" spans="1:4" ht="67.5">
      <c r="A1990" s="798">
        <v>100679</v>
      </c>
      <c r="B1990" s="799" t="s">
        <v>4222</v>
      </c>
      <c r="C1990" s="798" t="s">
        <v>24</v>
      </c>
      <c r="D1990" s="800">
        <v>651.25</v>
      </c>
    </row>
    <row r="1991" spans="1:4" ht="67.5">
      <c r="A1991" s="798">
        <v>100680</v>
      </c>
      <c r="B1991" s="799" t="s">
        <v>4223</v>
      </c>
      <c r="C1991" s="798" t="s">
        <v>24</v>
      </c>
      <c r="D1991" s="800">
        <v>766.33</v>
      </c>
    </row>
    <row r="1992" spans="1:4" ht="67.5">
      <c r="A1992" s="798">
        <v>100681</v>
      </c>
      <c r="B1992" s="799" t="s">
        <v>4224</v>
      </c>
      <c r="C1992" s="798" t="s">
        <v>24</v>
      </c>
      <c r="D1992" s="800">
        <v>791.11</v>
      </c>
    </row>
    <row r="1993" spans="1:4" ht="67.5">
      <c r="A1993" s="798">
        <v>100682</v>
      </c>
      <c r="B1993" s="799" t="s">
        <v>4225</v>
      </c>
      <c r="C1993" s="798" t="s">
        <v>24</v>
      </c>
      <c r="D1993" s="800">
        <v>668.45</v>
      </c>
    </row>
    <row r="1994" spans="1:4" ht="67.5">
      <c r="A1994" s="798">
        <v>100683</v>
      </c>
      <c r="B1994" s="799" t="s">
        <v>4226</v>
      </c>
      <c r="C1994" s="798" t="s">
        <v>24</v>
      </c>
      <c r="D1994" s="800">
        <v>836.65</v>
      </c>
    </row>
    <row r="1995" spans="1:4" ht="67.5">
      <c r="A1995" s="798">
        <v>100684</v>
      </c>
      <c r="B1995" s="799" t="s">
        <v>4227</v>
      </c>
      <c r="C1995" s="798" t="s">
        <v>24</v>
      </c>
      <c r="D1995" s="800">
        <v>708.73</v>
      </c>
    </row>
    <row r="1996" spans="1:4" ht="67.5">
      <c r="A1996" s="798">
        <v>100685</v>
      </c>
      <c r="B1996" s="799" t="s">
        <v>4228</v>
      </c>
      <c r="C1996" s="798" t="s">
        <v>24</v>
      </c>
      <c r="D1996" s="800">
        <v>877.3</v>
      </c>
    </row>
    <row r="1997" spans="1:4" ht="67.5">
      <c r="A1997" s="798">
        <v>100686</v>
      </c>
      <c r="B1997" s="799" t="s">
        <v>4229</v>
      </c>
      <c r="C1997" s="798" t="s">
        <v>24</v>
      </c>
      <c r="D1997" s="800">
        <v>748.96</v>
      </c>
    </row>
    <row r="1998" spans="1:4" ht="67.5">
      <c r="A1998" s="798">
        <v>100687</v>
      </c>
      <c r="B1998" s="799" t="s">
        <v>4230</v>
      </c>
      <c r="C1998" s="798" t="s">
        <v>24</v>
      </c>
      <c r="D1998" s="800">
        <v>768.28</v>
      </c>
    </row>
    <row r="1999" spans="1:4" ht="67.5">
      <c r="A1999" s="798">
        <v>100688</v>
      </c>
      <c r="B1999" s="799" t="s">
        <v>4231</v>
      </c>
      <c r="C1999" s="798" t="s">
        <v>24</v>
      </c>
      <c r="D1999" s="800">
        <v>660.12</v>
      </c>
    </row>
    <row r="2000" spans="1:4" ht="67.5">
      <c r="A2000" s="798">
        <v>100689</v>
      </c>
      <c r="B2000" s="799" t="s">
        <v>4232</v>
      </c>
      <c r="C2000" s="798" t="s">
        <v>24</v>
      </c>
      <c r="D2000" s="800">
        <v>842.56</v>
      </c>
    </row>
    <row r="2001" spans="1:4" ht="67.5">
      <c r="A2001" s="798">
        <v>100690</v>
      </c>
      <c r="B2001" s="799" t="s">
        <v>4233</v>
      </c>
      <c r="C2001" s="798" t="s">
        <v>24</v>
      </c>
      <c r="D2001" s="800">
        <v>714.64</v>
      </c>
    </row>
    <row r="2002" spans="1:4" ht="67.5">
      <c r="A2002" s="798">
        <v>100691</v>
      </c>
      <c r="B2002" s="799" t="s">
        <v>4234</v>
      </c>
      <c r="C2002" s="798" t="s">
        <v>24</v>
      </c>
      <c r="D2002" s="800">
        <v>1244.73</v>
      </c>
    </row>
    <row r="2003" spans="1:4" ht="67.5">
      <c r="A2003" s="798">
        <v>100692</v>
      </c>
      <c r="B2003" s="799" t="s">
        <v>4235</v>
      </c>
      <c r="C2003" s="798" t="s">
        <v>24</v>
      </c>
      <c r="D2003" s="800">
        <v>1116.81</v>
      </c>
    </row>
    <row r="2004" spans="1:4" ht="67.5">
      <c r="A2004" s="798">
        <v>100693</v>
      </c>
      <c r="B2004" s="799" t="s">
        <v>4236</v>
      </c>
      <c r="C2004" s="798" t="s">
        <v>24</v>
      </c>
      <c r="D2004" s="800">
        <v>1547.04</v>
      </c>
    </row>
    <row r="2005" spans="1:4" ht="67.5">
      <c r="A2005" s="798">
        <v>100694</v>
      </c>
      <c r="B2005" s="799" t="s">
        <v>4237</v>
      </c>
      <c r="C2005" s="798" t="s">
        <v>24</v>
      </c>
      <c r="D2005" s="800">
        <v>1419.12</v>
      </c>
    </row>
    <row r="2006" spans="1:4" ht="40.5">
      <c r="A2006" s="798">
        <v>100695</v>
      </c>
      <c r="B2006" s="799" t="s">
        <v>4238</v>
      </c>
      <c r="C2006" s="798" t="s">
        <v>24</v>
      </c>
      <c r="D2006" s="800">
        <v>42.02</v>
      </c>
    </row>
    <row r="2007" spans="1:4" ht="40.5">
      <c r="A2007" s="798">
        <v>100696</v>
      </c>
      <c r="B2007" s="799" t="s">
        <v>4239</v>
      </c>
      <c r="C2007" s="798" t="s">
        <v>24</v>
      </c>
      <c r="D2007" s="800">
        <v>46.69</v>
      </c>
    </row>
    <row r="2008" spans="1:4" ht="40.5">
      <c r="A2008" s="798">
        <v>100697</v>
      </c>
      <c r="B2008" s="799" t="s">
        <v>4240</v>
      </c>
      <c r="C2008" s="798" t="s">
        <v>24</v>
      </c>
      <c r="D2008" s="800">
        <v>51.41</v>
      </c>
    </row>
    <row r="2009" spans="1:4" ht="40.5">
      <c r="A2009" s="798">
        <v>100698</v>
      </c>
      <c r="B2009" s="799" t="s">
        <v>4241</v>
      </c>
      <c r="C2009" s="798" t="s">
        <v>24</v>
      </c>
      <c r="D2009" s="800">
        <v>56.11</v>
      </c>
    </row>
    <row r="2010" spans="1:4" ht="40.5">
      <c r="A2010" s="798">
        <v>100699</v>
      </c>
      <c r="B2010" s="799" t="s">
        <v>4242</v>
      </c>
      <c r="C2010" s="798" t="s">
        <v>24</v>
      </c>
      <c r="D2010" s="800">
        <v>66.63</v>
      </c>
    </row>
    <row r="2011" spans="1:4" ht="40.5">
      <c r="A2011" s="798">
        <v>100700</v>
      </c>
      <c r="B2011" s="799" t="s">
        <v>4243</v>
      </c>
      <c r="C2011" s="798" t="s">
        <v>24</v>
      </c>
      <c r="D2011" s="800">
        <v>671.79</v>
      </c>
    </row>
    <row r="2012" spans="1:4" ht="67.5">
      <c r="A2012" s="798">
        <v>100712</v>
      </c>
      <c r="B2012" s="799" t="s">
        <v>4244</v>
      </c>
      <c r="C2012" s="798" t="s">
        <v>24</v>
      </c>
      <c r="D2012" s="800">
        <v>643.66999999999996</v>
      </c>
    </row>
    <row r="2013" spans="1:4" ht="67.5">
      <c r="A2013" s="798">
        <v>100665</v>
      </c>
      <c r="B2013" s="799" t="s">
        <v>4245</v>
      </c>
      <c r="C2013" s="798" t="s">
        <v>32</v>
      </c>
      <c r="D2013" s="800">
        <v>966.48</v>
      </c>
    </row>
    <row r="2014" spans="1:4" ht="67.5">
      <c r="A2014" s="798">
        <v>100666</v>
      </c>
      <c r="B2014" s="799" t="s">
        <v>4246</v>
      </c>
      <c r="C2014" s="798" t="s">
        <v>32</v>
      </c>
      <c r="D2014" s="800">
        <v>757.44</v>
      </c>
    </row>
    <row r="2015" spans="1:4" ht="67.5">
      <c r="A2015" s="798">
        <v>100667</v>
      </c>
      <c r="B2015" s="799" t="s">
        <v>4247</v>
      </c>
      <c r="C2015" s="798" t="s">
        <v>32</v>
      </c>
      <c r="D2015" s="800">
        <v>1262</v>
      </c>
    </row>
    <row r="2016" spans="1:4" ht="54">
      <c r="A2016" s="798">
        <v>100668</v>
      </c>
      <c r="B2016" s="799" t="s">
        <v>4248</v>
      </c>
      <c r="C2016" s="798" t="s">
        <v>32</v>
      </c>
      <c r="D2016" s="800">
        <v>1474.66</v>
      </c>
    </row>
    <row r="2017" spans="1:4" ht="54">
      <c r="A2017" s="798">
        <v>100669</v>
      </c>
      <c r="B2017" s="799" t="s">
        <v>4249</v>
      </c>
      <c r="C2017" s="798" t="s">
        <v>32</v>
      </c>
      <c r="D2017" s="800">
        <v>888.83</v>
      </c>
    </row>
    <row r="2018" spans="1:4" ht="67.5">
      <c r="A2018" s="798">
        <v>100670</v>
      </c>
      <c r="B2018" s="799" t="s">
        <v>4250</v>
      </c>
      <c r="C2018" s="798" t="s">
        <v>32</v>
      </c>
      <c r="D2018" s="800">
        <v>1209.96</v>
      </c>
    </row>
    <row r="2019" spans="1:4" ht="67.5">
      <c r="A2019" s="798">
        <v>100671</v>
      </c>
      <c r="B2019" s="799" t="s">
        <v>4251</v>
      </c>
      <c r="C2019" s="798" t="s">
        <v>32</v>
      </c>
      <c r="D2019" s="800">
        <v>1510.32</v>
      </c>
    </row>
    <row r="2020" spans="1:4" ht="67.5">
      <c r="A2020" s="798">
        <v>100672</v>
      </c>
      <c r="B2020" s="799" t="s">
        <v>4252</v>
      </c>
      <c r="C2020" s="798" t="s">
        <v>32</v>
      </c>
      <c r="D2020" s="800">
        <v>962.24</v>
      </c>
    </row>
    <row r="2021" spans="1:4" ht="27">
      <c r="A2021" s="798">
        <v>100701</v>
      </c>
      <c r="B2021" s="799" t="s">
        <v>4253</v>
      </c>
      <c r="C2021" s="798" t="s">
        <v>32</v>
      </c>
      <c r="D2021" s="800">
        <v>553.95000000000005</v>
      </c>
    </row>
    <row r="2022" spans="1:4" ht="54">
      <c r="A2022" s="798">
        <v>94559</v>
      </c>
      <c r="B2022" s="799" t="s">
        <v>4254</v>
      </c>
      <c r="C2022" s="798" t="s">
        <v>32</v>
      </c>
      <c r="D2022" s="800">
        <v>769.18</v>
      </c>
    </row>
    <row r="2023" spans="1:4" ht="54">
      <c r="A2023" s="798">
        <v>94562</v>
      </c>
      <c r="B2023" s="799" t="s">
        <v>4255</v>
      </c>
      <c r="C2023" s="798" t="s">
        <v>32</v>
      </c>
      <c r="D2023" s="800">
        <v>762.94</v>
      </c>
    </row>
    <row r="2024" spans="1:4" ht="27">
      <c r="A2024" s="798">
        <v>94587</v>
      </c>
      <c r="B2024" s="799" t="s">
        <v>4256</v>
      </c>
      <c r="C2024" s="798" t="s">
        <v>14</v>
      </c>
      <c r="D2024" s="800">
        <v>65.48</v>
      </c>
    </row>
    <row r="2025" spans="1:4" ht="27">
      <c r="A2025" s="798">
        <v>94588</v>
      </c>
      <c r="B2025" s="799" t="s">
        <v>4257</v>
      </c>
      <c r="C2025" s="798" t="s">
        <v>14</v>
      </c>
      <c r="D2025" s="800">
        <v>60.09</v>
      </c>
    </row>
    <row r="2026" spans="1:4" ht="67.5">
      <c r="A2026" s="798">
        <v>99837</v>
      </c>
      <c r="B2026" s="799" t="s">
        <v>3752</v>
      </c>
      <c r="C2026" s="798" t="s">
        <v>14</v>
      </c>
      <c r="D2026" s="800">
        <v>577.03</v>
      </c>
    </row>
    <row r="2027" spans="1:4" ht="67.5">
      <c r="A2027" s="798">
        <v>99839</v>
      </c>
      <c r="B2027" s="799" t="s">
        <v>3753</v>
      </c>
      <c r="C2027" s="798" t="s">
        <v>14</v>
      </c>
      <c r="D2027" s="800">
        <v>460</v>
      </c>
    </row>
    <row r="2028" spans="1:4" ht="40.5">
      <c r="A2028" s="798">
        <v>99841</v>
      </c>
      <c r="B2028" s="799" t="s">
        <v>3754</v>
      </c>
      <c r="C2028" s="798" t="s">
        <v>14</v>
      </c>
      <c r="D2028" s="800">
        <v>1474.85</v>
      </c>
    </row>
    <row r="2029" spans="1:4" ht="27">
      <c r="A2029" s="798">
        <v>99855</v>
      </c>
      <c r="B2029" s="799" t="s">
        <v>3755</v>
      </c>
      <c r="C2029" s="798" t="s">
        <v>14</v>
      </c>
      <c r="D2029" s="800">
        <v>104.99</v>
      </c>
    </row>
    <row r="2030" spans="1:4" ht="27">
      <c r="A2030" s="798">
        <v>99857</v>
      </c>
      <c r="B2030" s="799" t="s">
        <v>3756</v>
      </c>
      <c r="C2030" s="798" t="s">
        <v>14</v>
      </c>
      <c r="D2030" s="800">
        <v>74.150000000000006</v>
      </c>
    </row>
    <row r="2031" spans="1:4" ht="27">
      <c r="A2031" s="798">
        <v>99861</v>
      </c>
      <c r="B2031" s="799" t="s">
        <v>3757</v>
      </c>
      <c r="C2031" s="798" t="s">
        <v>32</v>
      </c>
      <c r="D2031" s="800">
        <v>549.13</v>
      </c>
    </row>
    <row r="2032" spans="1:4" ht="27">
      <c r="A2032" s="798">
        <v>99862</v>
      </c>
      <c r="B2032" s="799" t="s">
        <v>3758</v>
      </c>
      <c r="C2032" s="798" t="s">
        <v>32</v>
      </c>
      <c r="D2032" s="800">
        <v>493.31</v>
      </c>
    </row>
    <row r="2033" spans="1:4" ht="27">
      <c r="A2033" s="798">
        <v>90838</v>
      </c>
      <c r="B2033" s="799" t="s">
        <v>4258</v>
      </c>
      <c r="C2033" s="798" t="s">
        <v>24</v>
      </c>
      <c r="D2033" s="800">
        <v>1379.64</v>
      </c>
    </row>
    <row r="2034" spans="1:4" ht="40.5">
      <c r="A2034" s="798">
        <v>91338</v>
      </c>
      <c r="B2034" s="799" t="s">
        <v>4259</v>
      </c>
      <c r="C2034" s="798" t="s">
        <v>32</v>
      </c>
      <c r="D2034" s="800">
        <v>890.12</v>
      </c>
    </row>
    <row r="2035" spans="1:4" ht="40.5">
      <c r="A2035" s="798">
        <v>91341</v>
      </c>
      <c r="B2035" s="799" t="s">
        <v>4260</v>
      </c>
      <c r="C2035" s="798" t="s">
        <v>32</v>
      </c>
      <c r="D2035" s="800">
        <v>720.17</v>
      </c>
    </row>
    <row r="2036" spans="1:4" ht="40.5">
      <c r="A2036" s="798">
        <v>94805</v>
      </c>
      <c r="B2036" s="799" t="s">
        <v>4261</v>
      </c>
      <c r="C2036" s="798" t="s">
        <v>24</v>
      </c>
      <c r="D2036" s="800">
        <v>748.39</v>
      </c>
    </row>
    <row r="2037" spans="1:4" ht="40.5">
      <c r="A2037" s="798">
        <v>94806</v>
      </c>
      <c r="B2037" s="799" t="s">
        <v>4262</v>
      </c>
      <c r="C2037" s="798" t="s">
        <v>24</v>
      </c>
      <c r="D2037" s="800">
        <v>641.19000000000005</v>
      </c>
    </row>
    <row r="2038" spans="1:4" ht="40.5">
      <c r="A2038" s="798">
        <v>94807</v>
      </c>
      <c r="B2038" s="799" t="s">
        <v>4263</v>
      </c>
      <c r="C2038" s="798" t="s">
        <v>24</v>
      </c>
      <c r="D2038" s="800">
        <v>583.11</v>
      </c>
    </row>
    <row r="2039" spans="1:4" ht="40.5">
      <c r="A2039" s="798">
        <v>100702</v>
      </c>
      <c r="B2039" s="799" t="s">
        <v>4264</v>
      </c>
      <c r="C2039" s="798" t="s">
        <v>32</v>
      </c>
      <c r="D2039" s="800">
        <v>463.6</v>
      </c>
    </row>
    <row r="2040" spans="1:4" ht="27">
      <c r="A2040" s="798">
        <v>102188</v>
      </c>
      <c r="B2040" s="799" t="s">
        <v>6418</v>
      </c>
      <c r="C2040" s="798" t="s">
        <v>24</v>
      </c>
      <c r="D2040" s="800">
        <v>827.53</v>
      </c>
    </row>
    <row r="2041" spans="1:4" ht="54">
      <c r="A2041" s="798">
        <v>102189</v>
      </c>
      <c r="B2041" s="799" t="s">
        <v>6419</v>
      </c>
      <c r="C2041" s="798" t="s">
        <v>24</v>
      </c>
      <c r="D2041" s="800">
        <v>206.75</v>
      </c>
    </row>
    <row r="2042" spans="1:4" ht="13.5">
      <c r="A2042" s="798">
        <v>100703</v>
      </c>
      <c r="B2042" s="799" t="s">
        <v>4265</v>
      </c>
      <c r="C2042" s="798" t="s">
        <v>24</v>
      </c>
      <c r="D2042" s="800">
        <v>30.22</v>
      </c>
    </row>
    <row r="2043" spans="1:4" ht="27">
      <c r="A2043" s="798">
        <v>100704</v>
      </c>
      <c r="B2043" s="799" t="s">
        <v>4266</v>
      </c>
      <c r="C2043" s="798" t="s">
        <v>24</v>
      </c>
      <c r="D2043" s="800">
        <v>66.38</v>
      </c>
    </row>
    <row r="2044" spans="1:4" ht="27">
      <c r="A2044" s="798">
        <v>100705</v>
      </c>
      <c r="B2044" s="799" t="s">
        <v>4267</v>
      </c>
      <c r="C2044" s="798" t="s">
        <v>24</v>
      </c>
      <c r="D2044" s="800">
        <v>72.430000000000007</v>
      </c>
    </row>
    <row r="2045" spans="1:4" ht="27">
      <c r="A2045" s="798">
        <v>100706</v>
      </c>
      <c r="B2045" s="799" t="s">
        <v>4268</v>
      </c>
      <c r="C2045" s="798" t="s">
        <v>24</v>
      </c>
      <c r="D2045" s="800">
        <v>59.69</v>
      </c>
    </row>
    <row r="2046" spans="1:4" ht="13.5">
      <c r="A2046" s="798">
        <v>100707</v>
      </c>
      <c r="B2046" s="799" t="s">
        <v>4269</v>
      </c>
      <c r="C2046" s="798" t="s">
        <v>24</v>
      </c>
      <c r="D2046" s="800">
        <v>140.37</v>
      </c>
    </row>
    <row r="2047" spans="1:4" ht="13.5">
      <c r="A2047" s="798">
        <v>100708</v>
      </c>
      <c r="B2047" s="799" t="s">
        <v>4270</v>
      </c>
      <c r="C2047" s="798" t="s">
        <v>24</v>
      </c>
      <c r="D2047" s="800">
        <v>177.91</v>
      </c>
    </row>
    <row r="2048" spans="1:4" ht="40.5">
      <c r="A2048" s="798">
        <v>100709</v>
      </c>
      <c r="B2048" s="799" t="s">
        <v>4271</v>
      </c>
      <c r="C2048" s="798" t="s">
        <v>24</v>
      </c>
      <c r="D2048" s="800">
        <v>35.81</v>
      </c>
    </row>
    <row r="2049" spans="1:4" ht="27">
      <c r="A2049" s="798">
        <v>100710</v>
      </c>
      <c r="B2049" s="799" t="s">
        <v>4272</v>
      </c>
      <c r="C2049" s="798" t="s">
        <v>24</v>
      </c>
      <c r="D2049" s="800">
        <v>97.44</v>
      </c>
    </row>
    <row r="2050" spans="1:4" ht="27">
      <c r="A2050" s="798">
        <v>102151</v>
      </c>
      <c r="B2050" s="799" t="s">
        <v>6420</v>
      </c>
      <c r="C2050" s="798" t="s">
        <v>32</v>
      </c>
      <c r="D2050" s="800">
        <v>208.34</v>
      </c>
    </row>
    <row r="2051" spans="1:4" ht="27">
      <c r="A2051" s="798">
        <v>102152</v>
      </c>
      <c r="B2051" s="799" t="s">
        <v>6421</v>
      </c>
      <c r="C2051" s="798" t="s">
        <v>32</v>
      </c>
      <c r="D2051" s="800">
        <v>267.43</v>
      </c>
    </row>
    <row r="2052" spans="1:4" ht="27">
      <c r="A2052" s="798">
        <v>102153</v>
      </c>
      <c r="B2052" s="799" t="s">
        <v>6422</v>
      </c>
      <c r="C2052" s="798" t="s">
        <v>32</v>
      </c>
      <c r="D2052" s="800">
        <v>346.22</v>
      </c>
    </row>
    <row r="2053" spans="1:4" ht="27">
      <c r="A2053" s="798">
        <v>102154</v>
      </c>
      <c r="B2053" s="799" t="s">
        <v>6423</v>
      </c>
      <c r="C2053" s="798" t="s">
        <v>32</v>
      </c>
      <c r="D2053" s="800">
        <v>300.75</v>
      </c>
    </row>
    <row r="2054" spans="1:4" ht="27">
      <c r="A2054" s="798">
        <v>102155</v>
      </c>
      <c r="B2054" s="799" t="s">
        <v>6424</v>
      </c>
      <c r="C2054" s="798" t="s">
        <v>32</v>
      </c>
      <c r="D2054" s="800">
        <v>365.19</v>
      </c>
    </row>
    <row r="2055" spans="1:4" ht="27">
      <c r="A2055" s="798">
        <v>102156</v>
      </c>
      <c r="B2055" s="799" t="s">
        <v>6425</v>
      </c>
      <c r="C2055" s="798" t="s">
        <v>32</v>
      </c>
      <c r="D2055" s="800">
        <v>354.03</v>
      </c>
    </row>
    <row r="2056" spans="1:4" ht="27">
      <c r="A2056" s="798">
        <v>102157</v>
      </c>
      <c r="B2056" s="799" t="s">
        <v>6426</v>
      </c>
      <c r="C2056" s="798" t="s">
        <v>32</v>
      </c>
      <c r="D2056" s="800">
        <v>491.91</v>
      </c>
    </row>
    <row r="2057" spans="1:4" ht="27">
      <c r="A2057" s="798">
        <v>102158</v>
      </c>
      <c r="B2057" s="799" t="s">
        <v>6427</v>
      </c>
      <c r="C2057" s="798" t="s">
        <v>32</v>
      </c>
      <c r="D2057" s="800">
        <v>502.73</v>
      </c>
    </row>
    <row r="2058" spans="1:4" ht="27">
      <c r="A2058" s="798">
        <v>102159</v>
      </c>
      <c r="B2058" s="799" t="s">
        <v>6428</v>
      </c>
      <c r="C2058" s="798" t="s">
        <v>32</v>
      </c>
      <c r="D2058" s="800">
        <v>603.38</v>
      </c>
    </row>
    <row r="2059" spans="1:4" ht="27">
      <c r="A2059" s="798">
        <v>102160</v>
      </c>
      <c r="B2059" s="799" t="s">
        <v>6429</v>
      </c>
      <c r="C2059" s="798" t="s">
        <v>32</v>
      </c>
      <c r="D2059" s="800">
        <v>228.03</v>
      </c>
    </row>
    <row r="2060" spans="1:4" ht="40.5">
      <c r="A2060" s="798">
        <v>102161</v>
      </c>
      <c r="B2060" s="799" t="s">
        <v>6430</v>
      </c>
      <c r="C2060" s="798" t="s">
        <v>32</v>
      </c>
      <c r="D2060" s="800">
        <v>301.11</v>
      </c>
    </row>
    <row r="2061" spans="1:4" ht="40.5">
      <c r="A2061" s="798">
        <v>102162</v>
      </c>
      <c r="B2061" s="799" t="s">
        <v>6431</v>
      </c>
      <c r="C2061" s="798" t="s">
        <v>32</v>
      </c>
      <c r="D2061" s="800">
        <v>360.2</v>
      </c>
    </row>
    <row r="2062" spans="1:4" ht="27">
      <c r="A2062" s="798">
        <v>102163</v>
      </c>
      <c r="B2062" s="799" t="s">
        <v>6432</v>
      </c>
      <c r="C2062" s="798" t="s">
        <v>32</v>
      </c>
      <c r="D2062" s="800">
        <v>438.99</v>
      </c>
    </row>
    <row r="2063" spans="1:4" ht="40.5">
      <c r="A2063" s="798">
        <v>102164</v>
      </c>
      <c r="B2063" s="799" t="s">
        <v>6433</v>
      </c>
      <c r="C2063" s="798" t="s">
        <v>32</v>
      </c>
      <c r="D2063" s="800">
        <v>376.48</v>
      </c>
    </row>
    <row r="2064" spans="1:4" ht="27">
      <c r="A2064" s="798">
        <v>102165</v>
      </c>
      <c r="B2064" s="799" t="s">
        <v>6434</v>
      </c>
      <c r="C2064" s="798" t="s">
        <v>32</v>
      </c>
      <c r="D2064" s="800">
        <v>440.92</v>
      </c>
    </row>
    <row r="2065" spans="1:4" ht="40.5">
      <c r="A2065" s="798">
        <v>102166</v>
      </c>
      <c r="B2065" s="799" t="s">
        <v>6435</v>
      </c>
      <c r="C2065" s="798" t="s">
        <v>32</v>
      </c>
      <c r="D2065" s="800">
        <v>412.66</v>
      </c>
    </row>
    <row r="2066" spans="1:4" ht="27">
      <c r="A2066" s="798">
        <v>102167</v>
      </c>
      <c r="B2066" s="799" t="s">
        <v>6436</v>
      </c>
      <c r="C2066" s="798" t="s">
        <v>32</v>
      </c>
      <c r="D2066" s="800">
        <v>550.54</v>
      </c>
    </row>
    <row r="2067" spans="1:4" ht="40.5">
      <c r="A2067" s="798">
        <v>102168</v>
      </c>
      <c r="B2067" s="799" t="s">
        <v>6437</v>
      </c>
      <c r="C2067" s="798" t="s">
        <v>32</v>
      </c>
      <c r="D2067" s="800">
        <v>546.19000000000005</v>
      </c>
    </row>
    <row r="2068" spans="1:4" ht="40.5">
      <c r="A2068" s="798">
        <v>102169</v>
      </c>
      <c r="B2068" s="799" t="s">
        <v>6438</v>
      </c>
      <c r="C2068" s="798" t="s">
        <v>32</v>
      </c>
      <c r="D2068" s="800">
        <v>641.23</v>
      </c>
    </row>
    <row r="2069" spans="1:4" ht="27">
      <c r="A2069" s="798">
        <v>102170</v>
      </c>
      <c r="B2069" s="799" t="s">
        <v>6439</v>
      </c>
      <c r="C2069" s="798" t="s">
        <v>32</v>
      </c>
      <c r="D2069" s="800">
        <v>320.8</v>
      </c>
    </row>
    <row r="2070" spans="1:4" ht="27">
      <c r="A2070" s="798">
        <v>102171</v>
      </c>
      <c r="B2070" s="799" t="s">
        <v>6440</v>
      </c>
      <c r="C2070" s="798" t="s">
        <v>32</v>
      </c>
      <c r="D2070" s="800">
        <v>691.65</v>
      </c>
    </row>
    <row r="2071" spans="1:4" ht="27">
      <c r="A2071" s="798">
        <v>102172</v>
      </c>
      <c r="B2071" s="799" t="s">
        <v>6441</v>
      </c>
      <c r="C2071" s="798" t="s">
        <v>32</v>
      </c>
      <c r="D2071" s="800">
        <v>688.43</v>
      </c>
    </row>
    <row r="2072" spans="1:4" ht="27">
      <c r="A2072" s="798">
        <v>102176</v>
      </c>
      <c r="B2072" s="799" t="s">
        <v>6442</v>
      </c>
      <c r="C2072" s="798" t="s">
        <v>32</v>
      </c>
      <c r="D2072" s="800">
        <v>1276.52</v>
      </c>
    </row>
    <row r="2073" spans="1:4" ht="27">
      <c r="A2073" s="798">
        <v>102177</v>
      </c>
      <c r="B2073" s="799" t="s">
        <v>6443</v>
      </c>
      <c r="C2073" s="798" t="s">
        <v>32</v>
      </c>
      <c r="D2073" s="800">
        <v>2689.1</v>
      </c>
    </row>
    <row r="2074" spans="1:4" ht="27">
      <c r="A2074" s="798">
        <v>102178</v>
      </c>
      <c r="B2074" s="799" t="s">
        <v>6444</v>
      </c>
      <c r="C2074" s="798" t="s">
        <v>32</v>
      </c>
      <c r="D2074" s="800">
        <v>3109.69</v>
      </c>
    </row>
    <row r="2075" spans="1:4" ht="27">
      <c r="A2075" s="798">
        <v>102179</v>
      </c>
      <c r="B2075" s="799" t="s">
        <v>6445</v>
      </c>
      <c r="C2075" s="798" t="s">
        <v>32</v>
      </c>
      <c r="D2075" s="800">
        <v>384.64</v>
      </c>
    </row>
    <row r="2076" spans="1:4" ht="27">
      <c r="A2076" s="798">
        <v>102180</v>
      </c>
      <c r="B2076" s="799" t="s">
        <v>6446</v>
      </c>
      <c r="C2076" s="798" t="s">
        <v>32</v>
      </c>
      <c r="D2076" s="800">
        <v>457.6</v>
      </c>
    </row>
    <row r="2077" spans="1:4" ht="27">
      <c r="A2077" s="798">
        <v>102181</v>
      </c>
      <c r="B2077" s="799" t="s">
        <v>6447</v>
      </c>
      <c r="C2077" s="798" t="s">
        <v>32</v>
      </c>
      <c r="D2077" s="800">
        <v>555.01</v>
      </c>
    </row>
    <row r="2078" spans="1:4" ht="27">
      <c r="A2078" s="798">
        <v>102182</v>
      </c>
      <c r="B2078" s="799" t="s">
        <v>6448</v>
      </c>
      <c r="C2078" s="798" t="s">
        <v>24</v>
      </c>
      <c r="D2078" s="800">
        <v>1148.57</v>
      </c>
    </row>
    <row r="2079" spans="1:4" ht="40.5">
      <c r="A2079" s="798">
        <v>102183</v>
      </c>
      <c r="B2079" s="799" t="s">
        <v>6449</v>
      </c>
      <c r="C2079" s="798" t="s">
        <v>24</v>
      </c>
      <c r="D2079" s="800">
        <v>2305.37</v>
      </c>
    </row>
    <row r="2080" spans="1:4" ht="40.5">
      <c r="A2080" s="798">
        <v>102184</v>
      </c>
      <c r="B2080" s="799" t="s">
        <v>6450</v>
      </c>
      <c r="C2080" s="798" t="s">
        <v>24</v>
      </c>
      <c r="D2080" s="800">
        <v>1960.77</v>
      </c>
    </row>
    <row r="2081" spans="1:4" ht="40.5">
      <c r="A2081" s="798">
        <v>102185</v>
      </c>
      <c r="B2081" s="799" t="s">
        <v>6451</v>
      </c>
      <c r="C2081" s="798" t="s">
        <v>24</v>
      </c>
      <c r="D2081" s="800">
        <v>3929.57</v>
      </c>
    </row>
    <row r="2082" spans="1:4" ht="27">
      <c r="A2082" s="798">
        <v>102190</v>
      </c>
      <c r="B2082" s="799" t="s">
        <v>6452</v>
      </c>
      <c r="C2082" s="798" t="s">
        <v>32</v>
      </c>
      <c r="D2082" s="800">
        <v>12.67</v>
      </c>
    </row>
    <row r="2083" spans="1:4" ht="27">
      <c r="A2083" s="798">
        <v>102191</v>
      </c>
      <c r="B2083" s="799" t="s">
        <v>6453</v>
      </c>
      <c r="C2083" s="798" t="s">
        <v>32</v>
      </c>
      <c r="D2083" s="800">
        <v>15.39</v>
      </c>
    </row>
    <row r="2084" spans="1:4" ht="27">
      <c r="A2084" s="798">
        <v>102192</v>
      </c>
      <c r="B2084" s="799" t="s">
        <v>6454</v>
      </c>
      <c r="C2084" s="798" t="s">
        <v>32</v>
      </c>
      <c r="D2084" s="800">
        <v>10.98</v>
      </c>
    </row>
    <row r="2085" spans="1:4" ht="40.5">
      <c r="A2085" s="798">
        <v>94569</v>
      </c>
      <c r="B2085" s="799" t="s">
        <v>4273</v>
      </c>
      <c r="C2085" s="798" t="s">
        <v>32</v>
      </c>
      <c r="D2085" s="800">
        <v>989.22</v>
      </c>
    </row>
    <row r="2086" spans="1:4" ht="54">
      <c r="A2086" s="798">
        <v>94570</v>
      </c>
      <c r="B2086" s="799" t="s">
        <v>4274</v>
      </c>
      <c r="C2086" s="798" t="s">
        <v>32</v>
      </c>
      <c r="D2086" s="800">
        <v>524.72</v>
      </c>
    </row>
    <row r="2087" spans="1:4" ht="54">
      <c r="A2087" s="798">
        <v>94572</v>
      </c>
      <c r="B2087" s="799" t="s">
        <v>4275</v>
      </c>
      <c r="C2087" s="798" t="s">
        <v>32</v>
      </c>
      <c r="D2087" s="800">
        <v>754.31</v>
      </c>
    </row>
    <row r="2088" spans="1:4" ht="54">
      <c r="A2088" s="798">
        <v>94573</v>
      </c>
      <c r="B2088" s="799" t="s">
        <v>4276</v>
      </c>
      <c r="C2088" s="798" t="s">
        <v>32</v>
      </c>
      <c r="D2088" s="800">
        <v>599.86</v>
      </c>
    </row>
    <row r="2089" spans="1:4" ht="67.5">
      <c r="A2089" s="798">
        <v>94580</v>
      </c>
      <c r="B2089" s="799" t="s">
        <v>4277</v>
      </c>
      <c r="C2089" s="798" t="s">
        <v>32</v>
      </c>
      <c r="D2089" s="800">
        <v>832.37</v>
      </c>
    </row>
    <row r="2090" spans="1:4" ht="27">
      <c r="A2090" s="798">
        <v>94589</v>
      </c>
      <c r="B2090" s="799" t="s">
        <v>7721</v>
      </c>
      <c r="C2090" s="798" t="s">
        <v>14</v>
      </c>
      <c r="D2090" s="800">
        <v>21.8</v>
      </c>
    </row>
    <row r="2091" spans="1:4" ht="27">
      <c r="A2091" s="798">
        <v>94590</v>
      </c>
      <c r="B2091" s="799" t="s">
        <v>7722</v>
      </c>
      <c r="C2091" s="798" t="s">
        <v>14</v>
      </c>
      <c r="D2091" s="800">
        <v>19.5</v>
      </c>
    </row>
    <row r="2092" spans="1:4" ht="40.5">
      <c r="A2092" s="798">
        <v>100674</v>
      </c>
      <c r="B2092" s="799" t="s">
        <v>4278</v>
      </c>
      <c r="C2092" s="798" t="s">
        <v>32</v>
      </c>
      <c r="D2092" s="800">
        <v>1120.6199999999999</v>
      </c>
    </row>
    <row r="2093" spans="1:4" ht="40.5">
      <c r="A2093" s="798">
        <v>101096</v>
      </c>
      <c r="B2093" s="799" t="s">
        <v>4890</v>
      </c>
      <c r="C2093" s="798" t="s">
        <v>22</v>
      </c>
      <c r="D2093" s="800">
        <v>1030.4100000000001</v>
      </c>
    </row>
    <row r="2094" spans="1:4" ht="40.5">
      <c r="A2094" s="798">
        <v>101097</v>
      </c>
      <c r="B2094" s="799" t="s">
        <v>4891</v>
      </c>
      <c r="C2094" s="798" t="s">
        <v>22</v>
      </c>
      <c r="D2094" s="800">
        <v>987.59</v>
      </c>
    </row>
    <row r="2095" spans="1:4" ht="40.5">
      <c r="A2095" s="798">
        <v>101098</v>
      </c>
      <c r="B2095" s="799" t="s">
        <v>4892</v>
      </c>
      <c r="C2095" s="798" t="s">
        <v>22</v>
      </c>
      <c r="D2095" s="800">
        <v>938.69</v>
      </c>
    </row>
    <row r="2096" spans="1:4" ht="40.5">
      <c r="A2096" s="798">
        <v>101099</v>
      </c>
      <c r="B2096" s="799" t="s">
        <v>4893</v>
      </c>
      <c r="C2096" s="798" t="s">
        <v>22</v>
      </c>
      <c r="D2096" s="800">
        <v>864.86</v>
      </c>
    </row>
    <row r="2097" spans="1:4" ht="40.5">
      <c r="A2097" s="798">
        <v>101100</v>
      </c>
      <c r="B2097" s="799" t="s">
        <v>4894</v>
      </c>
      <c r="C2097" s="798" t="s">
        <v>22</v>
      </c>
      <c r="D2097" s="800">
        <v>843.94</v>
      </c>
    </row>
    <row r="2098" spans="1:4" ht="40.5">
      <c r="A2098" s="798">
        <v>101101</v>
      </c>
      <c r="B2098" s="799" t="s">
        <v>4895</v>
      </c>
      <c r="C2098" s="798" t="s">
        <v>22</v>
      </c>
      <c r="D2098" s="800">
        <v>827.64</v>
      </c>
    </row>
    <row r="2099" spans="1:4" ht="40.5">
      <c r="A2099" s="798">
        <v>101102</v>
      </c>
      <c r="B2099" s="799" t="s">
        <v>4896</v>
      </c>
      <c r="C2099" s="798" t="s">
        <v>22</v>
      </c>
      <c r="D2099" s="800">
        <v>815.52</v>
      </c>
    </row>
    <row r="2100" spans="1:4" ht="40.5">
      <c r="A2100" s="798">
        <v>101103</v>
      </c>
      <c r="B2100" s="799" t="s">
        <v>4897</v>
      </c>
      <c r="C2100" s="798" t="s">
        <v>22</v>
      </c>
      <c r="D2100" s="800">
        <v>765.57</v>
      </c>
    </row>
    <row r="2101" spans="1:4" ht="54">
      <c r="A2101" s="798">
        <v>101104</v>
      </c>
      <c r="B2101" s="799" t="s">
        <v>4898</v>
      </c>
      <c r="C2101" s="798" t="s">
        <v>22</v>
      </c>
      <c r="D2101" s="800">
        <v>1166.7</v>
      </c>
    </row>
    <row r="2102" spans="1:4" ht="54">
      <c r="A2102" s="798">
        <v>101105</v>
      </c>
      <c r="B2102" s="799" t="s">
        <v>4899</v>
      </c>
      <c r="C2102" s="798" t="s">
        <v>22</v>
      </c>
      <c r="D2102" s="800">
        <v>1121.78</v>
      </c>
    </row>
    <row r="2103" spans="1:4" ht="54">
      <c r="A2103" s="798">
        <v>101106</v>
      </c>
      <c r="B2103" s="799" t="s">
        <v>4900</v>
      </c>
      <c r="C2103" s="798" t="s">
        <v>22</v>
      </c>
      <c r="D2103" s="800">
        <v>1070.08</v>
      </c>
    </row>
    <row r="2104" spans="1:4" ht="54">
      <c r="A2104" s="798">
        <v>101107</v>
      </c>
      <c r="B2104" s="799" t="s">
        <v>4901</v>
      </c>
      <c r="C2104" s="798" t="s">
        <v>22</v>
      </c>
      <c r="D2104" s="800">
        <v>992.06</v>
      </c>
    </row>
    <row r="2105" spans="1:4" ht="54">
      <c r="A2105" s="798">
        <v>101108</v>
      </c>
      <c r="B2105" s="799" t="s">
        <v>4902</v>
      </c>
      <c r="C2105" s="798" t="s">
        <v>22</v>
      </c>
      <c r="D2105" s="800">
        <v>976.38</v>
      </c>
    </row>
    <row r="2106" spans="1:4" ht="54">
      <c r="A2106" s="798">
        <v>101109</v>
      </c>
      <c r="B2106" s="799" t="s">
        <v>4903</v>
      </c>
      <c r="C2106" s="798" t="s">
        <v>22</v>
      </c>
      <c r="D2106" s="800">
        <v>958.17</v>
      </c>
    </row>
    <row r="2107" spans="1:4" ht="54">
      <c r="A2107" s="798">
        <v>101110</v>
      </c>
      <c r="B2107" s="799" t="s">
        <v>4904</v>
      </c>
      <c r="C2107" s="798" t="s">
        <v>22</v>
      </c>
      <c r="D2107" s="800">
        <v>943.69</v>
      </c>
    </row>
    <row r="2108" spans="1:4" ht="54">
      <c r="A2108" s="798">
        <v>101111</v>
      </c>
      <c r="B2108" s="799" t="s">
        <v>4905</v>
      </c>
      <c r="C2108" s="798" t="s">
        <v>22</v>
      </c>
      <c r="D2108" s="800">
        <v>890</v>
      </c>
    </row>
    <row r="2109" spans="1:4" ht="40.5">
      <c r="A2109" s="798">
        <v>101112</v>
      </c>
      <c r="B2109" s="799" t="s">
        <v>4906</v>
      </c>
      <c r="C2109" s="798" t="s">
        <v>22</v>
      </c>
      <c r="D2109" s="800">
        <v>727.03</v>
      </c>
    </row>
    <row r="2110" spans="1:4" ht="40.5">
      <c r="A2110" s="798">
        <v>101113</v>
      </c>
      <c r="B2110" s="799" t="s">
        <v>4907</v>
      </c>
      <c r="C2110" s="798" t="s">
        <v>22</v>
      </c>
      <c r="D2110" s="800">
        <v>868.75</v>
      </c>
    </row>
    <row r="2111" spans="1:4" ht="27">
      <c r="A2111" s="798">
        <v>95601</v>
      </c>
      <c r="B2111" s="799" t="s">
        <v>6455</v>
      </c>
      <c r="C2111" s="798" t="s">
        <v>24</v>
      </c>
      <c r="D2111" s="800">
        <v>10.57</v>
      </c>
    </row>
    <row r="2112" spans="1:4" ht="27">
      <c r="A2112" s="798">
        <v>95602</v>
      </c>
      <c r="B2112" s="799" t="s">
        <v>6456</v>
      </c>
      <c r="C2112" s="798" t="s">
        <v>24</v>
      </c>
      <c r="D2112" s="800">
        <v>16.920000000000002</v>
      </c>
    </row>
    <row r="2113" spans="1:4" ht="27">
      <c r="A2113" s="798">
        <v>95603</v>
      </c>
      <c r="B2113" s="799" t="s">
        <v>6457</v>
      </c>
      <c r="C2113" s="798" t="s">
        <v>24</v>
      </c>
      <c r="D2113" s="800">
        <v>28.87</v>
      </c>
    </row>
    <row r="2114" spans="1:4" ht="27">
      <c r="A2114" s="798">
        <v>95604</v>
      </c>
      <c r="B2114" s="799" t="s">
        <v>6458</v>
      </c>
      <c r="C2114" s="798" t="s">
        <v>24</v>
      </c>
      <c r="D2114" s="800">
        <v>44.81</v>
      </c>
    </row>
    <row r="2115" spans="1:4" ht="27">
      <c r="A2115" s="798">
        <v>95605</v>
      </c>
      <c r="B2115" s="799" t="s">
        <v>6459</v>
      </c>
      <c r="C2115" s="798" t="s">
        <v>24</v>
      </c>
      <c r="D2115" s="800">
        <v>82.29</v>
      </c>
    </row>
    <row r="2116" spans="1:4" ht="27">
      <c r="A2116" s="798">
        <v>95607</v>
      </c>
      <c r="B2116" s="799" t="s">
        <v>6460</v>
      </c>
      <c r="C2116" s="798" t="s">
        <v>24</v>
      </c>
      <c r="D2116" s="800">
        <v>11.84</v>
      </c>
    </row>
    <row r="2117" spans="1:4" ht="27">
      <c r="A2117" s="798">
        <v>95608</v>
      </c>
      <c r="B2117" s="799" t="s">
        <v>6461</v>
      </c>
      <c r="C2117" s="798" t="s">
        <v>24</v>
      </c>
      <c r="D2117" s="800">
        <v>17.170000000000002</v>
      </c>
    </row>
    <row r="2118" spans="1:4" ht="27">
      <c r="A2118" s="798">
        <v>95609</v>
      </c>
      <c r="B2118" s="799" t="s">
        <v>6462</v>
      </c>
      <c r="C2118" s="798" t="s">
        <v>24</v>
      </c>
      <c r="D2118" s="800">
        <v>21.77</v>
      </c>
    </row>
    <row r="2119" spans="1:4" ht="54">
      <c r="A2119" s="798">
        <v>100651</v>
      </c>
      <c r="B2119" s="799" t="s">
        <v>6463</v>
      </c>
      <c r="C2119" s="798" t="s">
        <v>14</v>
      </c>
      <c r="D2119" s="800">
        <v>138.41999999999999</v>
      </c>
    </row>
    <row r="2120" spans="1:4" ht="54">
      <c r="A2120" s="798">
        <v>100652</v>
      </c>
      <c r="B2120" s="799" t="s">
        <v>6464</v>
      </c>
      <c r="C2120" s="798" t="s">
        <v>14</v>
      </c>
      <c r="D2120" s="800">
        <v>270.06</v>
      </c>
    </row>
    <row r="2121" spans="1:4" ht="54">
      <c r="A2121" s="798">
        <v>100653</v>
      </c>
      <c r="B2121" s="799" t="s">
        <v>6465</v>
      </c>
      <c r="C2121" s="798" t="s">
        <v>14</v>
      </c>
      <c r="D2121" s="800">
        <v>455.2</v>
      </c>
    </row>
    <row r="2122" spans="1:4" ht="54">
      <c r="A2122" s="798">
        <v>100654</v>
      </c>
      <c r="B2122" s="799" t="s">
        <v>6466</v>
      </c>
      <c r="C2122" s="798" t="s">
        <v>14</v>
      </c>
      <c r="D2122" s="800">
        <v>621.30999999999995</v>
      </c>
    </row>
    <row r="2123" spans="1:4" ht="54">
      <c r="A2123" s="798">
        <v>100655</v>
      </c>
      <c r="B2123" s="799" t="s">
        <v>6467</v>
      </c>
      <c r="C2123" s="798" t="s">
        <v>14</v>
      </c>
      <c r="D2123" s="800">
        <v>721.98</v>
      </c>
    </row>
    <row r="2124" spans="1:4" ht="40.5">
      <c r="A2124" s="798">
        <v>100656</v>
      </c>
      <c r="B2124" s="799" t="s">
        <v>4279</v>
      </c>
      <c r="C2124" s="798" t="s">
        <v>14</v>
      </c>
      <c r="D2124" s="800">
        <v>103.03</v>
      </c>
    </row>
    <row r="2125" spans="1:4" ht="40.5">
      <c r="A2125" s="798">
        <v>100657</v>
      </c>
      <c r="B2125" s="799" t="s">
        <v>4280</v>
      </c>
      <c r="C2125" s="798" t="s">
        <v>14</v>
      </c>
      <c r="D2125" s="800">
        <v>134.36000000000001</v>
      </c>
    </row>
    <row r="2126" spans="1:4" ht="40.5">
      <c r="A2126" s="798">
        <v>100658</v>
      </c>
      <c r="B2126" s="799" t="s">
        <v>4281</v>
      </c>
      <c r="C2126" s="798" t="s">
        <v>14</v>
      </c>
      <c r="D2126" s="800">
        <v>316.7</v>
      </c>
    </row>
    <row r="2127" spans="1:4" ht="40.5">
      <c r="A2127" s="798">
        <v>100889</v>
      </c>
      <c r="B2127" s="799" t="s">
        <v>4282</v>
      </c>
      <c r="C2127" s="798" t="s">
        <v>16</v>
      </c>
      <c r="D2127" s="800">
        <v>16.149999999999999</v>
      </c>
    </row>
    <row r="2128" spans="1:4" ht="40.5">
      <c r="A2128" s="798">
        <v>100890</v>
      </c>
      <c r="B2128" s="799" t="s">
        <v>4283</v>
      </c>
      <c r="C2128" s="798" t="s">
        <v>16</v>
      </c>
      <c r="D2128" s="800">
        <v>16.03</v>
      </c>
    </row>
    <row r="2129" spans="1:4" ht="40.5">
      <c r="A2129" s="798">
        <v>100892</v>
      </c>
      <c r="B2129" s="799" t="s">
        <v>4284</v>
      </c>
      <c r="C2129" s="798" t="s">
        <v>16</v>
      </c>
      <c r="D2129" s="800">
        <v>15.17</v>
      </c>
    </row>
    <row r="2130" spans="1:4" ht="40.5">
      <c r="A2130" s="798">
        <v>100893</v>
      </c>
      <c r="B2130" s="799" t="s">
        <v>4285</v>
      </c>
      <c r="C2130" s="798" t="s">
        <v>16</v>
      </c>
      <c r="D2130" s="800">
        <v>15.03</v>
      </c>
    </row>
    <row r="2131" spans="1:4" ht="40.5">
      <c r="A2131" s="798">
        <v>100894</v>
      </c>
      <c r="B2131" s="799" t="s">
        <v>4286</v>
      </c>
      <c r="C2131" s="798" t="s">
        <v>16</v>
      </c>
      <c r="D2131" s="800">
        <v>14.94</v>
      </c>
    </row>
    <row r="2132" spans="1:4" ht="54">
      <c r="A2132" s="798">
        <v>100896</v>
      </c>
      <c r="B2132" s="799" t="s">
        <v>4287</v>
      </c>
      <c r="C2132" s="798" t="s">
        <v>14</v>
      </c>
      <c r="D2132" s="800">
        <v>60.23</v>
      </c>
    </row>
    <row r="2133" spans="1:4" ht="54">
      <c r="A2133" s="798">
        <v>100897</v>
      </c>
      <c r="B2133" s="799" t="s">
        <v>4288</v>
      </c>
      <c r="C2133" s="798" t="s">
        <v>14</v>
      </c>
      <c r="D2133" s="800">
        <v>120.89</v>
      </c>
    </row>
    <row r="2134" spans="1:4" ht="54">
      <c r="A2134" s="798">
        <v>100898</v>
      </c>
      <c r="B2134" s="799" t="s">
        <v>4289</v>
      </c>
      <c r="C2134" s="798" t="s">
        <v>14</v>
      </c>
      <c r="D2134" s="800">
        <v>238.43</v>
      </c>
    </row>
    <row r="2135" spans="1:4" ht="54">
      <c r="A2135" s="798">
        <v>100899</v>
      </c>
      <c r="B2135" s="799" t="s">
        <v>4290</v>
      </c>
      <c r="C2135" s="798" t="s">
        <v>14</v>
      </c>
      <c r="D2135" s="800">
        <v>77.08</v>
      </c>
    </row>
    <row r="2136" spans="1:4" ht="54">
      <c r="A2136" s="798">
        <v>100900</v>
      </c>
      <c r="B2136" s="799" t="s">
        <v>4291</v>
      </c>
      <c r="C2136" s="798" t="s">
        <v>14</v>
      </c>
      <c r="D2136" s="800">
        <v>273.3</v>
      </c>
    </row>
    <row r="2137" spans="1:4" ht="40.5">
      <c r="A2137" s="798">
        <v>101173</v>
      </c>
      <c r="B2137" s="799" t="s">
        <v>4908</v>
      </c>
      <c r="C2137" s="798" t="s">
        <v>14</v>
      </c>
      <c r="D2137" s="800">
        <v>52.58</v>
      </c>
    </row>
    <row r="2138" spans="1:4" ht="40.5">
      <c r="A2138" s="798">
        <v>101174</v>
      </c>
      <c r="B2138" s="799" t="s">
        <v>4909</v>
      </c>
      <c r="C2138" s="798" t="s">
        <v>14</v>
      </c>
      <c r="D2138" s="800">
        <v>71.06</v>
      </c>
    </row>
    <row r="2139" spans="1:4" ht="40.5">
      <c r="A2139" s="798">
        <v>101175</v>
      </c>
      <c r="B2139" s="799" t="s">
        <v>4910</v>
      </c>
      <c r="C2139" s="798" t="s">
        <v>14</v>
      </c>
      <c r="D2139" s="800">
        <v>97.02</v>
      </c>
    </row>
    <row r="2140" spans="1:4" ht="40.5">
      <c r="A2140" s="798">
        <v>101176</v>
      </c>
      <c r="B2140" s="799" t="s">
        <v>4911</v>
      </c>
      <c r="C2140" s="798" t="s">
        <v>14</v>
      </c>
      <c r="D2140" s="800">
        <v>127.11</v>
      </c>
    </row>
    <row r="2141" spans="1:4" ht="27">
      <c r="A2141" s="798">
        <v>102521</v>
      </c>
      <c r="B2141" s="799" t="s">
        <v>6468</v>
      </c>
      <c r="C2141" s="798" t="s">
        <v>24</v>
      </c>
      <c r="D2141" s="800">
        <v>67.88</v>
      </c>
    </row>
    <row r="2142" spans="1:4" ht="27">
      <c r="A2142" s="798">
        <v>102522</v>
      </c>
      <c r="B2142" s="799" t="s">
        <v>6469</v>
      </c>
      <c r="C2142" s="798" t="s">
        <v>24</v>
      </c>
      <c r="D2142" s="800">
        <v>99.58</v>
      </c>
    </row>
    <row r="2143" spans="1:4" ht="27">
      <c r="A2143" s="798">
        <v>102523</v>
      </c>
      <c r="B2143" s="799" t="s">
        <v>6470</v>
      </c>
      <c r="C2143" s="798" t="s">
        <v>24</v>
      </c>
      <c r="D2143" s="800">
        <v>131.29</v>
      </c>
    </row>
    <row r="2144" spans="1:4" ht="27">
      <c r="A2144" s="798">
        <v>95240</v>
      </c>
      <c r="B2144" s="799" t="s">
        <v>6471</v>
      </c>
      <c r="C2144" s="798" t="s">
        <v>32</v>
      </c>
      <c r="D2144" s="800">
        <v>14.82</v>
      </c>
    </row>
    <row r="2145" spans="1:4" ht="27">
      <c r="A2145" s="798">
        <v>95241</v>
      </c>
      <c r="B2145" s="799" t="s">
        <v>6472</v>
      </c>
      <c r="C2145" s="798" t="s">
        <v>32</v>
      </c>
      <c r="D2145" s="800">
        <v>24.72</v>
      </c>
    </row>
    <row r="2146" spans="1:4" ht="27">
      <c r="A2146" s="798">
        <v>96616</v>
      </c>
      <c r="B2146" s="799" t="s">
        <v>2841</v>
      </c>
      <c r="C2146" s="798" t="s">
        <v>22</v>
      </c>
      <c r="D2146" s="800">
        <v>512.44000000000005</v>
      </c>
    </row>
    <row r="2147" spans="1:4" ht="27">
      <c r="A2147" s="798">
        <v>96617</v>
      </c>
      <c r="B2147" s="799" t="s">
        <v>2842</v>
      </c>
      <c r="C2147" s="798" t="s">
        <v>32</v>
      </c>
      <c r="D2147" s="800">
        <v>15.36</v>
      </c>
    </row>
    <row r="2148" spans="1:4" ht="27">
      <c r="A2148" s="798">
        <v>96619</v>
      </c>
      <c r="B2148" s="799" t="s">
        <v>2843</v>
      </c>
      <c r="C2148" s="798" t="s">
        <v>32</v>
      </c>
      <c r="D2148" s="800">
        <v>25.61</v>
      </c>
    </row>
    <row r="2149" spans="1:4" ht="27">
      <c r="A2149" s="798">
        <v>96620</v>
      </c>
      <c r="B2149" s="799" t="s">
        <v>6473</v>
      </c>
      <c r="C2149" s="798" t="s">
        <v>22</v>
      </c>
      <c r="D2149" s="800">
        <v>494.63</v>
      </c>
    </row>
    <row r="2150" spans="1:4" ht="27">
      <c r="A2150" s="798">
        <v>96621</v>
      </c>
      <c r="B2150" s="799" t="s">
        <v>2844</v>
      </c>
      <c r="C2150" s="798" t="s">
        <v>22</v>
      </c>
      <c r="D2150" s="800">
        <v>177.69</v>
      </c>
    </row>
    <row r="2151" spans="1:4" ht="27">
      <c r="A2151" s="798">
        <v>96622</v>
      </c>
      <c r="B2151" s="799" t="s">
        <v>6474</v>
      </c>
      <c r="C2151" s="798" t="s">
        <v>22</v>
      </c>
      <c r="D2151" s="800">
        <v>125.14</v>
      </c>
    </row>
    <row r="2152" spans="1:4" ht="27">
      <c r="A2152" s="798">
        <v>96623</v>
      </c>
      <c r="B2152" s="799" t="s">
        <v>2845</v>
      </c>
      <c r="C2152" s="798" t="s">
        <v>22</v>
      </c>
      <c r="D2152" s="800">
        <v>165.49</v>
      </c>
    </row>
    <row r="2153" spans="1:4" ht="40.5">
      <c r="A2153" s="798">
        <v>96624</v>
      </c>
      <c r="B2153" s="799" t="s">
        <v>6475</v>
      </c>
      <c r="C2153" s="798" t="s">
        <v>22</v>
      </c>
      <c r="D2153" s="800">
        <v>120.83</v>
      </c>
    </row>
    <row r="2154" spans="1:4" ht="27">
      <c r="A2154" s="798">
        <v>97082</v>
      </c>
      <c r="B2154" s="799" t="s">
        <v>7510</v>
      </c>
      <c r="C2154" s="798" t="s">
        <v>22</v>
      </c>
      <c r="D2154" s="800">
        <v>44.02</v>
      </c>
    </row>
    <row r="2155" spans="1:4" ht="40.5">
      <c r="A2155" s="798">
        <v>97083</v>
      </c>
      <c r="B2155" s="799" t="s">
        <v>7511</v>
      </c>
      <c r="C2155" s="798" t="s">
        <v>32</v>
      </c>
      <c r="D2155" s="800">
        <v>2.39</v>
      </c>
    </row>
    <row r="2156" spans="1:4" ht="40.5">
      <c r="A2156" s="798">
        <v>97084</v>
      </c>
      <c r="B2156" s="799" t="s">
        <v>7512</v>
      </c>
      <c r="C2156" s="798" t="s">
        <v>32</v>
      </c>
      <c r="D2156" s="800">
        <v>0.49</v>
      </c>
    </row>
    <row r="2157" spans="1:4" ht="40.5">
      <c r="A2157" s="798">
        <v>97086</v>
      </c>
      <c r="B2157" s="799" t="s">
        <v>7513</v>
      </c>
      <c r="C2157" s="798" t="s">
        <v>32</v>
      </c>
      <c r="D2157" s="800">
        <v>94.25</v>
      </c>
    </row>
    <row r="2158" spans="1:4" ht="40.5">
      <c r="A2158" s="798">
        <v>97087</v>
      </c>
      <c r="B2158" s="799" t="s">
        <v>7514</v>
      </c>
      <c r="C2158" s="798" t="s">
        <v>32</v>
      </c>
      <c r="D2158" s="800">
        <v>1.82</v>
      </c>
    </row>
    <row r="2159" spans="1:4" ht="27">
      <c r="A2159" s="798">
        <v>97088</v>
      </c>
      <c r="B2159" s="799" t="s">
        <v>7515</v>
      </c>
      <c r="C2159" s="798" t="s">
        <v>16</v>
      </c>
      <c r="D2159" s="800">
        <v>28.12</v>
      </c>
    </row>
    <row r="2160" spans="1:4" ht="27">
      <c r="A2160" s="798">
        <v>97089</v>
      </c>
      <c r="B2160" s="799" t="s">
        <v>7516</v>
      </c>
      <c r="C2160" s="798" t="s">
        <v>16</v>
      </c>
      <c r="D2160" s="800">
        <v>25.75</v>
      </c>
    </row>
    <row r="2161" spans="1:4" ht="27">
      <c r="A2161" s="798">
        <v>97090</v>
      </c>
      <c r="B2161" s="799" t="s">
        <v>7517</v>
      </c>
      <c r="C2161" s="798" t="s">
        <v>16</v>
      </c>
      <c r="D2161" s="800">
        <v>25.41</v>
      </c>
    </row>
    <row r="2162" spans="1:4" ht="27">
      <c r="A2162" s="798">
        <v>97091</v>
      </c>
      <c r="B2162" s="799" t="s">
        <v>7518</v>
      </c>
      <c r="C2162" s="798" t="s">
        <v>16</v>
      </c>
      <c r="D2162" s="800">
        <v>24.68</v>
      </c>
    </row>
    <row r="2163" spans="1:4" ht="27">
      <c r="A2163" s="798">
        <v>97092</v>
      </c>
      <c r="B2163" s="799" t="s">
        <v>7519</v>
      </c>
      <c r="C2163" s="798" t="s">
        <v>16</v>
      </c>
      <c r="D2163" s="800">
        <v>23.99</v>
      </c>
    </row>
    <row r="2164" spans="1:4" ht="27">
      <c r="A2164" s="798">
        <v>97093</v>
      </c>
      <c r="B2164" s="799" t="s">
        <v>7520</v>
      </c>
      <c r="C2164" s="798" t="s">
        <v>16</v>
      </c>
      <c r="D2164" s="800">
        <v>22.58</v>
      </c>
    </row>
    <row r="2165" spans="1:4" ht="40.5">
      <c r="A2165" s="798">
        <v>97096</v>
      </c>
      <c r="B2165" s="799" t="s">
        <v>7521</v>
      </c>
      <c r="C2165" s="798" t="s">
        <v>22</v>
      </c>
      <c r="D2165" s="800">
        <v>646.91</v>
      </c>
    </row>
    <row r="2166" spans="1:4" ht="27">
      <c r="A2166" s="798">
        <v>97097</v>
      </c>
      <c r="B2166" s="799" t="s">
        <v>7522</v>
      </c>
      <c r="C2166" s="798" t="s">
        <v>32</v>
      </c>
      <c r="D2166" s="800">
        <v>28.6</v>
      </c>
    </row>
    <row r="2167" spans="1:4" ht="27">
      <c r="A2167" s="798">
        <v>97101</v>
      </c>
      <c r="B2167" s="799" t="s">
        <v>7523</v>
      </c>
      <c r="C2167" s="798" t="s">
        <v>32</v>
      </c>
      <c r="D2167" s="800">
        <v>205.83</v>
      </c>
    </row>
    <row r="2168" spans="1:4" ht="27">
      <c r="A2168" s="798">
        <v>97102</v>
      </c>
      <c r="B2168" s="799" t="s">
        <v>7524</v>
      </c>
      <c r="C2168" s="798" t="s">
        <v>32</v>
      </c>
      <c r="D2168" s="800">
        <v>259.14999999999998</v>
      </c>
    </row>
    <row r="2169" spans="1:4" ht="27">
      <c r="A2169" s="798">
        <v>97103</v>
      </c>
      <c r="B2169" s="799" t="s">
        <v>7525</v>
      </c>
      <c r="C2169" s="798" t="s">
        <v>32</v>
      </c>
      <c r="D2169" s="800">
        <v>305.97000000000003</v>
      </c>
    </row>
    <row r="2170" spans="1:4" ht="40.5">
      <c r="A2170" s="798">
        <v>100322</v>
      </c>
      <c r="B2170" s="799" t="s">
        <v>6476</v>
      </c>
      <c r="C2170" s="798" t="s">
        <v>22</v>
      </c>
      <c r="D2170" s="800">
        <v>115.04</v>
      </c>
    </row>
    <row r="2171" spans="1:4" ht="40.5">
      <c r="A2171" s="798">
        <v>100323</v>
      </c>
      <c r="B2171" s="799" t="s">
        <v>6477</v>
      </c>
      <c r="C2171" s="798" t="s">
        <v>22</v>
      </c>
      <c r="D2171" s="800">
        <v>119.3</v>
      </c>
    </row>
    <row r="2172" spans="1:4" ht="40.5">
      <c r="A2172" s="798">
        <v>100324</v>
      </c>
      <c r="B2172" s="799" t="s">
        <v>6478</v>
      </c>
      <c r="C2172" s="798" t="s">
        <v>22</v>
      </c>
      <c r="D2172" s="800">
        <v>120.57</v>
      </c>
    </row>
    <row r="2173" spans="1:4" ht="27">
      <c r="A2173" s="798">
        <v>103072</v>
      </c>
      <c r="B2173" s="799" t="s">
        <v>7526</v>
      </c>
      <c r="C2173" s="798" t="s">
        <v>32</v>
      </c>
      <c r="D2173" s="800">
        <v>365.02</v>
      </c>
    </row>
    <row r="2174" spans="1:4" ht="27">
      <c r="A2174" s="798">
        <v>103073</v>
      </c>
      <c r="B2174" s="799" t="s">
        <v>7527</v>
      </c>
      <c r="C2174" s="798" t="s">
        <v>32</v>
      </c>
      <c r="D2174" s="800">
        <v>452.36</v>
      </c>
    </row>
    <row r="2175" spans="1:4" ht="40.5">
      <c r="A2175" s="798">
        <v>103074</v>
      </c>
      <c r="B2175" s="799" t="s">
        <v>7528</v>
      </c>
      <c r="C2175" s="798" t="s">
        <v>32</v>
      </c>
      <c r="D2175" s="800">
        <v>197.34</v>
      </c>
    </row>
    <row r="2176" spans="1:4" ht="40.5">
      <c r="A2176" s="798">
        <v>103075</v>
      </c>
      <c r="B2176" s="799" t="s">
        <v>7529</v>
      </c>
      <c r="C2176" s="798" t="s">
        <v>32</v>
      </c>
      <c r="D2176" s="800">
        <v>225.94</v>
      </c>
    </row>
    <row r="2177" spans="1:4" ht="40.5">
      <c r="A2177" s="798">
        <v>103076</v>
      </c>
      <c r="B2177" s="799" t="s">
        <v>7530</v>
      </c>
      <c r="C2177" s="798" t="s">
        <v>32</v>
      </c>
      <c r="D2177" s="800">
        <v>181.22</v>
      </c>
    </row>
    <row r="2178" spans="1:4" ht="40.5">
      <c r="A2178" s="798">
        <v>103077</v>
      </c>
      <c r="B2178" s="799" t="s">
        <v>7531</v>
      </c>
      <c r="C2178" s="798" t="s">
        <v>32</v>
      </c>
      <c r="D2178" s="800">
        <v>234.54</v>
      </c>
    </row>
    <row r="2179" spans="1:4" ht="40.5">
      <c r="A2179" s="798">
        <v>103078</v>
      </c>
      <c r="B2179" s="799" t="s">
        <v>7532</v>
      </c>
      <c r="C2179" s="798" t="s">
        <v>32</v>
      </c>
      <c r="D2179" s="800">
        <v>281.36</v>
      </c>
    </row>
    <row r="2180" spans="1:4" ht="40.5">
      <c r="A2180" s="798">
        <v>103079</v>
      </c>
      <c r="B2180" s="799" t="s">
        <v>7533</v>
      </c>
      <c r="C2180" s="798" t="s">
        <v>32</v>
      </c>
      <c r="D2180" s="800">
        <v>340.41</v>
      </c>
    </row>
    <row r="2181" spans="1:4" ht="40.5">
      <c r="A2181" s="798">
        <v>103080</v>
      </c>
      <c r="B2181" s="799" t="s">
        <v>7534</v>
      </c>
      <c r="C2181" s="798" t="s">
        <v>32</v>
      </c>
      <c r="D2181" s="800">
        <v>427.75</v>
      </c>
    </row>
    <row r="2182" spans="1:4" ht="40.5">
      <c r="A2182" s="798">
        <v>92263</v>
      </c>
      <c r="B2182" s="799" t="s">
        <v>5567</v>
      </c>
      <c r="C2182" s="798" t="s">
        <v>32</v>
      </c>
      <c r="D2182" s="800">
        <v>172.32</v>
      </c>
    </row>
    <row r="2183" spans="1:4" ht="40.5">
      <c r="A2183" s="798">
        <v>92264</v>
      </c>
      <c r="B2183" s="799" t="s">
        <v>5568</v>
      </c>
      <c r="C2183" s="798" t="s">
        <v>32</v>
      </c>
      <c r="D2183" s="800">
        <v>232.48</v>
      </c>
    </row>
    <row r="2184" spans="1:4" ht="27">
      <c r="A2184" s="798">
        <v>92265</v>
      </c>
      <c r="B2184" s="799" t="s">
        <v>5569</v>
      </c>
      <c r="C2184" s="798" t="s">
        <v>32</v>
      </c>
      <c r="D2184" s="800">
        <v>126.54</v>
      </c>
    </row>
    <row r="2185" spans="1:4" ht="27">
      <c r="A2185" s="798">
        <v>92266</v>
      </c>
      <c r="B2185" s="799" t="s">
        <v>5570</v>
      </c>
      <c r="C2185" s="798" t="s">
        <v>32</v>
      </c>
      <c r="D2185" s="800">
        <v>178.15</v>
      </c>
    </row>
    <row r="2186" spans="1:4" ht="27">
      <c r="A2186" s="798">
        <v>92267</v>
      </c>
      <c r="B2186" s="799" t="s">
        <v>5571</v>
      </c>
      <c r="C2186" s="798" t="s">
        <v>32</v>
      </c>
      <c r="D2186" s="800">
        <v>68.819999999999993</v>
      </c>
    </row>
    <row r="2187" spans="1:4" ht="27">
      <c r="A2187" s="798">
        <v>92268</v>
      </c>
      <c r="B2187" s="799" t="s">
        <v>5572</v>
      </c>
      <c r="C2187" s="798" t="s">
        <v>32</v>
      </c>
      <c r="D2187" s="800">
        <v>116.1</v>
      </c>
    </row>
    <row r="2188" spans="1:4" ht="27">
      <c r="A2188" s="798">
        <v>92269</v>
      </c>
      <c r="B2188" s="799" t="s">
        <v>5573</v>
      </c>
      <c r="C2188" s="798" t="s">
        <v>32</v>
      </c>
      <c r="D2188" s="800">
        <v>173.74</v>
      </c>
    </row>
    <row r="2189" spans="1:4" ht="27">
      <c r="A2189" s="798">
        <v>92270</v>
      </c>
      <c r="B2189" s="799" t="s">
        <v>5574</v>
      </c>
      <c r="C2189" s="798" t="s">
        <v>32</v>
      </c>
      <c r="D2189" s="800">
        <v>133.85</v>
      </c>
    </row>
    <row r="2190" spans="1:4" ht="27">
      <c r="A2190" s="798">
        <v>92271</v>
      </c>
      <c r="B2190" s="799" t="s">
        <v>5575</v>
      </c>
      <c r="C2190" s="798" t="s">
        <v>32</v>
      </c>
      <c r="D2190" s="800">
        <v>83</v>
      </c>
    </row>
    <row r="2191" spans="1:4" ht="27">
      <c r="A2191" s="798">
        <v>92272</v>
      </c>
      <c r="B2191" s="799" t="s">
        <v>5576</v>
      </c>
      <c r="C2191" s="798" t="s">
        <v>14</v>
      </c>
      <c r="D2191" s="800">
        <v>40.24</v>
      </c>
    </row>
    <row r="2192" spans="1:4" ht="27">
      <c r="A2192" s="798">
        <v>92273</v>
      </c>
      <c r="B2192" s="799" t="s">
        <v>5577</v>
      </c>
      <c r="C2192" s="798" t="s">
        <v>14</v>
      </c>
      <c r="D2192" s="800">
        <v>14.91</v>
      </c>
    </row>
    <row r="2193" spans="1:4" ht="40.5">
      <c r="A2193" s="798">
        <v>92409</v>
      </c>
      <c r="B2193" s="799" t="s">
        <v>5578</v>
      </c>
      <c r="C2193" s="798" t="s">
        <v>32</v>
      </c>
      <c r="D2193" s="800">
        <v>243.23</v>
      </c>
    </row>
    <row r="2194" spans="1:4" ht="54">
      <c r="A2194" s="798">
        <v>92411</v>
      </c>
      <c r="B2194" s="799" t="s">
        <v>5579</v>
      </c>
      <c r="C2194" s="798" t="s">
        <v>32</v>
      </c>
      <c r="D2194" s="800">
        <v>150.44999999999999</v>
      </c>
    </row>
    <row r="2195" spans="1:4" ht="54">
      <c r="A2195" s="798">
        <v>92413</v>
      </c>
      <c r="B2195" s="799" t="s">
        <v>5580</v>
      </c>
      <c r="C2195" s="798" t="s">
        <v>32</v>
      </c>
      <c r="D2195" s="800">
        <v>92.86</v>
      </c>
    </row>
    <row r="2196" spans="1:4" ht="54">
      <c r="A2196" s="798">
        <v>92415</v>
      </c>
      <c r="B2196" s="799" t="s">
        <v>5581</v>
      </c>
      <c r="C2196" s="798" t="s">
        <v>32</v>
      </c>
      <c r="D2196" s="800">
        <v>131.4</v>
      </c>
    </row>
    <row r="2197" spans="1:4" ht="54">
      <c r="A2197" s="798">
        <v>92417</v>
      </c>
      <c r="B2197" s="799" t="s">
        <v>5582</v>
      </c>
      <c r="C2197" s="798" t="s">
        <v>32</v>
      </c>
      <c r="D2197" s="800">
        <v>147.09</v>
      </c>
    </row>
    <row r="2198" spans="1:4" ht="54">
      <c r="A2198" s="798">
        <v>92419</v>
      </c>
      <c r="B2198" s="799" t="s">
        <v>5583</v>
      </c>
      <c r="C2198" s="798" t="s">
        <v>32</v>
      </c>
      <c r="D2198" s="800">
        <v>80.69</v>
      </c>
    </row>
    <row r="2199" spans="1:4" ht="54">
      <c r="A2199" s="798">
        <v>92421</v>
      </c>
      <c r="B2199" s="799" t="s">
        <v>5584</v>
      </c>
      <c r="C2199" s="798" t="s">
        <v>32</v>
      </c>
      <c r="D2199" s="800">
        <v>92.71</v>
      </c>
    </row>
    <row r="2200" spans="1:4" ht="54">
      <c r="A2200" s="798">
        <v>92423</v>
      </c>
      <c r="B2200" s="799" t="s">
        <v>5585</v>
      </c>
      <c r="C2200" s="798" t="s">
        <v>32</v>
      </c>
      <c r="D2200" s="800">
        <v>65.3</v>
      </c>
    </row>
    <row r="2201" spans="1:4" ht="54">
      <c r="A2201" s="798">
        <v>92425</v>
      </c>
      <c r="B2201" s="799" t="s">
        <v>5586</v>
      </c>
      <c r="C2201" s="798" t="s">
        <v>32</v>
      </c>
      <c r="D2201" s="800">
        <v>75.760000000000005</v>
      </c>
    </row>
    <row r="2202" spans="1:4" ht="54">
      <c r="A2202" s="798">
        <v>92427</v>
      </c>
      <c r="B2202" s="799" t="s">
        <v>5587</v>
      </c>
      <c r="C2202" s="798" t="s">
        <v>32</v>
      </c>
      <c r="D2202" s="800">
        <v>57.51</v>
      </c>
    </row>
    <row r="2203" spans="1:4" ht="54">
      <c r="A2203" s="798">
        <v>92429</v>
      </c>
      <c r="B2203" s="799" t="s">
        <v>5588</v>
      </c>
      <c r="C2203" s="798" t="s">
        <v>32</v>
      </c>
      <c r="D2203" s="800">
        <v>67.209999999999994</v>
      </c>
    </row>
    <row r="2204" spans="1:4" ht="54">
      <c r="A2204" s="798">
        <v>92431</v>
      </c>
      <c r="B2204" s="799" t="s">
        <v>5589</v>
      </c>
      <c r="C2204" s="798" t="s">
        <v>32</v>
      </c>
      <c r="D2204" s="800">
        <v>55.33</v>
      </c>
    </row>
    <row r="2205" spans="1:4" ht="54">
      <c r="A2205" s="798">
        <v>92433</v>
      </c>
      <c r="B2205" s="799" t="s">
        <v>5590</v>
      </c>
      <c r="C2205" s="798" t="s">
        <v>32</v>
      </c>
      <c r="D2205" s="800">
        <v>64.52</v>
      </c>
    </row>
    <row r="2206" spans="1:4" ht="54">
      <c r="A2206" s="798">
        <v>92435</v>
      </c>
      <c r="B2206" s="799" t="s">
        <v>5591</v>
      </c>
      <c r="C2206" s="798" t="s">
        <v>32</v>
      </c>
      <c r="D2206" s="800">
        <v>52.27</v>
      </c>
    </row>
    <row r="2207" spans="1:4" ht="54">
      <c r="A2207" s="798">
        <v>92437</v>
      </c>
      <c r="B2207" s="799" t="s">
        <v>5592</v>
      </c>
      <c r="C2207" s="798" t="s">
        <v>32</v>
      </c>
      <c r="D2207" s="800">
        <v>61.17</v>
      </c>
    </row>
    <row r="2208" spans="1:4" ht="54">
      <c r="A2208" s="798">
        <v>92439</v>
      </c>
      <c r="B2208" s="799" t="s">
        <v>5593</v>
      </c>
      <c r="C2208" s="798" t="s">
        <v>32</v>
      </c>
      <c r="D2208" s="800">
        <v>50.06</v>
      </c>
    </row>
    <row r="2209" spans="1:4" ht="54">
      <c r="A2209" s="798">
        <v>92441</v>
      </c>
      <c r="B2209" s="799" t="s">
        <v>5594</v>
      </c>
      <c r="C2209" s="798" t="s">
        <v>32</v>
      </c>
      <c r="D2209" s="800">
        <v>58.74</v>
      </c>
    </row>
    <row r="2210" spans="1:4" ht="54">
      <c r="A2210" s="798">
        <v>92443</v>
      </c>
      <c r="B2210" s="799" t="s">
        <v>5595</v>
      </c>
      <c r="C2210" s="798" t="s">
        <v>32</v>
      </c>
      <c r="D2210" s="800">
        <v>45.17</v>
      </c>
    </row>
    <row r="2211" spans="1:4" ht="54">
      <c r="A2211" s="798">
        <v>92445</v>
      </c>
      <c r="B2211" s="799" t="s">
        <v>5596</v>
      </c>
      <c r="C2211" s="798" t="s">
        <v>32</v>
      </c>
      <c r="D2211" s="800">
        <v>53.53</v>
      </c>
    </row>
    <row r="2212" spans="1:4" ht="40.5">
      <c r="A2212" s="798">
        <v>92446</v>
      </c>
      <c r="B2212" s="799" t="s">
        <v>5597</v>
      </c>
      <c r="C2212" s="798" t="s">
        <v>32</v>
      </c>
      <c r="D2212" s="800">
        <v>230.47</v>
      </c>
    </row>
    <row r="2213" spans="1:4" ht="40.5">
      <c r="A2213" s="798">
        <v>92447</v>
      </c>
      <c r="B2213" s="799" t="s">
        <v>5598</v>
      </c>
      <c r="C2213" s="798" t="s">
        <v>32</v>
      </c>
      <c r="D2213" s="800">
        <v>160.43</v>
      </c>
    </row>
    <row r="2214" spans="1:4" ht="40.5">
      <c r="A2214" s="798">
        <v>92448</v>
      </c>
      <c r="B2214" s="799" t="s">
        <v>5599</v>
      </c>
      <c r="C2214" s="798" t="s">
        <v>32</v>
      </c>
      <c r="D2214" s="800">
        <v>127.25</v>
      </c>
    </row>
    <row r="2215" spans="1:4" ht="40.5">
      <c r="A2215" s="798">
        <v>92449</v>
      </c>
      <c r="B2215" s="799" t="s">
        <v>5600</v>
      </c>
      <c r="C2215" s="798" t="s">
        <v>32</v>
      </c>
      <c r="D2215" s="800">
        <v>272.16000000000003</v>
      </c>
    </row>
    <row r="2216" spans="1:4" ht="40.5">
      <c r="A2216" s="798">
        <v>92450</v>
      </c>
      <c r="B2216" s="799" t="s">
        <v>5601</v>
      </c>
      <c r="C2216" s="798" t="s">
        <v>32</v>
      </c>
      <c r="D2216" s="800">
        <v>327.58</v>
      </c>
    </row>
    <row r="2217" spans="1:4" ht="40.5">
      <c r="A2217" s="798">
        <v>92451</v>
      </c>
      <c r="B2217" s="799" t="s">
        <v>5602</v>
      </c>
      <c r="C2217" s="798" t="s">
        <v>32</v>
      </c>
      <c r="D2217" s="800">
        <v>184.22</v>
      </c>
    </row>
    <row r="2218" spans="1:4" ht="40.5">
      <c r="A2218" s="798">
        <v>92452</v>
      </c>
      <c r="B2218" s="799" t="s">
        <v>5603</v>
      </c>
      <c r="C2218" s="798" t="s">
        <v>32</v>
      </c>
      <c r="D2218" s="800">
        <v>153.77000000000001</v>
      </c>
    </row>
    <row r="2219" spans="1:4" ht="40.5">
      <c r="A2219" s="798">
        <v>92453</v>
      </c>
      <c r="B2219" s="799" t="s">
        <v>5604</v>
      </c>
      <c r="C2219" s="798" t="s">
        <v>32</v>
      </c>
      <c r="D2219" s="800">
        <v>233.12</v>
      </c>
    </row>
    <row r="2220" spans="1:4" ht="40.5">
      <c r="A2220" s="798">
        <v>92454</v>
      </c>
      <c r="B2220" s="799" t="s">
        <v>5605</v>
      </c>
      <c r="C2220" s="798" t="s">
        <v>32</v>
      </c>
      <c r="D2220" s="800">
        <v>297.55</v>
      </c>
    </row>
    <row r="2221" spans="1:4" ht="40.5">
      <c r="A2221" s="798">
        <v>92455</v>
      </c>
      <c r="B2221" s="799" t="s">
        <v>5606</v>
      </c>
      <c r="C2221" s="798" t="s">
        <v>32</v>
      </c>
      <c r="D2221" s="800">
        <v>150.55000000000001</v>
      </c>
    </row>
    <row r="2222" spans="1:4" ht="40.5">
      <c r="A2222" s="798">
        <v>92456</v>
      </c>
      <c r="B2222" s="799" t="s">
        <v>5607</v>
      </c>
      <c r="C2222" s="798" t="s">
        <v>32</v>
      </c>
      <c r="D2222" s="800">
        <v>122.84</v>
      </c>
    </row>
    <row r="2223" spans="1:4" ht="40.5">
      <c r="A2223" s="798">
        <v>92457</v>
      </c>
      <c r="B2223" s="799" t="s">
        <v>5608</v>
      </c>
      <c r="C2223" s="798" t="s">
        <v>32</v>
      </c>
      <c r="D2223" s="800">
        <v>201.49</v>
      </c>
    </row>
    <row r="2224" spans="1:4" ht="40.5">
      <c r="A2224" s="798">
        <v>92458</v>
      </c>
      <c r="B2224" s="799" t="s">
        <v>1978</v>
      </c>
      <c r="C2224" s="798" t="s">
        <v>32</v>
      </c>
      <c r="D2224" s="800">
        <v>279.18</v>
      </c>
    </row>
    <row r="2225" spans="1:4" ht="40.5">
      <c r="A2225" s="798">
        <v>92459</v>
      </c>
      <c r="B2225" s="799" t="s">
        <v>5609</v>
      </c>
      <c r="C2225" s="798" t="s">
        <v>32</v>
      </c>
      <c r="D2225" s="800">
        <v>126.89</v>
      </c>
    </row>
    <row r="2226" spans="1:4" ht="40.5">
      <c r="A2226" s="798">
        <v>92460</v>
      </c>
      <c r="B2226" s="799" t="s">
        <v>5610</v>
      </c>
      <c r="C2226" s="798" t="s">
        <v>32</v>
      </c>
      <c r="D2226" s="800">
        <v>98.06</v>
      </c>
    </row>
    <row r="2227" spans="1:4" ht="40.5">
      <c r="A2227" s="798">
        <v>92461</v>
      </c>
      <c r="B2227" s="799" t="s">
        <v>5611</v>
      </c>
      <c r="C2227" s="798" t="s">
        <v>32</v>
      </c>
      <c r="D2227" s="800">
        <v>185.92</v>
      </c>
    </row>
    <row r="2228" spans="1:4" ht="40.5">
      <c r="A2228" s="798">
        <v>92462</v>
      </c>
      <c r="B2228" s="799" t="s">
        <v>5612</v>
      </c>
      <c r="C2228" s="798" t="s">
        <v>32</v>
      </c>
      <c r="D2228" s="800">
        <v>268.17</v>
      </c>
    </row>
    <row r="2229" spans="1:4" ht="40.5">
      <c r="A2229" s="798">
        <v>92463</v>
      </c>
      <c r="B2229" s="799" t="s">
        <v>5613</v>
      </c>
      <c r="C2229" s="798" t="s">
        <v>32</v>
      </c>
      <c r="D2229" s="800">
        <v>114.82</v>
      </c>
    </row>
    <row r="2230" spans="1:4" ht="40.5">
      <c r="A2230" s="798">
        <v>92464</v>
      </c>
      <c r="B2230" s="799" t="s">
        <v>5614</v>
      </c>
      <c r="C2230" s="798" t="s">
        <v>32</v>
      </c>
      <c r="D2230" s="800">
        <v>93.17</v>
      </c>
    </row>
    <row r="2231" spans="1:4" ht="40.5">
      <c r="A2231" s="798">
        <v>92465</v>
      </c>
      <c r="B2231" s="799" t="s">
        <v>5615</v>
      </c>
      <c r="C2231" s="798" t="s">
        <v>32</v>
      </c>
      <c r="D2231" s="800">
        <v>147.51</v>
      </c>
    </row>
    <row r="2232" spans="1:4" ht="40.5">
      <c r="A2232" s="798">
        <v>92466</v>
      </c>
      <c r="B2232" s="799" t="s">
        <v>5616</v>
      </c>
      <c r="C2232" s="798" t="s">
        <v>32</v>
      </c>
      <c r="D2232" s="800">
        <v>264.64</v>
      </c>
    </row>
    <row r="2233" spans="1:4" ht="40.5">
      <c r="A2233" s="798">
        <v>92467</v>
      </c>
      <c r="B2233" s="799" t="s">
        <v>5617</v>
      </c>
      <c r="C2233" s="798" t="s">
        <v>32</v>
      </c>
      <c r="D2233" s="800">
        <v>95.02</v>
      </c>
    </row>
    <row r="2234" spans="1:4" ht="40.5">
      <c r="A2234" s="798">
        <v>92468</v>
      </c>
      <c r="B2234" s="799" t="s">
        <v>5618</v>
      </c>
      <c r="C2234" s="798" t="s">
        <v>32</v>
      </c>
      <c r="D2234" s="800">
        <v>89.61</v>
      </c>
    </row>
    <row r="2235" spans="1:4" ht="40.5">
      <c r="A2235" s="798">
        <v>92469</v>
      </c>
      <c r="B2235" s="799" t="s">
        <v>5619</v>
      </c>
      <c r="C2235" s="798" t="s">
        <v>32</v>
      </c>
      <c r="D2235" s="800">
        <v>133.88</v>
      </c>
    </row>
    <row r="2236" spans="1:4" ht="40.5">
      <c r="A2236" s="798">
        <v>92470</v>
      </c>
      <c r="B2236" s="799" t="s">
        <v>5620</v>
      </c>
      <c r="C2236" s="798" t="s">
        <v>32</v>
      </c>
      <c r="D2236" s="800">
        <v>258.81</v>
      </c>
    </row>
    <row r="2237" spans="1:4" ht="40.5">
      <c r="A2237" s="798">
        <v>92471</v>
      </c>
      <c r="B2237" s="799" t="s">
        <v>5621</v>
      </c>
      <c r="C2237" s="798" t="s">
        <v>32</v>
      </c>
      <c r="D2237" s="800">
        <v>86.35</v>
      </c>
    </row>
    <row r="2238" spans="1:4" ht="40.5">
      <c r="A2238" s="798">
        <v>92472</v>
      </c>
      <c r="B2238" s="799" t="s">
        <v>5622</v>
      </c>
      <c r="C2238" s="798" t="s">
        <v>32</v>
      </c>
      <c r="D2238" s="800">
        <v>84.27</v>
      </c>
    </row>
    <row r="2239" spans="1:4" ht="40.5">
      <c r="A2239" s="798">
        <v>92473</v>
      </c>
      <c r="B2239" s="799" t="s">
        <v>5623</v>
      </c>
      <c r="C2239" s="798" t="s">
        <v>32</v>
      </c>
      <c r="D2239" s="800">
        <v>123.01</v>
      </c>
    </row>
    <row r="2240" spans="1:4" ht="40.5">
      <c r="A2240" s="798">
        <v>92474</v>
      </c>
      <c r="B2240" s="799" t="s">
        <v>5624</v>
      </c>
      <c r="C2240" s="798" t="s">
        <v>32</v>
      </c>
      <c r="D2240" s="800">
        <v>253.9</v>
      </c>
    </row>
    <row r="2241" spans="1:4" ht="40.5">
      <c r="A2241" s="798">
        <v>92475</v>
      </c>
      <c r="B2241" s="799" t="s">
        <v>5625</v>
      </c>
      <c r="C2241" s="798" t="s">
        <v>32</v>
      </c>
      <c r="D2241" s="800">
        <v>79.430000000000007</v>
      </c>
    </row>
    <row r="2242" spans="1:4" ht="40.5">
      <c r="A2242" s="798">
        <v>92476</v>
      </c>
      <c r="B2242" s="799" t="s">
        <v>5626</v>
      </c>
      <c r="C2242" s="798" t="s">
        <v>32</v>
      </c>
      <c r="D2242" s="800">
        <v>79.849999999999994</v>
      </c>
    </row>
    <row r="2243" spans="1:4" ht="40.5">
      <c r="A2243" s="798">
        <v>92477</v>
      </c>
      <c r="B2243" s="799" t="s">
        <v>5627</v>
      </c>
      <c r="C2243" s="798" t="s">
        <v>32</v>
      </c>
      <c r="D2243" s="800">
        <v>99.31</v>
      </c>
    </row>
    <row r="2244" spans="1:4" ht="40.5">
      <c r="A2244" s="798">
        <v>92478</v>
      </c>
      <c r="B2244" s="799" t="s">
        <v>5628</v>
      </c>
      <c r="C2244" s="798" t="s">
        <v>32</v>
      </c>
      <c r="D2244" s="800">
        <v>243.92</v>
      </c>
    </row>
    <row r="2245" spans="1:4" ht="40.5">
      <c r="A2245" s="798">
        <v>92479</v>
      </c>
      <c r="B2245" s="799" t="s">
        <v>5629</v>
      </c>
      <c r="C2245" s="798" t="s">
        <v>32</v>
      </c>
      <c r="D2245" s="800">
        <v>64.3</v>
      </c>
    </row>
    <row r="2246" spans="1:4" ht="40.5">
      <c r="A2246" s="798">
        <v>92480</v>
      </c>
      <c r="B2246" s="799" t="s">
        <v>5630</v>
      </c>
      <c r="C2246" s="798" t="s">
        <v>32</v>
      </c>
      <c r="D2246" s="800">
        <v>70.709999999999994</v>
      </c>
    </row>
    <row r="2247" spans="1:4" ht="40.5">
      <c r="A2247" s="798">
        <v>92482</v>
      </c>
      <c r="B2247" s="799" t="s">
        <v>5631</v>
      </c>
      <c r="C2247" s="798" t="s">
        <v>32</v>
      </c>
      <c r="D2247" s="800">
        <v>249.17</v>
      </c>
    </row>
    <row r="2248" spans="1:4" ht="40.5">
      <c r="A2248" s="798">
        <v>92484</v>
      </c>
      <c r="B2248" s="799" t="s">
        <v>5632</v>
      </c>
      <c r="C2248" s="798" t="s">
        <v>32</v>
      </c>
      <c r="D2248" s="800">
        <v>176.92</v>
      </c>
    </row>
    <row r="2249" spans="1:4" ht="40.5">
      <c r="A2249" s="798">
        <v>92486</v>
      </c>
      <c r="B2249" s="799" t="s">
        <v>5633</v>
      </c>
      <c r="C2249" s="798" t="s">
        <v>32</v>
      </c>
      <c r="D2249" s="800">
        <v>122.71</v>
      </c>
    </row>
    <row r="2250" spans="1:4" ht="54">
      <c r="A2250" s="798">
        <v>92488</v>
      </c>
      <c r="B2250" s="799" t="s">
        <v>5634</v>
      </c>
      <c r="C2250" s="798" t="s">
        <v>32</v>
      </c>
      <c r="D2250" s="800">
        <v>96.47</v>
      </c>
    </row>
    <row r="2251" spans="1:4" ht="54">
      <c r="A2251" s="798">
        <v>92490</v>
      </c>
      <c r="B2251" s="799" t="s">
        <v>5635</v>
      </c>
      <c r="C2251" s="798" t="s">
        <v>32</v>
      </c>
      <c r="D2251" s="800">
        <v>53.92</v>
      </c>
    </row>
    <row r="2252" spans="1:4" ht="54">
      <c r="A2252" s="798">
        <v>92492</v>
      </c>
      <c r="B2252" s="799" t="s">
        <v>5636</v>
      </c>
      <c r="C2252" s="798" t="s">
        <v>32</v>
      </c>
      <c r="D2252" s="800">
        <v>92.72</v>
      </c>
    </row>
    <row r="2253" spans="1:4" ht="54">
      <c r="A2253" s="798">
        <v>92494</v>
      </c>
      <c r="B2253" s="799" t="s">
        <v>5637</v>
      </c>
      <c r="C2253" s="798" t="s">
        <v>32</v>
      </c>
      <c r="D2253" s="800">
        <v>50.5</v>
      </c>
    </row>
    <row r="2254" spans="1:4" ht="54">
      <c r="A2254" s="798">
        <v>92496</v>
      </c>
      <c r="B2254" s="799" t="s">
        <v>5638</v>
      </c>
      <c r="C2254" s="798" t="s">
        <v>32</v>
      </c>
      <c r="D2254" s="800">
        <v>90.16</v>
      </c>
    </row>
    <row r="2255" spans="1:4" ht="54">
      <c r="A2255" s="798">
        <v>92498</v>
      </c>
      <c r="B2255" s="799" t="s">
        <v>5639</v>
      </c>
      <c r="C2255" s="798" t="s">
        <v>32</v>
      </c>
      <c r="D2255" s="800">
        <v>48.18</v>
      </c>
    </row>
    <row r="2256" spans="1:4" ht="54">
      <c r="A2256" s="798">
        <v>92500</v>
      </c>
      <c r="B2256" s="799" t="s">
        <v>5640</v>
      </c>
      <c r="C2256" s="798" t="s">
        <v>32</v>
      </c>
      <c r="D2256" s="800">
        <v>88.81</v>
      </c>
    </row>
    <row r="2257" spans="1:4" ht="54">
      <c r="A2257" s="798">
        <v>92502</v>
      </c>
      <c r="B2257" s="799" t="s">
        <v>5641</v>
      </c>
      <c r="C2257" s="798" t="s">
        <v>32</v>
      </c>
      <c r="D2257" s="800">
        <v>46.99</v>
      </c>
    </row>
    <row r="2258" spans="1:4" ht="54">
      <c r="A2258" s="798">
        <v>92504</v>
      </c>
      <c r="B2258" s="799" t="s">
        <v>5642</v>
      </c>
      <c r="C2258" s="798" t="s">
        <v>32</v>
      </c>
      <c r="D2258" s="800">
        <v>51.01</v>
      </c>
    </row>
    <row r="2259" spans="1:4" ht="54">
      <c r="A2259" s="798">
        <v>92506</v>
      </c>
      <c r="B2259" s="799" t="s">
        <v>5643</v>
      </c>
      <c r="C2259" s="798" t="s">
        <v>32</v>
      </c>
      <c r="D2259" s="800">
        <v>44.76</v>
      </c>
    </row>
    <row r="2260" spans="1:4" ht="40.5">
      <c r="A2260" s="798">
        <v>92508</v>
      </c>
      <c r="B2260" s="799" t="s">
        <v>5644</v>
      </c>
      <c r="C2260" s="798" t="s">
        <v>32</v>
      </c>
      <c r="D2260" s="800">
        <v>107.94</v>
      </c>
    </row>
    <row r="2261" spans="1:4" ht="40.5">
      <c r="A2261" s="798">
        <v>92510</v>
      </c>
      <c r="B2261" s="799" t="s">
        <v>5645</v>
      </c>
      <c r="C2261" s="798" t="s">
        <v>32</v>
      </c>
      <c r="D2261" s="800">
        <v>61.99</v>
      </c>
    </row>
    <row r="2262" spans="1:4" ht="40.5">
      <c r="A2262" s="798">
        <v>92512</v>
      </c>
      <c r="B2262" s="799" t="s">
        <v>5646</v>
      </c>
      <c r="C2262" s="798" t="s">
        <v>32</v>
      </c>
      <c r="D2262" s="800">
        <v>85.8</v>
      </c>
    </row>
    <row r="2263" spans="1:4" ht="40.5">
      <c r="A2263" s="798">
        <v>92514</v>
      </c>
      <c r="B2263" s="799" t="s">
        <v>5647</v>
      </c>
      <c r="C2263" s="798" t="s">
        <v>32</v>
      </c>
      <c r="D2263" s="800">
        <v>42.32</v>
      </c>
    </row>
    <row r="2264" spans="1:4" ht="40.5">
      <c r="A2264" s="798">
        <v>92515</v>
      </c>
      <c r="B2264" s="799" t="s">
        <v>5648</v>
      </c>
      <c r="C2264" s="798" t="s">
        <v>32</v>
      </c>
      <c r="D2264" s="800">
        <v>76.62</v>
      </c>
    </row>
    <row r="2265" spans="1:4" ht="40.5">
      <c r="A2265" s="798">
        <v>92518</v>
      </c>
      <c r="B2265" s="799" t="s">
        <v>5649</v>
      </c>
      <c r="C2265" s="798" t="s">
        <v>32</v>
      </c>
      <c r="D2265" s="800">
        <v>34.24</v>
      </c>
    </row>
    <row r="2266" spans="1:4" ht="40.5">
      <c r="A2266" s="798">
        <v>92520</v>
      </c>
      <c r="B2266" s="799" t="s">
        <v>5650</v>
      </c>
      <c r="C2266" s="798" t="s">
        <v>32</v>
      </c>
      <c r="D2266" s="800">
        <v>71.87</v>
      </c>
    </row>
    <row r="2267" spans="1:4" ht="40.5">
      <c r="A2267" s="798">
        <v>92522</v>
      </c>
      <c r="B2267" s="799" t="s">
        <v>5651</v>
      </c>
      <c r="C2267" s="798" t="s">
        <v>32</v>
      </c>
      <c r="D2267" s="800">
        <v>30.03</v>
      </c>
    </row>
    <row r="2268" spans="1:4" ht="40.5">
      <c r="A2268" s="798">
        <v>92524</v>
      </c>
      <c r="B2268" s="799" t="s">
        <v>8216</v>
      </c>
      <c r="C2268" s="798" t="s">
        <v>32</v>
      </c>
      <c r="D2268" s="800">
        <v>73.430000000000007</v>
      </c>
    </row>
    <row r="2269" spans="1:4" ht="40.5">
      <c r="A2269" s="798">
        <v>92526</v>
      </c>
      <c r="B2269" s="799" t="s">
        <v>5652</v>
      </c>
      <c r="C2269" s="798" t="s">
        <v>32</v>
      </c>
      <c r="D2269" s="800">
        <v>31.92</v>
      </c>
    </row>
    <row r="2270" spans="1:4" ht="40.5">
      <c r="A2270" s="798">
        <v>92528</v>
      </c>
      <c r="B2270" s="799" t="s">
        <v>5653</v>
      </c>
      <c r="C2270" s="798" t="s">
        <v>32</v>
      </c>
      <c r="D2270" s="800">
        <v>71.290000000000006</v>
      </c>
    </row>
    <row r="2271" spans="1:4" ht="40.5">
      <c r="A2271" s="798">
        <v>92530</v>
      </c>
      <c r="B2271" s="799" t="s">
        <v>5654</v>
      </c>
      <c r="C2271" s="798" t="s">
        <v>32</v>
      </c>
      <c r="D2271" s="800">
        <v>29.99</v>
      </c>
    </row>
    <row r="2272" spans="1:4" ht="40.5">
      <c r="A2272" s="798">
        <v>92532</v>
      </c>
      <c r="B2272" s="799" t="s">
        <v>5655</v>
      </c>
      <c r="C2272" s="798" t="s">
        <v>32</v>
      </c>
      <c r="D2272" s="800">
        <v>69.63</v>
      </c>
    </row>
    <row r="2273" spans="1:4" ht="40.5">
      <c r="A2273" s="798">
        <v>92534</v>
      </c>
      <c r="B2273" s="799" t="s">
        <v>5656</v>
      </c>
      <c r="C2273" s="798" t="s">
        <v>32</v>
      </c>
      <c r="D2273" s="800">
        <v>28.52</v>
      </c>
    </row>
    <row r="2274" spans="1:4" ht="40.5">
      <c r="A2274" s="798">
        <v>92536</v>
      </c>
      <c r="B2274" s="799" t="s">
        <v>5657</v>
      </c>
      <c r="C2274" s="798" t="s">
        <v>32</v>
      </c>
      <c r="D2274" s="800">
        <v>66.37</v>
      </c>
    </row>
    <row r="2275" spans="1:4" ht="40.5">
      <c r="A2275" s="798">
        <v>92538</v>
      </c>
      <c r="B2275" s="799" t="s">
        <v>5658</v>
      </c>
      <c r="C2275" s="798" t="s">
        <v>32</v>
      </c>
      <c r="D2275" s="800">
        <v>25.43</v>
      </c>
    </row>
    <row r="2276" spans="1:4" ht="27">
      <c r="A2276" s="798">
        <v>96252</v>
      </c>
      <c r="B2276" s="799" t="s">
        <v>2784</v>
      </c>
      <c r="C2276" s="798" t="s">
        <v>32</v>
      </c>
      <c r="D2276" s="800">
        <v>239.65</v>
      </c>
    </row>
    <row r="2277" spans="1:4" ht="54">
      <c r="A2277" s="798">
        <v>96257</v>
      </c>
      <c r="B2277" s="799" t="s">
        <v>2785</v>
      </c>
      <c r="C2277" s="798" t="s">
        <v>32</v>
      </c>
      <c r="D2277" s="800">
        <v>179</v>
      </c>
    </row>
    <row r="2278" spans="1:4" ht="54">
      <c r="A2278" s="798">
        <v>96258</v>
      </c>
      <c r="B2278" s="799" t="s">
        <v>2786</v>
      </c>
      <c r="C2278" s="798" t="s">
        <v>32</v>
      </c>
      <c r="D2278" s="800">
        <v>169.28</v>
      </c>
    </row>
    <row r="2279" spans="1:4" ht="54">
      <c r="A2279" s="798">
        <v>96259</v>
      </c>
      <c r="B2279" s="799" t="s">
        <v>2787</v>
      </c>
      <c r="C2279" s="798" t="s">
        <v>32</v>
      </c>
      <c r="D2279" s="800">
        <v>194.53</v>
      </c>
    </row>
    <row r="2280" spans="1:4" ht="40.5">
      <c r="A2280" s="798">
        <v>96529</v>
      </c>
      <c r="B2280" s="799" t="s">
        <v>2815</v>
      </c>
      <c r="C2280" s="798" t="s">
        <v>32</v>
      </c>
      <c r="D2280" s="800">
        <v>272.19</v>
      </c>
    </row>
    <row r="2281" spans="1:4" ht="40.5">
      <c r="A2281" s="798">
        <v>96530</v>
      </c>
      <c r="B2281" s="799" t="s">
        <v>2816</v>
      </c>
      <c r="C2281" s="798" t="s">
        <v>32</v>
      </c>
      <c r="D2281" s="800">
        <v>150.1</v>
      </c>
    </row>
    <row r="2282" spans="1:4" ht="40.5">
      <c r="A2282" s="798">
        <v>96531</v>
      </c>
      <c r="B2282" s="799" t="s">
        <v>2817</v>
      </c>
      <c r="C2282" s="798" t="s">
        <v>32</v>
      </c>
      <c r="D2282" s="800">
        <v>102.05</v>
      </c>
    </row>
    <row r="2283" spans="1:4" ht="40.5">
      <c r="A2283" s="798">
        <v>96532</v>
      </c>
      <c r="B2283" s="799" t="s">
        <v>2818</v>
      </c>
      <c r="C2283" s="798" t="s">
        <v>32</v>
      </c>
      <c r="D2283" s="800">
        <v>168.51</v>
      </c>
    </row>
    <row r="2284" spans="1:4" ht="40.5">
      <c r="A2284" s="798">
        <v>96533</v>
      </c>
      <c r="B2284" s="799" t="s">
        <v>2819</v>
      </c>
      <c r="C2284" s="798" t="s">
        <v>32</v>
      </c>
      <c r="D2284" s="800">
        <v>90.71</v>
      </c>
    </row>
    <row r="2285" spans="1:4" ht="40.5">
      <c r="A2285" s="798">
        <v>96534</v>
      </c>
      <c r="B2285" s="799" t="s">
        <v>2820</v>
      </c>
      <c r="C2285" s="798" t="s">
        <v>32</v>
      </c>
      <c r="D2285" s="800">
        <v>69.08</v>
      </c>
    </row>
    <row r="2286" spans="1:4" ht="40.5">
      <c r="A2286" s="798">
        <v>96535</v>
      </c>
      <c r="B2286" s="799" t="s">
        <v>2821</v>
      </c>
      <c r="C2286" s="798" t="s">
        <v>32</v>
      </c>
      <c r="D2286" s="800">
        <v>114.52</v>
      </c>
    </row>
    <row r="2287" spans="1:4" ht="40.5">
      <c r="A2287" s="798">
        <v>96536</v>
      </c>
      <c r="B2287" s="799" t="s">
        <v>2822</v>
      </c>
      <c r="C2287" s="798" t="s">
        <v>32</v>
      </c>
      <c r="D2287" s="800">
        <v>59.82</v>
      </c>
    </row>
    <row r="2288" spans="1:4" ht="40.5">
      <c r="A2288" s="798">
        <v>96537</v>
      </c>
      <c r="B2288" s="799" t="s">
        <v>2823</v>
      </c>
      <c r="C2288" s="798" t="s">
        <v>32</v>
      </c>
      <c r="D2288" s="800">
        <v>170.01</v>
      </c>
    </row>
    <row r="2289" spans="1:4" ht="40.5">
      <c r="A2289" s="798">
        <v>96538</v>
      </c>
      <c r="B2289" s="799" t="s">
        <v>2824</v>
      </c>
      <c r="C2289" s="798" t="s">
        <v>32</v>
      </c>
      <c r="D2289" s="800">
        <v>237.05</v>
      </c>
    </row>
    <row r="2290" spans="1:4" ht="40.5">
      <c r="A2290" s="798">
        <v>96539</v>
      </c>
      <c r="B2290" s="799" t="s">
        <v>2825</v>
      </c>
      <c r="C2290" s="798" t="s">
        <v>32</v>
      </c>
      <c r="D2290" s="800">
        <v>114.19</v>
      </c>
    </row>
    <row r="2291" spans="1:4" ht="40.5">
      <c r="A2291" s="798">
        <v>96540</v>
      </c>
      <c r="B2291" s="799" t="s">
        <v>2826</v>
      </c>
      <c r="C2291" s="798" t="s">
        <v>32</v>
      </c>
      <c r="D2291" s="800">
        <v>112.3</v>
      </c>
    </row>
    <row r="2292" spans="1:4" ht="40.5">
      <c r="A2292" s="798">
        <v>96541</v>
      </c>
      <c r="B2292" s="799" t="s">
        <v>2827</v>
      </c>
      <c r="C2292" s="798" t="s">
        <v>32</v>
      </c>
      <c r="D2292" s="800">
        <v>159.08000000000001</v>
      </c>
    </row>
    <row r="2293" spans="1:4" ht="40.5">
      <c r="A2293" s="798">
        <v>96542</v>
      </c>
      <c r="B2293" s="799" t="s">
        <v>2828</v>
      </c>
      <c r="C2293" s="798" t="s">
        <v>32</v>
      </c>
      <c r="D2293" s="800">
        <v>79.33</v>
      </c>
    </row>
    <row r="2294" spans="1:4" ht="27">
      <c r="A2294" s="798">
        <v>96543</v>
      </c>
      <c r="B2294" s="799" t="s">
        <v>2829</v>
      </c>
      <c r="C2294" s="798" t="s">
        <v>16</v>
      </c>
      <c r="D2294" s="800">
        <v>17.73</v>
      </c>
    </row>
    <row r="2295" spans="1:4" ht="54">
      <c r="A2295" s="798">
        <v>97747</v>
      </c>
      <c r="B2295" s="799" t="s">
        <v>3251</v>
      </c>
      <c r="C2295" s="798" t="s">
        <v>32</v>
      </c>
      <c r="D2295" s="800">
        <v>182.97</v>
      </c>
    </row>
    <row r="2296" spans="1:4" ht="27">
      <c r="A2296" s="798">
        <v>101791</v>
      </c>
      <c r="B2296" s="799" t="s">
        <v>5659</v>
      </c>
      <c r="C2296" s="798" t="s">
        <v>14</v>
      </c>
      <c r="D2296" s="800">
        <v>27.47</v>
      </c>
    </row>
    <row r="2297" spans="1:4" ht="40.5">
      <c r="A2297" s="798">
        <v>101792</v>
      </c>
      <c r="B2297" s="799" t="s">
        <v>5660</v>
      </c>
      <c r="C2297" s="798" t="s">
        <v>22</v>
      </c>
      <c r="D2297" s="800">
        <v>14.33</v>
      </c>
    </row>
    <row r="2298" spans="1:4" ht="40.5">
      <c r="A2298" s="798">
        <v>101793</v>
      </c>
      <c r="B2298" s="799" t="s">
        <v>5661</v>
      </c>
      <c r="C2298" s="798" t="s">
        <v>22</v>
      </c>
      <c r="D2298" s="800">
        <v>23.13</v>
      </c>
    </row>
    <row r="2299" spans="1:4" ht="40.5">
      <c r="A2299" s="798">
        <v>101969</v>
      </c>
      <c r="B2299" s="799" t="s">
        <v>6479</v>
      </c>
      <c r="C2299" s="798" t="s">
        <v>32</v>
      </c>
      <c r="D2299" s="800">
        <v>216.69</v>
      </c>
    </row>
    <row r="2300" spans="1:4" ht="40.5">
      <c r="A2300" s="798">
        <v>101971</v>
      </c>
      <c r="B2300" s="799" t="s">
        <v>6480</v>
      </c>
      <c r="C2300" s="798" t="s">
        <v>32</v>
      </c>
      <c r="D2300" s="800">
        <v>162.74</v>
      </c>
    </row>
    <row r="2301" spans="1:4" ht="27">
      <c r="A2301" s="798">
        <v>101973</v>
      </c>
      <c r="B2301" s="799" t="s">
        <v>6481</v>
      </c>
      <c r="C2301" s="798" t="s">
        <v>32</v>
      </c>
      <c r="D2301" s="800">
        <v>165.06</v>
      </c>
    </row>
    <row r="2302" spans="1:4" ht="40.5">
      <c r="A2302" s="798">
        <v>101974</v>
      </c>
      <c r="B2302" s="799" t="s">
        <v>6482</v>
      </c>
      <c r="C2302" s="798" t="s">
        <v>32</v>
      </c>
      <c r="D2302" s="800">
        <v>377.92</v>
      </c>
    </row>
    <row r="2303" spans="1:4" ht="40.5">
      <c r="A2303" s="798">
        <v>101975</v>
      </c>
      <c r="B2303" s="799" t="s">
        <v>6483</v>
      </c>
      <c r="C2303" s="798" t="s">
        <v>32</v>
      </c>
      <c r="D2303" s="800">
        <v>323.77999999999997</v>
      </c>
    </row>
    <row r="2304" spans="1:4" ht="40.5">
      <c r="A2304" s="798">
        <v>101977</v>
      </c>
      <c r="B2304" s="799" t="s">
        <v>6484</v>
      </c>
      <c r="C2304" s="798" t="s">
        <v>32</v>
      </c>
      <c r="D2304" s="800">
        <v>260.33</v>
      </c>
    </row>
    <row r="2305" spans="1:4" ht="40.5">
      <c r="A2305" s="798">
        <v>101980</v>
      </c>
      <c r="B2305" s="799" t="s">
        <v>6485</v>
      </c>
      <c r="C2305" s="798" t="s">
        <v>32</v>
      </c>
      <c r="D2305" s="800">
        <v>242.02</v>
      </c>
    </row>
    <row r="2306" spans="1:4" ht="40.5">
      <c r="A2306" s="798">
        <v>101981</v>
      </c>
      <c r="B2306" s="799" t="s">
        <v>6486</v>
      </c>
      <c r="C2306" s="798" t="s">
        <v>32</v>
      </c>
      <c r="D2306" s="800">
        <v>209.38</v>
      </c>
    </row>
    <row r="2307" spans="1:4" ht="40.5">
      <c r="A2307" s="798">
        <v>101982</v>
      </c>
      <c r="B2307" s="799" t="s">
        <v>6487</v>
      </c>
      <c r="C2307" s="798" t="s">
        <v>32</v>
      </c>
      <c r="D2307" s="800">
        <v>181.81</v>
      </c>
    </row>
    <row r="2308" spans="1:4" ht="40.5">
      <c r="A2308" s="798">
        <v>101983</v>
      </c>
      <c r="B2308" s="799" t="s">
        <v>6488</v>
      </c>
      <c r="C2308" s="798" t="s">
        <v>32</v>
      </c>
      <c r="D2308" s="800">
        <v>164.39</v>
      </c>
    </row>
    <row r="2309" spans="1:4" ht="40.5">
      <c r="A2309" s="798">
        <v>101985</v>
      </c>
      <c r="B2309" s="799" t="s">
        <v>6489</v>
      </c>
      <c r="C2309" s="798" t="s">
        <v>32</v>
      </c>
      <c r="D2309" s="800">
        <v>229.39</v>
      </c>
    </row>
    <row r="2310" spans="1:4" ht="40.5">
      <c r="A2310" s="798">
        <v>101986</v>
      </c>
      <c r="B2310" s="799" t="s">
        <v>6490</v>
      </c>
      <c r="C2310" s="798" t="s">
        <v>32</v>
      </c>
      <c r="D2310" s="800">
        <v>160.81</v>
      </c>
    </row>
    <row r="2311" spans="1:4" ht="40.5">
      <c r="A2311" s="798">
        <v>101987</v>
      </c>
      <c r="B2311" s="799" t="s">
        <v>6491</v>
      </c>
      <c r="C2311" s="798" t="s">
        <v>32</v>
      </c>
      <c r="D2311" s="800">
        <v>190.95</v>
      </c>
    </row>
    <row r="2312" spans="1:4" ht="40.5">
      <c r="A2312" s="798">
        <v>101988</v>
      </c>
      <c r="B2312" s="799" t="s">
        <v>6492</v>
      </c>
      <c r="C2312" s="798" t="s">
        <v>32</v>
      </c>
      <c r="D2312" s="800">
        <v>222.13</v>
      </c>
    </row>
    <row r="2313" spans="1:4" ht="40.5">
      <c r="A2313" s="798">
        <v>101989</v>
      </c>
      <c r="B2313" s="799" t="s">
        <v>6493</v>
      </c>
      <c r="C2313" s="798" t="s">
        <v>32</v>
      </c>
      <c r="D2313" s="800">
        <v>168.86</v>
      </c>
    </row>
    <row r="2314" spans="1:4" ht="27">
      <c r="A2314" s="798">
        <v>101990</v>
      </c>
      <c r="B2314" s="799" t="s">
        <v>6494</v>
      </c>
      <c r="C2314" s="798" t="s">
        <v>32</v>
      </c>
      <c r="D2314" s="800">
        <v>177.38</v>
      </c>
    </row>
    <row r="2315" spans="1:4" ht="40.5">
      <c r="A2315" s="798">
        <v>101991</v>
      </c>
      <c r="B2315" s="799" t="s">
        <v>6495</v>
      </c>
      <c r="C2315" s="798" t="s">
        <v>32</v>
      </c>
      <c r="D2315" s="800">
        <v>226.5</v>
      </c>
    </row>
    <row r="2316" spans="1:4" ht="40.5">
      <c r="A2316" s="798">
        <v>101992</v>
      </c>
      <c r="B2316" s="799" t="s">
        <v>6496</v>
      </c>
      <c r="C2316" s="798" t="s">
        <v>32</v>
      </c>
      <c r="D2316" s="800">
        <v>160.93</v>
      </c>
    </row>
    <row r="2317" spans="1:4" ht="40.5">
      <c r="A2317" s="798">
        <v>101993</v>
      </c>
      <c r="B2317" s="799" t="s">
        <v>6497</v>
      </c>
      <c r="C2317" s="798" t="s">
        <v>32</v>
      </c>
      <c r="D2317" s="800">
        <v>223.47</v>
      </c>
    </row>
    <row r="2318" spans="1:4" ht="40.5">
      <c r="A2318" s="798">
        <v>101994</v>
      </c>
      <c r="B2318" s="799" t="s">
        <v>6498</v>
      </c>
      <c r="C2318" s="798" t="s">
        <v>32</v>
      </c>
      <c r="D2318" s="800">
        <v>238.8</v>
      </c>
    </row>
    <row r="2319" spans="1:4" ht="40.5">
      <c r="A2319" s="798">
        <v>101995</v>
      </c>
      <c r="B2319" s="799" t="s">
        <v>6499</v>
      </c>
      <c r="C2319" s="798" t="s">
        <v>32</v>
      </c>
      <c r="D2319" s="800">
        <v>179</v>
      </c>
    </row>
    <row r="2320" spans="1:4" ht="27">
      <c r="A2320" s="798">
        <v>101996</v>
      </c>
      <c r="B2320" s="799" t="s">
        <v>6500</v>
      </c>
      <c r="C2320" s="798" t="s">
        <v>32</v>
      </c>
      <c r="D2320" s="800">
        <v>190.51</v>
      </c>
    </row>
    <row r="2321" spans="1:4" ht="40.5">
      <c r="A2321" s="798">
        <v>101997</v>
      </c>
      <c r="B2321" s="799" t="s">
        <v>6501</v>
      </c>
      <c r="C2321" s="798" t="s">
        <v>32</v>
      </c>
      <c r="D2321" s="800">
        <v>226.91</v>
      </c>
    </row>
    <row r="2322" spans="1:4" ht="40.5">
      <c r="A2322" s="798">
        <v>101998</v>
      </c>
      <c r="B2322" s="799" t="s">
        <v>6502</v>
      </c>
      <c r="C2322" s="798" t="s">
        <v>32</v>
      </c>
      <c r="D2322" s="800">
        <v>159.86000000000001</v>
      </c>
    </row>
    <row r="2323" spans="1:4" ht="27">
      <c r="A2323" s="798">
        <v>101999</v>
      </c>
      <c r="B2323" s="799" t="s">
        <v>6503</v>
      </c>
      <c r="C2323" s="798" t="s">
        <v>32</v>
      </c>
      <c r="D2323" s="800">
        <v>239.13</v>
      </c>
    </row>
    <row r="2324" spans="1:4" ht="40.5">
      <c r="A2324" s="798">
        <v>102000</v>
      </c>
      <c r="B2324" s="799" t="s">
        <v>6504</v>
      </c>
      <c r="C2324" s="798" t="s">
        <v>32</v>
      </c>
      <c r="D2324" s="800">
        <v>376.33</v>
      </c>
    </row>
    <row r="2325" spans="1:4" ht="40.5">
      <c r="A2325" s="798">
        <v>102001</v>
      </c>
      <c r="B2325" s="799" t="s">
        <v>6505</v>
      </c>
      <c r="C2325" s="798" t="s">
        <v>32</v>
      </c>
      <c r="D2325" s="800">
        <v>326.01</v>
      </c>
    </row>
    <row r="2326" spans="1:4" ht="40.5">
      <c r="A2326" s="798">
        <v>102002</v>
      </c>
      <c r="B2326" s="799" t="s">
        <v>6506</v>
      </c>
      <c r="C2326" s="798" t="s">
        <v>32</v>
      </c>
      <c r="D2326" s="800">
        <v>257.57</v>
      </c>
    </row>
    <row r="2327" spans="1:4" ht="40.5">
      <c r="A2327" s="798">
        <v>102003</v>
      </c>
      <c r="B2327" s="799" t="s">
        <v>6507</v>
      </c>
      <c r="C2327" s="798" t="s">
        <v>32</v>
      </c>
      <c r="D2327" s="800">
        <v>240.55</v>
      </c>
    </row>
    <row r="2328" spans="1:4" ht="40.5">
      <c r="A2328" s="798">
        <v>102004</v>
      </c>
      <c r="B2328" s="799" t="s">
        <v>6508</v>
      </c>
      <c r="C2328" s="798" t="s">
        <v>32</v>
      </c>
      <c r="D2328" s="800">
        <v>214.91</v>
      </c>
    </row>
    <row r="2329" spans="1:4" ht="40.5">
      <c r="A2329" s="798">
        <v>102005</v>
      </c>
      <c r="B2329" s="799" t="s">
        <v>6509</v>
      </c>
      <c r="C2329" s="798" t="s">
        <v>32</v>
      </c>
      <c r="D2329" s="800">
        <v>185.94</v>
      </c>
    </row>
    <row r="2330" spans="1:4" ht="40.5">
      <c r="A2330" s="798">
        <v>102006</v>
      </c>
      <c r="B2330" s="799" t="s">
        <v>6510</v>
      </c>
      <c r="C2330" s="798" t="s">
        <v>32</v>
      </c>
      <c r="D2330" s="800">
        <v>167.63</v>
      </c>
    </row>
    <row r="2331" spans="1:4" ht="40.5">
      <c r="A2331" s="798">
        <v>102007</v>
      </c>
      <c r="B2331" s="799" t="s">
        <v>6511</v>
      </c>
      <c r="C2331" s="798" t="s">
        <v>32</v>
      </c>
      <c r="D2331" s="800">
        <v>372.12</v>
      </c>
    </row>
    <row r="2332" spans="1:4" ht="40.5">
      <c r="A2332" s="798">
        <v>102008</v>
      </c>
      <c r="B2332" s="799" t="s">
        <v>6512</v>
      </c>
      <c r="C2332" s="798" t="s">
        <v>32</v>
      </c>
      <c r="D2332" s="800">
        <v>313.14</v>
      </c>
    </row>
    <row r="2333" spans="1:4" ht="40.5">
      <c r="A2333" s="798">
        <v>102009</v>
      </c>
      <c r="B2333" s="799" t="s">
        <v>6513</v>
      </c>
      <c r="C2333" s="798" t="s">
        <v>32</v>
      </c>
      <c r="D2333" s="800">
        <v>261.43</v>
      </c>
    </row>
    <row r="2334" spans="1:4" ht="40.5">
      <c r="A2334" s="798">
        <v>102010</v>
      </c>
      <c r="B2334" s="799" t="s">
        <v>6514</v>
      </c>
      <c r="C2334" s="798" t="s">
        <v>32</v>
      </c>
      <c r="D2334" s="800">
        <v>240.77</v>
      </c>
    </row>
    <row r="2335" spans="1:4" ht="40.5">
      <c r="A2335" s="798">
        <v>102011</v>
      </c>
      <c r="B2335" s="799" t="s">
        <v>6515</v>
      </c>
      <c r="C2335" s="798" t="s">
        <v>32</v>
      </c>
      <c r="D2335" s="800">
        <v>206.3</v>
      </c>
    </row>
    <row r="2336" spans="1:4" ht="40.5">
      <c r="A2336" s="798">
        <v>102012</v>
      </c>
      <c r="B2336" s="799" t="s">
        <v>6516</v>
      </c>
      <c r="C2336" s="798" t="s">
        <v>32</v>
      </c>
      <c r="D2336" s="800">
        <v>178.12</v>
      </c>
    </row>
    <row r="2337" spans="1:4" ht="40.5">
      <c r="A2337" s="798">
        <v>102013</v>
      </c>
      <c r="B2337" s="799" t="s">
        <v>6517</v>
      </c>
      <c r="C2337" s="798" t="s">
        <v>32</v>
      </c>
      <c r="D2337" s="800">
        <v>162.54</v>
      </c>
    </row>
    <row r="2338" spans="1:4" ht="40.5">
      <c r="A2338" s="798">
        <v>102014</v>
      </c>
      <c r="B2338" s="799" t="s">
        <v>6518</v>
      </c>
      <c r="C2338" s="798" t="s">
        <v>32</v>
      </c>
      <c r="D2338" s="800">
        <v>408.6</v>
      </c>
    </row>
    <row r="2339" spans="1:4" ht="40.5">
      <c r="A2339" s="798">
        <v>102015</v>
      </c>
      <c r="B2339" s="799" t="s">
        <v>6519</v>
      </c>
      <c r="C2339" s="798" t="s">
        <v>32</v>
      </c>
      <c r="D2339" s="800">
        <v>344.19</v>
      </c>
    </row>
    <row r="2340" spans="1:4" ht="40.5">
      <c r="A2340" s="798">
        <v>102016</v>
      </c>
      <c r="B2340" s="799" t="s">
        <v>6520</v>
      </c>
      <c r="C2340" s="798" t="s">
        <v>32</v>
      </c>
      <c r="D2340" s="800">
        <v>253.98</v>
      </c>
    </row>
    <row r="2341" spans="1:4" ht="40.5">
      <c r="A2341" s="798">
        <v>102017</v>
      </c>
      <c r="B2341" s="799" t="s">
        <v>6521</v>
      </c>
      <c r="C2341" s="798" t="s">
        <v>32</v>
      </c>
      <c r="D2341" s="800">
        <v>235.01</v>
      </c>
    </row>
    <row r="2342" spans="1:4" ht="40.5">
      <c r="A2342" s="798">
        <v>102036</v>
      </c>
      <c r="B2342" s="799" t="s">
        <v>6522</v>
      </c>
      <c r="C2342" s="798" t="s">
        <v>32</v>
      </c>
      <c r="D2342" s="800">
        <v>207.89</v>
      </c>
    </row>
    <row r="2343" spans="1:4" ht="40.5">
      <c r="A2343" s="798">
        <v>102037</v>
      </c>
      <c r="B2343" s="799" t="s">
        <v>6523</v>
      </c>
      <c r="C2343" s="798" t="s">
        <v>32</v>
      </c>
      <c r="D2343" s="800">
        <v>179.23</v>
      </c>
    </row>
    <row r="2344" spans="1:4" ht="40.5">
      <c r="A2344" s="798">
        <v>102038</v>
      </c>
      <c r="B2344" s="799" t="s">
        <v>6524</v>
      </c>
      <c r="C2344" s="798" t="s">
        <v>32</v>
      </c>
      <c r="D2344" s="800">
        <v>163.38999999999999</v>
      </c>
    </row>
    <row r="2345" spans="1:4" ht="40.5">
      <c r="A2345" s="798">
        <v>102039</v>
      </c>
      <c r="B2345" s="799" t="s">
        <v>6525</v>
      </c>
      <c r="C2345" s="798" t="s">
        <v>32</v>
      </c>
      <c r="D2345" s="800">
        <v>387.26</v>
      </c>
    </row>
    <row r="2346" spans="1:4" ht="40.5">
      <c r="A2346" s="798">
        <v>102040</v>
      </c>
      <c r="B2346" s="799" t="s">
        <v>6526</v>
      </c>
      <c r="C2346" s="798" t="s">
        <v>32</v>
      </c>
      <c r="D2346" s="800">
        <v>324.75</v>
      </c>
    </row>
    <row r="2347" spans="1:4" ht="40.5">
      <c r="A2347" s="798">
        <v>102041</v>
      </c>
      <c r="B2347" s="799" t="s">
        <v>6527</v>
      </c>
      <c r="C2347" s="798" t="s">
        <v>32</v>
      </c>
      <c r="D2347" s="800">
        <v>265.82</v>
      </c>
    </row>
    <row r="2348" spans="1:4" ht="40.5">
      <c r="A2348" s="798">
        <v>102042</v>
      </c>
      <c r="B2348" s="799" t="s">
        <v>6528</v>
      </c>
      <c r="C2348" s="798" t="s">
        <v>32</v>
      </c>
      <c r="D2348" s="800">
        <v>242.6</v>
      </c>
    </row>
    <row r="2349" spans="1:4" ht="40.5">
      <c r="A2349" s="798">
        <v>102043</v>
      </c>
      <c r="B2349" s="799" t="s">
        <v>6529</v>
      </c>
      <c r="C2349" s="798" t="s">
        <v>32</v>
      </c>
      <c r="D2349" s="800">
        <v>208.89</v>
      </c>
    </row>
    <row r="2350" spans="1:4" ht="40.5">
      <c r="A2350" s="798">
        <v>102044</v>
      </c>
      <c r="B2350" s="799" t="s">
        <v>6530</v>
      </c>
      <c r="C2350" s="798" t="s">
        <v>32</v>
      </c>
      <c r="D2350" s="800">
        <v>181.27</v>
      </c>
    </row>
    <row r="2351" spans="1:4" ht="40.5">
      <c r="A2351" s="798">
        <v>102045</v>
      </c>
      <c r="B2351" s="799" t="s">
        <v>6531</v>
      </c>
      <c r="C2351" s="798" t="s">
        <v>32</v>
      </c>
      <c r="D2351" s="800">
        <v>164.69</v>
      </c>
    </row>
    <row r="2352" spans="1:4" ht="40.5">
      <c r="A2352" s="798">
        <v>102046</v>
      </c>
      <c r="B2352" s="799" t="s">
        <v>6532</v>
      </c>
      <c r="C2352" s="798" t="s">
        <v>32</v>
      </c>
      <c r="D2352" s="800">
        <v>413.97</v>
      </c>
    </row>
    <row r="2353" spans="1:4" ht="40.5">
      <c r="A2353" s="798">
        <v>102047</v>
      </c>
      <c r="B2353" s="799" t="s">
        <v>6533</v>
      </c>
      <c r="C2353" s="798" t="s">
        <v>32</v>
      </c>
      <c r="D2353" s="800">
        <v>354.8</v>
      </c>
    </row>
    <row r="2354" spans="1:4" ht="40.5">
      <c r="A2354" s="798">
        <v>102048</v>
      </c>
      <c r="B2354" s="799" t="s">
        <v>6534</v>
      </c>
      <c r="C2354" s="798" t="s">
        <v>32</v>
      </c>
      <c r="D2354" s="800">
        <v>249.12</v>
      </c>
    </row>
    <row r="2355" spans="1:4" ht="40.5">
      <c r="A2355" s="798">
        <v>102049</v>
      </c>
      <c r="B2355" s="799" t="s">
        <v>6535</v>
      </c>
      <c r="C2355" s="798" t="s">
        <v>32</v>
      </c>
      <c r="D2355" s="800">
        <v>227.44</v>
      </c>
    </row>
    <row r="2356" spans="1:4" ht="40.5">
      <c r="A2356" s="798">
        <v>102050</v>
      </c>
      <c r="B2356" s="799" t="s">
        <v>6536</v>
      </c>
      <c r="C2356" s="798" t="s">
        <v>32</v>
      </c>
      <c r="D2356" s="800">
        <v>202.45</v>
      </c>
    </row>
    <row r="2357" spans="1:4" ht="40.5">
      <c r="A2357" s="798">
        <v>102051</v>
      </c>
      <c r="B2357" s="799" t="s">
        <v>6537</v>
      </c>
      <c r="C2357" s="798" t="s">
        <v>32</v>
      </c>
      <c r="D2357" s="800">
        <v>173.75</v>
      </c>
    </row>
    <row r="2358" spans="1:4" ht="40.5">
      <c r="A2358" s="798">
        <v>102052</v>
      </c>
      <c r="B2358" s="799" t="s">
        <v>6538</v>
      </c>
      <c r="C2358" s="798" t="s">
        <v>32</v>
      </c>
      <c r="D2358" s="800">
        <v>157.88</v>
      </c>
    </row>
    <row r="2359" spans="1:4" ht="40.5">
      <c r="A2359" s="798">
        <v>102059</v>
      </c>
      <c r="B2359" s="799" t="s">
        <v>6539</v>
      </c>
      <c r="C2359" s="798" t="s">
        <v>32</v>
      </c>
      <c r="D2359" s="800">
        <v>365.36</v>
      </c>
    </row>
    <row r="2360" spans="1:4" ht="40.5">
      <c r="A2360" s="798">
        <v>102060</v>
      </c>
      <c r="B2360" s="799" t="s">
        <v>6540</v>
      </c>
      <c r="C2360" s="798" t="s">
        <v>32</v>
      </c>
      <c r="D2360" s="800">
        <v>309.18</v>
      </c>
    </row>
    <row r="2361" spans="1:4" ht="40.5">
      <c r="A2361" s="798">
        <v>102061</v>
      </c>
      <c r="B2361" s="799" t="s">
        <v>6541</v>
      </c>
      <c r="C2361" s="798" t="s">
        <v>32</v>
      </c>
      <c r="D2361" s="800">
        <v>248.47</v>
      </c>
    </row>
    <row r="2362" spans="1:4" ht="40.5">
      <c r="A2362" s="798">
        <v>102062</v>
      </c>
      <c r="B2362" s="799" t="s">
        <v>6542</v>
      </c>
      <c r="C2362" s="798" t="s">
        <v>32</v>
      </c>
      <c r="D2362" s="800">
        <v>231.4</v>
      </c>
    </row>
    <row r="2363" spans="1:4" ht="40.5">
      <c r="A2363" s="798">
        <v>102063</v>
      </c>
      <c r="B2363" s="799" t="s">
        <v>6543</v>
      </c>
      <c r="C2363" s="798" t="s">
        <v>32</v>
      </c>
      <c r="D2363" s="800">
        <v>198.59</v>
      </c>
    </row>
    <row r="2364" spans="1:4" ht="40.5">
      <c r="A2364" s="798">
        <v>102064</v>
      </c>
      <c r="B2364" s="799" t="s">
        <v>6544</v>
      </c>
      <c r="C2364" s="798" t="s">
        <v>32</v>
      </c>
      <c r="D2364" s="800">
        <v>170.38</v>
      </c>
    </row>
    <row r="2365" spans="1:4" ht="40.5">
      <c r="A2365" s="798">
        <v>102065</v>
      </c>
      <c r="B2365" s="799" t="s">
        <v>6545</v>
      </c>
      <c r="C2365" s="798" t="s">
        <v>32</v>
      </c>
      <c r="D2365" s="800">
        <v>154.82</v>
      </c>
    </row>
    <row r="2366" spans="1:4" ht="40.5">
      <c r="A2366" s="798">
        <v>102066</v>
      </c>
      <c r="B2366" s="799" t="s">
        <v>6546</v>
      </c>
      <c r="C2366" s="798" t="s">
        <v>32</v>
      </c>
      <c r="D2366" s="800">
        <v>371.9</v>
      </c>
    </row>
    <row r="2367" spans="1:4" ht="40.5">
      <c r="A2367" s="798">
        <v>102067</v>
      </c>
      <c r="B2367" s="799" t="s">
        <v>6547</v>
      </c>
      <c r="C2367" s="798" t="s">
        <v>32</v>
      </c>
      <c r="D2367" s="800">
        <v>320.32</v>
      </c>
    </row>
    <row r="2368" spans="1:4" ht="40.5">
      <c r="A2368" s="798">
        <v>102068</v>
      </c>
      <c r="B2368" s="799" t="s">
        <v>6548</v>
      </c>
      <c r="C2368" s="798" t="s">
        <v>32</v>
      </c>
      <c r="D2368" s="800">
        <v>230.68</v>
      </c>
    </row>
    <row r="2369" spans="1:4" ht="40.5">
      <c r="A2369" s="798">
        <v>102069</v>
      </c>
      <c r="B2369" s="799" t="s">
        <v>6549</v>
      </c>
      <c r="C2369" s="798" t="s">
        <v>32</v>
      </c>
      <c r="D2369" s="800">
        <v>215.36</v>
      </c>
    </row>
    <row r="2370" spans="1:4" ht="40.5">
      <c r="A2370" s="798">
        <v>102070</v>
      </c>
      <c r="B2370" s="799" t="s">
        <v>6550</v>
      </c>
      <c r="C2370" s="798" t="s">
        <v>32</v>
      </c>
      <c r="D2370" s="800">
        <v>191.21</v>
      </c>
    </row>
    <row r="2371" spans="1:4" ht="40.5">
      <c r="A2371" s="798">
        <v>102071</v>
      </c>
      <c r="B2371" s="799" t="s">
        <v>6551</v>
      </c>
      <c r="C2371" s="798" t="s">
        <v>32</v>
      </c>
      <c r="D2371" s="800">
        <v>164.31</v>
      </c>
    </row>
    <row r="2372" spans="1:4" ht="40.5">
      <c r="A2372" s="798">
        <v>102072</v>
      </c>
      <c r="B2372" s="799" t="s">
        <v>6552</v>
      </c>
      <c r="C2372" s="798" t="s">
        <v>32</v>
      </c>
      <c r="D2372" s="800">
        <v>153.9</v>
      </c>
    </row>
    <row r="2373" spans="1:4" ht="40.5">
      <c r="A2373" s="798">
        <v>102073</v>
      </c>
      <c r="B2373" s="799" t="s">
        <v>6553</v>
      </c>
      <c r="C2373" s="798" t="s">
        <v>22</v>
      </c>
      <c r="D2373" s="800">
        <v>3466.41</v>
      </c>
    </row>
    <row r="2374" spans="1:4" ht="40.5">
      <c r="A2374" s="798">
        <v>102074</v>
      </c>
      <c r="B2374" s="799" t="s">
        <v>6554</v>
      </c>
      <c r="C2374" s="798" t="s">
        <v>22</v>
      </c>
      <c r="D2374" s="800">
        <v>4222.5</v>
      </c>
    </row>
    <row r="2375" spans="1:4" ht="40.5">
      <c r="A2375" s="798">
        <v>102075</v>
      </c>
      <c r="B2375" s="799" t="s">
        <v>6555</v>
      </c>
      <c r="C2375" s="798" t="s">
        <v>22</v>
      </c>
      <c r="D2375" s="800">
        <v>4432.9399999999996</v>
      </c>
    </row>
    <row r="2376" spans="1:4" ht="40.5">
      <c r="A2376" s="798">
        <v>102076</v>
      </c>
      <c r="B2376" s="799" t="s">
        <v>6556</v>
      </c>
      <c r="C2376" s="798" t="s">
        <v>22</v>
      </c>
      <c r="D2376" s="800">
        <v>4577.22</v>
      </c>
    </row>
    <row r="2377" spans="1:4" ht="40.5">
      <c r="A2377" s="798">
        <v>102077</v>
      </c>
      <c r="B2377" s="799" t="s">
        <v>6557</v>
      </c>
      <c r="C2377" s="798" t="s">
        <v>22</v>
      </c>
      <c r="D2377" s="800">
        <v>4926.33</v>
      </c>
    </row>
    <row r="2378" spans="1:4" ht="40.5">
      <c r="A2378" s="798">
        <v>102078</v>
      </c>
      <c r="B2378" s="799" t="s">
        <v>6558</v>
      </c>
      <c r="C2378" s="798" t="s">
        <v>22</v>
      </c>
      <c r="D2378" s="800">
        <v>5012.04</v>
      </c>
    </row>
    <row r="2379" spans="1:4" ht="40.5">
      <c r="A2379" s="798">
        <v>102079</v>
      </c>
      <c r="B2379" s="799" t="s">
        <v>6559</v>
      </c>
      <c r="C2379" s="798" t="s">
        <v>22</v>
      </c>
      <c r="D2379" s="800">
        <v>4834.12</v>
      </c>
    </row>
    <row r="2380" spans="1:4" ht="40.5">
      <c r="A2380" s="798">
        <v>102080</v>
      </c>
      <c r="B2380" s="799" t="s">
        <v>6560</v>
      </c>
      <c r="C2380" s="798" t="s">
        <v>22</v>
      </c>
      <c r="D2380" s="800">
        <v>4316.9799999999996</v>
      </c>
    </row>
    <row r="2381" spans="1:4" ht="40.5">
      <c r="A2381" s="798">
        <v>102086</v>
      </c>
      <c r="B2381" s="799" t="s">
        <v>6561</v>
      </c>
      <c r="C2381" s="798" t="s">
        <v>32</v>
      </c>
      <c r="D2381" s="800">
        <v>227.86</v>
      </c>
    </row>
    <row r="2382" spans="1:4" ht="40.5">
      <c r="A2382" s="798">
        <v>102087</v>
      </c>
      <c r="B2382" s="799" t="s">
        <v>6562</v>
      </c>
      <c r="C2382" s="798" t="s">
        <v>32</v>
      </c>
      <c r="D2382" s="800">
        <v>171.93</v>
      </c>
    </row>
    <row r="2383" spans="1:4" ht="40.5">
      <c r="A2383" s="798">
        <v>102088</v>
      </c>
      <c r="B2383" s="799" t="s">
        <v>6563</v>
      </c>
      <c r="C2383" s="798" t="s">
        <v>32</v>
      </c>
      <c r="D2383" s="800">
        <v>177.6</v>
      </c>
    </row>
    <row r="2384" spans="1:4" ht="40.5">
      <c r="A2384" s="798">
        <v>102089</v>
      </c>
      <c r="B2384" s="799" t="s">
        <v>6564</v>
      </c>
      <c r="C2384" s="798" t="s">
        <v>32</v>
      </c>
      <c r="D2384" s="800">
        <v>216.03</v>
      </c>
    </row>
    <row r="2385" spans="1:4" ht="40.5">
      <c r="A2385" s="798">
        <v>102090</v>
      </c>
      <c r="B2385" s="799" t="s">
        <v>6565</v>
      </c>
      <c r="C2385" s="798" t="s">
        <v>32</v>
      </c>
      <c r="D2385" s="800">
        <v>152.58000000000001</v>
      </c>
    </row>
    <row r="2386" spans="1:4" ht="40.5">
      <c r="A2386" s="798">
        <v>102091</v>
      </c>
      <c r="B2386" s="799" t="s">
        <v>6566</v>
      </c>
      <c r="C2386" s="798" t="s">
        <v>32</v>
      </c>
      <c r="D2386" s="800">
        <v>202.93</v>
      </c>
    </row>
    <row r="2387" spans="1:4" ht="27">
      <c r="A2387" s="798">
        <v>89996</v>
      </c>
      <c r="B2387" s="799" t="s">
        <v>7535</v>
      </c>
      <c r="C2387" s="798" t="s">
        <v>16</v>
      </c>
      <c r="D2387" s="800">
        <v>12.24</v>
      </c>
    </row>
    <row r="2388" spans="1:4" ht="27">
      <c r="A2388" s="798">
        <v>89997</v>
      </c>
      <c r="B2388" s="799" t="s">
        <v>7536</v>
      </c>
      <c r="C2388" s="798" t="s">
        <v>16</v>
      </c>
      <c r="D2388" s="800">
        <v>10.19</v>
      </c>
    </row>
    <row r="2389" spans="1:4" ht="27">
      <c r="A2389" s="798">
        <v>89998</v>
      </c>
      <c r="B2389" s="799" t="s">
        <v>7537</v>
      </c>
      <c r="C2389" s="798" t="s">
        <v>16</v>
      </c>
      <c r="D2389" s="800">
        <v>11.87</v>
      </c>
    </row>
    <row r="2390" spans="1:4" ht="27">
      <c r="A2390" s="798">
        <v>89999</v>
      </c>
      <c r="B2390" s="799" t="s">
        <v>7538</v>
      </c>
      <c r="C2390" s="798" t="s">
        <v>16</v>
      </c>
      <c r="D2390" s="800">
        <v>16.28</v>
      </c>
    </row>
    <row r="2391" spans="1:4" ht="27">
      <c r="A2391" s="798">
        <v>90000</v>
      </c>
      <c r="B2391" s="799" t="s">
        <v>7539</v>
      </c>
      <c r="C2391" s="798" t="s">
        <v>16</v>
      </c>
      <c r="D2391" s="800">
        <v>13.78</v>
      </c>
    </row>
    <row r="2392" spans="1:4" ht="40.5">
      <c r="A2392" s="798">
        <v>91593</v>
      </c>
      <c r="B2392" s="799" t="s">
        <v>3759</v>
      </c>
      <c r="C2392" s="798" t="s">
        <v>16</v>
      </c>
      <c r="D2392" s="800">
        <v>17.61</v>
      </c>
    </row>
    <row r="2393" spans="1:4" ht="40.5">
      <c r="A2393" s="798">
        <v>91594</v>
      </c>
      <c r="B2393" s="799" t="s">
        <v>3760</v>
      </c>
      <c r="C2393" s="798" t="s">
        <v>16</v>
      </c>
      <c r="D2393" s="800">
        <v>17.93</v>
      </c>
    </row>
    <row r="2394" spans="1:4" ht="40.5">
      <c r="A2394" s="798">
        <v>91595</v>
      </c>
      <c r="B2394" s="799" t="s">
        <v>3761</v>
      </c>
      <c r="C2394" s="798" t="s">
        <v>16</v>
      </c>
      <c r="D2394" s="800">
        <v>18.329999999999998</v>
      </c>
    </row>
    <row r="2395" spans="1:4" ht="40.5">
      <c r="A2395" s="798">
        <v>91596</v>
      </c>
      <c r="B2395" s="799" t="s">
        <v>3762</v>
      </c>
      <c r="C2395" s="798" t="s">
        <v>16</v>
      </c>
      <c r="D2395" s="800">
        <v>17.84</v>
      </c>
    </row>
    <row r="2396" spans="1:4" ht="40.5">
      <c r="A2396" s="798">
        <v>91597</v>
      </c>
      <c r="B2396" s="799" t="s">
        <v>3763</v>
      </c>
      <c r="C2396" s="798" t="s">
        <v>16</v>
      </c>
      <c r="D2396" s="800">
        <v>12.32</v>
      </c>
    </row>
    <row r="2397" spans="1:4" ht="40.5">
      <c r="A2397" s="798">
        <v>91598</v>
      </c>
      <c r="B2397" s="799" t="s">
        <v>3764</v>
      </c>
      <c r="C2397" s="798" t="s">
        <v>16</v>
      </c>
      <c r="D2397" s="800">
        <v>17.239999999999998</v>
      </c>
    </row>
    <row r="2398" spans="1:4" ht="40.5">
      <c r="A2398" s="798">
        <v>91599</v>
      </c>
      <c r="B2398" s="799" t="s">
        <v>3765</v>
      </c>
      <c r="C2398" s="798" t="s">
        <v>16</v>
      </c>
      <c r="D2398" s="800">
        <v>12.67</v>
      </c>
    </row>
    <row r="2399" spans="1:4" ht="27">
      <c r="A2399" s="798">
        <v>91600</v>
      </c>
      <c r="B2399" s="799" t="s">
        <v>3766</v>
      </c>
      <c r="C2399" s="798" t="s">
        <v>16</v>
      </c>
      <c r="D2399" s="800">
        <v>19.690000000000001</v>
      </c>
    </row>
    <row r="2400" spans="1:4" ht="40.5">
      <c r="A2400" s="798">
        <v>91601</v>
      </c>
      <c r="B2400" s="799" t="s">
        <v>3767</v>
      </c>
      <c r="C2400" s="798" t="s">
        <v>16</v>
      </c>
      <c r="D2400" s="800">
        <v>14.3</v>
      </c>
    </row>
    <row r="2401" spans="1:4" ht="40.5">
      <c r="A2401" s="798">
        <v>91602</v>
      </c>
      <c r="B2401" s="799" t="s">
        <v>3768</v>
      </c>
      <c r="C2401" s="798" t="s">
        <v>16</v>
      </c>
      <c r="D2401" s="800">
        <v>13.64</v>
      </c>
    </row>
    <row r="2402" spans="1:4" ht="40.5">
      <c r="A2402" s="798">
        <v>91603</v>
      </c>
      <c r="B2402" s="799" t="s">
        <v>3769</v>
      </c>
      <c r="C2402" s="798" t="s">
        <v>16</v>
      </c>
      <c r="D2402" s="800">
        <v>12.87</v>
      </c>
    </row>
    <row r="2403" spans="1:4" ht="54">
      <c r="A2403" s="798">
        <v>92759</v>
      </c>
      <c r="B2403" s="799" t="s">
        <v>2012</v>
      </c>
      <c r="C2403" s="798" t="s">
        <v>16</v>
      </c>
      <c r="D2403" s="800">
        <v>15.58</v>
      </c>
    </row>
    <row r="2404" spans="1:4" ht="54">
      <c r="A2404" s="798">
        <v>92760</v>
      </c>
      <c r="B2404" s="799" t="s">
        <v>2013</v>
      </c>
      <c r="C2404" s="798" t="s">
        <v>16</v>
      </c>
      <c r="D2404" s="800">
        <v>15.39</v>
      </c>
    </row>
    <row r="2405" spans="1:4" ht="54">
      <c r="A2405" s="798">
        <v>92761</v>
      </c>
      <c r="B2405" s="799" t="s">
        <v>2014</v>
      </c>
      <c r="C2405" s="798" t="s">
        <v>16</v>
      </c>
      <c r="D2405" s="800">
        <v>14.94</v>
      </c>
    </row>
    <row r="2406" spans="1:4" ht="54">
      <c r="A2406" s="798">
        <v>92762</v>
      </c>
      <c r="B2406" s="799" t="s">
        <v>2015</v>
      </c>
      <c r="C2406" s="798" t="s">
        <v>16</v>
      </c>
      <c r="D2406" s="800">
        <v>13.6</v>
      </c>
    </row>
    <row r="2407" spans="1:4" ht="54">
      <c r="A2407" s="798">
        <v>92763</v>
      </c>
      <c r="B2407" s="799" t="s">
        <v>2016</v>
      </c>
      <c r="C2407" s="798" t="s">
        <v>16</v>
      </c>
      <c r="D2407" s="800">
        <v>11.59</v>
      </c>
    </row>
    <row r="2408" spans="1:4" ht="54">
      <c r="A2408" s="798">
        <v>92764</v>
      </c>
      <c r="B2408" s="799" t="s">
        <v>2017</v>
      </c>
      <c r="C2408" s="798" t="s">
        <v>16</v>
      </c>
      <c r="D2408" s="800">
        <v>11.2</v>
      </c>
    </row>
    <row r="2409" spans="1:4" ht="54">
      <c r="A2409" s="798">
        <v>92765</v>
      </c>
      <c r="B2409" s="799" t="s">
        <v>2018</v>
      </c>
      <c r="C2409" s="798" t="s">
        <v>16</v>
      </c>
      <c r="D2409" s="800">
        <v>12.83</v>
      </c>
    </row>
    <row r="2410" spans="1:4" ht="54">
      <c r="A2410" s="798">
        <v>92766</v>
      </c>
      <c r="B2410" s="799" t="s">
        <v>2019</v>
      </c>
      <c r="C2410" s="798" t="s">
        <v>16</v>
      </c>
      <c r="D2410" s="800">
        <v>12.64</v>
      </c>
    </row>
    <row r="2411" spans="1:4" ht="54">
      <c r="A2411" s="798">
        <v>92767</v>
      </c>
      <c r="B2411" s="799" t="s">
        <v>2020</v>
      </c>
      <c r="C2411" s="798" t="s">
        <v>16</v>
      </c>
      <c r="D2411" s="800">
        <v>15.85</v>
      </c>
    </row>
    <row r="2412" spans="1:4" ht="54">
      <c r="A2412" s="798">
        <v>92768</v>
      </c>
      <c r="B2412" s="799" t="s">
        <v>2021</v>
      </c>
      <c r="C2412" s="798" t="s">
        <v>16</v>
      </c>
      <c r="D2412" s="800">
        <v>14.57</v>
      </c>
    </row>
    <row r="2413" spans="1:4" ht="54">
      <c r="A2413" s="798">
        <v>92769</v>
      </c>
      <c r="B2413" s="799" t="s">
        <v>2022</v>
      </c>
      <c r="C2413" s="798" t="s">
        <v>16</v>
      </c>
      <c r="D2413" s="800">
        <v>14.61</v>
      </c>
    </row>
    <row r="2414" spans="1:4" ht="54">
      <c r="A2414" s="798">
        <v>92770</v>
      </c>
      <c r="B2414" s="799" t="s">
        <v>2023</v>
      </c>
      <c r="C2414" s="798" t="s">
        <v>16</v>
      </c>
      <c r="D2414" s="800">
        <v>14.32</v>
      </c>
    </row>
    <row r="2415" spans="1:4" ht="54">
      <c r="A2415" s="798">
        <v>92771</v>
      </c>
      <c r="B2415" s="799" t="s">
        <v>2024</v>
      </c>
      <c r="C2415" s="798" t="s">
        <v>16</v>
      </c>
      <c r="D2415" s="800">
        <v>13.09</v>
      </c>
    </row>
    <row r="2416" spans="1:4" ht="54">
      <c r="A2416" s="798">
        <v>92772</v>
      </c>
      <c r="B2416" s="799" t="s">
        <v>2025</v>
      </c>
      <c r="C2416" s="798" t="s">
        <v>16</v>
      </c>
      <c r="D2416" s="800">
        <v>11.21</v>
      </c>
    </row>
    <row r="2417" spans="1:4" ht="54">
      <c r="A2417" s="798">
        <v>92773</v>
      </c>
      <c r="B2417" s="799" t="s">
        <v>2026</v>
      </c>
      <c r="C2417" s="798" t="s">
        <v>16</v>
      </c>
      <c r="D2417" s="800">
        <v>10.92</v>
      </c>
    </row>
    <row r="2418" spans="1:4" ht="54">
      <c r="A2418" s="798">
        <v>92774</v>
      </c>
      <c r="B2418" s="799" t="s">
        <v>2027</v>
      </c>
      <c r="C2418" s="798" t="s">
        <v>16</v>
      </c>
      <c r="D2418" s="800">
        <v>12.63</v>
      </c>
    </row>
    <row r="2419" spans="1:4" ht="54">
      <c r="A2419" s="798">
        <v>92775</v>
      </c>
      <c r="B2419" s="799" t="s">
        <v>2028</v>
      </c>
      <c r="C2419" s="798" t="s">
        <v>16</v>
      </c>
      <c r="D2419" s="800">
        <v>17.71</v>
      </c>
    </row>
    <row r="2420" spans="1:4" ht="54">
      <c r="A2420" s="798">
        <v>92776</v>
      </c>
      <c r="B2420" s="799" t="s">
        <v>2029</v>
      </c>
      <c r="C2420" s="798" t="s">
        <v>16</v>
      </c>
      <c r="D2420" s="800">
        <v>17.02</v>
      </c>
    </row>
    <row r="2421" spans="1:4" ht="54">
      <c r="A2421" s="798">
        <v>92777</v>
      </c>
      <c r="B2421" s="799" t="s">
        <v>2030</v>
      </c>
      <c r="C2421" s="798" t="s">
        <v>16</v>
      </c>
      <c r="D2421" s="800">
        <v>16.149999999999999</v>
      </c>
    </row>
    <row r="2422" spans="1:4" ht="54">
      <c r="A2422" s="798">
        <v>92778</v>
      </c>
      <c r="B2422" s="799" t="s">
        <v>2031</v>
      </c>
      <c r="C2422" s="798" t="s">
        <v>16</v>
      </c>
      <c r="D2422" s="800">
        <v>14.5</v>
      </c>
    </row>
    <row r="2423" spans="1:4" ht="54">
      <c r="A2423" s="798">
        <v>92779</v>
      </c>
      <c r="B2423" s="799" t="s">
        <v>2032</v>
      </c>
      <c r="C2423" s="798" t="s">
        <v>16</v>
      </c>
      <c r="D2423" s="800">
        <v>12.25</v>
      </c>
    </row>
    <row r="2424" spans="1:4" ht="54">
      <c r="A2424" s="798">
        <v>92780</v>
      </c>
      <c r="B2424" s="799" t="s">
        <v>2033</v>
      </c>
      <c r="C2424" s="798" t="s">
        <v>16</v>
      </c>
      <c r="D2424" s="800">
        <v>11.65</v>
      </c>
    </row>
    <row r="2425" spans="1:4" ht="54">
      <c r="A2425" s="798">
        <v>92781</v>
      </c>
      <c r="B2425" s="799" t="s">
        <v>2034</v>
      </c>
      <c r="C2425" s="798" t="s">
        <v>16</v>
      </c>
      <c r="D2425" s="800">
        <v>13.12</v>
      </c>
    </row>
    <row r="2426" spans="1:4" ht="54">
      <c r="A2426" s="798">
        <v>92782</v>
      </c>
      <c r="B2426" s="799" t="s">
        <v>2035</v>
      </c>
      <c r="C2426" s="798" t="s">
        <v>16</v>
      </c>
      <c r="D2426" s="800">
        <v>12.82</v>
      </c>
    </row>
    <row r="2427" spans="1:4" ht="40.5">
      <c r="A2427" s="798">
        <v>92783</v>
      </c>
      <c r="B2427" s="799" t="s">
        <v>2036</v>
      </c>
      <c r="C2427" s="798" t="s">
        <v>16</v>
      </c>
      <c r="D2427" s="800">
        <v>17.66</v>
      </c>
    </row>
    <row r="2428" spans="1:4" ht="40.5">
      <c r="A2428" s="798">
        <v>92784</v>
      </c>
      <c r="B2428" s="799" t="s">
        <v>2037</v>
      </c>
      <c r="C2428" s="798" t="s">
        <v>16</v>
      </c>
      <c r="D2428" s="800">
        <v>16.04</v>
      </c>
    </row>
    <row r="2429" spans="1:4" ht="40.5">
      <c r="A2429" s="798">
        <v>92785</v>
      </c>
      <c r="B2429" s="799" t="s">
        <v>2038</v>
      </c>
      <c r="C2429" s="798" t="s">
        <v>16</v>
      </c>
      <c r="D2429" s="800">
        <v>15.73</v>
      </c>
    </row>
    <row r="2430" spans="1:4" ht="40.5">
      <c r="A2430" s="798">
        <v>92786</v>
      </c>
      <c r="B2430" s="799" t="s">
        <v>2039</v>
      </c>
      <c r="C2430" s="798" t="s">
        <v>16</v>
      </c>
      <c r="D2430" s="800">
        <v>15.14</v>
      </c>
    </row>
    <row r="2431" spans="1:4" ht="54">
      <c r="A2431" s="798">
        <v>92787</v>
      </c>
      <c r="B2431" s="799" t="s">
        <v>2040</v>
      </c>
      <c r="C2431" s="798" t="s">
        <v>16</v>
      </c>
      <c r="D2431" s="800">
        <v>13.68</v>
      </c>
    </row>
    <row r="2432" spans="1:4" ht="54">
      <c r="A2432" s="798">
        <v>92788</v>
      </c>
      <c r="B2432" s="799" t="s">
        <v>2041</v>
      </c>
      <c r="C2432" s="798" t="s">
        <v>16</v>
      </c>
      <c r="D2432" s="800">
        <v>11.63</v>
      </c>
    </row>
    <row r="2433" spans="1:4" ht="54">
      <c r="A2433" s="798">
        <v>92789</v>
      </c>
      <c r="B2433" s="799" t="s">
        <v>2042</v>
      </c>
      <c r="C2433" s="798" t="s">
        <v>16</v>
      </c>
      <c r="D2433" s="800">
        <v>11.2</v>
      </c>
    </row>
    <row r="2434" spans="1:4" ht="54">
      <c r="A2434" s="798">
        <v>92790</v>
      </c>
      <c r="B2434" s="799" t="s">
        <v>2043</v>
      </c>
      <c r="C2434" s="798" t="s">
        <v>16</v>
      </c>
      <c r="D2434" s="800">
        <v>12.8</v>
      </c>
    </row>
    <row r="2435" spans="1:4" ht="40.5">
      <c r="A2435" s="798">
        <v>92791</v>
      </c>
      <c r="B2435" s="799" t="s">
        <v>2044</v>
      </c>
      <c r="C2435" s="798" t="s">
        <v>16</v>
      </c>
      <c r="D2435" s="800">
        <v>12.2</v>
      </c>
    </row>
    <row r="2436" spans="1:4" ht="40.5">
      <c r="A2436" s="798">
        <v>92792</v>
      </c>
      <c r="B2436" s="799" t="s">
        <v>2045</v>
      </c>
      <c r="C2436" s="798" t="s">
        <v>16</v>
      </c>
      <c r="D2436" s="800">
        <v>12.68</v>
      </c>
    </row>
    <row r="2437" spans="1:4" ht="40.5">
      <c r="A2437" s="798">
        <v>92793</v>
      </c>
      <c r="B2437" s="799" t="s">
        <v>2046</v>
      </c>
      <c r="C2437" s="798" t="s">
        <v>16</v>
      </c>
      <c r="D2437" s="800">
        <v>12.79</v>
      </c>
    </row>
    <row r="2438" spans="1:4" ht="40.5">
      <c r="A2438" s="798">
        <v>92794</v>
      </c>
      <c r="B2438" s="799" t="s">
        <v>2047</v>
      </c>
      <c r="C2438" s="798" t="s">
        <v>16</v>
      </c>
      <c r="D2438" s="800">
        <v>11.87</v>
      </c>
    </row>
    <row r="2439" spans="1:4" ht="40.5">
      <c r="A2439" s="798">
        <v>92795</v>
      </c>
      <c r="B2439" s="799" t="s">
        <v>2048</v>
      </c>
      <c r="C2439" s="798" t="s">
        <v>16</v>
      </c>
      <c r="D2439" s="800">
        <v>10.199999999999999</v>
      </c>
    </row>
    <row r="2440" spans="1:4" ht="40.5">
      <c r="A2440" s="798">
        <v>92796</v>
      </c>
      <c r="B2440" s="799" t="s">
        <v>2049</v>
      </c>
      <c r="C2440" s="798" t="s">
        <v>16</v>
      </c>
      <c r="D2440" s="800">
        <v>10.119999999999999</v>
      </c>
    </row>
    <row r="2441" spans="1:4" ht="40.5">
      <c r="A2441" s="798">
        <v>92797</v>
      </c>
      <c r="B2441" s="799" t="s">
        <v>2050</v>
      </c>
      <c r="C2441" s="798" t="s">
        <v>16</v>
      </c>
      <c r="D2441" s="800">
        <v>11.95</v>
      </c>
    </row>
    <row r="2442" spans="1:4" ht="40.5">
      <c r="A2442" s="798">
        <v>92798</v>
      </c>
      <c r="B2442" s="799" t="s">
        <v>2051</v>
      </c>
      <c r="C2442" s="798" t="s">
        <v>16</v>
      </c>
      <c r="D2442" s="800">
        <v>11.94</v>
      </c>
    </row>
    <row r="2443" spans="1:4" ht="27">
      <c r="A2443" s="798">
        <v>92799</v>
      </c>
      <c r="B2443" s="799" t="s">
        <v>2052</v>
      </c>
      <c r="C2443" s="798" t="s">
        <v>16</v>
      </c>
      <c r="D2443" s="800">
        <v>12.53</v>
      </c>
    </row>
    <row r="2444" spans="1:4" ht="27">
      <c r="A2444" s="798">
        <v>92800</v>
      </c>
      <c r="B2444" s="799" t="s">
        <v>2053</v>
      </c>
      <c r="C2444" s="798" t="s">
        <v>16</v>
      </c>
      <c r="D2444" s="800">
        <v>11.8</v>
      </c>
    </row>
    <row r="2445" spans="1:4" ht="27">
      <c r="A2445" s="798">
        <v>92801</v>
      </c>
      <c r="B2445" s="799" t="s">
        <v>2054</v>
      </c>
      <c r="C2445" s="798" t="s">
        <v>16</v>
      </c>
      <c r="D2445" s="800">
        <v>12.46</v>
      </c>
    </row>
    <row r="2446" spans="1:4" ht="27">
      <c r="A2446" s="798">
        <v>92802</v>
      </c>
      <c r="B2446" s="799" t="s">
        <v>2055</v>
      </c>
      <c r="C2446" s="798" t="s">
        <v>16</v>
      </c>
      <c r="D2446" s="800">
        <v>12.66</v>
      </c>
    </row>
    <row r="2447" spans="1:4" ht="27">
      <c r="A2447" s="798">
        <v>92803</v>
      </c>
      <c r="B2447" s="799" t="s">
        <v>2056</v>
      </c>
      <c r="C2447" s="798" t="s">
        <v>16</v>
      </c>
      <c r="D2447" s="800">
        <v>11.79</v>
      </c>
    </row>
    <row r="2448" spans="1:4" ht="27">
      <c r="A2448" s="798">
        <v>92804</v>
      </c>
      <c r="B2448" s="799" t="s">
        <v>2057</v>
      </c>
      <c r="C2448" s="798" t="s">
        <v>16</v>
      </c>
      <c r="D2448" s="800">
        <v>10.16</v>
      </c>
    </row>
    <row r="2449" spans="1:4" ht="27">
      <c r="A2449" s="798">
        <v>92805</v>
      </c>
      <c r="B2449" s="799" t="s">
        <v>2058</v>
      </c>
      <c r="C2449" s="798" t="s">
        <v>16</v>
      </c>
      <c r="D2449" s="800">
        <v>10.1</v>
      </c>
    </row>
    <row r="2450" spans="1:4" ht="27">
      <c r="A2450" s="798">
        <v>92806</v>
      </c>
      <c r="B2450" s="799" t="s">
        <v>2059</v>
      </c>
      <c r="C2450" s="798" t="s">
        <v>16</v>
      </c>
      <c r="D2450" s="800">
        <v>11.94</v>
      </c>
    </row>
    <row r="2451" spans="1:4" ht="27">
      <c r="A2451" s="798">
        <v>92875</v>
      </c>
      <c r="B2451" s="799" t="s">
        <v>2116</v>
      </c>
      <c r="C2451" s="798" t="s">
        <v>16</v>
      </c>
      <c r="D2451" s="800">
        <v>11.61</v>
      </c>
    </row>
    <row r="2452" spans="1:4" ht="27">
      <c r="A2452" s="798">
        <v>92876</v>
      </c>
      <c r="B2452" s="799" t="s">
        <v>2117</v>
      </c>
      <c r="C2452" s="798" t="s">
        <v>16</v>
      </c>
      <c r="D2452" s="800">
        <v>11.61</v>
      </c>
    </row>
    <row r="2453" spans="1:4" ht="27">
      <c r="A2453" s="798">
        <v>92877</v>
      </c>
      <c r="B2453" s="799" t="s">
        <v>2118</v>
      </c>
      <c r="C2453" s="798" t="s">
        <v>16</v>
      </c>
      <c r="D2453" s="800">
        <v>12.73</v>
      </c>
    </row>
    <row r="2454" spans="1:4" ht="27">
      <c r="A2454" s="798">
        <v>92878</v>
      </c>
      <c r="B2454" s="799" t="s">
        <v>2119</v>
      </c>
      <c r="C2454" s="798" t="s">
        <v>16</v>
      </c>
      <c r="D2454" s="800">
        <v>12.62</v>
      </c>
    </row>
    <row r="2455" spans="1:4" ht="27">
      <c r="A2455" s="798">
        <v>92879</v>
      </c>
      <c r="B2455" s="799" t="s">
        <v>2120</v>
      </c>
      <c r="C2455" s="798" t="s">
        <v>16</v>
      </c>
      <c r="D2455" s="800">
        <v>12.54</v>
      </c>
    </row>
    <row r="2456" spans="1:4" ht="27">
      <c r="A2456" s="798">
        <v>92880</v>
      </c>
      <c r="B2456" s="799" t="s">
        <v>2121</v>
      </c>
      <c r="C2456" s="798" t="s">
        <v>16</v>
      </c>
      <c r="D2456" s="800">
        <v>12.85</v>
      </c>
    </row>
    <row r="2457" spans="1:4" ht="27">
      <c r="A2457" s="798">
        <v>92881</v>
      </c>
      <c r="B2457" s="799" t="s">
        <v>2122</v>
      </c>
      <c r="C2457" s="798" t="s">
        <v>16</v>
      </c>
      <c r="D2457" s="800">
        <v>12.84</v>
      </c>
    </row>
    <row r="2458" spans="1:4" ht="27">
      <c r="A2458" s="798">
        <v>92882</v>
      </c>
      <c r="B2458" s="799" t="s">
        <v>2123</v>
      </c>
      <c r="C2458" s="798" t="s">
        <v>16</v>
      </c>
      <c r="D2458" s="800">
        <v>14.32</v>
      </c>
    </row>
    <row r="2459" spans="1:4" ht="27">
      <c r="A2459" s="798">
        <v>92883</v>
      </c>
      <c r="B2459" s="799" t="s">
        <v>2124</v>
      </c>
      <c r="C2459" s="798" t="s">
        <v>16</v>
      </c>
      <c r="D2459" s="800">
        <v>13.76</v>
      </c>
    </row>
    <row r="2460" spans="1:4" ht="27">
      <c r="A2460" s="798">
        <v>92884</v>
      </c>
      <c r="B2460" s="799" t="s">
        <v>2125</v>
      </c>
      <c r="C2460" s="798" t="s">
        <v>16</v>
      </c>
      <c r="D2460" s="800">
        <v>14.46</v>
      </c>
    </row>
    <row r="2461" spans="1:4" ht="27">
      <c r="A2461" s="798">
        <v>92885</v>
      </c>
      <c r="B2461" s="799" t="s">
        <v>2126</v>
      </c>
      <c r="C2461" s="798" t="s">
        <v>16</v>
      </c>
      <c r="D2461" s="800">
        <v>14.01</v>
      </c>
    </row>
    <row r="2462" spans="1:4" ht="27">
      <c r="A2462" s="798">
        <v>92886</v>
      </c>
      <c r="B2462" s="799" t="s">
        <v>2127</v>
      </c>
      <c r="C2462" s="798" t="s">
        <v>16</v>
      </c>
      <c r="D2462" s="800">
        <v>13.62</v>
      </c>
    </row>
    <row r="2463" spans="1:4" ht="27">
      <c r="A2463" s="798">
        <v>92887</v>
      </c>
      <c r="B2463" s="799" t="s">
        <v>2128</v>
      </c>
      <c r="C2463" s="798" t="s">
        <v>16</v>
      </c>
      <c r="D2463" s="800">
        <v>13.73</v>
      </c>
    </row>
    <row r="2464" spans="1:4" ht="27">
      <c r="A2464" s="798">
        <v>92888</v>
      </c>
      <c r="B2464" s="799" t="s">
        <v>2129</v>
      </c>
      <c r="C2464" s="798" t="s">
        <v>16</v>
      </c>
      <c r="D2464" s="800">
        <v>13.54</v>
      </c>
    </row>
    <row r="2465" spans="1:4" ht="40.5">
      <c r="A2465" s="798">
        <v>92915</v>
      </c>
      <c r="B2465" s="799" t="s">
        <v>3077</v>
      </c>
      <c r="C2465" s="798" t="s">
        <v>16</v>
      </c>
      <c r="D2465" s="800">
        <v>16.649999999999999</v>
      </c>
    </row>
    <row r="2466" spans="1:4" ht="40.5">
      <c r="A2466" s="798">
        <v>92916</v>
      </c>
      <c r="B2466" s="799" t="s">
        <v>3078</v>
      </c>
      <c r="C2466" s="798" t="s">
        <v>16</v>
      </c>
      <c r="D2466" s="800">
        <v>16.21</v>
      </c>
    </row>
    <row r="2467" spans="1:4" ht="40.5">
      <c r="A2467" s="798">
        <v>92917</v>
      </c>
      <c r="B2467" s="799" t="s">
        <v>3079</v>
      </c>
      <c r="C2467" s="798" t="s">
        <v>16</v>
      </c>
      <c r="D2467" s="800">
        <v>15.55</v>
      </c>
    </row>
    <row r="2468" spans="1:4" ht="40.5">
      <c r="A2468" s="798">
        <v>92919</v>
      </c>
      <c r="B2468" s="799" t="s">
        <v>3080</v>
      </c>
      <c r="C2468" s="798" t="s">
        <v>16</v>
      </c>
      <c r="D2468" s="800">
        <v>14.05</v>
      </c>
    </row>
    <row r="2469" spans="1:4" ht="40.5">
      <c r="A2469" s="798">
        <v>92921</v>
      </c>
      <c r="B2469" s="799" t="s">
        <v>3081</v>
      </c>
      <c r="C2469" s="798" t="s">
        <v>16</v>
      </c>
      <c r="D2469" s="800">
        <v>11.92</v>
      </c>
    </row>
    <row r="2470" spans="1:4" ht="40.5">
      <c r="A2470" s="798">
        <v>92922</v>
      </c>
      <c r="B2470" s="799" t="s">
        <v>3082</v>
      </c>
      <c r="C2470" s="798" t="s">
        <v>16</v>
      </c>
      <c r="D2470" s="800">
        <v>11.43</v>
      </c>
    </row>
    <row r="2471" spans="1:4" ht="40.5">
      <c r="A2471" s="798">
        <v>92923</v>
      </c>
      <c r="B2471" s="799" t="s">
        <v>3083</v>
      </c>
      <c r="C2471" s="798" t="s">
        <v>16</v>
      </c>
      <c r="D2471" s="800">
        <v>12.98</v>
      </c>
    </row>
    <row r="2472" spans="1:4" ht="40.5">
      <c r="A2472" s="798">
        <v>92924</v>
      </c>
      <c r="B2472" s="799" t="s">
        <v>3084</v>
      </c>
      <c r="C2472" s="798" t="s">
        <v>16</v>
      </c>
      <c r="D2472" s="800">
        <v>12.73</v>
      </c>
    </row>
    <row r="2473" spans="1:4" ht="27">
      <c r="A2473" s="798">
        <v>95445</v>
      </c>
      <c r="B2473" s="799" t="s">
        <v>7540</v>
      </c>
      <c r="C2473" s="798" t="s">
        <v>16</v>
      </c>
      <c r="D2473" s="800">
        <v>11.07</v>
      </c>
    </row>
    <row r="2474" spans="1:4" ht="27">
      <c r="A2474" s="798">
        <v>95446</v>
      </c>
      <c r="B2474" s="799" t="s">
        <v>7541</v>
      </c>
      <c r="C2474" s="798" t="s">
        <v>16</v>
      </c>
      <c r="D2474" s="800">
        <v>12.07</v>
      </c>
    </row>
    <row r="2475" spans="1:4" ht="40.5">
      <c r="A2475" s="798">
        <v>95448</v>
      </c>
      <c r="B2475" s="799" t="s">
        <v>4822</v>
      </c>
      <c r="C2475" s="798" t="s">
        <v>16</v>
      </c>
      <c r="D2475" s="800">
        <v>13.11</v>
      </c>
    </row>
    <row r="2476" spans="1:4" ht="27">
      <c r="A2476" s="798">
        <v>95576</v>
      </c>
      <c r="B2476" s="799" t="s">
        <v>7542</v>
      </c>
      <c r="C2476" s="798" t="s">
        <v>16</v>
      </c>
      <c r="D2476" s="800">
        <v>14.58</v>
      </c>
    </row>
    <row r="2477" spans="1:4" ht="27">
      <c r="A2477" s="798">
        <v>95577</v>
      </c>
      <c r="B2477" s="799" t="s">
        <v>7543</v>
      </c>
      <c r="C2477" s="798" t="s">
        <v>16</v>
      </c>
      <c r="D2477" s="800">
        <v>12.93</v>
      </c>
    </row>
    <row r="2478" spans="1:4" ht="27">
      <c r="A2478" s="798">
        <v>95578</v>
      </c>
      <c r="B2478" s="799" t="s">
        <v>7544</v>
      </c>
      <c r="C2478" s="798" t="s">
        <v>16</v>
      </c>
      <c r="D2478" s="800">
        <v>10.96</v>
      </c>
    </row>
    <row r="2479" spans="1:4" ht="27">
      <c r="A2479" s="798">
        <v>95579</v>
      </c>
      <c r="B2479" s="799" t="s">
        <v>7545</v>
      </c>
      <c r="C2479" s="798" t="s">
        <v>16</v>
      </c>
      <c r="D2479" s="800">
        <v>10.74</v>
      </c>
    </row>
    <row r="2480" spans="1:4" ht="27">
      <c r="A2480" s="798">
        <v>95580</v>
      </c>
      <c r="B2480" s="799" t="s">
        <v>7546</v>
      </c>
      <c r="C2480" s="798" t="s">
        <v>16</v>
      </c>
      <c r="D2480" s="800">
        <v>12.52</v>
      </c>
    </row>
    <row r="2481" spans="1:4" ht="27">
      <c r="A2481" s="798">
        <v>95581</v>
      </c>
      <c r="B2481" s="799" t="s">
        <v>7547</v>
      </c>
      <c r="C2481" s="798" t="s">
        <v>16</v>
      </c>
      <c r="D2481" s="800">
        <v>12.5</v>
      </c>
    </row>
    <row r="2482" spans="1:4" ht="27">
      <c r="A2482" s="798">
        <v>95582</v>
      </c>
      <c r="B2482" s="799" t="s">
        <v>7548</v>
      </c>
      <c r="C2482" s="798" t="s">
        <v>16</v>
      </c>
      <c r="D2482" s="800">
        <v>13.66</v>
      </c>
    </row>
    <row r="2483" spans="1:4" ht="27">
      <c r="A2483" s="798">
        <v>95583</v>
      </c>
      <c r="B2483" s="799" t="s">
        <v>7549</v>
      </c>
      <c r="C2483" s="798" t="s">
        <v>16</v>
      </c>
      <c r="D2483" s="800">
        <v>15.06</v>
      </c>
    </row>
    <row r="2484" spans="1:4" ht="27">
      <c r="A2484" s="798">
        <v>95584</v>
      </c>
      <c r="B2484" s="799" t="s">
        <v>7550</v>
      </c>
      <c r="C2484" s="798" t="s">
        <v>16</v>
      </c>
      <c r="D2484" s="800">
        <v>14.73</v>
      </c>
    </row>
    <row r="2485" spans="1:4" ht="27">
      <c r="A2485" s="798">
        <v>95592</v>
      </c>
      <c r="B2485" s="799" t="s">
        <v>7551</v>
      </c>
      <c r="C2485" s="798" t="s">
        <v>16</v>
      </c>
      <c r="D2485" s="800">
        <v>16.190000000000001</v>
      </c>
    </row>
    <row r="2486" spans="1:4" ht="27">
      <c r="A2486" s="798">
        <v>95593</v>
      </c>
      <c r="B2486" s="799" t="s">
        <v>7552</v>
      </c>
      <c r="C2486" s="798" t="s">
        <v>16</v>
      </c>
      <c r="D2486" s="800">
        <v>15.34</v>
      </c>
    </row>
    <row r="2487" spans="1:4" ht="40.5">
      <c r="A2487" s="798">
        <v>95943</v>
      </c>
      <c r="B2487" s="799" t="s">
        <v>6567</v>
      </c>
      <c r="C2487" s="798" t="s">
        <v>16</v>
      </c>
      <c r="D2487" s="800">
        <v>20.260000000000002</v>
      </c>
    </row>
    <row r="2488" spans="1:4" ht="40.5">
      <c r="A2488" s="798">
        <v>95944</v>
      </c>
      <c r="B2488" s="799" t="s">
        <v>6568</v>
      </c>
      <c r="C2488" s="798" t="s">
        <v>16</v>
      </c>
      <c r="D2488" s="800">
        <v>19.41</v>
      </c>
    </row>
    <row r="2489" spans="1:4" ht="40.5">
      <c r="A2489" s="798">
        <v>95945</v>
      </c>
      <c r="B2489" s="799" t="s">
        <v>6569</v>
      </c>
      <c r="C2489" s="798" t="s">
        <v>16</v>
      </c>
      <c r="D2489" s="800">
        <v>16.989999999999998</v>
      </c>
    </row>
    <row r="2490" spans="1:4" ht="40.5">
      <c r="A2490" s="798">
        <v>95946</v>
      </c>
      <c r="B2490" s="799" t="s">
        <v>6570</v>
      </c>
      <c r="C2490" s="798" t="s">
        <v>16</v>
      </c>
      <c r="D2490" s="800">
        <v>14.36</v>
      </c>
    </row>
    <row r="2491" spans="1:4" ht="40.5">
      <c r="A2491" s="798">
        <v>95947</v>
      </c>
      <c r="B2491" s="799" t="s">
        <v>6571</v>
      </c>
      <c r="C2491" s="798" t="s">
        <v>16</v>
      </c>
      <c r="D2491" s="800">
        <v>11.6</v>
      </c>
    </row>
    <row r="2492" spans="1:4" ht="40.5">
      <c r="A2492" s="798">
        <v>95948</v>
      </c>
      <c r="B2492" s="799" t="s">
        <v>6572</v>
      </c>
      <c r="C2492" s="798" t="s">
        <v>16</v>
      </c>
      <c r="D2492" s="800">
        <v>10.77</v>
      </c>
    </row>
    <row r="2493" spans="1:4" ht="27">
      <c r="A2493" s="798">
        <v>96544</v>
      </c>
      <c r="B2493" s="799" t="s">
        <v>2830</v>
      </c>
      <c r="C2493" s="798" t="s">
        <v>16</v>
      </c>
      <c r="D2493" s="800">
        <v>17.010000000000002</v>
      </c>
    </row>
    <row r="2494" spans="1:4" ht="27">
      <c r="A2494" s="798">
        <v>96545</v>
      </c>
      <c r="B2494" s="799" t="s">
        <v>2831</v>
      </c>
      <c r="C2494" s="798" t="s">
        <v>16</v>
      </c>
      <c r="D2494" s="800">
        <v>16.16</v>
      </c>
    </row>
    <row r="2495" spans="1:4" ht="27">
      <c r="A2495" s="798">
        <v>96546</v>
      </c>
      <c r="B2495" s="799" t="s">
        <v>2832</v>
      </c>
      <c r="C2495" s="798" t="s">
        <v>16</v>
      </c>
      <c r="D2495" s="800">
        <v>14.57</v>
      </c>
    </row>
    <row r="2496" spans="1:4" ht="27">
      <c r="A2496" s="798">
        <v>96547</v>
      </c>
      <c r="B2496" s="799" t="s">
        <v>2833</v>
      </c>
      <c r="C2496" s="798" t="s">
        <v>16</v>
      </c>
      <c r="D2496" s="800">
        <v>12.36</v>
      </c>
    </row>
    <row r="2497" spans="1:4" ht="27">
      <c r="A2497" s="798">
        <v>96548</v>
      </c>
      <c r="B2497" s="799" t="s">
        <v>2834</v>
      </c>
      <c r="C2497" s="798" t="s">
        <v>16</v>
      </c>
      <c r="D2497" s="800">
        <v>11.82</v>
      </c>
    </row>
    <row r="2498" spans="1:4" ht="27">
      <c r="A2498" s="798">
        <v>96549</v>
      </c>
      <c r="B2498" s="799" t="s">
        <v>2835</v>
      </c>
      <c r="C2498" s="798" t="s">
        <v>16</v>
      </c>
      <c r="D2498" s="800">
        <v>13.33</v>
      </c>
    </row>
    <row r="2499" spans="1:4" ht="27">
      <c r="A2499" s="798">
        <v>96550</v>
      </c>
      <c r="B2499" s="799" t="s">
        <v>2836</v>
      </c>
      <c r="C2499" s="798" t="s">
        <v>16</v>
      </c>
      <c r="D2499" s="800">
        <v>13.06</v>
      </c>
    </row>
    <row r="2500" spans="1:4" ht="40.5">
      <c r="A2500" s="798">
        <v>100064</v>
      </c>
      <c r="B2500" s="799" t="s">
        <v>6573</v>
      </c>
      <c r="C2500" s="798" t="s">
        <v>16</v>
      </c>
      <c r="D2500" s="800">
        <v>17.84</v>
      </c>
    </row>
    <row r="2501" spans="1:4" ht="40.5">
      <c r="A2501" s="798">
        <v>100066</v>
      </c>
      <c r="B2501" s="799" t="s">
        <v>3770</v>
      </c>
      <c r="C2501" s="798" t="s">
        <v>16</v>
      </c>
      <c r="D2501" s="800">
        <v>17.899999999999999</v>
      </c>
    </row>
    <row r="2502" spans="1:4" ht="40.5">
      <c r="A2502" s="798">
        <v>100067</v>
      </c>
      <c r="B2502" s="799" t="s">
        <v>3771</v>
      </c>
      <c r="C2502" s="798" t="s">
        <v>16</v>
      </c>
      <c r="D2502" s="800">
        <v>13.49</v>
      </c>
    </row>
    <row r="2503" spans="1:4" ht="40.5">
      <c r="A2503" s="798">
        <v>100068</v>
      </c>
      <c r="B2503" s="799" t="s">
        <v>3772</v>
      </c>
      <c r="C2503" s="798" t="s">
        <v>16</v>
      </c>
      <c r="D2503" s="800">
        <v>11.08</v>
      </c>
    </row>
    <row r="2504" spans="1:4" ht="27">
      <c r="A2504" s="798">
        <v>102920</v>
      </c>
      <c r="B2504" s="799" t="s">
        <v>7553</v>
      </c>
      <c r="C2504" s="798" t="s">
        <v>16</v>
      </c>
      <c r="D2504" s="800">
        <v>9.9600000000000009</v>
      </c>
    </row>
    <row r="2505" spans="1:4" ht="27">
      <c r="A2505" s="798">
        <v>102921</v>
      </c>
      <c r="B2505" s="799" t="s">
        <v>7554</v>
      </c>
      <c r="C2505" s="798" t="s">
        <v>16</v>
      </c>
      <c r="D2505" s="800">
        <v>9.76</v>
      </c>
    </row>
    <row r="2506" spans="1:4" ht="27">
      <c r="A2506" s="798">
        <v>102922</v>
      </c>
      <c r="B2506" s="799" t="s">
        <v>7555</v>
      </c>
      <c r="C2506" s="798" t="s">
        <v>16</v>
      </c>
      <c r="D2506" s="800">
        <v>10.36</v>
      </c>
    </row>
    <row r="2507" spans="1:4" ht="27">
      <c r="A2507" s="798">
        <v>102923</v>
      </c>
      <c r="B2507" s="799" t="s">
        <v>7556</v>
      </c>
      <c r="C2507" s="798" t="s">
        <v>16</v>
      </c>
      <c r="D2507" s="800">
        <v>9.61</v>
      </c>
    </row>
    <row r="2508" spans="1:4" ht="27">
      <c r="A2508" s="798">
        <v>103088</v>
      </c>
      <c r="B2508" s="799" t="s">
        <v>7557</v>
      </c>
      <c r="C2508" s="798" t="s">
        <v>16</v>
      </c>
      <c r="D2508" s="800">
        <v>11.18</v>
      </c>
    </row>
    <row r="2509" spans="1:4" ht="27">
      <c r="A2509" s="798">
        <v>89993</v>
      </c>
      <c r="B2509" s="799" t="s">
        <v>7558</v>
      </c>
      <c r="C2509" s="798" t="s">
        <v>22</v>
      </c>
      <c r="D2509" s="800">
        <v>828.46</v>
      </c>
    </row>
    <row r="2510" spans="1:4" ht="27">
      <c r="A2510" s="798">
        <v>89994</v>
      </c>
      <c r="B2510" s="799" t="s">
        <v>7559</v>
      </c>
      <c r="C2510" s="798" t="s">
        <v>22</v>
      </c>
      <c r="D2510" s="800">
        <v>728.52</v>
      </c>
    </row>
    <row r="2511" spans="1:4" ht="27">
      <c r="A2511" s="798">
        <v>89995</v>
      </c>
      <c r="B2511" s="799" t="s">
        <v>7560</v>
      </c>
      <c r="C2511" s="798" t="s">
        <v>22</v>
      </c>
      <c r="D2511" s="800">
        <v>802.9</v>
      </c>
    </row>
    <row r="2512" spans="1:4" ht="40.5">
      <c r="A2512" s="798">
        <v>90278</v>
      </c>
      <c r="B2512" s="799" t="s">
        <v>7561</v>
      </c>
      <c r="C2512" s="798" t="s">
        <v>22</v>
      </c>
      <c r="D2512" s="800">
        <v>439.95</v>
      </c>
    </row>
    <row r="2513" spans="1:4" ht="40.5">
      <c r="A2513" s="798">
        <v>90279</v>
      </c>
      <c r="B2513" s="799" t="s">
        <v>7562</v>
      </c>
      <c r="C2513" s="798" t="s">
        <v>22</v>
      </c>
      <c r="D2513" s="800">
        <v>488.89</v>
      </c>
    </row>
    <row r="2514" spans="1:4" ht="40.5">
      <c r="A2514" s="798">
        <v>90280</v>
      </c>
      <c r="B2514" s="799" t="s">
        <v>7563</v>
      </c>
      <c r="C2514" s="798" t="s">
        <v>22</v>
      </c>
      <c r="D2514" s="800">
        <v>548.82000000000005</v>
      </c>
    </row>
    <row r="2515" spans="1:4" ht="40.5">
      <c r="A2515" s="798">
        <v>90281</v>
      </c>
      <c r="B2515" s="799" t="s">
        <v>7564</v>
      </c>
      <c r="C2515" s="798" t="s">
        <v>22</v>
      </c>
      <c r="D2515" s="800">
        <v>647.63</v>
      </c>
    </row>
    <row r="2516" spans="1:4" ht="40.5">
      <c r="A2516" s="798">
        <v>90282</v>
      </c>
      <c r="B2516" s="799" t="s">
        <v>7565</v>
      </c>
      <c r="C2516" s="798" t="s">
        <v>22</v>
      </c>
      <c r="D2516" s="800">
        <v>431.75</v>
      </c>
    </row>
    <row r="2517" spans="1:4" ht="40.5">
      <c r="A2517" s="798">
        <v>90283</v>
      </c>
      <c r="B2517" s="799" t="s">
        <v>7566</v>
      </c>
      <c r="C2517" s="798" t="s">
        <v>22</v>
      </c>
      <c r="D2517" s="800">
        <v>480.79</v>
      </c>
    </row>
    <row r="2518" spans="1:4" ht="40.5">
      <c r="A2518" s="798">
        <v>90284</v>
      </c>
      <c r="B2518" s="799" t="s">
        <v>7567</v>
      </c>
      <c r="C2518" s="798" t="s">
        <v>22</v>
      </c>
      <c r="D2518" s="800">
        <v>543.96</v>
      </c>
    </row>
    <row r="2519" spans="1:4" ht="40.5">
      <c r="A2519" s="798">
        <v>90285</v>
      </c>
      <c r="B2519" s="799" t="s">
        <v>7568</v>
      </c>
      <c r="C2519" s="798" t="s">
        <v>22</v>
      </c>
      <c r="D2519" s="800">
        <v>647.32000000000005</v>
      </c>
    </row>
    <row r="2520" spans="1:4" ht="40.5">
      <c r="A2520" s="798">
        <v>94962</v>
      </c>
      <c r="B2520" s="799" t="s">
        <v>6574</v>
      </c>
      <c r="C2520" s="798" t="s">
        <v>22</v>
      </c>
      <c r="D2520" s="800">
        <v>327.99</v>
      </c>
    </row>
    <row r="2521" spans="1:4" ht="40.5">
      <c r="A2521" s="798">
        <v>94963</v>
      </c>
      <c r="B2521" s="799" t="s">
        <v>6575</v>
      </c>
      <c r="C2521" s="798" t="s">
        <v>22</v>
      </c>
      <c r="D2521" s="800">
        <v>369.75</v>
      </c>
    </row>
    <row r="2522" spans="1:4" ht="40.5">
      <c r="A2522" s="798">
        <v>94964</v>
      </c>
      <c r="B2522" s="799" t="s">
        <v>6576</v>
      </c>
      <c r="C2522" s="798" t="s">
        <v>22</v>
      </c>
      <c r="D2522" s="800">
        <v>407.4</v>
      </c>
    </row>
    <row r="2523" spans="1:4" ht="40.5">
      <c r="A2523" s="798">
        <v>94965</v>
      </c>
      <c r="B2523" s="799" t="s">
        <v>6577</v>
      </c>
      <c r="C2523" s="798" t="s">
        <v>22</v>
      </c>
      <c r="D2523" s="800">
        <v>428.31</v>
      </c>
    </row>
    <row r="2524" spans="1:4" ht="40.5">
      <c r="A2524" s="798">
        <v>94966</v>
      </c>
      <c r="B2524" s="799" t="s">
        <v>6578</v>
      </c>
      <c r="C2524" s="798" t="s">
        <v>22</v>
      </c>
      <c r="D2524" s="800">
        <v>445.12</v>
      </c>
    </row>
    <row r="2525" spans="1:4" ht="40.5">
      <c r="A2525" s="798">
        <v>94967</v>
      </c>
      <c r="B2525" s="799" t="s">
        <v>6579</v>
      </c>
      <c r="C2525" s="798" t="s">
        <v>22</v>
      </c>
      <c r="D2525" s="800">
        <v>514.04999999999995</v>
      </c>
    </row>
    <row r="2526" spans="1:4" ht="40.5">
      <c r="A2526" s="798">
        <v>94968</v>
      </c>
      <c r="B2526" s="799" t="s">
        <v>6580</v>
      </c>
      <c r="C2526" s="798" t="s">
        <v>22</v>
      </c>
      <c r="D2526" s="800">
        <v>327.08999999999997</v>
      </c>
    </row>
    <row r="2527" spans="1:4" ht="40.5">
      <c r="A2527" s="798">
        <v>94969</v>
      </c>
      <c r="B2527" s="799" t="s">
        <v>6581</v>
      </c>
      <c r="C2527" s="798" t="s">
        <v>22</v>
      </c>
      <c r="D2527" s="800">
        <v>366.54</v>
      </c>
    </row>
    <row r="2528" spans="1:4" ht="40.5">
      <c r="A2528" s="798">
        <v>94970</v>
      </c>
      <c r="B2528" s="799" t="s">
        <v>6582</v>
      </c>
      <c r="C2528" s="798" t="s">
        <v>22</v>
      </c>
      <c r="D2528" s="800">
        <v>400.17</v>
      </c>
    </row>
    <row r="2529" spans="1:4" ht="40.5">
      <c r="A2529" s="798">
        <v>94971</v>
      </c>
      <c r="B2529" s="799" t="s">
        <v>6583</v>
      </c>
      <c r="C2529" s="798" t="s">
        <v>22</v>
      </c>
      <c r="D2529" s="800">
        <v>425.35</v>
      </c>
    </row>
    <row r="2530" spans="1:4" ht="40.5">
      <c r="A2530" s="798">
        <v>94972</v>
      </c>
      <c r="B2530" s="799" t="s">
        <v>6584</v>
      </c>
      <c r="C2530" s="798" t="s">
        <v>22</v>
      </c>
      <c r="D2530" s="800">
        <v>442.15</v>
      </c>
    </row>
    <row r="2531" spans="1:4" ht="40.5">
      <c r="A2531" s="798">
        <v>94973</v>
      </c>
      <c r="B2531" s="799" t="s">
        <v>6585</v>
      </c>
      <c r="C2531" s="798" t="s">
        <v>22</v>
      </c>
      <c r="D2531" s="800">
        <v>510.12</v>
      </c>
    </row>
    <row r="2532" spans="1:4" ht="40.5">
      <c r="A2532" s="798">
        <v>94974</v>
      </c>
      <c r="B2532" s="799" t="s">
        <v>6586</v>
      </c>
      <c r="C2532" s="798" t="s">
        <v>22</v>
      </c>
      <c r="D2532" s="800">
        <v>374.59</v>
      </c>
    </row>
    <row r="2533" spans="1:4" ht="40.5">
      <c r="A2533" s="798">
        <v>94975</v>
      </c>
      <c r="B2533" s="799" t="s">
        <v>6587</v>
      </c>
      <c r="C2533" s="798" t="s">
        <v>22</v>
      </c>
      <c r="D2533" s="800">
        <v>412.23</v>
      </c>
    </row>
    <row r="2534" spans="1:4" ht="40.5">
      <c r="A2534" s="798">
        <v>96555</v>
      </c>
      <c r="B2534" s="799" t="s">
        <v>2837</v>
      </c>
      <c r="C2534" s="798" t="s">
        <v>22</v>
      </c>
      <c r="D2534" s="800">
        <v>591.38</v>
      </c>
    </row>
    <row r="2535" spans="1:4" ht="27">
      <c r="A2535" s="798">
        <v>96556</v>
      </c>
      <c r="B2535" s="799" t="s">
        <v>2838</v>
      </c>
      <c r="C2535" s="798" t="s">
        <v>22</v>
      </c>
      <c r="D2535" s="800">
        <v>651.99</v>
      </c>
    </row>
    <row r="2536" spans="1:4" ht="40.5">
      <c r="A2536" s="798">
        <v>96557</v>
      </c>
      <c r="B2536" s="799" t="s">
        <v>2839</v>
      </c>
      <c r="C2536" s="798" t="s">
        <v>22</v>
      </c>
      <c r="D2536" s="800">
        <v>701.8</v>
      </c>
    </row>
    <row r="2537" spans="1:4" ht="27">
      <c r="A2537" s="798">
        <v>96558</v>
      </c>
      <c r="B2537" s="799" t="s">
        <v>2840</v>
      </c>
      <c r="C2537" s="798" t="s">
        <v>22</v>
      </c>
      <c r="D2537" s="800">
        <v>707.27</v>
      </c>
    </row>
    <row r="2538" spans="1:4" ht="54">
      <c r="A2538" s="798">
        <v>99235</v>
      </c>
      <c r="B2538" s="799" t="s">
        <v>7723</v>
      </c>
      <c r="C2538" s="798" t="s">
        <v>22</v>
      </c>
      <c r="D2538" s="800">
        <v>681.84</v>
      </c>
    </row>
    <row r="2539" spans="1:4" ht="67.5">
      <c r="A2539" s="798">
        <v>99431</v>
      </c>
      <c r="B2539" s="799" t="s">
        <v>7724</v>
      </c>
      <c r="C2539" s="798" t="s">
        <v>22</v>
      </c>
      <c r="D2539" s="800">
        <v>701.9</v>
      </c>
    </row>
    <row r="2540" spans="1:4" ht="67.5">
      <c r="A2540" s="798">
        <v>99432</v>
      </c>
      <c r="B2540" s="799" t="s">
        <v>7725</v>
      </c>
      <c r="C2540" s="798" t="s">
        <v>22</v>
      </c>
      <c r="D2540" s="800">
        <v>682.01</v>
      </c>
    </row>
    <row r="2541" spans="1:4" ht="67.5">
      <c r="A2541" s="798">
        <v>99433</v>
      </c>
      <c r="B2541" s="799" t="s">
        <v>7726</v>
      </c>
      <c r="C2541" s="798" t="s">
        <v>22</v>
      </c>
      <c r="D2541" s="800">
        <v>735.36</v>
      </c>
    </row>
    <row r="2542" spans="1:4" ht="67.5">
      <c r="A2542" s="798">
        <v>99434</v>
      </c>
      <c r="B2542" s="799" t="s">
        <v>7727</v>
      </c>
      <c r="C2542" s="798" t="s">
        <v>22</v>
      </c>
      <c r="D2542" s="800">
        <v>704.84</v>
      </c>
    </row>
    <row r="2543" spans="1:4" ht="67.5">
      <c r="A2543" s="798">
        <v>99435</v>
      </c>
      <c r="B2543" s="799" t="s">
        <v>7728</v>
      </c>
      <c r="C2543" s="798" t="s">
        <v>22</v>
      </c>
      <c r="D2543" s="800">
        <v>684.02</v>
      </c>
    </row>
    <row r="2544" spans="1:4" ht="67.5">
      <c r="A2544" s="798">
        <v>99436</v>
      </c>
      <c r="B2544" s="799" t="s">
        <v>7729</v>
      </c>
      <c r="C2544" s="798" t="s">
        <v>22</v>
      </c>
      <c r="D2544" s="800">
        <v>750.69</v>
      </c>
    </row>
    <row r="2545" spans="1:4" ht="54">
      <c r="A2545" s="798">
        <v>99437</v>
      </c>
      <c r="B2545" s="799" t="s">
        <v>7730</v>
      </c>
      <c r="C2545" s="798" t="s">
        <v>22</v>
      </c>
      <c r="D2545" s="800">
        <v>721.85</v>
      </c>
    </row>
    <row r="2546" spans="1:4" ht="54">
      <c r="A2546" s="798">
        <v>99438</v>
      </c>
      <c r="B2546" s="799" t="s">
        <v>7731</v>
      </c>
      <c r="C2546" s="798" t="s">
        <v>22</v>
      </c>
      <c r="D2546" s="800">
        <v>726.06</v>
      </c>
    </row>
    <row r="2547" spans="1:4" ht="67.5">
      <c r="A2547" s="798">
        <v>99439</v>
      </c>
      <c r="B2547" s="799" t="s">
        <v>7732</v>
      </c>
      <c r="C2547" s="798" t="s">
        <v>22</v>
      </c>
      <c r="D2547" s="800">
        <v>690.45</v>
      </c>
    </row>
    <row r="2548" spans="1:4" ht="40.5">
      <c r="A2548" s="798">
        <v>102473</v>
      </c>
      <c r="B2548" s="799" t="s">
        <v>6588</v>
      </c>
      <c r="C2548" s="798" t="s">
        <v>22</v>
      </c>
      <c r="D2548" s="800">
        <v>450.4</v>
      </c>
    </row>
    <row r="2549" spans="1:4" ht="40.5">
      <c r="A2549" s="798">
        <v>102474</v>
      </c>
      <c r="B2549" s="799" t="s">
        <v>6589</v>
      </c>
      <c r="C2549" s="798" t="s">
        <v>22</v>
      </c>
      <c r="D2549" s="800">
        <v>489.62</v>
      </c>
    </row>
    <row r="2550" spans="1:4" ht="40.5">
      <c r="A2550" s="798">
        <v>102475</v>
      </c>
      <c r="B2550" s="799" t="s">
        <v>6590</v>
      </c>
      <c r="C2550" s="798" t="s">
        <v>22</v>
      </c>
      <c r="D2550" s="800">
        <v>531.89</v>
      </c>
    </row>
    <row r="2551" spans="1:4" ht="40.5">
      <c r="A2551" s="798">
        <v>102476</v>
      </c>
      <c r="B2551" s="799" t="s">
        <v>6591</v>
      </c>
      <c r="C2551" s="798" t="s">
        <v>22</v>
      </c>
      <c r="D2551" s="800">
        <v>554.16999999999996</v>
      </c>
    </row>
    <row r="2552" spans="1:4" ht="40.5">
      <c r="A2552" s="798">
        <v>102477</v>
      </c>
      <c r="B2552" s="799" t="s">
        <v>6592</v>
      </c>
      <c r="C2552" s="798" t="s">
        <v>22</v>
      </c>
      <c r="D2552" s="800">
        <v>586.57000000000005</v>
      </c>
    </row>
    <row r="2553" spans="1:4" ht="40.5">
      <c r="A2553" s="798">
        <v>102478</v>
      </c>
      <c r="B2553" s="799" t="s">
        <v>6593</v>
      </c>
      <c r="C2553" s="798" t="s">
        <v>22</v>
      </c>
      <c r="D2553" s="800">
        <v>641.34</v>
      </c>
    </row>
    <row r="2554" spans="1:4" ht="40.5">
      <c r="A2554" s="798">
        <v>102479</v>
      </c>
      <c r="B2554" s="799" t="s">
        <v>6594</v>
      </c>
      <c r="C2554" s="798" t="s">
        <v>22</v>
      </c>
      <c r="D2554" s="800">
        <v>450.08</v>
      </c>
    </row>
    <row r="2555" spans="1:4" ht="40.5">
      <c r="A2555" s="798">
        <v>102480</v>
      </c>
      <c r="B2555" s="799" t="s">
        <v>6595</v>
      </c>
      <c r="C2555" s="798" t="s">
        <v>22</v>
      </c>
      <c r="D2555" s="800">
        <v>486.87</v>
      </c>
    </row>
    <row r="2556" spans="1:4" ht="40.5">
      <c r="A2556" s="798">
        <v>102481</v>
      </c>
      <c r="B2556" s="799" t="s">
        <v>6596</v>
      </c>
      <c r="C2556" s="798" t="s">
        <v>22</v>
      </c>
      <c r="D2556" s="800">
        <v>525.19000000000005</v>
      </c>
    </row>
    <row r="2557" spans="1:4" ht="40.5">
      <c r="A2557" s="798">
        <v>102482</v>
      </c>
      <c r="B2557" s="799" t="s">
        <v>6597</v>
      </c>
      <c r="C2557" s="798" t="s">
        <v>22</v>
      </c>
      <c r="D2557" s="800">
        <v>554.20000000000005</v>
      </c>
    </row>
    <row r="2558" spans="1:4" ht="40.5">
      <c r="A2558" s="798">
        <v>102483</v>
      </c>
      <c r="B2558" s="799" t="s">
        <v>6598</v>
      </c>
      <c r="C2558" s="798" t="s">
        <v>22</v>
      </c>
      <c r="D2558" s="800">
        <v>584.12</v>
      </c>
    </row>
    <row r="2559" spans="1:4" ht="40.5">
      <c r="A2559" s="798">
        <v>102484</v>
      </c>
      <c r="B2559" s="799" t="s">
        <v>6599</v>
      </c>
      <c r="C2559" s="798" t="s">
        <v>22</v>
      </c>
      <c r="D2559" s="800">
        <v>642.57000000000005</v>
      </c>
    </row>
    <row r="2560" spans="1:4" ht="40.5">
      <c r="A2560" s="798">
        <v>102485</v>
      </c>
      <c r="B2560" s="799" t="s">
        <v>6600</v>
      </c>
      <c r="C2560" s="798" t="s">
        <v>22</v>
      </c>
      <c r="D2560" s="800">
        <v>499.82</v>
      </c>
    </row>
    <row r="2561" spans="1:4" ht="40.5">
      <c r="A2561" s="798">
        <v>102486</v>
      </c>
      <c r="B2561" s="799" t="s">
        <v>6601</v>
      </c>
      <c r="C2561" s="798" t="s">
        <v>22</v>
      </c>
      <c r="D2561" s="800">
        <v>533.22</v>
      </c>
    </row>
    <row r="2562" spans="1:4" ht="27">
      <c r="A2562" s="798">
        <v>102487</v>
      </c>
      <c r="B2562" s="799" t="s">
        <v>6602</v>
      </c>
      <c r="C2562" s="798" t="s">
        <v>22</v>
      </c>
      <c r="D2562" s="800">
        <v>463.76</v>
      </c>
    </row>
    <row r="2563" spans="1:4" ht="67.5">
      <c r="A2563" s="798">
        <v>103183</v>
      </c>
      <c r="B2563" s="799" t="s">
        <v>7733</v>
      </c>
      <c r="C2563" s="798" t="s">
        <v>22</v>
      </c>
      <c r="D2563" s="800">
        <v>719.38</v>
      </c>
    </row>
    <row r="2564" spans="1:4" ht="54">
      <c r="A2564" s="798">
        <v>103184</v>
      </c>
      <c r="B2564" s="799" t="s">
        <v>7734</v>
      </c>
      <c r="C2564" s="798" t="s">
        <v>22</v>
      </c>
      <c r="D2564" s="800">
        <v>690.34</v>
      </c>
    </row>
    <row r="2565" spans="1:4" ht="40.5">
      <c r="A2565" s="798">
        <v>103669</v>
      </c>
      <c r="B2565" s="799" t="s">
        <v>13421</v>
      </c>
      <c r="C2565" s="798" t="s">
        <v>22</v>
      </c>
      <c r="D2565" s="800">
        <v>883.78</v>
      </c>
    </row>
    <row r="2566" spans="1:4" ht="27">
      <c r="A2566" s="798">
        <v>103670</v>
      </c>
      <c r="B2566" s="799" t="s">
        <v>13422</v>
      </c>
      <c r="C2566" s="798" t="s">
        <v>22</v>
      </c>
      <c r="D2566" s="800">
        <v>205.9</v>
      </c>
    </row>
    <row r="2567" spans="1:4" ht="27">
      <c r="A2567" s="798">
        <v>103671</v>
      </c>
      <c r="B2567" s="799" t="s">
        <v>13423</v>
      </c>
      <c r="C2567" s="798" t="s">
        <v>22</v>
      </c>
      <c r="D2567" s="800">
        <v>711.26</v>
      </c>
    </row>
    <row r="2568" spans="1:4" ht="40.5">
      <c r="A2568" s="798">
        <v>103672</v>
      </c>
      <c r="B2568" s="799" t="s">
        <v>13424</v>
      </c>
      <c r="C2568" s="798" t="s">
        <v>22</v>
      </c>
      <c r="D2568" s="800">
        <v>667.8</v>
      </c>
    </row>
    <row r="2569" spans="1:4" ht="27">
      <c r="A2569" s="798">
        <v>103673</v>
      </c>
      <c r="B2569" s="799" t="s">
        <v>13425</v>
      </c>
      <c r="C2569" s="798" t="s">
        <v>22</v>
      </c>
      <c r="D2569" s="800">
        <v>28.94</v>
      </c>
    </row>
    <row r="2570" spans="1:4" ht="40.5">
      <c r="A2570" s="798">
        <v>103674</v>
      </c>
      <c r="B2570" s="799" t="s">
        <v>13426</v>
      </c>
      <c r="C2570" s="798" t="s">
        <v>22</v>
      </c>
      <c r="D2570" s="800">
        <v>681.79</v>
      </c>
    </row>
    <row r="2571" spans="1:4" ht="40.5">
      <c r="A2571" s="798">
        <v>103675</v>
      </c>
      <c r="B2571" s="799" t="s">
        <v>13427</v>
      </c>
      <c r="C2571" s="798" t="s">
        <v>22</v>
      </c>
      <c r="D2571" s="800">
        <v>668.09</v>
      </c>
    </row>
    <row r="2572" spans="1:4" ht="54">
      <c r="A2572" s="798">
        <v>103676</v>
      </c>
      <c r="B2572" s="799" t="s">
        <v>13428</v>
      </c>
      <c r="C2572" s="798" t="s">
        <v>22</v>
      </c>
      <c r="D2572" s="800">
        <v>922.84</v>
      </c>
    </row>
    <row r="2573" spans="1:4" ht="54">
      <c r="A2573" s="798">
        <v>103677</v>
      </c>
      <c r="B2573" s="799" t="s">
        <v>13429</v>
      </c>
      <c r="C2573" s="798" t="s">
        <v>22</v>
      </c>
      <c r="D2573" s="800">
        <v>804.84</v>
      </c>
    </row>
    <row r="2574" spans="1:4" ht="54">
      <c r="A2574" s="798">
        <v>103678</v>
      </c>
      <c r="B2574" s="799" t="s">
        <v>13430</v>
      </c>
      <c r="C2574" s="798" t="s">
        <v>22</v>
      </c>
      <c r="D2574" s="800">
        <v>856.99</v>
      </c>
    </row>
    <row r="2575" spans="1:4" ht="54">
      <c r="A2575" s="798">
        <v>103679</v>
      </c>
      <c r="B2575" s="799" t="s">
        <v>13431</v>
      </c>
      <c r="C2575" s="798" t="s">
        <v>22</v>
      </c>
      <c r="D2575" s="800">
        <v>775.63</v>
      </c>
    </row>
    <row r="2576" spans="1:4" ht="54">
      <c r="A2576" s="798">
        <v>103680</v>
      </c>
      <c r="B2576" s="799" t="s">
        <v>13432</v>
      </c>
      <c r="C2576" s="798" t="s">
        <v>22</v>
      </c>
      <c r="D2576" s="800">
        <v>808.03</v>
      </c>
    </row>
    <row r="2577" spans="1:4" ht="54">
      <c r="A2577" s="798">
        <v>103681</v>
      </c>
      <c r="B2577" s="799" t="s">
        <v>13433</v>
      </c>
      <c r="C2577" s="798" t="s">
        <v>22</v>
      </c>
      <c r="D2577" s="800">
        <v>729.11</v>
      </c>
    </row>
    <row r="2578" spans="1:4" ht="40.5">
      <c r="A2578" s="798">
        <v>103682</v>
      </c>
      <c r="B2578" s="799" t="s">
        <v>13434</v>
      </c>
      <c r="C2578" s="798" t="s">
        <v>22</v>
      </c>
      <c r="D2578" s="800">
        <v>896.07</v>
      </c>
    </row>
    <row r="2579" spans="1:4" ht="54">
      <c r="A2579" s="798">
        <v>103683</v>
      </c>
      <c r="B2579" s="799" t="s">
        <v>13435</v>
      </c>
      <c r="C2579" s="798" t="s">
        <v>22</v>
      </c>
      <c r="D2579" s="800">
        <v>1095.8599999999999</v>
      </c>
    </row>
    <row r="2580" spans="1:4" ht="40.5">
      <c r="A2580" s="798">
        <v>103684</v>
      </c>
      <c r="B2580" s="799" t="s">
        <v>13436</v>
      </c>
      <c r="C2580" s="798" t="s">
        <v>22</v>
      </c>
      <c r="D2580" s="800">
        <v>679.93</v>
      </c>
    </row>
    <row r="2581" spans="1:4" ht="27">
      <c r="A2581" s="798">
        <v>103685</v>
      </c>
      <c r="B2581" s="799" t="s">
        <v>13437</v>
      </c>
      <c r="C2581" s="798" t="s">
        <v>22</v>
      </c>
      <c r="D2581" s="800">
        <v>671.24</v>
      </c>
    </row>
    <row r="2582" spans="1:4" ht="27">
      <c r="A2582" s="798">
        <v>103686</v>
      </c>
      <c r="B2582" s="799" t="s">
        <v>13438</v>
      </c>
      <c r="C2582" s="798" t="s">
        <v>22</v>
      </c>
      <c r="D2582" s="800">
        <v>712.54</v>
      </c>
    </row>
    <row r="2583" spans="1:4" ht="40.5">
      <c r="A2583" s="798">
        <v>103687</v>
      </c>
      <c r="B2583" s="799" t="s">
        <v>13439</v>
      </c>
      <c r="C2583" s="798" t="s">
        <v>22</v>
      </c>
      <c r="D2583" s="800">
        <v>969.14</v>
      </c>
    </row>
    <row r="2584" spans="1:4" ht="40.5">
      <c r="A2584" s="798">
        <v>103688</v>
      </c>
      <c r="B2584" s="799" t="s">
        <v>13440</v>
      </c>
      <c r="C2584" s="798" t="s">
        <v>22</v>
      </c>
      <c r="D2584" s="800">
        <v>800.34</v>
      </c>
    </row>
    <row r="2585" spans="1:4" ht="40.5">
      <c r="A2585" s="798">
        <v>101963</v>
      </c>
      <c r="B2585" s="799" t="s">
        <v>6603</v>
      </c>
      <c r="C2585" s="798" t="s">
        <v>32</v>
      </c>
      <c r="D2585" s="800">
        <v>187.96</v>
      </c>
    </row>
    <row r="2586" spans="1:4" ht="54">
      <c r="A2586" s="798">
        <v>101964</v>
      </c>
      <c r="B2586" s="799" t="s">
        <v>6604</v>
      </c>
      <c r="C2586" s="798" t="s">
        <v>32</v>
      </c>
      <c r="D2586" s="800">
        <v>174.58</v>
      </c>
    </row>
    <row r="2587" spans="1:4" ht="40.5">
      <c r="A2587" s="798">
        <v>101165</v>
      </c>
      <c r="B2587" s="799" t="s">
        <v>4912</v>
      </c>
      <c r="C2587" s="798" t="s">
        <v>22</v>
      </c>
      <c r="D2587" s="800">
        <v>777.46</v>
      </c>
    </row>
    <row r="2588" spans="1:4" ht="40.5">
      <c r="A2588" s="798">
        <v>101166</v>
      </c>
      <c r="B2588" s="799" t="s">
        <v>4913</v>
      </c>
      <c r="C2588" s="798" t="s">
        <v>22</v>
      </c>
      <c r="D2588" s="800">
        <v>586.09</v>
      </c>
    </row>
    <row r="2589" spans="1:4" ht="40.5">
      <c r="A2589" s="798">
        <v>98575</v>
      </c>
      <c r="B2589" s="799" t="s">
        <v>7569</v>
      </c>
      <c r="C2589" s="798" t="s">
        <v>14</v>
      </c>
      <c r="D2589" s="800">
        <v>79.75</v>
      </c>
    </row>
    <row r="2590" spans="1:4" ht="27">
      <c r="A2590" s="798">
        <v>98576</v>
      </c>
      <c r="B2590" s="799" t="s">
        <v>3304</v>
      </c>
      <c r="C2590" s="798" t="s">
        <v>14</v>
      </c>
      <c r="D2590" s="800">
        <v>20.49</v>
      </c>
    </row>
    <row r="2591" spans="1:4" ht="27">
      <c r="A2591" s="798">
        <v>98577</v>
      </c>
      <c r="B2591" s="799" t="s">
        <v>7570</v>
      </c>
      <c r="C2591" s="798" t="s">
        <v>14</v>
      </c>
      <c r="D2591" s="800">
        <v>33.729999999999997</v>
      </c>
    </row>
    <row r="2592" spans="1:4" ht="27">
      <c r="A2592" s="798">
        <v>93182</v>
      </c>
      <c r="B2592" s="799" t="s">
        <v>474</v>
      </c>
      <c r="C2592" s="798" t="s">
        <v>14</v>
      </c>
      <c r="D2592" s="800">
        <v>41.44</v>
      </c>
    </row>
    <row r="2593" spans="1:4" ht="27">
      <c r="A2593" s="798">
        <v>93183</v>
      </c>
      <c r="B2593" s="799" t="s">
        <v>475</v>
      </c>
      <c r="C2593" s="798" t="s">
        <v>14</v>
      </c>
      <c r="D2593" s="800">
        <v>53.6</v>
      </c>
    </row>
    <row r="2594" spans="1:4" ht="27">
      <c r="A2594" s="798">
        <v>93184</v>
      </c>
      <c r="B2594" s="799" t="s">
        <v>476</v>
      </c>
      <c r="C2594" s="798" t="s">
        <v>14</v>
      </c>
      <c r="D2594" s="800">
        <v>30.41</v>
      </c>
    </row>
    <row r="2595" spans="1:4" ht="27">
      <c r="A2595" s="798">
        <v>93185</v>
      </c>
      <c r="B2595" s="799" t="s">
        <v>477</v>
      </c>
      <c r="C2595" s="798" t="s">
        <v>14</v>
      </c>
      <c r="D2595" s="800">
        <v>52.89</v>
      </c>
    </row>
    <row r="2596" spans="1:4" ht="27">
      <c r="A2596" s="798">
        <v>93186</v>
      </c>
      <c r="B2596" s="799" t="s">
        <v>2154</v>
      </c>
      <c r="C2596" s="798" t="s">
        <v>14</v>
      </c>
      <c r="D2596" s="800">
        <v>74.7</v>
      </c>
    </row>
    <row r="2597" spans="1:4" ht="27">
      <c r="A2597" s="798">
        <v>93187</v>
      </c>
      <c r="B2597" s="799" t="s">
        <v>2155</v>
      </c>
      <c r="C2597" s="798" t="s">
        <v>14</v>
      </c>
      <c r="D2597" s="800">
        <v>86.06</v>
      </c>
    </row>
    <row r="2598" spans="1:4" ht="27">
      <c r="A2598" s="798">
        <v>93188</v>
      </c>
      <c r="B2598" s="799" t="s">
        <v>2156</v>
      </c>
      <c r="C2598" s="798" t="s">
        <v>14</v>
      </c>
      <c r="D2598" s="800">
        <v>71.2</v>
      </c>
    </row>
    <row r="2599" spans="1:4" ht="27">
      <c r="A2599" s="798">
        <v>93189</v>
      </c>
      <c r="B2599" s="799" t="s">
        <v>2157</v>
      </c>
      <c r="C2599" s="798" t="s">
        <v>14</v>
      </c>
      <c r="D2599" s="800">
        <v>87.24</v>
      </c>
    </row>
    <row r="2600" spans="1:4" ht="40.5">
      <c r="A2600" s="798">
        <v>93190</v>
      </c>
      <c r="B2600" s="799" t="s">
        <v>2158</v>
      </c>
      <c r="C2600" s="798" t="s">
        <v>14</v>
      </c>
      <c r="D2600" s="800">
        <v>42.66</v>
      </c>
    </row>
    <row r="2601" spans="1:4" ht="40.5">
      <c r="A2601" s="798">
        <v>93191</v>
      </c>
      <c r="B2601" s="799" t="s">
        <v>2159</v>
      </c>
      <c r="C2601" s="798" t="s">
        <v>14</v>
      </c>
      <c r="D2601" s="800">
        <v>45.04</v>
      </c>
    </row>
    <row r="2602" spans="1:4" ht="27">
      <c r="A2602" s="798">
        <v>93192</v>
      </c>
      <c r="B2602" s="799" t="s">
        <v>2160</v>
      </c>
      <c r="C2602" s="798" t="s">
        <v>14</v>
      </c>
      <c r="D2602" s="800">
        <v>48.2</v>
      </c>
    </row>
    <row r="2603" spans="1:4" ht="40.5">
      <c r="A2603" s="798">
        <v>93193</v>
      </c>
      <c r="B2603" s="799" t="s">
        <v>2161</v>
      </c>
      <c r="C2603" s="798" t="s">
        <v>14</v>
      </c>
      <c r="D2603" s="800">
        <v>46.31</v>
      </c>
    </row>
    <row r="2604" spans="1:4" ht="27">
      <c r="A2604" s="798">
        <v>93194</v>
      </c>
      <c r="B2604" s="799" t="s">
        <v>2162</v>
      </c>
      <c r="C2604" s="798" t="s">
        <v>14</v>
      </c>
      <c r="D2604" s="800">
        <v>40.64</v>
      </c>
    </row>
    <row r="2605" spans="1:4" ht="27">
      <c r="A2605" s="798">
        <v>93195</v>
      </c>
      <c r="B2605" s="799" t="s">
        <v>2163</v>
      </c>
      <c r="C2605" s="798" t="s">
        <v>14</v>
      </c>
      <c r="D2605" s="800">
        <v>49.18</v>
      </c>
    </row>
    <row r="2606" spans="1:4" ht="27">
      <c r="A2606" s="798">
        <v>93196</v>
      </c>
      <c r="B2606" s="799" t="s">
        <v>2164</v>
      </c>
      <c r="C2606" s="798" t="s">
        <v>14</v>
      </c>
      <c r="D2606" s="800">
        <v>71.540000000000006</v>
      </c>
    </row>
    <row r="2607" spans="1:4" ht="27">
      <c r="A2607" s="798">
        <v>93197</v>
      </c>
      <c r="B2607" s="799" t="s">
        <v>478</v>
      </c>
      <c r="C2607" s="798" t="s">
        <v>14</v>
      </c>
      <c r="D2607" s="800">
        <v>80.2</v>
      </c>
    </row>
    <row r="2608" spans="1:4" ht="40.5">
      <c r="A2608" s="798">
        <v>93198</v>
      </c>
      <c r="B2608" s="799" t="s">
        <v>2165</v>
      </c>
      <c r="C2608" s="798" t="s">
        <v>14</v>
      </c>
      <c r="D2608" s="800">
        <v>36.92</v>
      </c>
    </row>
    <row r="2609" spans="1:4" ht="40.5">
      <c r="A2609" s="798">
        <v>93199</v>
      </c>
      <c r="B2609" s="799" t="s">
        <v>2166</v>
      </c>
      <c r="C2609" s="798" t="s">
        <v>14</v>
      </c>
      <c r="D2609" s="800">
        <v>36.5</v>
      </c>
    </row>
    <row r="2610" spans="1:4" ht="27">
      <c r="A2610" s="798">
        <v>93200</v>
      </c>
      <c r="B2610" s="799" t="s">
        <v>479</v>
      </c>
      <c r="C2610" s="798" t="s">
        <v>14</v>
      </c>
      <c r="D2610" s="800">
        <v>2.44</v>
      </c>
    </row>
    <row r="2611" spans="1:4" ht="27">
      <c r="A2611" s="798">
        <v>93201</v>
      </c>
      <c r="B2611" s="799" t="s">
        <v>480</v>
      </c>
      <c r="C2611" s="798" t="s">
        <v>14</v>
      </c>
      <c r="D2611" s="800">
        <v>4.7699999999999996</v>
      </c>
    </row>
    <row r="2612" spans="1:4" ht="27">
      <c r="A2612" s="798">
        <v>93202</v>
      </c>
      <c r="B2612" s="799" t="s">
        <v>2167</v>
      </c>
      <c r="C2612" s="798" t="s">
        <v>14</v>
      </c>
      <c r="D2612" s="800">
        <v>22.42</v>
      </c>
    </row>
    <row r="2613" spans="1:4" ht="27">
      <c r="A2613" s="798">
        <v>93203</v>
      </c>
      <c r="B2613" s="799" t="s">
        <v>3186</v>
      </c>
      <c r="C2613" s="798" t="s">
        <v>14</v>
      </c>
      <c r="D2613" s="800">
        <v>14.72</v>
      </c>
    </row>
    <row r="2614" spans="1:4" ht="27">
      <c r="A2614" s="798">
        <v>93204</v>
      </c>
      <c r="B2614" s="799" t="s">
        <v>2168</v>
      </c>
      <c r="C2614" s="798" t="s">
        <v>14</v>
      </c>
      <c r="D2614" s="800">
        <v>53.86</v>
      </c>
    </row>
    <row r="2615" spans="1:4" ht="27">
      <c r="A2615" s="798">
        <v>93205</v>
      </c>
      <c r="B2615" s="799" t="s">
        <v>2169</v>
      </c>
      <c r="C2615" s="798" t="s">
        <v>14</v>
      </c>
      <c r="D2615" s="800">
        <v>36.24</v>
      </c>
    </row>
    <row r="2616" spans="1:4" ht="54">
      <c r="A2616" s="798">
        <v>95952</v>
      </c>
      <c r="B2616" s="799" t="s">
        <v>558</v>
      </c>
      <c r="C2616" s="798" t="s">
        <v>22</v>
      </c>
      <c r="D2616" s="800">
        <v>2340.4299999999998</v>
      </c>
    </row>
    <row r="2617" spans="1:4" ht="54">
      <c r="A2617" s="798">
        <v>95953</v>
      </c>
      <c r="B2617" s="799" t="s">
        <v>2727</v>
      </c>
      <c r="C2617" s="798" t="s">
        <v>22</v>
      </c>
      <c r="D2617" s="800">
        <v>3730.22</v>
      </c>
    </row>
    <row r="2618" spans="1:4" ht="54">
      <c r="A2618" s="798">
        <v>95954</v>
      </c>
      <c r="B2618" s="799" t="s">
        <v>559</v>
      </c>
      <c r="C2618" s="798" t="s">
        <v>22</v>
      </c>
      <c r="D2618" s="800">
        <v>2625.29</v>
      </c>
    </row>
    <row r="2619" spans="1:4" ht="54">
      <c r="A2619" s="798">
        <v>95955</v>
      </c>
      <c r="B2619" s="799" t="s">
        <v>560</v>
      </c>
      <c r="C2619" s="798" t="s">
        <v>22</v>
      </c>
      <c r="D2619" s="800">
        <v>3263.08</v>
      </c>
    </row>
    <row r="2620" spans="1:4" ht="54">
      <c r="A2620" s="798">
        <v>95956</v>
      </c>
      <c r="B2620" s="799" t="s">
        <v>2728</v>
      </c>
      <c r="C2620" s="798" t="s">
        <v>22</v>
      </c>
      <c r="D2620" s="800">
        <v>2520.27</v>
      </c>
    </row>
    <row r="2621" spans="1:4" ht="40.5">
      <c r="A2621" s="798">
        <v>95957</v>
      </c>
      <c r="B2621" s="799" t="s">
        <v>561</v>
      </c>
      <c r="C2621" s="798" t="s">
        <v>22</v>
      </c>
      <c r="D2621" s="800">
        <v>3354.34</v>
      </c>
    </row>
    <row r="2622" spans="1:4" ht="40.5">
      <c r="A2622" s="798">
        <v>95969</v>
      </c>
      <c r="B2622" s="799" t="s">
        <v>2730</v>
      </c>
      <c r="C2622" s="798" t="s">
        <v>22</v>
      </c>
      <c r="D2622" s="800">
        <v>3190.33</v>
      </c>
    </row>
    <row r="2623" spans="1:4" ht="40.5">
      <c r="A2623" s="798">
        <v>97733</v>
      </c>
      <c r="B2623" s="799" t="s">
        <v>3305</v>
      </c>
      <c r="C2623" s="798" t="s">
        <v>22</v>
      </c>
      <c r="D2623" s="800">
        <v>2803.88</v>
      </c>
    </row>
    <row r="2624" spans="1:4" ht="40.5">
      <c r="A2624" s="798">
        <v>97734</v>
      </c>
      <c r="B2624" s="799" t="s">
        <v>3306</v>
      </c>
      <c r="C2624" s="798" t="s">
        <v>22</v>
      </c>
      <c r="D2624" s="800">
        <v>2391.23</v>
      </c>
    </row>
    <row r="2625" spans="1:4" ht="40.5">
      <c r="A2625" s="798">
        <v>97735</v>
      </c>
      <c r="B2625" s="799" t="s">
        <v>3307</v>
      </c>
      <c r="C2625" s="798" t="s">
        <v>22</v>
      </c>
      <c r="D2625" s="800">
        <v>2026.58</v>
      </c>
    </row>
    <row r="2626" spans="1:4" ht="40.5">
      <c r="A2626" s="798">
        <v>97736</v>
      </c>
      <c r="B2626" s="799" t="s">
        <v>3308</v>
      </c>
      <c r="C2626" s="798" t="s">
        <v>22</v>
      </c>
      <c r="D2626" s="800">
        <v>1379.71</v>
      </c>
    </row>
    <row r="2627" spans="1:4" ht="40.5">
      <c r="A2627" s="798">
        <v>97737</v>
      </c>
      <c r="B2627" s="799" t="s">
        <v>3309</v>
      </c>
      <c r="C2627" s="798" t="s">
        <v>22</v>
      </c>
      <c r="D2627" s="800">
        <v>2950.31</v>
      </c>
    </row>
    <row r="2628" spans="1:4" ht="40.5">
      <c r="A2628" s="798">
        <v>97738</v>
      </c>
      <c r="B2628" s="799" t="s">
        <v>3310</v>
      </c>
      <c r="C2628" s="798" t="s">
        <v>22</v>
      </c>
      <c r="D2628" s="800">
        <v>4826.57</v>
      </c>
    </row>
    <row r="2629" spans="1:4" ht="40.5">
      <c r="A2629" s="798">
        <v>97739</v>
      </c>
      <c r="B2629" s="799" t="s">
        <v>3311</v>
      </c>
      <c r="C2629" s="798" t="s">
        <v>22</v>
      </c>
      <c r="D2629" s="800">
        <v>2536.69</v>
      </c>
    </row>
    <row r="2630" spans="1:4" ht="40.5">
      <c r="A2630" s="798">
        <v>97740</v>
      </c>
      <c r="B2630" s="799" t="s">
        <v>3312</v>
      </c>
      <c r="C2630" s="798" t="s">
        <v>22</v>
      </c>
      <c r="D2630" s="800">
        <v>1978.76</v>
      </c>
    </row>
    <row r="2631" spans="1:4" ht="40.5">
      <c r="A2631" s="798">
        <v>98615</v>
      </c>
      <c r="B2631" s="799" t="s">
        <v>3313</v>
      </c>
      <c r="C2631" s="798" t="s">
        <v>32</v>
      </c>
      <c r="D2631" s="800">
        <v>139.53</v>
      </c>
    </row>
    <row r="2632" spans="1:4" ht="40.5">
      <c r="A2632" s="798">
        <v>98616</v>
      </c>
      <c r="B2632" s="799" t="s">
        <v>3314</v>
      </c>
      <c r="C2632" s="798" t="s">
        <v>32</v>
      </c>
      <c r="D2632" s="800">
        <v>112.41</v>
      </c>
    </row>
    <row r="2633" spans="1:4" ht="27">
      <c r="A2633" s="798">
        <v>98617</v>
      </c>
      <c r="B2633" s="799" t="s">
        <v>3315</v>
      </c>
      <c r="C2633" s="798" t="s">
        <v>32</v>
      </c>
      <c r="D2633" s="800">
        <v>105.24</v>
      </c>
    </row>
    <row r="2634" spans="1:4" ht="40.5">
      <c r="A2634" s="798">
        <v>98618</v>
      </c>
      <c r="B2634" s="799" t="s">
        <v>3316</v>
      </c>
      <c r="C2634" s="798" t="s">
        <v>32</v>
      </c>
      <c r="D2634" s="800">
        <v>143.74</v>
      </c>
    </row>
    <row r="2635" spans="1:4" ht="40.5">
      <c r="A2635" s="798">
        <v>98619</v>
      </c>
      <c r="B2635" s="799" t="s">
        <v>3317</v>
      </c>
      <c r="C2635" s="798" t="s">
        <v>32</v>
      </c>
      <c r="D2635" s="800">
        <v>132.84</v>
      </c>
    </row>
    <row r="2636" spans="1:4" ht="27">
      <c r="A2636" s="798">
        <v>98620</v>
      </c>
      <c r="B2636" s="799" t="s">
        <v>3318</v>
      </c>
      <c r="C2636" s="798" t="s">
        <v>32</v>
      </c>
      <c r="D2636" s="800">
        <v>127.31</v>
      </c>
    </row>
    <row r="2637" spans="1:4" ht="40.5">
      <c r="A2637" s="798">
        <v>98621</v>
      </c>
      <c r="B2637" s="799" t="s">
        <v>3319</v>
      </c>
      <c r="C2637" s="798" t="s">
        <v>32</v>
      </c>
      <c r="D2637" s="800">
        <v>165.63</v>
      </c>
    </row>
    <row r="2638" spans="1:4" ht="40.5">
      <c r="A2638" s="798">
        <v>98622</v>
      </c>
      <c r="B2638" s="799" t="s">
        <v>3320</v>
      </c>
      <c r="C2638" s="798" t="s">
        <v>32</v>
      </c>
      <c r="D2638" s="800">
        <v>156.83000000000001</v>
      </c>
    </row>
    <row r="2639" spans="1:4" ht="27">
      <c r="A2639" s="798">
        <v>98623</v>
      </c>
      <c r="B2639" s="799" t="s">
        <v>3321</v>
      </c>
      <c r="C2639" s="798" t="s">
        <v>32</v>
      </c>
      <c r="D2639" s="800">
        <v>152.33000000000001</v>
      </c>
    </row>
    <row r="2640" spans="1:4" ht="40.5">
      <c r="A2640" s="798">
        <v>98624</v>
      </c>
      <c r="B2640" s="799" t="s">
        <v>3322</v>
      </c>
      <c r="C2640" s="798" t="s">
        <v>32</v>
      </c>
      <c r="D2640" s="800">
        <v>188.88</v>
      </c>
    </row>
    <row r="2641" spans="1:4" ht="40.5">
      <c r="A2641" s="798">
        <v>98625</v>
      </c>
      <c r="B2641" s="799" t="s">
        <v>3323</v>
      </c>
      <c r="C2641" s="798" t="s">
        <v>32</v>
      </c>
      <c r="D2641" s="800">
        <v>181.43</v>
      </c>
    </row>
    <row r="2642" spans="1:4" ht="27">
      <c r="A2642" s="798">
        <v>98626</v>
      </c>
      <c r="B2642" s="799" t="s">
        <v>3324</v>
      </c>
      <c r="C2642" s="798" t="s">
        <v>32</v>
      </c>
      <c r="D2642" s="800">
        <v>177.54</v>
      </c>
    </row>
    <row r="2643" spans="1:4" ht="27">
      <c r="A2643" s="798">
        <v>98655</v>
      </c>
      <c r="B2643" s="799" t="s">
        <v>3325</v>
      </c>
      <c r="C2643" s="798" t="s">
        <v>14</v>
      </c>
      <c r="D2643" s="800">
        <v>614.12</v>
      </c>
    </row>
    <row r="2644" spans="1:4" ht="27">
      <c r="A2644" s="798">
        <v>98656</v>
      </c>
      <c r="B2644" s="799" t="s">
        <v>3326</v>
      </c>
      <c r="C2644" s="798" t="s">
        <v>14</v>
      </c>
      <c r="D2644" s="800">
        <v>624.08000000000004</v>
      </c>
    </row>
    <row r="2645" spans="1:4" ht="27">
      <c r="A2645" s="798">
        <v>98657</v>
      </c>
      <c r="B2645" s="799" t="s">
        <v>3327</v>
      </c>
      <c r="C2645" s="798" t="s">
        <v>14</v>
      </c>
      <c r="D2645" s="800">
        <v>634.03</v>
      </c>
    </row>
    <row r="2646" spans="1:4" ht="27">
      <c r="A2646" s="798">
        <v>98658</v>
      </c>
      <c r="B2646" s="799" t="s">
        <v>3328</v>
      </c>
      <c r="C2646" s="798" t="s">
        <v>14</v>
      </c>
      <c r="D2646" s="800">
        <v>643.98</v>
      </c>
    </row>
    <row r="2647" spans="1:4" ht="27">
      <c r="A2647" s="798">
        <v>98659</v>
      </c>
      <c r="B2647" s="799" t="s">
        <v>3329</v>
      </c>
      <c r="C2647" s="798" t="s">
        <v>14</v>
      </c>
      <c r="D2647" s="800">
        <v>663.89</v>
      </c>
    </row>
    <row r="2648" spans="1:4" ht="27">
      <c r="A2648" s="798">
        <v>98746</v>
      </c>
      <c r="B2648" s="799" t="s">
        <v>3384</v>
      </c>
      <c r="C2648" s="798" t="s">
        <v>14</v>
      </c>
      <c r="D2648" s="800">
        <v>48.23</v>
      </c>
    </row>
    <row r="2649" spans="1:4" ht="27">
      <c r="A2649" s="798">
        <v>98749</v>
      </c>
      <c r="B2649" s="799" t="s">
        <v>3385</v>
      </c>
      <c r="C2649" s="798" t="s">
        <v>14</v>
      </c>
      <c r="D2649" s="800">
        <v>58.42</v>
      </c>
    </row>
    <row r="2650" spans="1:4" ht="27">
      <c r="A2650" s="798">
        <v>98750</v>
      </c>
      <c r="B2650" s="799" t="s">
        <v>3386</v>
      </c>
      <c r="C2650" s="798" t="s">
        <v>14</v>
      </c>
      <c r="D2650" s="800">
        <v>70.81</v>
      </c>
    </row>
    <row r="2651" spans="1:4" ht="27">
      <c r="A2651" s="798">
        <v>98751</v>
      </c>
      <c r="B2651" s="799" t="s">
        <v>3387</v>
      </c>
      <c r="C2651" s="798" t="s">
        <v>14</v>
      </c>
      <c r="D2651" s="800">
        <v>103.19</v>
      </c>
    </row>
    <row r="2652" spans="1:4" ht="27">
      <c r="A2652" s="798">
        <v>98752</v>
      </c>
      <c r="B2652" s="799" t="s">
        <v>3388</v>
      </c>
      <c r="C2652" s="798" t="s">
        <v>14</v>
      </c>
      <c r="D2652" s="800">
        <v>142.28</v>
      </c>
    </row>
    <row r="2653" spans="1:4" ht="27">
      <c r="A2653" s="798">
        <v>98753</v>
      </c>
      <c r="B2653" s="799" t="s">
        <v>3389</v>
      </c>
      <c r="C2653" s="798" t="s">
        <v>14</v>
      </c>
      <c r="D2653" s="800">
        <v>190.98</v>
      </c>
    </row>
    <row r="2654" spans="1:4" ht="54">
      <c r="A2654" s="798">
        <v>100763</v>
      </c>
      <c r="B2654" s="799" t="s">
        <v>4292</v>
      </c>
      <c r="C2654" s="798" t="s">
        <v>16</v>
      </c>
      <c r="D2654" s="800">
        <v>16.52</v>
      </c>
    </row>
    <row r="2655" spans="1:4" ht="54">
      <c r="A2655" s="798">
        <v>100764</v>
      </c>
      <c r="B2655" s="799" t="s">
        <v>4293</v>
      </c>
      <c r="C2655" s="798" t="s">
        <v>16</v>
      </c>
      <c r="D2655" s="800">
        <v>16.47</v>
      </c>
    </row>
    <row r="2656" spans="1:4" ht="54">
      <c r="A2656" s="798">
        <v>100765</v>
      </c>
      <c r="B2656" s="799" t="s">
        <v>4294</v>
      </c>
      <c r="C2656" s="798" t="s">
        <v>16</v>
      </c>
      <c r="D2656" s="800">
        <v>16.37</v>
      </c>
    </row>
    <row r="2657" spans="1:4" ht="54">
      <c r="A2657" s="798">
        <v>100766</v>
      </c>
      <c r="B2657" s="799" t="s">
        <v>6605</v>
      </c>
      <c r="C2657" s="798" t="s">
        <v>16</v>
      </c>
      <c r="D2657" s="800">
        <v>16.579999999999998</v>
      </c>
    </row>
    <row r="2658" spans="1:4" ht="67.5">
      <c r="A2658" s="798">
        <v>100767</v>
      </c>
      <c r="B2658" s="799" t="s">
        <v>4295</v>
      </c>
      <c r="C2658" s="798" t="s">
        <v>16</v>
      </c>
      <c r="D2658" s="800">
        <v>15.43</v>
      </c>
    </row>
    <row r="2659" spans="1:4" ht="67.5">
      <c r="A2659" s="798">
        <v>100768</v>
      </c>
      <c r="B2659" s="799" t="s">
        <v>6606</v>
      </c>
      <c r="C2659" s="798" t="s">
        <v>16</v>
      </c>
      <c r="D2659" s="800">
        <v>19.579999999999998</v>
      </c>
    </row>
    <row r="2660" spans="1:4" ht="67.5">
      <c r="A2660" s="798">
        <v>100769</v>
      </c>
      <c r="B2660" s="799" t="s">
        <v>4296</v>
      </c>
      <c r="C2660" s="798" t="s">
        <v>16</v>
      </c>
      <c r="D2660" s="800">
        <v>20.47</v>
      </c>
    </row>
    <row r="2661" spans="1:4" ht="67.5">
      <c r="A2661" s="798">
        <v>100770</v>
      </c>
      <c r="B2661" s="799" t="s">
        <v>6607</v>
      </c>
      <c r="C2661" s="798" t="s">
        <v>16</v>
      </c>
      <c r="D2661" s="800">
        <v>20.059999999999999</v>
      </c>
    </row>
    <row r="2662" spans="1:4" ht="67.5">
      <c r="A2662" s="798">
        <v>100771</v>
      </c>
      <c r="B2662" s="799" t="s">
        <v>4297</v>
      </c>
      <c r="C2662" s="798" t="s">
        <v>16</v>
      </c>
      <c r="D2662" s="800">
        <v>26.12</v>
      </c>
    </row>
    <row r="2663" spans="1:4" ht="67.5">
      <c r="A2663" s="798">
        <v>100772</v>
      </c>
      <c r="B2663" s="799" t="s">
        <v>6608</v>
      </c>
      <c r="C2663" s="798" t="s">
        <v>16</v>
      </c>
      <c r="D2663" s="800">
        <v>16.05</v>
      </c>
    </row>
    <row r="2664" spans="1:4" ht="54">
      <c r="A2664" s="798">
        <v>100773</v>
      </c>
      <c r="B2664" s="799" t="s">
        <v>4298</v>
      </c>
      <c r="C2664" s="798" t="s">
        <v>16</v>
      </c>
      <c r="D2664" s="800">
        <v>19.54</v>
      </c>
    </row>
    <row r="2665" spans="1:4" ht="54">
      <c r="A2665" s="798">
        <v>100774</v>
      </c>
      <c r="B2665" s="799" t="s">
        <v>4299</v>
      </c>
      <c r="C2665" s="798" t="s">
        <v>16</v>
      </c>
      <c r="D2665" s="800">
        <v>12.66</v>
      </c>
    </row>
    <row r="2666" spans="1:4" ht="54">
      <c r="A2666" s="798">
        <v>100775</v>
      </c>
      <c r="B2666" s="799" t="s">
        <v>4300</v>
      </c>
      <c r="C2666" s="798" t="s">
        <v>16</v>
      </c>
      <c r="D2666" s="800">
        <v>14.26</v>
      </c>
    </row>
    <row r="2667" spans="1:4" ht="54">
      <c r="A2667" s="798">
        <v>100776</v>
      </c>
      <c r="B2667" s="799" t="s">
        <v>4301</v>
      </c>
      <c r="C2667" s="798" t="s">
        <v>16</v>
      </c>
      <c r="D2667" s="800">
        <v>19.66</v>
      </c>
    </row>
    <row r="2668" spans="1:4" ht="54">
      <c r="A2668" s="798">
        <v>100777</v>
      </c>
      <c r="B2668" s="799" t="s">
        <v>4302</v>
      </c>
      <c r="C2668" s="798" t="s">
        <v>16</v>
      </c>
      <c r="D2668" s="800">
        <v>14.45</v>
      </c>
    </row>
    <row r="2669" spans="1:4" ht="54">
      <c r="A2669" s="798">
        <v>100778</v>
      </c>
      <c r="B2669" s="799" t="s">
        <v>4303</v>
      </c>
      <c r="C2669" s="798" t="s">
        <v>16</v>
      </c>
      <c r="D2669" s="800">
        <v>11.19</v>
      </c>
    </row>
    <row r="2670" spans="1:4" ht="40.5">
      <c r="A2670" s="798">
        <v>98560</v>
      </c>
      <c r="B2670" s="799" t="s">
        <v>3330</v>
      </c>
      <c r="C2670" s="798" t="s">
        <v>32</v>
      </c>
      <c r="D2670" s="800">
        <v>37.44</v>
      </c>
    </row>
    <row r="2671" spans="1:4" ht="40.5">
      <c r="A2671" s="798">
        <v>98561</v>
      </c>
      <c r="B2671" s="799" t="s">
        <v>3331</v>
      </c>
      <c r="C2671" s="798" t="s">
        <v>32</v>
      </c>
      <c r="D2671" s="800">
        <v>32.659999999999997</v>
      </c>
    </row>
    <row r="2672" spans="1:4" ht="40.5">
      <c r="A2672" s="798">
        <v>98562</v>
      </c>
      <c r="B2672" s="799" t="s">
        <v>3332</v>
      </c>
      <c r="C2672" s="798" t="s">
        <v>32</v>
      </c>
      <c r="D2672" s="800">
        <v>33.61</v>
      </c>
    </row>
    <row r="2673" spans="1:4" ht="27">
      <c r="A2673" s="798">
        <v>98555</v>
      </c>
      <c r="B2673" s="799" t="s">
        <v>3773</v>
      </c>
      <c r="C2673" s="798" t="s">
        <v>32</v>
      </c>
      <c r="D2673" s="800">
        <v>18.829999999999998</v>
      </c>
    </row>
    <row r="2674" spans="1:4" ht="40.5">
      <c r="A2674" s="798">
        <v>98556</v>
      </c>
      <c r="B2674" s="799" t="s">
        <v>3774</v>
      </c>
      <c r="C2674" s="798" t="s">
        <v>32</v>
      </c>
      <c r="D2674" s="800">
        <v>37.53</v>
      </c>
    </row>
    <row r="2675" spans="1:4" ht="40.5">
      <c r="A2675" s="798">
        <v>98558</v>
      </c>
      <c r="B2675" s="799" t="s">
        <v>3775</v>
      </c>
      <c r="C2675" s="798" t="s">
        <v>24</v>
      </c>
      <c r="D2675" s="800">
        <v>5.88</v>
      </c>
    </row>
    <row r="2676" spans="1:4" ht="13.5">
      <c r="A2676" s="798">
        <v>98559</v>
      </c>
      <c r="B2676" s="799" t="s">
        <v>3333</v>
      </c>
      <c r="C2676" s="798" t="s">
        <v>14</v>
      </c>
      <c r="D2676" s="800">
        <v>3.88</v>
      </c>
    </row>
    <row r="2677" spans="1:4" ht="40.5">
      <c r="A2677" s="798">
        <v>98546</v>
      </c>
      <c r="B2677" s="799" t="s">
        <v>3334</v>
      </c>
      <c r="C2677" s="798" t="s">
        <v>32</v>
      </c>
      <c r="D2677" s="800">
        <v>89.91</v>
      </c>
    </row>
    <row r="2678" spans="1:4" ht="40.5">
      <c r="A2678" s="798">
        <v>98547</v>
      </c>
      <c r="B2678" s="799" t="s">
        <v>3335</v>
      </c>
      <c r="C2678" s="798" t="s">
        <v>32</v>
      </c>
      <c r="D2678" s="800">
        <v>172.12</v>
      </c>
    </row>
    <row r="2679" spans="1:4" ht="27">
      <c r="A2679" s="798">
        <v>98553</v>
      </c>
      <c r="B2679" s="799" t="s">
        <v>4868</v>
      </c>
      <c r="C2679" s="798" t="s">
        <v>32</v>
      </c>
      <c r="D2679" s="800">
        <v>100.49</v>
      </c>
    </row>
    <row r="2680" spans="1:4" ht="27">
      <c r="A2680" s="798">
        <v>98554</v>
      </c>
      <c r="B2680" s="799" t="s">
        <v>4869</v>
      </c>
      <c r="C2680" s="798" t="s">
        <v>32</v>
      </c>
      <c r="D2680" s="800">
        <v>32.86</v>
      </c>
    </row>
    <row r="2681" spans="1:4" ht="27">
      <c r="A2681" s="798">
        <v>98557</v>
      </c>
      <c r="B2681" s="799" t="s">
        <v>3336</v>
      </c>
      <c r="C2681" s="798" t="s">
        <v>32</v>
      </c>
      <c r="D2681" s="800">
        <v>57.84</v>
      </c>
    </row>
    <row r="2682" spans="1:4" ht="40.5">
      <c r="A2682" s="798">
        <v>98563</v>
      </c>
      <c r="B2682" s="799" t="s">
        <v>3337</v>
      </c>
      <c r="C2682" s="798" t="s">
        <v>32</v>
      </c>
      <c r="D2682" s="800">
        <v>28.4</v>
      </c>
    </row>
    <row r="2683" spans="1:4" ht="40.5">
      <c r="A2683" s="798">
        <v>98564</v>
      </c>
      <c r="B2683" s="799" t="s">
        <v>3338</v>
      </c>
      <c r="C2683" s="798" t="s">
        <v>32</v>
      </c>
      <c r="D2683" s="800">
        <v>41.71</v>
      </c>
    </row>
    <row r="2684" spans="1:4" ht="40.5">
      <c r="A2684" s="798">
        <v>98565</v>
      </c>
      <c r="B2684" s="799" t="s">
        <v>3339</v>
      </c>
      <c r="C2684" s="798" t="s">
        <v>32</v>
      </c>
      <c r="D2684" s="800">
        <v>40.520000000000003</v>
      </c>
    </row>
    <row r="2685" spans="1:4" ht="40.5">
      <c r="A2685" s="798">
        <v>98566</v>
      </c>
      <c r="B2685" s="799" t="s">
        <v>3340</v>
      </c>
      <c r="C2685" s="798" t="s">
        <v>32</v>
      </c>
      <c r="D2685" s="800">
        <v>53.83</v>
      </c>
    </row>
    <row r="2686" spans="1:4" ht="40.5">
      <c r="A2686" s="798">
        <v>98567</v>
      </c>
      <c r="B2686" s="799" t="s">
        <v>3341</v>
      </c>
      <c r="C2686" s="798" t="s">
        <v>32</v>
      </c>
      <c r="D2686" s="800">
        <v>51.97</v>
      </c>
    </row>
    <row r="2687" spans="1:4" ht="40.5">
      <c r="A2687" s="798">
        <v>98568</v>
      </c>
      <c r="B2687" s="799" t="s">
        <v>3342</v>
      </c>
      <c r="C2687" s="798" t="s">
        <v>32</v>
      </c>
      <c r="D2687" s="800">
        <v>65.27</v>
      </c>
    </row>
    <row r="2688" spans="1:4" ht="40.5">
      <c r="A2688" s="798">
        <v>98569</v>
      </c>
      <c r="B2688" s="799" t="s">
        <v>3343</v>
      </c>
      <c r="C2688" s="798" t="s">
        <v>32</v>
      </c>
      <c r="D2688" s="800">
        <v>64.08</v>
      </c>
    </row>
    <row r="2689" spans="1:4" ht="40.5">
      <c r="A2689" s="798">
        <v>98570</v>
      </c>
      <c r="B2689" s="799" t="s">
        <v>3344</v>
      </c>
      <c r="C2689" s="798" t="s">
        <v>32</v>
      </c>
      <c r="D2689" s="800">
        <v>77.400000000000006</v>
      </c>
    </row>
    <row r="2690" spans="1:4" ht="27">
      <c r="A2690" s="798">
        <v>98571</v>
      </c>
      <c r="B2690" s="799" t="s">
        <v>3345</v>
      </c>
      <c r="C2690" s="798" t="s">
        <v>32</v>
      </c>
      <c r="D2690" s="800">
        <v>37.97</v>
      </c>
    </row>
    <row r="2691" spans="1:4" ht="27">
      <c r="A2691" s="798">
        <v>98572</v>
      </c>
      <c r="B2691" s="799" t="s">
        <v>3346</v>
      </c>
      <c r="C2691" s="798" t="s">
        <v>32</v>
      </c>
      <c r="D2691" s="800">
        <v>46.65</v>
      </c>
    </row>
    <row r="2692" spans="1:4" ht="27">
      <c r="A2692" s="798">
        <v>98573</v>
      </c>
      <c r="B2692" s="799" t="s">
        <v>3347</v>
      </c>
      <c r="C2692" s="798" t="s">
        <v>32</v>
      </c>
      <c r="D2692" s="800">
        <v>59.66</v>
      </c>
    </row>
    <row r="2693" spans="1:4" ht="40.5">
      <c r="A2693" s="798">
        <v>91831</v>
      </c>
      <c r="B2693" s="799" t="s">
        <v>1806</v>
      </c>
      <c r="C2693" s="798" t="s">
        <v>14</v>
      </c>
      <c r="D2693" s="800">
        <v>6.81</v>
      </c>
    </row>
    <row r="2694" spans="1:4" ht="40.5">
      <c r="A2694" s="798">
        <v>91833</v>
      </c>
      <c r="B2694" s="799" t="s">
        <v>3776</v>
      </c>
      <c r="C2694" s="798" t="s">
        <v>14</v>
      </c>
      <c r="D2694" s="800">
        <v>7.27</v>
      </c>
    </row>
    <row r="2695" spans="1:4" ht="40.5">
      <c r="A2695" s="798">
        <v>91834</v>
      </c>
      <c r="B2695" s="799" t="s">
        <v>1807</v>
      </c>
      <c r="C2695" s="798" t="s">
        <v>14</v>
      </c>
      <c r="D2695" s="800">
        <v>7.5</v>
      </c>
    </row>
    <row r="2696" spans="1:4" ht="40.5">
      <c r="A2696" s="798">
        <v>91835</v>
      </c>
      <c r="B2696" s="799" t="s">
        <v>3777</v>
      </c>
      <c r="C2696" s="798" t="s">
        <v>14</v>
      </c>
      <c r="D2696" s="800">
        <v>8.69</v>
      </c>
    </row>
    <row r="2697" spans="1:4" ht="40.5">
      <c r="A2697" s="798">
        <v>91836</v>
      </c>
      <c r="B2697" s="799" t="s">
        <v>1808</v>
      </c>
      <c r="C2697" s="798" t="s">
        <v>14</v>
      </c>
      <c r="D2697" s="800">
        <v>9.81</v>
      </c>
    </row>
    <row r="2698" spans="1:4" ht="40.5">
      <c r="A2698" s="798">
        <v>91837</v>
      </c>
      <c r="B2698" s="799" t="s">
        <v>3778</v>
      </c>
      <c r="C2698" s="798" t="s">
        <v>14</v>
      </c>
      <c r="D2698" s="800">
        <v>12.59</v>
      </c>
    </row>
    <row r="2699" spans="1:4" ht="40.5">
      <c r="A2699" s="798">
        <v>91839</v>
      </c>
      <c r="B2699" s="799" t="s">
        <v>3779</v>
      </c>
      <c r="C2699" s="798" t="s">
        <v>14</v>
      </c>
      <c r="D2699" s="800">
        <v>8.1300000000000008</v>
      </c>
    </row>
    <row r="2700" spans="1:4" ht="40.5">
      <c r="A2700" s="798">
        <v>91840</v>
      </c>
      <c r="B2700" s="799" t="s">
        <v>3780</v>
      </c>
      <c r="C2700" s="798" t="s">
        <v>14</v>
      </c>
      <c r="D2700" s="800">
        <v>10.06</v>
      </c>
    </row>
    <row r="2701" spans="1:4" ht="40.5">
      <c r="A2701" s="798">
        <v>91841</v>
      </c>
      <c r="B2701" s="799" t="s">
        <v>3781</v>
      </c>
      <c r="C2701" s="798" t="s">
        <v>14</v>
      </c>
      <c r="D2701" s="800">
        <v>9.5399999999999991</v>
      </c>
    </row>
    <row r="2702" spans="1:4" ht="40.5">
      <c r="A2702" s="798">
        <v>91842</v>
      </c>
      <c r="B2702" s="799" t="s">
        <v>1809</v>
      </c>
      <c r="C2702" s="798" t="s">
        <v>14</v>
      </c>
      <c r="D2702" s="800">
        <v>4.62</v>
      </c>
    </row>
    <row r="2703" spans="1:4" ht="40.5">
      <c r="A2703" s="798">
        <v>91843</v>
      </c>
      <c r="B2703" s="799" t="s">
        <v>3782</v>
      </c>
      <c r="C2703" s="798" t="s">
        <v>14</v>
      </c>
      <c r="D2703" s="800">
        <v>5.08</v>
      </c>
    </row>
    <row r="2704" spans="1:4" ht="40.5">
      <c r="A2704" s="798">
        <v>91844</v>
      </c>
      <c r="B2704" s="799" t="s">
        <v>1810</v>
      </c>
      <c r="C2704" s="798" t="s">
        <v>14</v>
      </c>
      <c r="D2704" s="800">
        <v>5.31</v>
      </c>
    </row>
    <row r="2705" spans="1:4" ht="40.5">
      <c r="A2705" s="798">
        <v>91845</v>
      </c>
      <c r="B2705" s="799" t="s">
        <v>3783</v>
      </c>
      <c r="C2705" s="798" t="s">
        <v>14</v>
      </c>
      <c r="D2705" s="800">
        <v>6.5</v>
      </c>
    </row>
    <row r="2706" spans="1:4" ht="40.5">
      <c r="A2706" s="798">
        <v>91846</v>
      </c>
      <c r="B2706" s="799" t="s">
        <v>1811</v>
      </c>
      <c r="C2706" s="798" t="s">
        <v>14</v>
      </c>
      <c r="D2706" s="800">
        <v>7.63</v>
      </c>
    </row>
    <row r="2707" spans="1:4" ht="40.5">
      <c r="A2707" s="798">
        <v>91847</v>
      </c>
      <c r="B2707" s="799" t="s">
        <v>3784</v>
      </c>
      <c r="C2707" s="798" t="s">
        <v>14</v>
      </c>
      <c r="D2707" s="800">
        <v>10.41</v>
      </c>
    </row>
    <row r="2708" spans="1:4" ht="40.5">
      <c r="A2708" s="798">
        <v>91849</v>
      </c>
      <c r="B2708" s="799" t="s">
        <v>3785</v>
      </c>
      <c r="C2708" s="798" t="s">
        <v>14</v>
      </c>
      <c r="D2708" s="800">
        <v>5.95</v>
      </c>
    </row>
    <row r="2709" spans="1:4" ht="40.5">
      <c r="A2709" s="798">
        <v>91850</v>
      </c>
      <c r="B2709" s="799" t="s">
        <v>3786</v>
      </c>
      <c r="C2709" s="798" t="s">
        <v>14</v>
      </c>
      <c r="D2709" s="800">
        <v>7.91</v>
      </c>
    </row>
    <row r="2710" spans="1:4" ht="40.5">
      <c r="A2710" s="798">
        <v>91851</v>
      </c>
      <c r="B2710" s="799" t="s">
        <v>3787</v>
      </c>
      <c r="C2710" s="798" t="s">
        <v>14</v>
      </c>
      <c r="D2710" s="800">
        <v>7.39</v>
      </c>
    </row>
    <row r="2711" spans="1:4" ht="40.5">
      <c r="A2711" s="798">
        <v>91852</v>
      </c>
      <c r="B2711" s="799" t="s">
        <v>1812</v>
      </c>
      <c r="C2711" s="798" t="s">
        <v>14</v>
      </c>
      <c r="D2711" s="800">
        <v>6.4</v>
      </c>
    </row>
    <row r="2712" spans="1:4" ht="40.5">
      <c r="A2712" s="798">
        <v>91853</v>
      </c>
      <c r="B2712" s="799" t="s">
        <v>3788</v>
      </c>
      <c r="C2712" s="798" t="s">
        <v>14</v>
      </c>
      <c r="D2712" s="800">
        <v>6.82</v>
      </c>
    </row>
    <row r="2713" spans="1:4" ht="40.5">
      <c r="A2713" s="798">
        <v>91854</v>
      </c>
      <c r="B2713" s="799" t="s">
        <v>1813</v>
      </c>
      <c r="C2713" s="798" t="s">
        <v>14</v>
      </c>
      <c r="D2713" s="800">
        <v>7.09</v>
      </c>
    </row>
    <row r="2714" spans="1:4" ht="40.5">
      <c r="A2714" s="798">
        <v>91855</v>
      </c>
      <c r="B2714" s="799" t="s">
        <v>3789</v>
      </c>
      <c r="C2714" s="798" t="s">
        <v>14</v>
      </c>
      <c r="D2714" s="800">
        <v>8.19</v>
      </c>
    </row>
    <row r="2715" spans="1:4" ht="40.5">
      <c r="A2715" s="798">
        <v>91856</v>
      </c>
      <c r="B2715" s="799" t="s">
        <v>1814</v>
      </c>
      <c r="C2715" s="798" t="s">
        <v>14</v>
      </c>
      <c r="D2715" s="800">
        <v>9.2899999999999991</v>
      </c>
    </row>
    <row r="2716" spans="1:4" ht="40.5">
      <c r="A2716" s="798">
        <v>91857</v>
      </c>
      <c r="B2716" s="799" t="s">
        <v>3790</v>
      </c>
      <c r="C2716" s="798" t="s">
        <v>14</v>
      </c>
      <c r="D2716" s="800">
        <v>11.86</v>
      </c>
    </row>
    <row r="2717" spans="1:4" ht="40.5">
      <c r="A2717" s="798">
        <v>91859</v>
      </c>
      <c r="B2717" s="799" t="s">
        <v>3791</v>
      </c>
      <c r="C2717" s="798" t="s">
        <v>14</v>
      </c>
      <c r="D2717" s="800">
        <v>7.73</v>
      </c>
    </row>
    <row r="2718" spans="1:4" ht="40.5">
      <c r="A2718" s="798">
        <v>91860</v>
      </c>
      <c r="B2718" s="799" t="s">
        <v>3792</v>
      </c>
      <c r="C2718" s="798" t="s">
        <v>14</v>
      </c>
      <c r="D2718" s="800">
        <v>9.61</v>
      </c>
    </row>
    <row r="2719" spans="1:4" ht="40.5">
      <c r="A2719" s="798">
        <v>91861</v>
      </c>
      <c r="B2719" s="799" t="s">
        <v>3793</v>
      </c>
      <c r="C2719" s="798" t="s">
        <v>14</v>
      </c>
      <c r="D2719" s="800">
        <v>9.1300000000000008</v>
      </c>
    </row>
    <row r="2720" spans="1:4" ht="40.5">
      <c r="A2720" s="798">
        <v>91862</v>
      </c>
      <c r="B2720" s="799" t="s">
        <v>1815</v>
      </c>
      <c r="C2720" s="798" t="s">
        <v>14</v>
      </c>
      <c r="D2720" s="800">
        <v>8.26</v>
      </c>
    </row>
    <row r="2721" spans="1:4" ht="40.5">
      <c r="A2721" s="798">
        <v>91863</v>
      </c>
      <c r="B2721" s="799" t="s">
        <v>1816</v>
      </c>
      <c r="C2721" s="798" t="s">
        <v>14</v>
      </c>
      <c r="D2721" s="800">
        <v>9.64</v>
      </c>
    </row>
    <row r="2722" spans="1:4" ht="40.5">
      <c r="A2722" s="798">
        <v>91864</v>
      </c>
      <c r="B2722" s="799" t="s">
        <v>1817</v>
      </c>
      <c r="C2722" s="798" t="s">
        <v>14</v>
      </c>
      <c r="D2722" s="800">
        <v>12.74</v>
      </c>
    </row>
    <row r="2723" spans="1:4" ht="40.5">
      <c r="A2723" s="798">
        <v>91865</v>
      </c>
      <c r="B2723" s="799" t="s">
        <v>1818</v>
      </c>
      <c r="C2723" s="798" t="s">
        <v>14</v>
      </c>
      <c r="D2723" s="800">
        <v>15.76</v>
      </c>
    </row>
    <row r="2724" spans="1:4" ht="40.5">
      <c r="A2724" s="798">
        <v>91866</v>
      </c>
      <c r="B2724" s="799" t="s">
        <v>1819</v>
      </c>
      <c r="C2724" s="798" t="s">
        <v>14</v>
      </c>
      <c r="D2724" s="800">
        <v>6.19</v>
      </c>
    </row>
    <row r="2725" spans="1:4" ht="40.5">
      <c r="A2725" s="798">
        <v>91867</v>
      </c>
      <c r="B2725" s="799" t="s">
        <v>1820</v>
      </c>
      <c r="C2725" s="798" t="s">
        <v>14</v>
      </c>
      <c r="D2725" s="800">
        <v>7.55</v>
      </c>
    </row>
    <row r="2726" spans="1:4" ht="40.5">
      <c r="A2726" s="798">
        <v>91868</v>
      </c>
      <c r="B2726" s="799" t="s">
        <v>1821</v>
      </c>
      <c r="C2726" s="798" t="s">
        <v>14</v>
      </c>
      <c r="D2726" s="800">
        <v>10.66</v>
      </c>
    </row>
    <row r="2727" spans="1:4" ht="40.5">
      <c r="A2727" s="798">
        <v>91869</v>
      </c>
      <c r="B2727" s="799" t="s">
        <v>1822</v>
      </c>
      <c r="C2727" s="798" t="s">
        <v>14</v>
      </c>
      <c r="D2727" s="800">
        <v>13.68</v>
      </c>
    </row>
    <row r="2728" spans="1:4" ht="40.5">
      <c r="A2728" s="798">
        <v>91870</v>
      </c>
      <c r="B2728" s="799" t="s">
        <v>1823</v>
      </c>
      <c r="C2728" s="798" t="s">
        <v>14</v>
      </c>
      <c r="D2728" s="800">
        <v>8.4700000000000006</v>
      </c>
    </row>
    <row r="2729" spans="1:4" ht="40.5">
      <c r="A2729" s="798">
        <v>91871</v>
      </c>
      <c r="B2729" s="799" t="s">
        <v>1824</v>
      </c>
      <c r="C2729" s="798" t="s">
        <v>14</v>
      </c>
      <c r="D2729" s="800">
        <v>9.89</v>
      </c>
    </row>
    <row r="2730" spans="1:4" ht="40.5">
      <c r="A2730" s="798">
        <v>91872</v>
      </c>
      <c r="B2730" s="799" t="s">
        <v>1825</v>
      </c>
      <c r="C2730" s="798" t="s">
        <v>14</v>
      </c>
      <c r="D2730" s="800">
        <v>12.97</v>
      </c>
    </row>
    <row r="2731" spans="1:4" ht="40.5">
      <c r="A2731" s="798">
        <v>91873</v>
      </c>
      <c r="B2731" s="799" t="s">
        <v>1826</v>
      </c>
      <c r="C2731" s="798" t="s">
        <v>14</v>
      </c>
      <c r="D2731" s="800">
        <v>15.97</v>
      </c>
    </row>
    <row r="2732" spans="1:4" ht="40.5">
      <c r="A2732" s="798">
        <v>93008</v>
      </c>
      <c r="B2732" s="799" t="s">
        <v>8217</v>
      </c>
      <c r="C2732" s="798" t="s">
        <v>14</v>
      </c>
      <c r="D2732" s="800">
        <v>13.79</v>
      </c>
    </row>
    <row r="2733" spans="1:4" ht="40.5">
      <c r="A2733" s="798">
        <v>93009</v>
      </c>
      <c r="B2733" s="799" t="s">
        <v>8218</v>
      </c>
      <c r="C2733" s="798" t="s">
        <v>14</v>
      </c>
      <c r="D2733" s="800">
        <v>20.63</v>
      </c>
    </row>
    <row r="2734" spans="1:4" ht="40.5">
      <c r="A2734" s="798">
        <v>93010</v>
      </c>
      <c r="B2734" s="799" t="s">
        <v>8219</v>
      </c>
      <c r="C2734" s="798" t="s">
        <v>14</v>
      </c>
      <c r="D2734" s="800">
        <v>28.94</v>
      </c>
    </row>
    <row r="2735" spans="1:4" ht="40.5">
      <c r="A2735" s="798">
        <v>93011</v>
      </c>
      <c r="B2735" s="799" t="s">
        <v>8220</v>
      </c>
      <c r="C2735" s="798" t="s">
        <v>14</v>
      </c>
      <c r="D2735" s="800">
        <v>35.51</v>
      </c>
    </row>
    <row r="2736" spans="1:4" ht="40.5">
      <c r="A2736" s="798">
        <v>93012</v>
      </c>
      <c r="B2736" s="799" t="s">
        <v>8221</v>
      </c>
      <c r="C2736" s="798" t="s">
        <v>14</v>
      </c>
      <c r="D2736" s="800">
        <v>54</v>
      </c>
    </row>
    <row r="2737" spans="1:4" ht="40.5">
      <c r="A2737" s="798">
        <v>95726</v>
      </c>
      <c r="B2737" s="799" t="s">
        <v>2673</v>
      </c>
      <c r="C2737" s="798" t="s">
        <v>14</v>
      </c>
      <c r="D2737" s="800">
        <v>5.78</v>
      </c>
    </row>
    <row r="2738" spans="1:4" ht="40.5">
      <c r="A2738" s="798">
        <v>95727</v>
      </c>
      <c r="B2738" s="799" t="s">
        <v>2674</v>
      </c>
      <c r="C2738" s="798" t="s">
        <v>14</v>
      </c>
      <c r="D2738" s="800">
        <v>6.57</v>
      </c>
    </row>
    <row r="2739" spans="1:4" ht="40.5">
      <c r="A2739" s="798">
        <v>95728</v>
      </c>
      <c r="B2739" s="799" t="s">
        <v>2675</v>
      </c>
      <c r="C2739" s="798" t="s">
        <v>14</v>
      </c>
      <c r="D2739" s="800">
        <v>8.27</v>
      </c>
    </row>
    <row r="2740" spans="1:4" ht="40.5">
      <c r="A2740" s="798">
        <v>95729</v>
      </c>
      <c r="B2740" s="799" t="s">
        <v>2676</v>
      </c>
      <c r="C2740" s="798" t="s">
        <v>14</v>
      </c>
      <c r="D2740" s="800">
        <v>7.27</v>
      </c>
    </row>
    <row r="2741" spans="1:4" ht="40.5">
      <c r="A2741" s="798">
        <v>95730</v>
      </c>
      <c r="B2741" s="799" t="s">
        <v>2677</v>
      </c>
      <c r="C2741" s="798" t="s">
        <v>14</v>
      </c>
      <c r="D2741" s="800">
        <v>8.06</v>
      </c>
    </row>
    <row r="2742" spans="1:4" ht="40.5">
      <c r="A2742" s="798">
        <v>95731</v>
      </c>
      <c r="B2742" s="799" t="s">
        <v>2678</v>
      </c>
      <c r="C2742" s="798" t="s">
        <v>14</v>
      </c>
      <c r="D2742" s="800">
        <v>9.76</v>
      </c>
    </row>
    <row r="2743" spans="1:4" ht="40.5">
      <c r="A2743" s="798">
        <v>95732</v>
      </c>
      <c r="B2743" s="799" t="s">
        <v>2679</v>
      </c>
      <c r="C2743" s="798" t="s">
        <v>24</v>
      </c>
      <c r="D2743" s="800">
        <v>3.57</v>
      </c>
    </row>
    <row r="2744" spans="1:4" ht="40.5">
      <c r="A2744" s="798">
        <v>95745</v>
      </c>
      <c r="B2744" s="799" t="s">
        <v>2685</v>
      </c>
      <c r="C2744" s="798" t="s">
        <v>14</v>
      </c>
      <c r="D2744" s="800">
        <v>18.88</v>
      </c>
    </row>
    <row r="2745" spans="1:4" ht="40.5">
      <c r="A2745" s="798">
        <v>95746</v>
      </c>
      <c r="B2745" s="799" t="s">
        <v>2686</v>
      </c>
      <c r="C2745" s="798" t="s">
        <v>14</v>
      </c>
      <c r="D2745" s="800">
        <v>23.4</v>
      </c>
    </row>
    <row r="2746" spans="1:4" ht="40.5">
      <c r="A2746" s="798">
        <v>95747</v>
      </c>
      <c r="B2746" s="799" t="s">
        <v>2687</v>
      </c>
      <c r="C2746" s="798" t="s">
        <v>14</v>
      </c>
      <c r="D2746" s="800">
        <v>39.08</v>
      </c>
    </row>
    <row r="2747" spans="1:4" ht="40.5">
      <c r="A2747" s="798">
        <v>95748</v>
      </c>
      <c r="B2747" s="799" t="s">
        <v>553</v>
      </c>
      <c r="C2747" s="798" t="s">
        <v>14</v>
      </c>
      <c r="D2747" s="800">
        <v>41.91</v>
      </c>
    </row>
    <row r="2748" spans="1:4" ht="40.5">
      <c r="A2748" s="798">
        <v>95749</v>
      </c>
      <c r="B2748" s="799" t="s">
        <v>2688</v>
      </c>
      <c r="C2748" s="798" t="s">
        <v>14</v>
      </c>
      <c r="D2748" s="800">
        <v>23.69</v>
      </c>
    </row>
    <row r="2749" spans="1:4" ht="40.5">
      <c r="A2749" s="798">
        <v>95750</v>
      </c>
      <c r="B2749" s="799" t="s">
        <v>2689</v>
      </c>
      <c r="C2749" s="798" t="s">
        <v>14</v>
      </c>
      <c r="D2749" s="800">
        <v>28.1</v>
      </c>
    </row>
    <row r="2750" spans="1:4" ht="40.5">
      <c r="A2750" s="798">
        <v>95751</v>
      </c>
      <c r="B2750" s="799" t="s">
        <v>2690</v>
      </c>
      <c r="C2750" s="798" t="s">
        <v>14</v>
      </c>
      <c r="D2750" s="800">
        <v>43.64</v>
      </c>
    </row>
    <row r="2751" spans="1:4" ht="40.5">
      <c r="A2751" s="798">
        <v>95752</v>
      </c>
      <c r="B2751" s="799" t="s">
        <v>2691</v>
      </c>
      <c r="C2751" s="798" t="s">
        <v>14</v>
      </c>
      <c r="D2751" s="800">
        <v>46.29</v>
      </c>
    </row>
    <row r="2752" spans="1:4" ht="40.5">
      <c r="A2752" s="798">
        <v>97667</v>
      </c>
      <c r="B2752" s="799" t="s">
        <v>8222</v>
      </c>
      <c r="C2752" s="798" t="s">
        <v>14</v>
      </c>
      <c r="D2752" s="800">
        <v>6.16</v>
      </c>
    </row>
    <row r="2753" spans="1:4" ht="40.5">
      <c r="A2753" s="798">
        <v>97668</v>
      </c>
      <c r="B2753" s="799" t="s">
        <v>8223</v>
      </c>
      <c r="C2753" s="798" t="s">
        <v>14</v>
      </c>
      <c r="D2753" s="800">
        <v>8.7799999999999994</v>
      </c>
    </row>
    <row r="2754" spans="1:4" ht="40.5">
      <c r="A2754" s="798">
        <v>97669</v>
      </c>
      <c r="B2754" s="799" t="s">
        <v>8224</v>
      </c>
      <c r="C2754" s="798" t="s">
        <v>14</v>
      </c>
      <c r="D2754" s="800">
        <v>12.96</v>
      </c>
    </row>
    <row r="2755" spans="1:4" ht="40.5">
      <c r="A2755" s="798">
        <v>97670</v>
      </c>
      <c r="B2755" s="799" t="s">
        <v>8225</v>
      </c>
      <c r="C2755" s="798" t="s">
        <v>14</v>
      </c>
      <c r="D2755" s="800">
        <v>16.72</v>
      </c>
    </row>
    <row r="2756" spans="1:4" ht="40.5">
      <c r="A2756" s="798">
        <v>91874</v>
      </c>
      <c r="B2756" s="799" t="s">
        <v>1827</v>
      </c>
      <c r="C2756" s="798" t="s">
        <v>24</v>
      </c>
      <c r="D2756" s="800">
        <v>3.64</v>
      </c>
    </row>
    <row r="2757" spans="1:4" ht="40.5">
      <c r="A2757" s="798">
        <v>91875</v>
      </c>
      <c r="B2757" s="799" t="s">
        <v>1828</v>
      </c>
      <c r="C2757" s="798" t="s">
        <v>24</v>
      </c>
      <c r="D2757" s="800">
        <v>4.82</v>
      </c>
    </row>
    <row r="2758" spans="1:4" ht="40.5">
      <c r="A2758" s="798">
        <v>91876</v>
      </c>
      <c r="B2758" s="799" t="s">
        <v>1829</v>
      </c>
      <c r="C2758" s="798" t="s">
        <v>24</v>
      </c>
      <c r="D2758" s="800">
        <v>6.38</v>
      </c>
    </row>
    <row r="2759" spans="1:4" ht="40.5">
      <c r="A2759" s="798">
        <v>91877</v>
      </c>
      <c r="B2759" s="799" t="s">
        <v>410</v>
      </c>
      <c r="C2759" s="798" t="s">
        <v>24</v>
      </c>
      <c r="D2759" s="800">
        <v>8.5299999999999994</v>
      </c>
    </row>
    <row r="2760" spans="1:4" ht="40.5">
      <c r="A2760" s="798">
        <v>91878</v>
      </c>
      <c r="B2760" s="799" t="s">
        <v>1830</v>
      </c>
      <c r="C2760" s="798" t="s">
        <v>24</v>
      </c>
      <c r="D2760" s="800">
        <v>4.6399999999999997</v>
      </c>
    </row>
    <row r="2761" spans="1:4" ht="40.5">
      <c r="A2761" s="798">
        <v>91879</v>
      </c>
      <c r="B2761" s="799" t="s">
        <v>1831</v>
      </c>
      <c r="C2761" s="798" t="s">
        <v>24</v>
      </c>
      <c r="D2761" s="800">
        <v>5.8</v>
      </c>
    </row>
    <row r="2762" spans="1:4" ht="40.5">
      <c r="A2762" s="798">
        <v>91880</v>
      </c>
      <c r="B2762" s="799" t="s">
        <v>1832</v>
      </c>
      <c r="C2762" s="798" t="s">
        <v>24</v>
      </c>
      <c r="D2762" s="800">
        <v>7.39</v>
      </c>
    </row>
    <row r="2763" spans="1:4" ht="40.5">
      <c r="A2763" s="798">
        <v>91881</v>
      </c>
      <c r="B2763" s="799" t="s">
        <v>411</v>
      </c>
      <c r="C2763" s="798" t="s">
        <v>24</v>
      </c>
      <c r="D2763" s="800">
        <v>9.5399999999999991</v>
      </c>
    </row>
    <row r="2764" spans="1:4" ht="40.5">
      <c r="A2764" s="798">
        <v>91882</v>
      </c>
      <c r="B2764" s="799" t="s">
        <v>1833</v>
      </c>
      <c r="C2764" s="798" t="s">
        <v>24</v>
      </c>
      <c r="D2764" s="800">
        <v>5.72</v>
      </c>
    </row>
    <row r="2765" spans="1:4" ht="40.5">
      <c r="A2765" s="798">
        <v>91884</v>
      </c>
      <c r="B2765" s="799" t="s">
        <v>1834</v>
      </c>
      <c r="C2765" s="798" t="s">
        <v>24</v>
      </c>
      <c r="D2765" s="800">
        <v>6.63</v>
      </c>
    </row>
    <row r="2766" spans="1:4" ht="40.5">
      <c r="A2766" s="798">
        <v>91885</v>
      </c>
      <c r="B2766" s="799" t="s">
        <v>1835</v>
      </c>
      <c r="C2766" s="798" t="s">
        <v>24</v>
      </c>
      <c r="D2766" s="800">
        <v>7.87</v>
      </c>
    </row>
    <row r="2767" spans="1:4" ht="40.5">
      <c r="A2767" s="798">
        <v>91886</v>
      </c>
      <c r="B2767" s="799" t="s">
        <v>1836</v>
      </c>
      <c r="C2767" s="798" t="s">
        <v>24</v>
      </c>
      <c r="D2767" s="800">
        <v>9.64</v>
      </c>
    </row>
    <row r="2768" spans="1:4" ht="40.5">
      <c r="A2768" s="798">
        <v>91887</v>
      </c>
      <c r="B2768" s="799" t="s">
        <v>1837</v>
      </c>
      <c r="C2768" s="798" t="s">
        <v>24</v>
      </c>
      <c r="D2768" s="800">
        <v>6.88</v>
      </c>
    </row>
    <row r="2769" spans="1:4" ht="40.5">
      <c r="A2769" s="798">
        <v>91889</v>
      </c>
      <c r="B2769" s="799" t="s">
        <v>1838</v>
      </c>
      <c r="C2769" s="798" t="s">
        <v>24</v>
      </c>
      <c r="D2769" s="800">
        <v>6.6</v>
      </c>
    </row>
    <row r="2770" spans="1:4" ht="40.5">
      <c r="A2770" s="798">
        <v>91890</v>
      </c>
      <c r="B2770" s="799" t="s">
        <v>1839</v>
      </c>
      <c r="C2770" s="798" t="s">
        <v>24</v>
      </c>
      <c r="D2770" s="800">
        <v>8.1300000000000008</v>
      </c>
    </row>
    <row r="2771" spans="1:4" ht="40.5">
      <c r="A2771" s="798">
        <v>91892</v>
      </c>
      <c r="B2771" s="799" t="s">
        <v>1840</v>
      </c>
      <c r="C2771" s="798" t="s">
        <v>24</v>
      </c>
      <c r="D2771" s="800">
        <v>9.98</v>
      </c>
    </row>
    <row r="2772" spans="1:4" ht="40.5">
      <c r="A2772" s="798">
        <v>91893</v>
      </c>
      <c r="B2772" s="799" t="s">
        <v>1841</v>
      </c>
      <c r="C2772" s="798" t="s">
        <v>24</v>
      </c>
      <c r="D2772" s="800">
        <v>11.16</v>
      </c>
    </row>
    <row r="2773" spans="1:4" ht="40.5">
      <c r="A2773" s="798">
        <v>91895</v>
      </c>
      <c r="B2773" s="799" t="s">
        <v>3794</v>
      </c>
      <c r="C2773" s="798" t="s">
        <v>24</v>
      </c>
      <c r="D2773" s="800">
        <v>13.04</v>
      </c>
    </row>
    <row r="2774" spans="1:4" ht="40.5">
      <c r="A2774" s="798">
        <v>91896</v>
      </c>
      <c r="B2774" s="799" t="s">
        <v>412</v>
      </c>
      <c r="C2774" s="798" t="s">
        <v>24</v>
      </c>
      <c r="D2774" s="800">
        <v>13.57</v>
      </c>
    </row>
    <row r="2775" spans="1:4" ht="40.5">
      <c r="A2775" s="798">
        <v>91898</v>
      </c>
      <c r="B2775" s="799" t="s">
        <v>1842</v>
      </c>
      <c r="C2775" s="798" t="s">
        <v>24</v>
      </c>
      <c r="D2775" s="800">
        <v>15.59</v>
      </c>
    </row>
    <row r="2776" spans="1:4" ht="40.5">
      <c r="A2776" s="798">
        <v>91899</v>
      </c>
      <c r="B2776" s="799" t="s">
        <v>1843</v>
      </c>
      <c r="C2776" s="798" t="s">
        <v>24</v>
      </c>
      <c r="D2776" s="800">
        <v>8.34</v>
      </c>
    </row>
    <row r="2777" spans="1:4" ht="40.5">
      <c r="A2777" s="798">
        <v>91901</v>
      </c>
      <c r="B2777" s="799" t="s">
        <v>1844</v>
      </c>
      <c r="C2777" s="798" t="s">
        <v>24</v>
      </c>
      <c r="D2777" s="800">
        <v>8.06</v>
      </c>
    </row>
    <row r="2778" spans="1:4" ht="40.5">
      <c r="A2778" s="798">
        <v>91902</v>
      </c>
      <c r="B2778" s="799" t="s">
        <v>1845</v>
      </c>
      <c r="C2778" s="798" t="s">
        <v>24</v>
      </c>
      <c r="D2778" s="800">
        <v>9.58</v>
      </c>
    </row>
    <row r="2779" spans="1:4" ht="40.5">
      <c r="A2779" s="798">
        <v>91904</v>
      </c>
      <c r="B2779" s="799" t="s">
        <v>1846</v>
      </c>
      <c r="C2779" s="798" t="s">
        <v>24</v>
      </c>
      <c r="D2779" s="800">
        <v>11.43</v>
      </c>
    </row>
    <row r="2780" spans="1:4" ht="40.5">
      <c r="A2780" s="798">
        <v>91905</v>
      </c>
      <c r="B2780" s="799" t="s">
        <v>1847</v>
      </c>
      <c r="C2780" s="798" t="s">
        <v>24</v>
      </c>
      <c r="D2780" s="800">
        <v>12.62</v>
      </c>
    </row>
    <row r="2781" spans="1:4" ht="40.5">
      <c r="A2781" s="798">
        <v>91907</v>
      </c>
      <c r="B2781" s="799" t="s">
        <v>3795</v>
      </c>
      <c r="C2781" s="798" t="s">
        <v>24</v>
      </c>
      <c r="D2781" s="800">
        <v>14.5</v>
      </c>
    </row>
    <row r="2782" spans="1:4" ht="40.5">
      <c r="A2782" s="798">
        <v>91908</v>
      </c>
      <c r="B2782" s="799" t="s">
        <v>1848</v>
      </c>
      <c r="C2782" s="798" t="s">
        <v>24</v>
      </c>
      <c r="D2782" s="800">
        <v>15.06</v>
      </c>
    </row>
    <row r="2783" spans="1:4" ht="40.5">
      <c r="A2783" s="798">
        <v>91910</v>
      </c>
      <c r="B2783" s="799" t="s">
        <v>1849</v>
      </c>
      <c r="C2783" s="798" t="s">
        <v>24</v>
      </c>
      <c r="D2783" s="800">
        <v>17.079999999999998</v>
      </c>
    </row>
    <row r="2784" spans="1:4" ht="40.5">
      <c r="A2784" s="798">
        <v>91911</v>
      </c>
      <c r="B2784" s="799" t="s">
        <v>1850</v>
      </c>
      <c r="C2784" s="798" t="s">
        <v>24</v>
      </c>
      <c r="D2784" s="800">
        <v>10</v>
      </c>
    </row>
    <row r="2785" spans="1:4" ht="40.5">
      <c r="A2785" s="798">
        <v>91913</v>
      </c>
      <c r="B2785" s="799" t="s">
        <v>413</v>
      </c>
      <c r="C2785" s="798" t="s">
        <v>24</v>
      </c>
      <c r="D2785" s="800">
        <v>9.7200000000000006</v>
      </c>
    </row>
    <row r="2786" spans="1:4" ht="40.5">
      <c r="A2786" s="798">
        <v>91914</v>
      </c>
      <c r="B2786" s="799" t="s">
        <v>1851</v>
      </c>
      <c r="C2786" s="798" t="s">
        <v>24</v>
      </c>
      <c r="D2786" s="800">
        <v>10.87</v>
      </c>
    </row>
    <row r="2787" spans="1:4" ht="40.5">
      <c r="A2787" s="798">
        <v>91916</v>
      </c>
      <c r="B2787" s="799" t="s">
        <v>414</v>
      </c>
      <c r="C2787" s="798" t="s">
        <v>24</v>
      </c>
      <c r="D2787" s="800">
        <v>12.72</v>
      </c>
    </row>
    <row r="2788" spans="1:4" ht="40.5">
      <c r="A2788" s="798">
        <v>91917</v>
      </c>
      <c r="B2788" s="799" t="s">
        <v>1852</v>
      </c>
      <c r="C2788" s="798" t="s">
        <v>24</v>
      </c>
      <c r="D2788" s="800">
        <v>13.38</v>
      </c>
    </row>
    <row r="2789" spans="1:4" ht="40.5">
      <c r="A2789" s="798">
        <v>91919</v>
      </c>
      <c r="B2789" s="799" t="s">
        <v>3796</v>
      </c>
      <c r="C2789" s="798" t="s">
        <v>24</v>
      </c>
      <c r="D2789" s="800">
        <v>15.26</v>
      </c>
    </row>
    <row r="2790" spans="1:4" ht="40.5">
      <c r="A2790" s="798">
        <v>91920</v>
      </c>
      <c r="B2790" s="799" t="s">
        <v>415</v>
      </c>
      <c r="C2790" s="798" t="s">
        <v>24</v>
      </c>
      <c r="D2790" s="800">
        <v>15.23</v>
      </c>
    </row>
    <row r="2791" spans="1:4" ht="40.5">
      <c r="A2791" s="798">
        <v>91922</v>
      </c>
      <c r="B2791" s="799" t="s">
        <v>1853</v>
      </c>
      <c r="C2791" s="798" t="s">
        <v>24</v>
      </c>
      <c r="D2791" s="800">
        <v>17.25</v>
      </c>
    </row>
    <row r="2792" spans="1:4" ht="40.5">
      <c r="A2792" s="798">
        <v>93013</v>
      </c>
      <c r="B2792" s="799" t="s">
        <v>8226</v>
      </c>
      <c r="C2792" s="798" t="s">
        <v>24</v>
      </c>
      <c r="D2792" s="800">
        <v>11.12</v>
      </c>
    </row>
    <row r="2793" spans="1:4" ht="40.5">
      <c r="A2793" s="798">
        <v>93014</v>
      </c>
      <c r="B2793" s="799" t="s">
        <v>8227</v>
      </c>
      <c r="C2793" s="798" t="s">
        <v>24</v>
      </c>
      <c r="D2793" s="800">
        <v>13.77</v>
      </c>
    </row>
    <row r="2794" spans="1:4" ht="40.5">
      <c r="A2794" s="798">
        <v>93015</v>
      </c>
      <c r="B2794" s="799" t="s">
        <v>8228</v>
      </c>
      <c r="C2794" s="798" t="s">
        <v>24</v>
      </c>
      <c r="D2794" s="800">
        <v>21.44</v>
      </c>
    </row>
    <row r="2795" spans="1:4" ht="40.5">
      <c r="A2795" s="798">
        <v>93016</v>
      </c>
      <c r="B2795" s="799" t="s">
        <v>8229</v>
      </c>
      <c r="C2795" s="798" t="s">
        <v>24</v>
      </c>
      <c r="D2795" s="800">
        <v>26.28</v>
      </c>
    </row>
    <row r="2796" spans="1:4" ht="40.5">
      <c r="A2796" s="798">
        <v>93017</v>
      </c>
      <c r="B2796" s="799" t="s">
        <v>8230</v>
      </c>
      <c r="C2796" s="798" t="s">
        <v>24</v>
      </c>
      <c r="D2796" s="800">
        <v>40.130000000000003</v>
      </c>
    </row>
    <row r="2797" spans="1:4" ht="54">
      <c r="A2797" s="798">
        <v>93018</v>
      </c>
      <c r="B2797" s="799" t="s">
        <v>8231</v>
      </c>
      <c r="C2797" s="798" t="s">
        <v>24</v>
      </c>
      <c r="D2797" s="800">
        <v>17.03</v>
      </c>
    </row>
    <row r="2798" spans="1:4" ht="54">
      <c r="A2798" s="798">
        <v>93020</v>
      </c>
      <c r="B2798" s="799" t="s">
        <v>8232</v>
      </c>
      <c r="C2798" s="798" t="s">
        <v>24</v>
      </c>
      <c r="D2798" s="800">
        <v>22.11</v>
      </c>
    </row>
    <row r="2799" spans="1:4" ht="54">
      <c r="A2799" s="798">
        <v>93022</v>
      </c>
      <c r="B2799" s="799" t="s">
        <v>8233</v>
      </c>
      <c r="C2799" s="798" t="s">
        <v>24</v>
      </c>
      <c r="D2799" s="800">
        <v>38.22</v>
      </c>
    </row>
    <row r="2800" spans="1:4" ht="54">
      <c r="A2800" s="798">
        <v>93024</v>
      </c>
      <c r="B2800" s="799" t="s">
        <v>8234</v>
      </c>
      <c r="C2800" s="798" t="s">
        <v>24</v>
      </c>
      <c r="D2800" s="800">
        <v>40</v>
      </c>
    </row>
    <row r="2801" spans="1:4" ht="54">
      <c r="A2801" s="798">
        <v>93026</v>
      </c>
      <c r="B2801" s="799" t="s">
        <v>8235</v>
      </c>
      <c r="C2801" s="798" t="s">
        <v>24</v>
      </c>
      <c r="D2801" s="800">
        <v>66.77</v>
      </c>
    </row>
    <row r="2802" spans="1:4" ht="40.5">
      <c r="A2802" s="798">
        <v>95733</v>
      </c>
      <c r="B2802" s="799" t="s">
        <v>2680</v>
      </c>
      <c r="C2802" s="798" t="s">
        <v>24</v>
      </c>
      <c r="D2802" s="800">
        <v>4.68</v>
      </c>
    </row>
    <row r="2803" spans="1:4" ht="40.5">
      <c r="A2803" s="798">
        <v>95734</v>
      </c>
      <c r="B2803" s="799" t="s">
        <v>2681</v>
      </c>
      <c r="C2803" s="798" t="s">
        <v>24</v>
      </c>
      <c r="D2803" s="800">
        <v>6.22</v>
      </c>
    </row>
    <row r="2804" spans="1:4" ht="40.5">
      <c r="A2804" s="798">
        <v>95735</v>
      </c>
      <c r="B2804" s="799" t="s">
        <v>2682</v>
      </c>
      <c r="C2804" s="798" t="s">
        <v>24</v>
      </c>
      <c r="D2804" s="800">
        <v>5.1100000000000003</v>
      </c>
    </row>
    <row r="2805" spans="1:4" ht="40.5">
      <c r="A2805" s="798">
        <v>95736</v>
      </c>
      <c r="B2805" s="799" t="s">
        <v>2683</v>
      </c>
      <c r="C2805" s="798" t="s">
        <v>24</v>
      </c>
      <c r="D2805" s="800">
        <v>6.03</v>
      </c>
    </row>
    <row r="2806" spans="1:4" ht="40.5">
      <c r="A2806" s="798">
        <v>95738</v>
      </c>
      <c r="B2806" s="799" t="s">
        <v>2684</v>
      </c>
      <c r="C2806" s="798" t="s">
        <v>24</v>
      </c>
      <c r="D2806" s="800">
        <v>7.32</v>
      </c>
    </row>
    <row r="2807" spans="1:4" ht="40.5">
      <c r="A2807" s="798">
        <v>95753</v>
      </c>
      <c r="B2807" s="799" t="s">
        <v>2692</v>
      </c>
      <c r="C2807" s="798" t="s">
        <v>24</v>
      </c>
      <c r="D2807" s="800">
        <v>5.65</v>
      </c>
    </row>
    <row r="2808" spans="1:4" ht="40.5">
      <c r="A2808" s="798">
        <v>95754</v>
      </c>
      <c r="B2808" s="799" t="s">
        <v>2693</v>
      </c>
      <c r="C2808" s="798" t="s">
        <v>24</v>
      </c>
      <c r="D2808" s="800">
        <v>7</v>
      </c>
    </row>
    <row r="2809" spans="1:4" ht="40.5">
      <c r="A2809" s="798">
        <v>95755</v>
      </c>
      <c r="B2809" s="799" t="s">
        <v>2694</v>
      </c>
      <c r="C2809" s="798" t="s">
        <v>24</v>
      </c>
      <c r="D2809" s="800">
        <v>10.23</v>
      </c>
    </row>
    <row r="2810" spans="1:4" ht="40.5">
      <c r="A2810" s="798">
        <v>95756</v>
      </c>
      <c r="B2810" s="799" t="s">
        <v>2695</v>
      </c>
      <c r="C2810" s="798" t="s">
        <v>24</v>
      </c>
      <c r="D2810" s="800">
        <v>13.73</v>
      </c>
    </row>
    <row r="2811" spans="1:4" ht="40.5">
      <c r="A2811" s="798">
        <v>95757</v>
      </c>
      <c r="B2811" s="799" t="s">
        <v>2696</v>
      </c>
      <c r="C2811" s="798" t="s">
        <v>24</v>
      </c>
      <c r="D2811" s="800">
        <v>8.32</v>
      </c>
    </row>
    <row r="2812" spans="1:4" ht="40.5">
      <c r="A2812" s="798">
        <v>95758</v>
      </c>
      <c r="B2812" s="799" t="s">
        <v>2697</v>
      </c>
      <c r="C2812" s="798" t="s">
        <v>24</v>
      </c>
      <c r="D2812" s="800">
        <v>9.36</v>
      </c>
    </row>
    <row r="2813" spans="1:4" ht="40.5">
      <c r="A2813" s="798">
        <v>95759</v>
      </c>
      <c r="B2813" s="799" t="s">
        <v>2698</v>
      </c>
      <c r="C2813" s="798" t="s">
        <v>24</v>
      </c>
      <c r="D2813" s="800">
        <v>12.15</v>
      </c>
    </row>
    <row r="2814" spans="1:4" ht="40.5">
      <c r="A2814" s="798">
        <v>95760</v>
      </c>
      <c r="B2814" s="799" t="s">
        <v>2699</v>
      </c>
      <c r="C2814" s="798" t="s">
        <v>24</v>
      </c>
      <c r="D2814" s="800">
        <v>15.13</v>
      </c>
    </row>
    <row r="2815" spans="1:4" ht="40.5">
      <c r="A2815" s="798">
        <v>97559</v>
      </c>
      <c r="B2815" s="799" t="s">
        <v>3797</v>
      </c>
      <c r="C2815" s="798" t="s">
        <v>24</v>
      </c>
      <c r="D2815" s="800">
        <v>7.92</v>
      </c>
    </row>
    <row r="2816" spans="1:4" ht="40.5">
      <c r="A2816" s="798">
        <v>97562</v>
      </c>
      <c r="B2816" s="799" t="s">
        <v>3798</v>
      </c>
      <c r="C2816" s="798" t="s">
        <v>24</v>
      </c>
      <c r="D2816" s="800">
        <v>9.3699999999999992</v>
      </c>
    </row>
    <row r="2817" spans="1:4" ht="40.5">
      <c r="A2817" s="798">
        <v>97564</v>
      </c>
      <c r="B2817" s="799" t="s">
        <v>3799</v>
      </c>
      <c r="C2817" s="798" t="s">
        <v>24</v>
      </c>
      <c r="D2817" s="800">
        <v>10.66</v>
      </c>
    </row>
    <row r="2818" spans="1:4" ht="40.5">
      <c r="A2818" s="798">
        <v>91924</v>
      </c>
      <c r="B2818" s="799" t="s">
        <v>1854</v>
      </c>
      <c r="C2818" s="798" t="s">
        <v>14</v>
      </c>
      <c r="D2818" s="800">
        <v>2.69</v>
      </c>
    </row>
    <row r="2819" spans="1:4" ht="40.5">
      <c r="A2819" s="798">
        <v>91925</v>
      </c>
      <c r="B2819" s="799" t="s">
        <v>1855</v>
      </c>
      <c r="C2819" s="798" t="s">
        <v>14</v>
      </c>
      <c r="D2819" s="800">
        <v>4</v>
      </c>
    </row>
    <row r="2820" spans="1:4" ht="40.5">
      <c r="A2820" s="798">
        <v>91926</v>
      </c>
      <c r="B2820" s="799" t="s">
        <v>1856</v>
      </c>
      <c r="C2820" s="798" t="s">
        <v>14</v>
      </c>
      <c r="D2820" s="800">
        <v>3.99</v>
      </c>
    </row>
    <row r="2821" spans="1:4" ht="40.5">
      <c r="A2821" s="798">
        <v>91927</v>
      </c>
      <c r="B2821" s="799" t="s">
        <v>1857</v>
      </c>
      <c r="C2821" s="798" t="s">
        <v>14</v>
      </c>
      <c r="D2821" s="800">
        <v>5.42</v>
      </c>
    </row>
    <row r="2822" spans="1:4" ht="40.5">
      <c r="A2822" s="798">
        <v>91928</v>
      </c>
      <c r="B2822" s="799" t="s">
        <v>1858</v>
      </c>
      <c r="C2822" s="798" t="s">
        <v>14</v>
      </c>
      <c r="D2822" s="800">
        <v>6.66</v>
      </c>
    </row>
    <row r="2823" spans="1:4" ht="40.5">
      <c r="A2823" s="798">
        <v>91929</v>
      </c>
      <c r="B2823" s="799" t="s">
        <v>1859</v>
      </c>
      <c r="C2823" s="798" t="s">
        <v>14</v>
      </c>
      <c r="D2823" s="800">
        <v>7.66</v>
      </c>
    </row>
    <row r="2824" spans="1:4" ht="40.5">
      <c r="A2824" s="798">
        <v>91930</v>
      </c>
      <c r="B2824" s="799" t="s">
        <v>1860</v>
      </c>
      <c r="C2824" s="798" t="s">
        <v>14</v>
      </c>
      <c r="D2824" s="800">
        <v>9.17</v>
      </c>
    </row>
    <row r="2825" spans="1:4" ht="40.5">
      <c r="A2825" s="798">
        <v>91931</v>
      </c>
      <c r="B2825" s="799" t="s">
        <v>1861</v>
      </c>
      <c r="C2825" s="798" t="s">
        <v>14</v>
      </c>
      <c r="D2825" s="800">
        <v>10.37</v>
      </c>
    </row>
    <row r="2826" spans="1:4" ht="40.5">
      <c r="A2826" s="798">
        <v>91932</v>
      </c>
      <c r="B2826" s="799" t="s">
        <v>1862</v>
      </c>
      <c r="C2826" s="798" t="s">
        <v>14</v>
      </c>
      <c r="D2826" s="800">
        <v>15.26</v>
      </c>
    </row>
    <row r="2827" spans="1:4" ht="40.5">
      <c r="A2827" s="798">
        <v>91933</v>
      </c>
      <c r="B2827" s="799" t="s">
        <v>1863</v>
      </c>
      <c r="C2827" s="798" t="s">
        <v>14</v>
      </c>
      <c r="D2827" s="800">
        <v>16.39</v>
      </c>
    </row>
    <row r="2828" spans="1:4" ht="40.5">
      <c r="A2828" s="798">
        <v>91934</v>
      </c>
      <c r="B2828" s="799" t="s">
        <v>1864</v>
      </c>
      <c r="C2828" s="798" t="s">
        <v>14</v>
      </c>
      <c r="D2828" s="800">
        <v>23.38</v>
      </c>
    </row>
    <row r="2829" spans="1:4" ht="40.5">
      <c r="A2829" s="798">
        <v>91935</v>
      </c>
      <c r="B2829" s="799" t="s">
        <v>1865</v>
      </c>
      <c r="C2829" s="798" t="s">
        <v>14</v>
      </c>
      <c r="D2829" s="800">
        <v>25.03</v>
      </c>
    </row>
    <row r="2830" spans="1:4" ht="40.5">
      <c r="A2830" s="798">
        <v>92979</v>
      </c>
      <c r="B2830" s="799" t="s">
        <v>2140</v>
      </c>
      <c r="C2830" s="798" t="s">
        <v>14</v>
      </c>
      <c r="D2830" s="800">
        <v>11.18</v>
      </c>
    </row>
    <row r="2831" spans="1:4" ht="40.5">
      <c r="A2831" s="798">
        <v>92980</v>
      </c>
      <c r="B2831" s="799" t="s">
        <v>2141</v>
      </c>
      <c r="C2831" s="798" t="s">
        <v>14</v>
      </c>
      <c r="D2831" s="800">
        <v>12.16</v>
      </c>
    </row>
    <row r="2832" spans="1:4" ht="40.5">
      <c r="A2832" s="798">
        <v>92981</v>
      </c>
      <c r="B2832" s="799" t="s">
        <v>2142</v>
      </c>
      <c r="C2832" s="798" t="s">
        <v>14</v>
      </c>
      <c r="D2832" s="800">
        <v>17.18</v>
      </c>
    </row>
    <row r="2833" spans="1:4" ht="40.5">
      <c r="A2833" s="798">
        <v>92982</v>
      </c>
      <c r="B2833" s="799" t="s">
        <v>2143</v>
      </c>
      <c r="C2833" s="798" t="s">
        <v>14</v>
      </c>
      <c r="D2833" s="800">
        <v>18.61</v>
      </c>
    </row>
    <row r="2834" spans="1:4" ht="54">
      <c r="A2834" s="798">
        <v>92984</v>
      </c>
      <c r="B2834" s="799" t="s">
        <v>8236</v>
      </c>
      <c r="C2834" s="798" t="s">
        <v>14</v>
      </c>
      <c r="D2834" s="800">
        <v>29.43</v>
      </c>
    </row>
    <row r="2835" spans="1:4" ht="54">
      <c r="A2835" s="798">
        <v>92986</v>
      </c>
      <c r="B2835" s="799" t="s">
        <v>8237</v>
      </c>
      <c r="C2835" s="798" t="s">
        <v>14</v>
      </c>
      <c r="D2835" s="800">
        <v>40.08</v>
      </c>
    </row>
    <row r="2836" spans="1:4" ht="54">
      <c r="A2836" s="798">
        <v>92988</v>
      </c>
      <c r="B2836" s="799" t="s">
        <v>8238</v>
      </c>
      <c r="C2836" s="798" t="s">
        <v>14</v>
      </c>
      <c r="D2836" s="800">
        <v>56.56</v>
      </c>
    </row>
    <row r="2837" spans="1:4" ht="54">
      <c r="A2837" s="798">
        <v>92990</v>
      </c>
      <c r="B2837" s="799" t="s">
        <v>8239</v>
      </c>
      <c r="C2837" s="798" t="s">
        <v>14</v>
      </c>
      <c r="D2837" s="800">
        <v>77.819999999999993</v>
      </c>
    </row>
    <row r="2838" spans="1:4" ht="54">
      <c r="A2838" s="798">
        <v>92992</v>
      </c>
      <c r="B2838" s="799" t="s">
        <v>8240</v>
      </c>
      <c r="C2838" s="798" t="s">
        <v>14</v>
      </c>
      <c r="D2838" s="800">
        <v>103</v>
      </c>
    </row>
    <row r="2839" spans="1:4" ht="54">
      <c r="A2839" s="798">
        <v>92994</v>
      </c>
      <c r="B2839" s="799" t="s">
        <v>8241</v>
      </c>
      <c r="C2839" s="798" t="s">
        <v>14</v>
      </c>
      <c r="D2839" s="800">
        <v>133.57</v>
      </c>
    </row>
    <row r="2840" spans="1:4" ht="54">
      <c r="A2840" s="798">
        <v>92996</v>
      </c>
      <c r="B2840" s="799" t="s">
        <v>8242</v>
      </c>
      <c r="C2840" s="798" t="s">
        <v>14</v>
      </c>
      <c r="D2840" s="800">
        <v>165.2</v>
      </c>
    </row>
    <row r="2841" spans="1:4" ht="54">
      <c r="A2841" s="798">
        <v>92998</v>
      </c>
      <c r="B2841" s="799" t="s">
        <v>8243</v>
      </c>
      <c r="C2841" s="798" t="s">
        <v>14</v>
      </c>
      <c r="D2841" s="800">
        <v>202.25</v>
      </c>
    </row>
    <row r="2842" spans="1:4" ht="54">
      <c r="A2842" s="798">
        <v>93000</v>
      </c>
      <c r="B2842" s="799" t="s">
        <v>8244</v>
      </c>
      <c r="C2842" s="798" t="s">
        <v>14</v>
      </c>
      <c r="D2842" s="800">
        <v>265.77</v>
      </c>
    </row>
    <row r="2843" spans="1:4" ht="54">
      <c r="A2843" s="798">
        <v>93002</v>
      </c>
      <c r="B2843" s="799" t="s">
        <v>8245</v>
      </c>
      <c r="C2843" s="798" t="s">
        <v>14</v>
      </c>
      <c r="D2843" s="800">
        <v>332.26</v>
      </c>
    </row>
    <row r="2844" spans="1:4" ht="40.5">
      <c r="A2844" s="798">
        <v>101884</v>
      </c>
      <c r="B2844" s="799" t="s">
        <v>5761</v>
      </c>
      <c r="C2844" s="798" t="s">
        <v>14</v>
      </c>
      <c r="D2844" s="800">
        <v>11</v>
      </c>
    </row>
    <row r="2845" spans="1:4" ht="40.5">
      <c r="A2845" s="798">
        <v>101885</v>
      </c>
      <c r="B2845" s="799" t="s">
        <v>5762</v>
      </c>
      <c r="C2845" s="798" t="s">
        <v>14</v>
      </c>
      <c r="D2845" s="800">
        <v>11.98</v>
      </c>
    </row>
    <row r="2846" spans="1:4" ht="40.5">
      <c r="A2846" s="798">
        <v>101886</v>
      </c>
      <c r="B2846" s="799" t="s">
        <v>5763</v>
      </c>
      <c r="C2846" s="798" t="s">
        <v>14</v>
      </c>
      <c r="D2846" s="800">
        <v>16.97</v>
      </c>
    </row>
    <row r="2847" spans="1:4" ht="40.5">
      <c r="A2847" s="798">
        <v>101887</v>
      </c>
      <c r="B2847" s="799" t="s">
        <v>5764</v>
      </c>
      <c r="C2847" s="798" t="s">
        <v>14</v>
      </c>
      <c r="D2847" s="800">
        <v>18.399999999999999</v>
      </c>
    </row>
    <row r="2848" spans="1:4" ht="40.5">
      <c r="A2848" s="798">
        <v>101888</v>
      </c>
      <c r="B2848" s="799" t="s">
        <v>5765</v>
      </c>
      <c r="C2848" s="798" t="s">
        <v>14</v>
      </c>
      <c r="D2848" s="800">
        <v>27.27</v>
      </c>
    </row>
    <row r="2849" spans="1:4" ht="40.5">
      <c r="A2849" s="798">
        <v>101889</v>
      </c>
      <c r="B2849" s="799" t="s">
        <v>5766</v>
      </c>
      <c r="C2849" s="798" t="s">
        <v>14</v>
      </c>
      <c r="D2849" s="800">
        <v>28.06</v>
      </c>
    </row>
    <row r="2850" spans="1:4" ht="27">
      <c r="A2850" s="798">
        <v>91936</v>
      </c>
      <c r="B2850" s="799" t="s">
        <v>1866</v>
      </c>
      <c r="C2850" s="798" t="s">
        <v>24</v>
      </c>
      <c r="D2850" s="800">
        <v>10.72</v>
      </c>
    </row>
    <row r="2851" spans="1:4" ht="27">
      <c r="A2851" s="798">
        <v>91937</v>
      </c>
      <c r="B2851" s="799" t="s">
        <v>1867</v>
      </c>
      <c r="C2851" s="798" t="s">
        <v>24</v>
      </c>
      <c r="D2851" s="800">
        <v>8.9499999999999993</v>
      </c>
    </row>
    <row r="2852" spans="1:4" ht="40.5">
      <c r="A2852" s="798">
        <v>91939</v>
      </c>
      <c r="B2852" s="799" t="s">
        <v>1868</v>
      </c>
      <c r="C2852" s="798" t="s">
        <v>24</v>
      </c>
      <c r="D2852" s="800">
        <v>20.75</v>
      </c>
    </row>
    <row r="2853" spans="1:4" ht="40.5">
      <c r="A2853" s="798">
        <v>91940</v>
      </c>
      <c r="B2853" s="799" t="s">
        <v>1869</v>
      </c>
      <c r="C2853" s="798" t="s">
        <v>24</v>
      </c>
      <c r="D2853" s="800">
        <v>11.31</v>
      </c>
    </row>
    <row r="2854" spans="1:4" ht="40.5">
      <c r="A2854" s="798">
        <v>91941</v>
      </c>
      <c r="B2854" s="799" t="s">
        <v>1870</v>
      </c>
      <c r="C2854" s="798" t="s">
        <v>24</v>
      </c>
      <c r="D2854" s="800">
        <v>7.77</v>
      </c>
    </row>
    <row r="2855" spans="1:4" ht="40.5">
      <c r="A2855" s="798">
        <v>91942</v>
      </c>
      <c r="B2855" s="799" t="s">
        <v>1871</v>
      </c>
      <c r="C2855" s="798" t="s">
        <v>24</v>
      </c>
      <c r="D2855" s="800">
        <v>25.79</v>
      </c>
    </row>
    <row r="2856" spans="1:4" ht="40.5">
      <c r="A2856" s="798">
        <v>91943</v>
      </c>
      <c r="B2856" s="799" t="s">
        <v>1872</v>
      </c>
      <c r="C2856" s="798" t="s">
        <v>24</v>
      </c>
      <c r="D2856" s="800">
        <v>14.92</v>
      </c>
    </row>
    <row r="2857" spans="1:4" ht="40.5">
      <c r="A2857" s="798">
        <v>91944</v>
      </c>
      <c r="B2857" s="799" t="s">
        <v>1873</v>
      </c>
      <c r="C2857" s="798" t="s">
        <v>24</v>
      </c>
      <c r="D2857" s="800">
        <v>10.87</v>
      </c>
    </row>
    <row r="2858" spans="1:4" ht="27">
      <c r="A2858" s="798">
        <v>92865</v>
      </c>
      <c r="B2858" s="799" t="s">
        <v>467</v>
      </c>
      <c r="C2858" s="798" t="s">
        <v>24</v>
      </c>
      <c r="D2858" s="800">
        <v>9.0299999999999994</v>
      </c>
    </row>
    <row r="2859" spans="1:4" ht="27">
      <c r="A2859" s="798">
        <v>92866</v>
      </c>
      <c r="B2859" s="799" t="s">
        <v>468</v>
      </c>
      <c r="C2859" s="798" t="s">
        <v>24</v>
      </c>
      <c r="D2859" s="800">
        <v>6.82</v>
      </c>
    </row>
    <row r="2860" spans="1:4" ht="40.5">
      <c r="A2860" s="798">
        <v>92867</v>
      </c>
      <c r="B2860" s="799" t="s">
        <v>469</v>
      </c>
      <c r="C2860" s="798" t="s">
        <v>24</v>
      </c>
      <c r="D2860" s="800">
        <v>20.440000000000001</v>
      </c>
    </row>
    <row r="2861" spans="1:4" ht="40.5">
      <c r="A2861" s="798">
        <v>92868</v>
      </c>
      <c r="B2861" s="799" t="s">
        <v>2112</v>
      </c>
      <c r="C2861" s="798" t="s">
        <v>24</v>
      </c>
      <c r="D2861" s="800">
        <v>11</v>
      </c>
    </row>
    <row r="2862" spans="1:4" ht="40.5">
      <c r="A2862" s="798">
        <v>92869</v>
      </c>
      <c r="B2862" s="799" t="s">
        <v>2113</v>
      </c>
      <c r="C2862" s="798" t="s">
        <v>24</v>
      </c>
      <c r="D2862" s="800">
        <v>7.46</v>
      </c>
    </row>
    <row r="2863" spans="1:4" ht="40.5">
      <c r="A2863" s="798">
        <v>92870</v>
      </c>
      <c r="B2863" s="799" t="s">
        <v>470</v>
      </c>
      <c r="C2863" s="798" t="s">
        <v>24</v>
      </c>
      <c r="D2863" s="800">
        <v>25.43</v>
      </c>
    </row>
    <row r="2864" spans="1:4" ht="40.5">
      <c r="A2864" s="798">
        <v>92871</v>
      </c>
      <c r="B2864" s="799" t="s">
        <v>2114</v>
      </c>
      <c r="C2864" s="798" t="s">
        <v>24</v>
      </c>
      <c r="D2864" s="800">
        <v>14.56</v>
      </c>
    </row>
    <row r="2865" spans="1:4" ht="40.5">
      <c r="A2865" s="798">
        <v>92872</v>
      </c>
      <c r="B2865" s="799" t="s">
        <v>2115</v>
      </c>
      <c r="C2865" s="798" t="s">
        <v>24</v>
      </c>
      <c r="D2865" s="800">
        <v>10.51</v>
      </c>
    </row>
    <row r="2866" spans="1:4" ht="40.5">
      <c r="A2866" s="798">
        <v>95777</v>
      </c>
      <c r="B2866" s="799" t="s">
        <v>2700</v>
      </c>
      <c r="C2866" s="798" t="s">
        <v>24</v>
      </c>
      <c r="D2866" s="800">
        <v>22.28</v>
      </c>
    </row>
    <row r="2867" spans="1:4" ht="40.5">
      <c r="A2867" s="798">
        <v>95778</v>
      </c>
      <c r="B2867" s="799" t="s">
        <v>2701</v>
      </c>
      <c r="C2867" s="798" t="s">
        <v>24</v>
      </c>
      <c r="D2867" s="800">
        <v>22.88</v>
      </c>
    </row>
    <row r="2868" spans="1:4" ht="40.5">
      <c r="A2868" s="798">
        <v>95779</v>
      </c>
      <c r="B2868" s="799" t="s">
        <v>2702</v>
      </c>
      <c r="C2868" s="798" t="s">
        <v>24</v>
      </c>
      <c r="D2868" s="800">
        <v>20.87</v>
      </c>
    </row>
    <row r="2869" spans="1:4" ht="40.5">
      <c r="A2869" s="798">
        <v>95780</v>
      </c>
      <c r="B2869" s="799" t="s">
        <v>2703</v>
      </c>
      <c r="C2869" s="798" t="s">
        <v>24</v>
      </c>
      <c r="D2869" s="800">
        <v>25.56</v>
      </c>
    </row>
    <row r="2870" spans="1:4" ht="40.5">
      <c r="A2870" s="798">
        <v>95781</v>
      </c>
      <c r="B2870" s="799" t="s">
        <v>2704</v>
      </c>
      <c r="C2870" s="798" t="s">
        <v>24</v>
      </c>
      <c r="D2870" s="800">
        <v>26</v>
      </c>
    </row>
    <row r="2871" spans="1:4" ht="40.5">
      <c r="A2871" s="798">
        <v>95782</v>
      </c>
      <c r="B2871" s="799" t="s">
        <v>554</v>
      </c>
      <c r="C2871" s="798" t="s">
        <v>24</v>
      </c>
      <c r="D2871" s="800">
        <v>27.17</v>
      </c>
    </row>
    <row r="2872" spans="1:4" ht="40.5">
      <c r="A2872" s="798">
        <v>95785</v>
      </c>
      <c r="B2872" s="799" t="s">
        <v>2705</v>
      </c>
      <c r="C2872" s="798" t="s">
        <v>24</v>
      </c>
      <c r="D2872" s="800">
        <v>31.08</v>
      </c>
    </row>
    <row r="2873" spans="1:4" ht="40.5">
      <c r="A2873" s="798">
        <v>95787</v>
      </c>
      <c r="B2873" s="799" t="s">
        <v>555</v>
      </c>
      <c r="C2873" s="798" t="s">
        <v>24</v>
      </c>
      <c r="D2873" s="800">
        <v>22.32</v>
      </c>
    </row>
    <row r="2874" spans="1:4" ht="40.5">
      <c r="A2874" s="798">
        <v>95789</v>
      </c>
      <c r="B2874" s="799" t="s">
        <v>556</v>
      </c>
      <c r="C2874" s="798" t="s">
        <v>24</v>
      </c>
      <c r="D2874" s="800">
        <v>28.11</v>
      </c>
    </row>
    <row r="2875" spans="1:4" ht="40.5">
      <c r="A2875" s="798">
        <v>95791</v>
      </c>
      <c r="B2875" s="799" t="s">
        <v>557</v>
      </c>
      <c r="C2875" s="798" t="s">
        <v>24</v>
      </c>
      <c r="D2875" s="800">
        <v>36.75</v>
      </c>
    </row>
    <row r="2876" spans="1:4" ht="40.5">
      <c r="A2876" s="798">
        <v>95795</v>
      </c>
      <c r="B2876" s="799" t="s">
        <v>2706</v>
      </c>
      <c r="C2876" s="798" t="s">
        <v>24</v>
      </c>
      <c r="D2876" s="800">
        <v>25.76</v>
      </c>
    </row>
    <row r="2877" spans="1:4" ht="40.5">
      <c r="A2877" s="798">
        <v>95796</v>
      </c>
      <c r="B2877" s="799" t="s">
        <v>2707</v>
      </c>
      <c r="C2877" s="798" t="s">
        <v>24</v>
      </c>
      <c r="D2877" s="800">
        <v>33.08</v>
      </c>
    </row>
    <row r="2878" spans="1:4" ht="40.5">
      <c r="A2878" s="798">
        <v>95797</v>
      </c>
      <c r="B2878" s="799" t="s">
        <v>2708</v>
      </c>
      <c r="C2878" s="798" t="s">
        <v>24</v>
      </c>
      <c r="D2878" s="800">
        <v>42.58</v>
      </c>
    </row>
    <row r="2879" spans="1:4" ht="40.5">
      <c r="A2879" s="798">
        <v>95801</v>
      </c>
      <c r="B2879" s="799" t="s">
        <v>2709</v>
      </c>
      <c r="C2879" s="798" t="s">
        <v>24</v>
      </c>
      <c r="D2879" s="800">
        <v>31.11</v>
      </c>
    </row>
    <row r="2880" spans="1:4" ht="40.5">
      <c r="A2880" s="798">
        <v>95802</v>
      </c>
      <c r="B2880" s="799" t="s">
        <v>2710</v>
      </c>
      <c r="C2880" s="798" t="s">
        <v>24</v>
      </c>
      <c r="D2880" s="800">
        <v>34.799999999999997</v>
      </c>
    </row>
    <row r="2881" spans="1:4" ht="40.5">
      <c r="A2881" s="798">
        <v>95803</v>
      </c>
      <c r="B2881" s="799" t="s">
        <v>2711</v>
      </c>
      <c r="C2881" s="798" t="s">
        <v>24</v>
      </c>
      <c r="D2881" s="800">
        <v>46.93</v>
      </c>
    </row>
    <row r="2882" spans="1:4" ht="40.5">
      <c r="A2882" s="798">
        <v>95804</v>
      </c>
      <c r="B2882" s="799" t="s">
        <v>2712</v>
      </c>
      <c r="C2882" s="798" t="s">
        <v>24</v>
      </c>
      <c r="D2882" s="800">
        <v>19.63</v>
      </c>
    </row>
    <row r="2883" spans="1:4" ht="40.5">
      <c r="A2883" s="798">
        <v>95805</v>
      </c>
      <c r="B2883" s="799" t="s">
        <v>2713</v>
      </c>
      <c r="C2883" s="798" t="s">
        <v>24</v>
      </c>
      <c r="D2883" s="800">
        <v>19.79</v>
      </c>
    </row>
    <row r="2884" spans="1:4" ht="40.5">
      <c r="A2884" s="798">
        <v>95806</v>
      </c>
      <c r="B2884" s="799" t="s">
        <v>2714</v>
      </c>
      <c r="C2884" s="798" t="s">
        <v>24</v>
      </c>
      <c r="D2884" s="800">
        <v>20.45</v>
      </c>
    </row>
    <row r="2885" spans="1:4" ht="40.5">
      <c r="A2885" s="798">
        <v>95807</v>
      </c>
      <c r="B2885" s="799" t="s">
        <v>2715</v>
      </c>
      <c r="C2885" s="798" t="s">
        <v>24</v>
      </c>
      <c r="D2885" s="800">
        <v>22.45</v>
      </c>
    </row>
    <row r="2886" spans="1:4" ht="40.5">
      <c r="A2886" s="798">
        <v>95808</v>
      </c>
      <c r="B2886" s="799" t="s">
        <v>2716</v>
      </c>
      <c r="C2886" s="798" t="s">
        <v>24</v>
      </c>
      <c r="D2886" s="800">
        <v>22.95</v>
      </c>
    </row>
    <row r="2887" spans="1:4" ht="40.5">
      <c r="A2887" s="798">
        <v>95809</v>
      </c>
      <c r="B2887" s="799" t="s">
        <v>2717</v>
      </c>
      <c r="C2887" s="798" t="s">
        <v>24</v>
      </c>
      <c r="D2887" s="800">
        <v>25.32</v>
      </c>
    </row>
    <row r="2888" spans="1:4" ht="40.5">
      <c r="A2888" s="798">
        <v>95810</v>
      </c>
      <c r="B2888" s="799" t="s">
        <v>2718</v>
      </c>
      <c r="C2888" s="798" t="s">
        <v>24</v>
      </c>
      <c r="D2888" s="800">
        <v>13.13</v>
      </c>
    </row>
    <row r="2889" spans="1:4" ht="40.5">
      <c r="A2889" s="798">
        <v>95811</v>
      </c>
      <c r="B2889" s="799" t="s">
        <v>2719</v>
      </c>
      <c r="C2889" s="798" t="s">
        <v>24</v>
      </c>
      <c r="D2889" s="800">
        <v>13.61</v>
      </c>
    </row>
    <row r="2890" spans="1:4" ht="40.5">
      <c r="A2890" s="798">
        <v>95812</v>
      </c>
      <c r="B2890" s="799" t="s">
        <v>2720</v>
      </c>
      <c r="C2890" s="798" t="s">
        <v>24</v>
      </c>
      <c r="D2890" s="800">
        <v>15.99</v>
      </c>
    </row>
    <row r="2891" spans="1:4" ht="40.5">
      <c r="A2891" s="798">
        <v>95813</v>
      </c>
      <c r="B2891" s="799" t="s">
        <v>2721</v>
      </c>
      <c r="C2891" s="798" t="s">
        <v>24</v>
      </c>
      <c r="D2891" s="800">
        <v>15.6</v>
      </c>
    </row>
    <row r="2892" spans="1:4" ht="40.5">
      <c r="A2892" s="798">
        <v>95814</v>
      </c>
      <c r="B2892" s="799" t="s">
        <v>2722</v>
      </c>
      <c r="C2892" s="798" t="s">
        <v>24</v>
      </c>
      <c r="D2892" s="800">
        <v>16.329999999999998</v>
      </c>
    </row>
    <row r="2893" spans="1:4" ht="40.5">
      <c r="A2893" s="798">
        <v>95815</v>
      </c>
      <c r="B2893" s="799" t="s">
        <v>2723</v>
      </c>
      <c r="C2893" s="798" t="s">
        <v>24</v>
      </c>
      <c r="D2893" s="800">
        <v>20.99</v>
      </c>
    </row>
    <row r="2894" spans="1:4" ht="40.5">
      <c r="A2894" s="798">
        <v>95816</v>
      </c>
      <c r="B2894" s="799" t="s">
        <v>2724</v>
      </c>
      <c r="C2894" s="798" t="s">
        <v>24</v>
      </c>
      <c r="D2894" s="800">
        <v>27.62</v>
      </c>
    </row>
    <row r="2895" spans="1:4" ht="40.5">
      <c r="A2895" s="798">
        <v>95817</v>
      </c>
      <c r="B2895" s="799" t="s">
        <v>2725</v>
      </c>
      <c r="C2895" s="798" t="s">
        <v>24</v>
      </c>
      <c r="D2895" s="800">
        <v>28.19</v>
      </c>
    </row>
    <row r="2896" spans="1:4" ht="40.5">
      <c r="A2896" s="798">
        <v>95818</v>
      </c>
      <c r="B2896" s="799" t="s">
        <v>2726</v>
      </c>
      <c r="C2896" s="798" t="s">
        <v>24</v>
      </c>
      <c r="D2896" s="800">
        <v>34.47</v>
      </c>
    </row>
    <row r="2897" spans="1:4" ht="40.5">
      <c r="A2897" s="798">
        <v>97881</v>
      </c>
      <c r="B2897" s="799" t="s">
        <v>6609</v>
      </c>
      <c r="C2897" s="798" t="s">
        <v>24</v>
      </c>
      <c r="D2897" s="800">
        <v>114.03</v>
      </c>
    </row>
    <row r="2898" spans="1:4" ht="40.5">
      <c r="A2898" s="798">
        <v>97882</v>
      </c>
      <c r="B2898" s="799" t="s">
        <v>6610</v>
      </c>
      <c r="C2898" s="798" t="s">
        <v>24</v>
      </c>
      <c r="D2898" s="800">
        <v>179.31</v>
      </c>
    </row>
    <row r="2899" spans="1:4" ht="40.5">
      <c r="A2899" s="798">
        <v>97883</v>
      </c>
      <c r="B2899" s="799" t="s">
        <v>6611</v>
      </c>
      <c r="C2899" s="798" t="s">
        <v>24</v>
      </c>
      <c r="D2899" s="800">
        <v>345.46</v>
      </c>
    </row>
    <row r="2900" spans="1:4" ht="40.5">
      <c r="A2900" s="798">
        <v>97884</v>
      </c>
      <c r="B2900" s="799" t="s">
        <v>6612</v>
      </c>
      <c r="C2900" s="798" t="s">
        <v>24</v>
      </c>
      <c r="D2900" s="800">
        <v>676.62</v>
      </c>
    </row>
    <row r="2901" spans="1:4" ht="40.5">
      <c r="A2901" s="798">
        <v>97885</v>
      </c>
      <c r="B2901" s="799" t="s">
        <v>6613</v>
      </c>
      <c r="C2901" s="798" t="s">
        <v>24</v>
      </c>
      <c r="D2901" s="800">
        <v>1048.72</v>
      </c>
    </row>
    <row r="2902" spans="1:4" ht="40.5">
      <c r="A2902" s="798">
        <v>97886</v>
      </c>
      <c r="B2902" s="799" t="s">
        <v>6614</v>
      </c>
      <c r="C2902" s="798" t="s">
        <v>24</v>
      </c>
      <c r="D2902" s="800">
        <v>152.99</v>
      </c>
    </row>
    <row r="2903" spans="1:4" ht="40.5">
      <c r="A2903" s="798">
        <v>97887</v>
      </c>
      <c r="B2903" s="799" t="s">
        <v>6615</v>
      </c>
      <c r="C2903" s="798" t="s">
        <v>24</v>
      </c>
      <c r="D2903" s="800">
        <v>242.36</v>
      </c>
    </row>
    <row r="2904" spans="1:4" ht="40.5">
      <c r="A2904" s="798">
        <v>97888</v>
      </c>
      <c r="B2904" s="799" t="s">
        <v>6616</v>
      </c>
      <c r="C2904" s="798" t="s">
        <v>24</v>
      </c>
      <c r="D2904" s="800">
        <v>473.84</v>
      </c>
    </row>
    <row r="2905" spans="1:4" ht="40.5">
      <c r="A2905" s="798">
        <v>97889</v>
      </c>
      <c r="B2905" s="799" t="s">
        <v>6617</v>
      </c>
      <c r="C2905" s="798" t="s">
        <v>24</v>
      </c>
      <c r="D2905" s="800">
        <v>633.38</v>
      </c>
    </row>
    <row r="2906" spans="1:4" ht="40.5">
      <c r="A2906" s="798">
        <v>97890</v>
      </c>
      <c r="B2906" s="799" t="s">
        <v>6618</v>
      </c>
      <c r="C2906" s="798" t="s">
        <v>24</v>
      </c>
      <c r="D2906" s="800">
        <v>741.45</v>
      </c>
    </row>
    <row r="2907" spans="1:4" ht="40.5">
      <c r="A2907" s="798">
        <v>97891</v>
      </c>
      <c r="B2907" s="799" t="s">
        <v>6619</v>
      </c>
      <c r="C2907" s="798" t="s">
        <v>24</v>
      </c>
      <c r="D2907" s="800">
        <v>169.02</v>
      </c>
    </row>
    <row r="2908" spans="1:4" ht="40.5">
      <c r="A2908" s="798">
        <v>97892</v>
      </c>
      <c r="B2908" s="799" t="s">
        <v>6620</v>
      </c>
      <c r="C2908" s="798" t="s">
        <v>24</v>
      </c>
      <c r="D2908" s="800">
        <v>318.77</v>
      </c>
    </row>
    <row r="2909" spans="1:4" ht="40.5">
      <c r="A2909" s="798">
        <v>97893</v>
      </c>
      <c r="B2909" s="799" t="s">
        <v>6621</v>
      </c>
      <c r="C2909" s="798" t="s">
        <v>24</v>
      </c>
      <c r="D2909" s="800">
        <v>435.63</v>
      </c>
    </row>
    <row r="2910" spans="1:4" ht="40.5">
      <c r="A2910" s="798">
        <v>97894</v>
      </c>
      <c r="B2910" s="799" t="s">
        <v>6622</v>
      </c>
      <c r="C2910" s="798" t="s">
        <v>24</v>
      </c>
      <c r="D2910" s="800">
        <v>501.81</v>
      </c>
    </row>
    <row r="2911" spans="1:4" ht="27">
      <c r="A2911" s="798">
        <v>93653</v>
      </c>
      <c r="B2911" s="799" t="s">
        <v>5767</v>
      </c>
      <c r="C2911" s="798" t="s">
        <v>24</v>
      </c>
      <c r="D2911" s="800">
        <v>11.61</v>
      </c>
    </row>
    <row r="2912" spans="1:4" ht="27">
      <c r="A2912" s="798">
        <v>93654</v>
      </c>
      <c r="B2912" s="799" t="s">
        <v>5768</v>
      </c>
      <c r="C2912" s="798" t="s">
        <v>24</v>
      </c>
      <c r="D2912" s="800">
        <v>12.04</v>
      </c>
    </row>
    <row r="2913" spans="1:4" ht="27">
      <c r="A2913" s="798">
        <v>93655</v>
      </c>
      <c r="B2913" s="799" t="s">
        <v>5769</v>
      </c>
      <c r="C2913" s="798" t="s">
        <v>24</v>
      </c>
      <c r="D2913" s="800">
        <v>12.92</v>
      </c>
    </row>
    <row r="2914" spans="1:4" ht="27">
      <c r="A2914" s="798">
        <v>93656</v>
      </c>
      <c r="B2914" s="799" t="s">
        <v>5770</v>
      </c>
      <c r="C2914" s="798" t="s">
        <v>24</v>
      </c>
      <c r="D2914" s="800">
        <v>12.92</v>
      </c>
    </row>
    <row r="2915" spans="1:4" ht="27">
      <c r="A2915" s="798">
        <v>93657</v>
      </c>
      <c r="B2915" s="799" t="s">
        <v>5771</v>
      </c>
      <c r="C2915" s="798" t="s">
        <v>24</v>
      </c>
      <c r="D2915" s="800">
        <v>13.97</v>
      </c>
    </row>
    <row r="2916" spans="1:4" ht="27">
      <c r="A2916" s="798">
        <v>93658</v>
      </c>
      <c r="B2916" s="799" t="s">
        <v>5772</v>
      </c>
      <c r="C2916" s="798" t="s">
        <v>24</v>
      </c>
      <c r="D2916" s="800">
        <v>20.260000000000002</v>
      </c>
    </row>
    <row r="2917" spans="1:4" ht="27">
      <c r="A2917" s="798">
        <v>93659</v>
      </c>
      <c r="B2917" s="799" t="s">
        <v>5773</v>
      </c>
      <c r="C2917" s="798" t="s">
        <v>24</v>
      </c>
      <c r="D2917" s="800">
        <v>22.37</v>
      </c>
    </row>
    <row r="2918" spans="1:4" ht="27">
      <c r="A2918" s="798">
        <v>93660</v>
      </c>
      <c r="B2918" s="799" t="s">
        <v>5774</v>
      </c>
      <c r="C2918" s="798" t="s">
        <v>24</v>
      </c>
      <c r="D2918" s="800">
        <v>59.23</v>
      </c>
    </row>
    <row r="2919" spans="1:4" ht="27">
      <c r="A2919" s="798">
        <v>93661</v>
      </c>
      <c r="B2919" s="799" t="s">
        <v>5775</v>
      </c>
      <c r="C2919" s="798" t="s">
        <v>24</v>
      </c>
      <c r="D2919" s="800">
        <v>60.09</v>
      </c>
    </row>
    <row r="2920" spans="1:4" ht="27">
      <c r="A2920" s="798">
        <v>93662</v>
      </c>
      <c r="B2920" s="799" t="s">
        <v>5776</v>
      </c>
      <c r="C2920" s="798" t="s">
        <v>24</v>
      </c>
      <c r="D2920" s="800">
        <v>61.85</v>
      </c>
    </row>
    <row r="2921" spans="1:4" ht="27">
      <c r="A2921" s="798">
        <v>93663</v>
      </c>
      <c r="B2921" s="799" t="s">
        <v>5777</v>
      </c>
      <c r="C2921" s="798" t="s">
        <v>24</v>
      </c>
      <c r="D2921" s="800">
        <v>61.85</v>
      </c>
    </row>
    <row r="2922" spans="1:4" ht="27">
      <c r="A2922" s="798">
        <v>93664</v>
      </c>
      <c r="B2922" s="799" t="s">
        <v>5778</v>
      </c>
      <c r="C2922" s="798" t="s">
        <v>24</v>
      </c>
      <c r="D2922" s="800">
        <v>63.96</v>
      </c>
    </row>
    <row r="2923" spans="1:4" ht="27">
      <c r="A2923" s="798">
        <v>93665</v>
      </c>
      <c r="B2923" s="799" t="s">
        <v>5779</v>
      </c>
      <c r="C2923" s="798" t="s">
        <v>24</v>
      </c>
      <c r="D2923" s="800">
        <v>66.349999999999994</v>
      </c>
    </row>
    <row r="2924" spans="1:4" ht="27">
      <c r="A2924" s="798">
        <v>93666</v>
      </c>
      <c r="B2924" s="799" t="s">
        <v>5780</v>
      </c>
      <c r="C2924" s="798" t="s">
        <v>24</v>
      </c>
      <c r="D2924" s="800">
        <v>70.58</v>
      </c>
    </row>
    <row r="2925" spans="1:4" ht="27">
      <c r="A2925" s="798">
        <v>93667</v>
      </c>
      <c r="B2925" s="799" t="s">
        <v>5781</v>
      </c>
      <c r="C2925" s="798" t="s">
        <v>24</v>
      </c>
      <c r="D2925" s="800">
        <v>73.67</v>
      </c>
    </row>
    <row r="2926" spans="1:4" ht="27">
      <c r="A2926" s="798">
        <v>93668</v>
      </c>
      <c r="B2926" s="799" t="s">
        <v>5782</v>
      </c>
      <c r="C2926" s="798" t="s">
        <v>24</v>
      </c>
      <c r="D2926" s="800">
        <v>74.95</v>
      </c>
    </row>
    <row r="2927" spans="1:4" ht="27">
      <c r="A2927" s="798">
        <v>93669</v>
      </c>
      <c r="B2927" s="799" t="s">
        <v>5783</v>
      </c>
      <c r="C2927" s="798" t="s">
        <v>24</v>
      </c>
      <c r="D2927" s="800">
        <v>77.59</v>
      </c>
    </row>
    <row r="2928" spans="1:4" ht="27">
      <c r="A2928" s="798">
        <v>93670</v>
      </c>
      <c r="B2928" s="799" t="s">
        <v>5784</v>
      </c>
      <c r="C2928" s="798" t="s">
        <v>24</v>
      </c>
      <c r="D2928" s="800">
        <v>77.59</v>
      </c>
    </row>
    <row r="2929" spans="1:4" ht="27">
      <c r="A2929" s="798">
        <v>93671</v>
      </c>
      <c r="B2929" s="799" t="s">
        <v>5785</v>
      </c>
      <c r="C2929" s="798" t="s">
        <v>24</v>
      </c>
      <c r="D2929" s="800">
        <v>80.75</v>
      </c>
    </row>
    <row r="2930" spans="1:4" ht="27">
      <c r="A2930" s="798">
        <v>93672</v>
      </c>
      <c r="B2930" s="799" t="s">
        <v>5786</v>
      </c>
      <c r="C2930" s="798" t="s">
        <v>24</v>
      </c>
      <c r="D2930" s="800">
        <v>85.62</v>
      </c>
    </row>
    <row r="2931" spans="1:4" ht="27">
      <c r="A2931" s="798">
        <v>93673</v>
      </c>
      <c r="B2931" s="799" t="s">
        <v>5787</v>
      </c>
      <c r="C2931" s="798" t="s">
        <v>24</v>
      </c>
      <c r="D2931" s="800">
        <v>91.96</v>
      </c>
    </row>
    <row r="2932" spans="1:4" ht="27">
      <c r="A2932" s="798">
        <v>97359</v>
      </c>
      <c r="B2932" s="799" t="s">
        <v>5788</v>
      </c>
      <c r="C2932" s="798" t="s">
        <v>24</v>
      </c>
      <c r="D2932" s="800">
        <v>3139.36</v>
      </c>
    </row>
    <row r="2933" spans="1:4" ht="27">
      <c r="A2933" s="798">
        <v>97360</v>
      </c>
      <c r="B2933" s="799" t="s">
        <v>5789</v>
      </c>
      <c r="C2933" s="798" t="s">
        <v>24</v>
      </c>
      <c r="D2933" s="800">
        <v>6064.58</v>
      </c>
    </row>
    <row r="2934" spans="1:4" ht="27">
      <c r="A2934" s="798">
        <v>97361</v>
      </c>
      <c r="B2934" s="799" t="s">
        <v>5790</v>
      </c>
      <c r="C2934" s="798" t="s">
        <v>24</v>
      </c>
      <c r="D2934" s="800">
        <v>8086.11</v>
      </c>
    </row>
    <row r="2935" spans="1:4" ht="40.5">
      <c r="A2935" s="798">
        <v>97362</v>
      </c>
      <c r="B2935" s="799" t="s">
        <v>5791</v>
      </c>
      <c r="C2935" s="798" t="s">
        <v>24</v>
      </c>
      <c r="D2935" s="800">
        <v>2180.38</v>
      </c>
    </row>
    <row r="2936" spans="1:4" ht="54">
      <c r="A2936" s="798">
        <v>101875</v>
      </c>
      <c r="B2936" s="799" t="s">
        <v>5792</v>
      </c>
      <c r="C2936" s="798" t="s">
        <v>24</v>
      </c>
      <c r="D2936" s="800">
        <v>458.96</v>
      </c>
    </row>
    <row r="2937" spans="1:4" ht="40.5">
      <c r="A2937" s="798">
        <v>101876</v>
      </c>
      <c r="B2937" s="799" t="s">
        <v>5793</v>
      </c>
      <c r="C2937" s="798" t="s">
        <v>24</v>
      </c>
      <c r="D2937" s="800">
        <v>68.25</v>
      </c>
    </row>
    <row r="2938" spans="1:4" ht="40.5">
      <c r="A2938" s="798">
        <v>101877</v>
      </c>
      <c r="B2938" s="799" t="s">
        <v>5794</v>
      </c>
      <c r="C2938" s="798" t="s">
        <v>24</v>
      </c>
      <c r="D2938" s="800">
        <v>46.49</v>
      </c>
    </row>
    <row r="2939" spans="1:4" ht="54">
      <c r="A2939" s="798">
        <v>101878</v>
      </c>
      <c r="B2939" s="799" t="s">
        <v>5795</v>
      </c>
      <c r="C2939" s="798" t="s">
        <v>24</v>
      </c>
      <c r="D2939" s="800">
        <v>618.11</v>
      </c>
    </row>
    <row r="2940" spans="1:4" ht="54">
      <c r="A2940" s="798">
        <v>101879</v>
      </c>
      <c r="B2940" s="799" t="s">
        <v>5796</v>
      </c>
      <c r="C2940" s="798" t="s">
        <v>24</v>
      </c>
      <c r="D2940" s="800">
        <v>668.33</v>
      </c>
    </row>
    <row r="2941" spans="1:4" ht="54">
      <c r="A2941" s="798">
        <v>101880</v>
      </c>
      <c r="B2941" s="799" t="s">
        <v>5797</v>
      </c>
      <c r="C2941" s="798" t="s">
        <v>24</v>
      </c>
      <c r="D2941" s="800">
        <v>768.64</v>
      </c>
    </row>
    <row r="2942" spans="1:4" ht="54">
      <c r="A2942" s="798">
        <v>101881</v>
      </c>
      <c r="B2942" s="799" t="s">
        <v>5798</v>
      </c>
      <c r="C2942" s="798" t="s">
        <v>24</v>
      </c>
      <c r="D2942" s="800">
        <v>1112.6099999999999</v>
      </c>
    </row>
    <row r="2943" spans="1:4" ht="54">
      <c r="A2943" s="798">
        <v>101882</v>
      </c>
      <c r="B2943" s="799" t="s">
        <v>5799</v>
      </c>
      <c r="C2943" s="798" t="s">
        <v>24</v>
      </c>
      <c r="D2943" s="800">
        <v>1586.73</v>
      </c>
    </row>
    <row r="2944" spans="1:4" ht="54">
      <c r="A2944" s="798">
        <v>101883</v>
      </c>
      <c r="B2944" s="799" t="s">
        <v>5800</v>
      </c>
      <c r="C2944" s="798" t="s">
        <v>24</v>
      </c>
      <c r="D2944" s="800">
        <v>636.65</v>
      </c>
    </row>
    <row r="2945" spans="1:4" ht="27">
      <c r="A2945" s="798">
        <v>101890</v>
      </c>
      <c r="B2945" s="799" t="s">
        <v>5801</v>
      </c>
      <c r="C2945" s="798" t="s">
        <v>24</v>
      </c>
      <c r="D2945" s="800">
        <v>15.77</v>
      </c>
    </row>
    <row r="2946" spans="1:4" ht="27">
      <c r="A2946" s="798">
        <v>101891</v>
      </c>
      <c r="B2946" s="799" t="s">
        <v>5802</v>
      </c>
      <c r="C2946" s="798" t="s">
        <v>24</v>
      </c>
      <c r="D2946" s="800">
        <v>26.91</v>
      </c>
    </row>
    <row r="2947" spans="1:4" ht="27">
      <c r="A2947" s="798">
        <v>101892</v>
      </c>
      <c r="B2947" s="799" t="s">
        <v>5803</v>
      </c>
      <c r="C2947" s="798" t="s">
        <v>24</v>
      </c>
      <c r="D2947" s="800">
        <v>73.790000000000006</v>
      </c>
    </row>
    <row r="2948" spans="1:4" ht="27">
      <c r="A2948" s="798">
        <v>101893</v>
      </c>
      <c r="B2948" s="799" t="s">
        <v>5804</v>
      </c>
      <c r="C2948" s="798" t="s">
        <v>24</v>
      </c>
      <c r="D2948" s="800">
        <v>93.7</v>
      </c>
    </row>
    <row r="2949" spans="1:4" ht="27">
      <c r="A2949" s="798">
        <v>101894</v>
      </c>
      <c r="B2949" s="799" t="s">
        <v>5805</v>
      </c>
      <c r="C2949" s="798" t="s">
        <v>24</v>
      </c>
      <c r="D2949" s="800">
        <v>151.58000000000001</v>
      </c>
    </row>
    <row r="2950" spans="1:4" ht="27">
      <c r="A2950" s="798">
        <v>101895</v>
      </c>
      <c r="B2950" s="799" t="s">
        <v>5806</v>
      </c>
      <c r="C2950" s="798" t="s">
        <v>24</v>
      </c>
      <c r="D2950" s="800">
        <v>427.62</v>
      </c>
    </row>
    <row r="2951" spans="1:4" ht="27">
      <c r="A2951" s="798">
        <v>101896</v>
      </c>
      <c r="B2951" s="799" t="s">
        <v>5807</v>
      </c>
      <c r="C2951" s="798" t="s">
        <v>24</v>
      </c>
      <c r="D2951" s="800">
        <v>652.92999999999995</v>
      </c>
    </row>
    <row r="2952" spans="1:4" ht="27">
      <c r="A2952" s="798">
        <v>101897</v>
      </c>
      <c r="B2952" s="799" t="s">
        <v>5808</v>
      </c>
      <c r="C2952" s="798" t="s">
        <v>24</v>
      </c>
      <c r="D2952" s="800">
        <v>1057.3800000000001</v>
      </c>
    </row>
    <row r="2953" spans="1:4" ht="27">
      <c r="A2953" s="798">
        <v>101898</v>
      </c>
      <c r="B2953" s="799" t="s">
        <v>5809</v>
      </c>
      <c r="C2953" s="798" t="s">
        <v>24</v>
      </c>
      <c r="D2953" s="800">
        <v>1425.39</v>
      </c>
    </row>
    <row r="2954" spans="1:4" ht="27">
      <c r="A2954" s="798">
        <v>101899</v>
      </c>
      <c r="B2954" s="799" t="s">
        <v>5810</v>
      </c>
      <c r="C2954" s="798" t="s">
        <v>24</v>
      </c>
      <c r="D2954" s="800">
        <v>2300.7600000000002</v>
      </c>
    </row>
    <row r="2955" spans="1:4" ht="27">
      <c r="A2955" s="798">
        <v>101900</v>
      </c>
      <c r="B2955" s="799" t="s">
        <v>5811</v>
      </c>
      <c r="C2955" s="798" t="s">
        <v>24</v>
      </c>
      <c r="D2955" s="800">
        <v>4836.2</v>
      </c>
    </row>
    <row r="2956" spans="1:4" ht="27">
      <c r="A2956" s="798">
        <v>101901</v>
      </c>
      <c r="B2956" s="799" t="s">
        <v>5812</v>
      </c>
      <c r="C2956" s="798" t="s">
        <v>24</v>
      </c>
      <c r="D2956" s="800">
        <v>137.83000000000001</v>
      </c>
    </row>
    <row r="2957" spans="1:4" ht="27">
      <c r="A2957" s="798">
        <v>101902</v>
      </c>
      <c r="B2957" s="799" t="s">
        <v>5813</v>
      </c>
      <c r="C2957" s="798" t="s">
        <v>24</v>
      </c>
      <c r="D2957" s="800">
        <v>170.01</v>
      </c>
    </row>
    <row r="2958" spans="1:4" ht="27">
      <c r="A2958" s="798">
        <v>101903</v>
      </c>
      <c r="B2958" s="799" t="s">
        <v>5814</v>
      </c>
      <c r="C2958" s="798" t="s">
        <v>24</v>
      </c>
      <c r="D2958" s="800">
        <v>355.26</v>
      </c>
    </row>
    <row r="2959" spans="1:4" ht="27">
      <c r="A2959" s="798">
        <v>101904</v>
      </c>
      <c r="B2959" s="799" t="s">
        <v>5815</v>
      </c>
      <c r="C2959" s="798" t="s">
        <v>24</v>
      </c>
      <c r="D2959" s="800">
        <v>1316.73</v>
      </c>
    </row>
    <row r="2960" spans="1:4" ht="27">
      <c r="A2960" s="798">
        <v>101938</v>
      </c>
      <c r="B2960" s="799" t="s">
        <v>6623</v>
      </c>
      <c r="C2960" s="798" t="s">
        <v>24</v>
      </c>
      <c r="D2960" s="800">
        <v>91.87</v>
      </c>
    </row>
    <row r="2961" spans="1:4" ht="27">
      <c r="A2961" s="798">
        <v>101946</v>
      </c>
      <c r="B2961" s="799" t="s">
        <v>6624</v>
      </c>
      <c r="C2961" s="798" t="s">
        <v>24</v>
      </c>
      <c r="D2961" s="800">
        <v>127.1</v>
      </c>
    </row>
    <row r="2962" spans="1:4" ht="40.5">
      <c r="A2962" s="798">
        <v>91945</v>
      </c>
      <c r="B2962" s="799" t="s">
        <v>416</v>
      </c>
      <c r="C2962" s="798" t="s">
        <v>24</v>
      </c>
      <c r="D2962" s="800">
        <v>7.35</v>
      </c>
    </row>
    <row r="2963" spans="1:4" ht="40.5">
      <c r="A2963" s="798">
        <v>91946</v>
      </c>
      <c r="B2963" s="799" t="s">
        <v>417</v>
      </c>
      <c r="C2963" s="798" t="s">
        <v>24</v>
      </c>
      <c r="D2963" s="800">
        <v>6.22</v>
      </c>
    </row>
    <row r="2964" spans="1:4" ht="40.5">
      <c r="A2964" s="798">
        <v>91947</v>
      </c>
      <c r="B2964" s="799" t="s">
        <v>418</v>
      </c>
      <c r="C2964" s="798" t="s">
        <v>24</v>
      </c>
      <c r="D2964" s="800">
        <v>5.51</v>
      </c>
    </row>
    <row r="2965" spans="1:4" ht="40.5">
      <c r="A2965" s="798">
        <v>91949</v>
      </c>
      <c r="B2965" s="799" t="s">
        <v>419</v>
      </c>
      <c r="C2965" s="798" t="s">
        <v>24</v>
      </c>
      <c r="D2965" s="800">
        <v>11.41</v>
      </c>
    </row>
    <row r="2966" spans="1:4" ht="40.5">
      <c r="A2966" s="798">
        <v>91950</v>
      </c>
      <c r="B2966" s="799" t="s">
        <v>420</v>
      </c>
      <c r="C2966" s="798" t="s">
        <v>24</v>
      </c>
      <c r="D2966" s="800">
        <v>10.050000000000001</v>
      </c>
    </row>
    <row r="2967" spans="1:4" ht="40.5">
      <c r="A2967" s="798">
        <v>91951</v>
      </c>
      <c r="B2967" s="799" t="s">
        <v>421</v>
      </c>
      <c r="C2967" s="798" t="s">
        <v>24</v>
      </c>
      <c r="D2967" s="800">
        <v>9.23</v>
      </c>
    </row>
    <row r="2968" spans="1:4" ht="27">
      <c r="A2968" s="798">
        <v>91952</v>
      </c>
      <c r="B2968" s="799" t="s">
        <v>1874</v>
      </c>
      <c r="C2968" s="798" t="s">
        <v>24</v>
      </c>
      <c r="D2968" s="800">
        <v>13.7</v>
      </c>
    </row>
    <row r="2969" spans="1:4" ht="40.5">
      <c r="A2969" s="798">
        <v>91953</v>
      </c>
      <c r="B2969" s="799" t="s">
        <v>422</v>
      </c>
      <c r="C2969" s="798" t="s">
        <v>24</v>
      </c>
      <c r="D2969" s="800">
        <v>19.920000000000002</v>
      </c>
    </row>
    <row r="2970" spans="1:4" ht="40.5">
      <c r="A2970" s="798">
        <v>91954</v>
      </c>
      <c r="B2970" s="799" t="s">
        <v>1875</v>
      </c>
      <c r="C2970" s="798" t="s">
        <v>24</v>
      </c>
      <c r="D2970" s="800">
        <v>18.36</v>
      </c>
    </row>
    <row r="2971" spans="1:4" ht="40.5">
      <c r="A2971" s="798">
        <v>91955</v>
      </c>
      <c r="B2971" s="799" t="s">
        <v>423</v>
      </c>
      <c r="C2971" s="798" t="s">
        <v>24</v>
      </c>
      <c r="D2971" s="800">
        <v>24.58</v>
      </c>
    </row>
    <row r="2972" spans="1:4" ht="40.5">
      <c r="A2972" s="798">
        <v>91956</v>
      </c>
      <c r="B2972" s="799" t="s">
        <v>1876</v>
      </c>
      <c r="C2972" s="798" t="s">
        <v>24</v>
      </c>
      <c r="D2972" s="800">
        <v>29.95</v>
      </c>
    </row>
    <row r="2973" spans="1:4" ht="40.5">
      <c r="A2973" s="798">
        <v>91957</v>
      </c>
      <c r="B2973" s="799" t="s">
        <v>1877</v>
      </c>
      <c r="C2973" s="798" t="s">
        <v>24</v>
      </c>
      <c r="D2973" s="800">
        <v>36.17</v>
      </c>
    </row>
    <row r="2974" spans="1:4" ht="40.5">
      <c r="A2974" s="798">
        <v>91958</v>
      </c>
      <c r="B2974" s="799" t="s">
        <v>1878</v>
      </c>
      <c r="C2974" s="798" t="s">
        <v>24</v>
      </c>
      <c r="D2974" s="800">
        <v>25.33</v>
      </c>
    </row>
    <row r="2975" spans="1:4" ht="40.5">
      <c r="A2975" s="798">
        <v>91959</v>
      </c>
      <c r="B2975" s="799" t="s">
        <v>424</v>
      </c>
      <c r="C2975" s="798" t="s">
        <v>24</v>
      </c>
      <c r="D2975" s="800">
        <v>31.55</v>
      </c>
    </row>
    <row r="2976" spans="1:4" ht="40.5">
      <c r="A2976" s="798">
        <v>91960</v>
      </c>
      <c r="B2976" s="799" t="s">
        <v>425</v>
      </c>
      <c r="C2976" s="798" t="s">
        <v>24</v>
      </c>
      <c r="D2976" s="800">
        <v>34.619999999999997</v>
      </c>
    </row>
    <row r="2977" spans="1:4" ht="40.5">
      <c r="A2977" s="798">
        <v>91961</v>
      </c>
      <c r="B2977" s="799" t="s">
        <v>426</v>
      </c>
      <c r="C2977" s="798" t="s">
        <v>24</v>
      </c>
      <c r="D2977" s="800">
        <v>40.840000000000003</v>
      </c>
    </row>
    <row r="2978" spans="1:4" ht="40.5">
      <c r="A2978" s="798">
        <v>91962</v>
      </c>
      <c r="B2978" s="799" t="s">
        <v>1879</v>
      </c>
      <c r="C2978" s="798" t="s">
        <v>24</v>
      </c>
      <c r="D2978" s="800">
        <v>46.25</v>
      </c>
    </row>
    <row r="2979" spans="1:4" ht="40.5">
      <c r="A2979" s="798">
        <v>91963</v>
      </c>
      <c r="B2979" s="799" t="s">
        <v>1880</v>
      </c>
      <c r="C2979" s="798" t="s">
        <v>24</v>
      </c>
      <c r="D2979" s="800">
        <v>52.47</v>
      </c>
    </row>
    <row r="2980" spans="1:4" ht="40.5">
      <c r="A2980" s="798">
        <v>91964</v>
      </c>
      <c r="B2980" s="799" t="s">
        <v>1881</v>
      </c>
      <c r="C2980" s="798" t="s">
        <v>24</v>
      </c>
      <c r="D2980" s="800">
        <v>41.59</v>
      </c>
    </row>
    <row r="2981" spans="1:4" ht="40.5">
      <c r="A2981" s="798">
        <v>91965</v>
      </c>
      <c r="B2981" s="799" t="s">
        <v>1882</v>
      </c>
      <c r="C2981" s="798" t="s">
        <v>24</v>
      </c>
      <c r="D2981" s="800">
        <v>47.81</v>
      </c>
    </row>
    <row r="2982" spans="1:4" ht="40.5">
      <c r="A2982" s="798">
        <v>91966</v>
      </c>
      <c r="B2982" s="799" t="s">
        <v>1883</v>
      </c>
      <c r="C2982" s="798" t="s">
        <v>24</v>
      </c>
      <c r="D2982" s="800">
        <v>36.96</v>
      </c>
    </row>
    <row r="2983" spans="1:4" ht="40.5">
      <c r="A2983" s="798">
        <v>91967</v>
      </c>
      <c r="B2983" s="799" t="s">
        <v>427</v>
      </c>
      <c r="C2983" s="798" t="s">
        <v>24</v>
      </c>
      <c r="D2983" s="800">
        <v>43.18</v>
      </c>
    </row>
    <row r="2984" spans="1:4" ht="40.5">
      <c r="A2984" s="798">
        <v>91968</v>
      </c>
      <c r="B2984" s="799" t="s">
        <v>428</v>
      </c>
      <c r="C2984" s="798" t="s">
        <v>24</v>
      </c>
      <c r="D2984" s="800">
        <v>50.88</v>
      </c>
    </row>
    <row r="2985" spans="1:4" ht="40.5">
      <c r="A2985" s="798">
        <v>91969</v>
      </c>
      <c r="B2985" s="799" t="s">
        <v>429</v>
      </c>
      <c r="C2985" s="798" t="s">
        <v>24</v>
      </c>
      <c r="D2985" s="800">
        <v>57.1</v>
      </c>
    </row>
    <row r="2986" spans="1:4" ht="40.5">
      <c r="A2986" s="798">
        <v>91970</v>
      </c>
      <c r="B2986" s="799" t="s">
        <v>1884</v>
      </c>
      <c r="C2986" s="798" t="s">
        <v>24</v>
      </c>
      <c r="D2986" s="800">
        <v>53.45</v>
      </c>
    </row>
    <row r="2987" spans="1:4" ht="40.5">
      <c r="A2987" s="798">
        <v>91971</v>
      </c>
      <c r="B2987" s="799" t="s">
        <v>1885</v>
      </c>
      <c r="C2987" s="798" t="s">
        <v>24</v>
      </c>
      <c r="D2987" s="800">
        <v>63.5</v>
      </c>
    </row>
    <row r="2988" spans="1:4" ht="40.5">
      <c r="A2988" s="798">
        <v>91972</v>
      </c>
      <c r="B2988" s="799" t="s">
        <v>1886</v>
      </c>
      <c r="C2988" s="798" t="s">
        <v>24</v>
      </c>
      <c r="D2988" s="800">
        <v>58.12</v>
      </c>
    </row>
    <row r="2989" spans="1:4" ht="40.5">
      <c r="A2989" s="798">
        <v>91973</v>
      </c>
      <c r="B2989" s="799" t="s">
        <v>1887</v>
      </c>
      <c r="C2989" s="798" t="s">
        <v>24</v>
      </c>
      <c r="D2989" s="800">
        <v>68.17</v>
      </c>
    </row>
    <row r="2990" spans="1:4" ht="40.5">
      <c r="A2990" s="798">
        <v>91974</v>
      </c>
      <c r="B2990" s="799" t="s">
        <v>1888</v>
      </c>
      <c r="C2990" s="798" t="s">
        <v>24</v>
      </c>
      <c r="D2990" s="800">
        <v>48.79</v>
      </c>
    </row>
    <row r="2991" spans="1:4" ht="40.5">
      <c r="A2991" s="798">
        <v>91975</v>
      </c>
      <c r="B2991" s="799" t="s">
        <v>430</v>
      </c>
      <c r="C2991" s="798" t="s">
        <v>24</v>
      </c>
      <c r="D2991" s="800">
        <v>58.84</v>
      </c>
    </row>
    <row r="2992" spans="1:4" ht="40.5">
      <c r="A2992" s="798">
        <v>91976</v>
      </c>
      <c r="B2992" s="799" t="s">
        <v>1889</v>
      </c>
      <c r="C2992" s="798" t="s">
        <v>24</v>
      </c>
      <c r="D2992" s="800">
        <v>72.13</v>
      </c>
    </row>
    <row r="2993" spans="1:4" ht="40.5">
      <c r="A2993" s="798">
        <v>91977</v>
      </c>
      <c r="B2993" s="799" t="s">
        <v>431</v>
      </c>
      <c r="C2993" s="798" t="s">
        <v>24</v>
      </c>
      <c r="D2993" s="800">
        <v>82.18</v>
      </c>
    </row>
    <row r="2994" spans="1:4" ht="40.5">
      <c r="A2994" s="798">
        <v>91978</v>
      </c>
      <c r="B2994" s="799" t="s">
        <v>3065</v>
      </c>
      <c r="C2994" s="798" t="s">
        <v>24</v>
      </c>
      <c r="D2994" s="800">
        <v>29.85</v>
      </c>
    </row>
    <row r="2995" spans="1:4" ht="40.5">
      <c r="A2995" s="798">
        <v>91979</v>
      </c>
      <c r="B2995" s="799" t="s">
        <v>3066</v>
      </c>
      <c r="C2995" s="798" t="s">
        <v>24</v>
      </c>
      <c r="D2995" s="800">
        <v>36.07</v>
      </c>
    </row>
    <row r="2996" spans="1:4" ht="27">
      <c r="A2996" s="798">
        <v>91980</v>
      </c>
      <c r="B2996" s="799" t="s">
        <v>3067</v>
      </c>
      <c r="C2996" s="798" t="s">
        <v>24</v>
      </c>
      <c r="D2996" s="800">
        <v>28.82</v>
      </c>
    </row>
    <row r="2997" spans="1:4" ht="40.5">
      <c r="A2997" s="798">
        <v>91981</v>
      </c>
      <c r="B2997" s="799" t="s">
        <v>3068</v>
      </c>
      <c r="C2997" s="798" t="s">
        <v>24</v>
      </c>
      <c r="D2997" s="800">
        <v>35.04</v>
      </c>
    </row>
    <row r="2998" spans="1:4" ht="27">
      <c r="A2998" s="798">
        <v>91982</v>
      </c>
      <c r="B2998" s="799" t="s">
        <v>3069</v>
      </c>
      <c r="C2998" s="798" t="s">
        <v>24</v>
      </c>
      <c r="D2998" s="800">
        <v>73.47</v>
      </c>
    </row>
    <row r="2999" spans="1:4" ht="40.5">
      <c r="A2999" s="798">
        <v>91983</v>
      </c>
      <c r="B2999" s="799" t="s">
        <v>3070</v>
      </c>
      <c r="C2999" s="798" t="s">
        <v>24</v>
      </c>
      <c r="D2999" s="800">
        <v>79.69</v>
      </c>
    </row>
    <row r="3000" spans="1:4" ht="40.5">
      <c r="A3000" s="798">
        <v>91984</v>
      </c>
      <c r="B3000" s="799" t="s">
        <v>3071</v>
      </c>
      <c r="C3000" s="798" t="s">
        <v>24</v>
      </c>
      <c r="D3000" s="800">
        <v>12.74</v>
      </c>
    </row>
    <row r="3001" spans="1:4" ht="40.5">
      <c r="A3001" s="798">
        <v>91985</v>
      </c>
      <c r="B3001" s="799" t="s">
        <v>3072</v>
      </c>
      <c r="C3001" s="798" t="s">
        <v>24</v>
      </c>
      <c r="D3001" s="800">
        <v>18.96</v>
      </c>
    </row>
    <row r="3002" spans="1:4" ht="27">
      <c r="A3002" s="798">
        <v>91986</v>
      </c>
      <c r="B3002" s="799" t="s">
        <v>3073</v>
      </c>
      <c r="C3002" s="798" t="s">
        <v>24</v>
      </c>
      <c r="D3002" s="800">
        <v>27.99</v>
      </c>
    </row>
    <row r="3003" spans="1:4" ht="40.5">
      <c r="A3003" s="798">
        <v>91987</v>
      </c>
      <c r="B3003" s="799" t="s">
        <v>3074</v>
      </c>
      <c r="C3003" s="798" t="s">
        <v>24</v>
      </c>
      <c r="D3003" s="800">
        <v>34.21</v>
      </c>
    </row>
    <row r="3004" spans="1:4" ht="40.5">
      <c r="A3004" s="798">
        <v>91988</v>
      </c>
      <c r="B3004" s="799" t="s">
        <v>3075</v>
      </c>
      <c r="C3004" s="798" t="s">
        <v>24</v>
      </c>
      <c r="D3004" s="800">
        <v>16.22</v>
      </c>
    </row>
    <row r="3005" spans="1:4" ht="40.5">
      <c r="A3005" s="798">
        <v>91989</v>
      </c>
      <c r="B3005" s="799" t="s">
        <v>3076</v>
      </c>
      <c r="C3005" s="798" t="s">
        <v>24</v>
      </c>
      <c r="D3005" s="800">
        <v>22.44</v>
      </c>
    </row>
    <row r="3006" spans="1:4" ht="40.5">
      <c r="A3006" s="798">
        <v>91990</v>
      </c>
      <c r="B3006" s="799" t="s">
        <v>38</v>
      </c>
      <c r="C3006" s="798" t="s">
        <v>24</v>
      </c>
      <c r="D3006" s="800">
        <v>23.92</v>
      </c>
    </row>
    <row r="3007" spans="1:4" ht="40.5">
      <c r="A3007" s="798">
        <v>91991</v>
      </c>
      <c r="B3007" s="799" t="s">
        <v>432</v>
      </c>
      <c r="C3007" s="798" t="s">
        <v>24</v>
      </c>
      <c r="D3007" s="800">
        <v>25.8</v>
      </c>
    </row>
    <row r="3008" spans="1:4" ht="40.5">
      <c r="A3008" s="798">
        <v>91992</v>
      </c>
      <c r="B3008" s="799" t="s">
        <v>1890</v>
      </c>
      <c r="C3008" s="798" t="s">
        <v>24</v>
      </c>
      <c r="D3008" s="800">
        <v>30.14</v>
      </c>
    </row>
    <row r="3009" spans="1:4" ht="40.5">
      <c r="A3009" s="798">
        <v>91993</v>
      </c>
      <c r="B3009" s="799" t="s">
        <v>1891</v>
      </c>
      <c r="C3009" s="798" t="s">
        <v>24</v>
      </c>
      <c r="D3009" s="800">
        <v>32.020000000000003</v>
      </c>
    </row>
    <row r="3010" spans="1:4" ht="40.5">
      <c r="A3010" s="798">
        <v>91994</v>
      </c>
      <c r="B3010" s="799" t="s">
        <v>433</v>
      </c>
      <c r="C3010" s="798" t="s">
        <v>24</v>
      </c>
      <c r="D3010" s="800">
        <v>17.39</v>
      </c>
    </row>
    <row r="3011" spans="1:4" ht="40.5">
      <c r="A3011" s="798">
        <v>91995</v>
      </c>
      <c r="B3011" s="799" t="s">
        <v>434</v>
      </c>
      <c r="C3011" s="798" t="s">
        <v>24</v>
      </c>
      <c r="D3011" s="800">
        <v>19.27</v>
      </c>
    </row>
    <row r="3012" spans="1:4" ht="40.5">
      <c r="A3012" s="798">
        <v>91996</v>
      </c>
      <c r="B3012" s="799" t="s">
        <v>1892</v>
      </c>
      <c r="C3012" s="798" t="s">
        <v>24</v>
      </c>
      <c r="D3012" s="800">
        <v>23.61</v>
      </c>
    </row>
    <row r="3013" spans="1:4" ht="40.5">
      <c r="A3013" s="798">
        <v>91997</v>
      </c>
      <c r="B3013" s="799" t="s">
        <v>1893</v>
      </c>
      <c r="C3013" s="798" t="s">
        <v>24</v>
      </c>
      <c r="D3013" s="800">
        <v>25.49</v>
      </c>
    </row>
    <row r="3014" spans="1:4" ht="40.5">
      <c r="A3014" s="798">
        <v>91998</v>
      </c>
      <c r="B3014" s="799" t="s">
        <v>435</v>
      </c>
      <c r="C3014" s="798" t="s">
        <v>24</v>
      </c>
      <c r="D3014" s="800">
        <v>14.85</v>
      </c>
    </row>
    <row r="3015" spans="1:4" ht="40.5">
      <c r="A3015" s="798">
        <v>91999</v>
      </c>
      <c r="B3015" s="799" t="s">
        <v>436</v>
      </c>
      <c r="C3015" s="798" t="s">
        <v>24</v>
      </c>
      <c r="D3015" s="800">
        <v>16.73</v>
      </c>
    </row>
    <row r="3016" spans="1:4" ht="40.5">
      <c r="A3016" s="798">
        <v>92000</v>
      </c>
      <c r="B3016" s="799" t="s">
        <v>1894</v>
      </c>
      <c r="C3016" s="798" t="s">
        <v>24</v>
      </c>
      <c r="D3016" s="800">
        <v>21.07</v>
      </c>
    </row>
    <row r="3017" spans="1:4" ht="40.5">
      <c r="A3017" s="798">
        <v>92001</v>
      </c>
      <c r="B3017" s="799" t="s">
        <v>1895</v>
      </c>
      <c r="C3017" s="798" t="s">
        <v>24</v>
      </c>
      <c r="D3017" s="800">
        <v>22.95</v>
      </c>
    </row>
    <row r="3018" spans="1:4" ht="40.5">
      <c r="A3018" s="798">
        <v>92002</v>
      </c>
      <c r="B3018" s="799" t="s">
        <v>1896</v>
      </c>
      <c r="C3018" s="798" t="s">
        <v>24</v>
      </c>
      <c r="D3018" s="800">
        <v>32.68</v>
      </c>
    </row>
    <row r="3019" spans="1:4" ht="40.5">
      <c r="A3019" s="798">
        <v>92003</v>
      </c>
      <c r="B3019" s="799" t="s">
        <v>1897</v>
      </c>
      <c r="C3019" s="798" t="s">
        <v>24</v>
      </c>
      <c r="D3019" s="800">
        <v>36.44</v>
      </c>
    </row>
    <row r="3020" spans="1:4" ht="40.5">
      <c r="A3020" s="798">
        <v>92004</v>
      </c>
      <c r="B3020" s="799" t="s">
        <v>1898</v>
      </c>
      <c r="C3020" s="798" t="s">
        <v>24</v>
      </c>
      <c r="D3020" s="800">
        <v>38.9</v>
      </c>
    </row>
    <row r="3021" spans="1:4" ht="40.5">
      <c r="A3021" s="798">
        <v>92005</v>
      </c>
      <c r="B3021" s="799" t="s">
        <v>1899</v>
      </c>
      <c r="C3021" s="798" t="s">
        <v>24</v>
      </c>
      <c r="D3021" s="800">
        <v>42.66</v>
      </c>
    </row>
    <row r="3022" spans="1:4" ht="40.5">
      <c r="A3022" s="798">
        <v>92006</v>
      </c>
      <c r="B3022" s="799" t="s">
        <v>1900</v>
      </c>
      <c r="C3022" s="798" t="s">
        <v>24</v>
      </c>
      <c r="D3022" s="800">
        <v>27.61</v>
      </c>
    </row>
    <row r="3023" spans="1:4" ht="40.5">
      <c r="A3023" s="798">
        <v>92007</v>
      </c>
      <c r="B3023" s="799" t="s">
        <v>1901</v>
      </c>
      <c r="C3023" s="798" t="s">
        <v>24</v>
      </c>
      <c r="D3023" s="800">
        <v>31.37</v>
      </c>
    </row>
    <row r="3024" spans="1:4" ht="40.5">
      <c r="A3024" s="798">
        <v>92008</v>
      </c>
      <c r="B3024" s="799" t="s">
        <v>1902</v>
      </c>
      <c r="C3024" s="798" t="s">
        <v>24</v>
      </c>
      <c r="D3024" s="800">
        <v>33.83</v>
      </c>
    </row>
    <row r="3025" spans="1:4" ht="40.5">
      <c r="A3025" s="798">
        <v>92009</v>
      </c>
      <c r="B3025" s="799" t="s">
        <v>1903</v>
      </c>
      <c r="C3025" s="798" t="s">
        <v>24</v>
      </c>
      <c r="D3025" s="800">
        <v>37.590000000000003</v>
      </c>
    </row>
    <row r="3026" spans="1:4" ht="40.5">
      <c r="A3026" s="798">
        <v>92010</v>
      </c>
      <c r="B3026" s="799" t="s">
        <v>1904</v>
      </c>
      <c r="C3026" s="798" t="s">
        <v>24</v>
      </c>
      <c r="D3026" s="800">
        <v>47.97</v>
      </c>
    </row>
    <row r="3027" spans="1:4" ht="40.5">
      <c r="A3027" s="798">
        <v>92011</v>
      </c>
      <c r="B3027" s="799" t="s">
        <v>1905</v>
      </c>
      <c r="C3027" s="798" t="s">
        <v>24</v>
      </c>
      <c r="D3027" s="800">
        <v>53.61</v>
      </c>
    </row>
    <row r="3028" spans="1:4" ht="40.5">
      <c r="A3028" s="798">
        <v>92012</v>
      </c>
      <c r="B3028" s="799" t="s">
        <v>1906</v>
      </c>
      <c r="C3028" s="798" t="s">
        <v>24</v>
      </c>
      <c r="D3028" s="800">
        <v>54.19</v>
      </c>
    </row>
    <row r="3029" spans="1:4" ht="40.5">
      <c r="A3029" s="798">
        <v>92013</v>
      </c>
      <c r="B3029" s="799" t="s">
        <v>1907</v>
      </c>
      <c r="C3029" s="798" t="s">
        <v>24</v>
      </c>
      <c r="D3029" s="800">
        <v>59.83</v>
      </c>
    </row>
    <row r="3030" spans="1:4" ht="40.5">
      <c r="A3030" s="798">
        <v>92014</v>
      </c>
      <c r="B3030" s="799" t="s">
        <v>1908</v>
      </c>
      <c r="C3030" s="798" t="s">
        <v>24</v>
      </c>
      <c r="D3030" s="800">
        <v>40.36</v>
      </c>
    </row>
    <row r="3031" spans="1:4" ht="40.5">
      <c r="A3031" s="798">
        <v>92015</v>
      </c>
      <c r="B3031" s="799" t="s">
        <v>1909</v>
      </c>
      <c r="C3031" s="798" t="s">
        <v>24</v>
      </c>
      <c r="D3031" s="800">
        <v>46</v>
      </c>
    </row>
    <row r="3032" spans="1:4" ht="40.5">
      <c r="A3032" s="798">
        <v>92016</v>
      </c>
      <c r="B3032" s="799" t="s">
        <v>1910</v>
      </c>
      <c r="C3032" s="798" t="s">
        <v>24</v>
      </c>
      <c r="D3032" s="800">
        <v>46.58</v>
      </c>
    </row>
    <row r="3033" spans="1:4" ht="40.5">
      <c r="A3033" s="798">
        <v>92017</v>
      </c>
      <c r="B3033" s="799" t="s">
        <v>1911</v>
      </c>
      <c r="C3033" s="798" t="s">
        <v>24</v>
      </c>
      <c r="D3033" s="800">
        <v>52.22</v>
      </c>
    </row>
    <row r="3034" spans="1:4" ht="40.5">
      <c r="A3034" s="798">
        <v>92018</v>
      </c>
      <c r="B3034" s="799" t="s">
        <v>1912</v>
      </c>
      <c r="C3034" s="798" t="s">
        <v>24</v>
      </c>
      <c r="D3034" s="800">
        <v>53.46</v>
      </c>
    </row>
    <row r="3035" spans="1:4" ht="40.5">
      <c r="A3035" s="798">
        <v>92019</v>
      </c>
      <c r="B3035" s="799" t="s">
        <v>1913</v>
      </c>
      <c r="C3035" s="798" t="s">
        <v>24</v>
      </c>
      <c r="D3035" s="800">
        <v>63.51</v>
      </c>
    </row>
    <row r="3036" spans="1:4" ht="40.5">
      <c r="A3036" s="798">
        <v>92020</v>
      </c>
      <c r="B3036" s="799" t="s">
        <v>1914</v>
      </c>
      <c r="C3036" s="798" t="s">
        <v>24</v>
      </c>
      <c r="D3036" s="800">
        <v>79.14</v>
      </c>
    </row>
    <row r="3037" spans="1:4" ht="40.5">
      <c r="A3037" s="798">
        <v>92021</v>
      </c>
      <c r="B3037" s="799" t="s">
        <v>1915</v>
      </c>
      <c r="C3037" s="798" t="s">
        <v>24</v>
      </c>
      <c r="D3037" s="800">
        <v>89.19</v>
      </c>
    </row>
    <row r="3038" spans="1:4" ht="40.5">
      <c r="A3038" s="798">
        <v>92022</v>
      </c>
      <c r="B3038" s="799" t="s">
        <v>437</v>
      </c>
      <c r="C3038" s="798" t="s">
        <v>24</v>
      </c>
      <c r="D3038" s="800">
        <v>28.98</v>
      </c>
    </row>
    <row r="3039" spans="1:4" ht="40.5">
      <c r="A3039" s="798">
        <v>92023</v>
      </c>
      <c r="B3039" s="799" t="s">
        <v>1916</v>
      </c>
      <c r="C3039" s="798" t="s">
        <v>24</v>
      </c>
      <c r="D3039" s="800">
        <v>35.200000000000003</v>
      </c>
    </row>
    <row r="3040" spans="1:4" ht="40.5">
      <c r="A3040" s="798">
        <v>92024</v>
      </c>
      <c r="B3040" s="799" t="s">
        <v>1917</v>
      </c>
      <c r="C3040" s="798" t="s">
        <v>24</v>
      </c>
      <c r="D3040" s="800">
        <v>44.31</v>
      </c>
    </row>
    <row r="3041" spans="1:4" ht="40.5">
      <c r="A3041" s="798">
        <v>92025</v>
      </c>
      <c r="B3041" s="799" t="s">
        <v>1918</v>
      </c>
      <c r="C3041" s="798" t="s">
        <v>24</v>
      </c>
      <c r="D3041" s="800">
        <v>50.53</v>
      </c>
    </row>
    <row r="3042" spans="1:4" ht="40.5">
      <c r="A3042" s="798">
        <v>92026</v>
      </c>
      <c r="B3042" s="799" t="s">
        <v>1919</v>
      </c>
      <c r="C3042" s="798" t="s">
        <v>24</v>
      </c>
      <c r="D3042" s="800">
        <v>40.619999999999997</v>
      </c>
    </row>
    <row r="3043" spans="1:4" ht="40.5">
      <c r="A3043" s="798">
        <v>92027</v>
      </c>
      <c r="B3043" s="799" t="s">
        <v>1920</v>
      </c>
      <c r="C3043" s="798" t="s">
        <v>24</v>
      </c>
      <c r="D3043" s="800">
        <v>46.84</v>
      </c>
    </row>
    <row r="3044" spans="1:4" ht="40.5">
      <c r="A3044" s="798">
        <v>92028</v>
      </c>
      <c r="B3044" s="799" t="s">
        <v>1921</v>
      </c>
      <c r="C3044" s="798" t="s">
        <v>24</v>
      </c>
      <c r="D3044" s="800">
        <v>33.65</v>
      </c>
    </row>
    <row r="3045" spans="1:4" ht="40.5">
      <c r="A3045" s="798">
        <v>92029</v>
      </c>
      <c r="B3045" s="799" t="s">
        <v>1922</v>
      </c>
      <c r="C3045" s="798" t="s">
        <v>24</v>
      </c>
      <c r="D3045" s="800">
        <v>39.869999999999997</v>
      </c>
    </row>
    <row r="3046" spans="1:4" ht="40.5">
      <c r="A3046" s="798">
        <v>92030</v>
      </c>
      <c r="B3046" s="799" t="s">
        <v>1923</v>
      </c>
      <c r="C3046" s="798" t="s">
        <v>24</v>
      </c>
      <c r="D3046" s="800">
        <v>48.94</v>
      </c>
    </row>
    <row r="3047" spans="1:4" ht="40.5">
      <c r="A3047" s="798">
        <v>92031</v>
      </c>
      <c r="B3047" s="799" t="s">
        <v>1924</v>
      </c>
      <c r="C3047" s="798" t="s">
        <v>24</v>
      </c>
      <c r="D3047" s="800">
        <v>55.16</v>
      </c>
    </row>
    <row r="3048" spans="1:4" ht="40.5">
      <c r="A3048" s="798">
        <v>92032</v>
      </c>
      <c r="B3048" s="799" t="s">
        <v>1925</v>
      </c>
      <c r="C3048" s="798" t="s">
        <v>24</v>
      </c>
      <c r="D3048" s="800">
        <v>49.91</v>
      </c>
    </row>
    <row r="3049" spans="1:4" ht="40.5">
      <c r="A3049" s="798">
        <v>92033</v>
      </c>
      <c r="B3049" s="799" t="s">
        <v>1926</v>
      </c>
      <c r="C3049" s="798" t="s">
        <v>24</v>
      </c>
      <c r="D3049" s="800">
        <v>56.13</v>
      </c>
    </row>
    <row r="3050" spans="1:4" ht="54">
      <c r="A3050" s="798">
        <v>92034</v>
      </c>
      <c r="B3050" s="799" t="s">
        <v>1927</v>
      </c>
      <c r="C3050" s="798" t="s">
        <v>24</v>
      </c>
      <c r="D3050" s="800">
        <v>45.28</v>
      </c>
    </row>
    <row r="3051" spans="1:4" ht="54">
      <c r="A3051" s="798">
        <v>92035</v>
      </c>
      <c r="B3051" s="799" t="s">
        <v>1928</v>
      </c>
      <c r="C3051" s="798" t="s">
        <v>24</v>
      </c>
      <c r="D3051" s="800">
        <v>51.5</v>
      </c>
    </row>
    <row r="3052" spans="1:4" ht="40.5">
      <c r="A3052" s="798">
        <v>97583</v>
      </c>
      <c r="B3052" s="799" t="s">
        <v>4823</v>
      </c>
      <c r="C3052" s="798" t="s">
        <v>24</v>
      </c>
      <c r="D3052" s="800">
        <v>114.43</v>
      </c>
    </row>
    <row r="3053" spans="1:4" ht="40.5">
      <c r="A3053" s="798">
        <v>97584</v>
      </c>
      <c r="B3053" s="799" t="s">
        <v>4824</v>
      </c>
      <c r="C3053" s="798" t="s">
        <v>24</v>
      </c>
      <c r="D3053" s="800">
        <v>164.36</v>
      </c>
    </row>
    <row r="3054" spans="1:4" ht="54">
      <c r="A3054" s="798">
        <v>97585</v>
      </c>
      <c r="B3054" s="799" t="s">
        <v>4825</v>
      </c>
      <c r="C3054" s="798" t="s">
        <v>24</v>
      </c>
      <c r="D3054" s="800">
        <v>156.25</v>
      </c>
    </row>
    <row r="3055" spans="1:4" ht="54">
      <c r="A3055" s="798">
        <v>97586</v>
      </c>
      <c r="B3055" s="799" t="s">
        <v>4826</v>
      </c>
      <c r="C3055" s="798" t="s">
        <v>24</v>
      </c>
      <c r="D3055" s="800">
        <v>216.55</v>
      </c>
    </row>
    <row r="3056" spans="1:4" ht="40.5">
      <c r="A3056" s="798">
        <v>97587</v>
      </c>
      <c r="B3056" s="799" t="s">
        <v>4827</v>
      </c>
      <c r="C3056" s="798" t="s">
        <v>24</v>
      </c>
      <c r="D3056" s="800">
        <v>406.93</v>
      </c>
    </row>
    <row r="3057" spans="1:4" ht="40.5">
      <c r="A3057" s="798">
        <v>97589</v>
      </c>
      <c r="B3057" s="799" t="s">
        <v>4828</v>
      </c>
      <c r="C3057" s="798" t="s">
        <v>24</v>
      </c>
      <c r="D3057" s="800">
        <v>33.43</v>
      </c>
    </row>
    <row r="3058" spans="1:4" ht="40.5">
      <c r="A3058" s="798">
        <v>97590</v>
      </c>
      <c r="B3058" s="799" t="s">
        <v>4829</v>
      </c>
      <c r="C3058" s="798" t="s">
        <v>24</v>
      </c>
      <c r="D3058" s="800">
        <v>116.74</v>
      </c>
    </row>
    <row r="3059" spans="1:4" ht="40.5">
      <c r="A3059" s="798">
        <v>97591</v>
      </c>
      <c r="B3059" s="799" t="s">
        <v>4830</v>
      </c>
      <c r="C3059" s="798" t="s">
        <v>24</v>
      </c>
      <c r="D3059" s="800">
        <v>145.22999999999999</v>
      </c>
    </row>
    <row r="3060" spans="1:4" ht="40.5">
      <c r="A3060" s="798">
        <v>97592</v>
      </c>
      <c r="B3060" s="799" t="s">
        <v>4831</v>
      </c>
      <c r="C3060" s="798" t="s">
        <v>24</v>
      </c>
      <c r="D3060" s="800">
        <v>30.92</v>
      </c>
    </row>
    <row r="3061" spans="1:4" ht="40.5">
      <c r="A3061" s="798">
        <v>97593</v>
      </c>
      <c r="B3061" s="799" t="s">
        <v>4832</v>
      </c>
      <c r="C3061" s="798" t="s">
        <v>24</v>
      </c>
      <c r="D3061" s="800">
        <v>183.17</v>
      </c>
    </row>
    <row r="3062" spans="1:4" ht="40.5">
      <c r="A3062" s="798">
        <v>97594</v>
      </c>
      <c r="B3062" s="799" t="s">
        <v>4833</v>
      </c>
      <c r="C3062" s="798" t="s">
        <v>24</v>
      </c>
      <c r="D3062" s="800">
        <v>149.28</v>
      </c>
    </row>
    <row r="3063" spans="1:4" ht="27">
      <c r="A3063" s="798">
        <v>97595</v>
      </c>
      <c r="B3063" s="799" t="s">
        <v>4834</v>
      </c>
      <c r="C3063" s="798" t="s">
        <v>24</v>
      </c>
      <c r="D3063" s="800">
        <v>132.55000000000001</v>
      </c>
    </row>
    <row r="3064" spans="1:4" ht="27">
      <c r="A3064" s="798">
        <v>97596</v>
      </c>
      <c r="B3064" s="799" t="s">
        <v>4835</v>
      </c>
      <c r="C3064" s="798" t="s">
        <v>24</v>
      </c>
      <c r="D3064" s="800">
        <v>87.54</v>
      </c>
    </row>
    <row r="3065" spans="1:4" ht="27">
      <c r="A3065" s="798">
        <v>97597</v>
      </c>
      <c r="B3065" s="799" t="s">
        <v>4836</v>
      </c>
      <c r="C3065" s="798" t="s">
        <v>24</v>
      </c>
      <c r="D3065" s="800">
        <v>91.81</v>
      </c>
    </row>
    <row r="3066" spans="1:4" ht="27">
      <c r="A3066" s="798">
        <v>97598</v>
      </c>
      <c r="B3066" s="799" t="s">
        <v>4837</v>
      </c>
      <c r="C3066" s="798" t="s">
        <v>24</v>
      </c>
      <c r="D3066" s="800">
        <v>86.05</v>
      </c>
    </row>
    <row r="3067" spans="1:4" ht="27">
      <c r="A3067" s="798">
        <v>97599</v>
      </c>
      <c r="B3067" s="799" t="s">
        <v>4838</v>
      </c>
      <c r="C3067" s="798" t="s">
        <v>24</v>
      </c>
      <c r="D3067" s="800">
        <v>23.32</v>
      </c>
    </row>
    <row r="3068" spans="1:4" ht="27">
      <c r="A3068" s="798">
        <v>97609</v>
      </c>
      <c r="B3068" s="799" t="s">
        <v>4839</v>
      </c>
      <c r="C3068" s="798" t="s">
        <v>24</v>
      </c>
      <c r="D3068" s="800">
        <v>13.85</v>
      </c>
    </row>
    <row r="3069" spans="1:4" ht="27">
      <c r="A3069" s="798">
        <v>97610</v>
      </c>
      <c r="B3069" s="799" t="s">
        <v>4840</v>
      </c>
      <c r="C3069" s="798" t="s">
        <v>24</v>
      </c>
      <c r="D3069" s="800">
        <v>14.83</v>
      </c>
    </row>
    <row r="3070" spans="1:4" ht="27">
      <c r="A3070" s="798">
        <v>97611</v>
      </c>
      <c r="B3070" s="799" t="s">
        <v>4841</v>
      </c>
      <c r="C3070" s="798" t="s">
        <v>24</v>
      </c>
      <c r="D3070" s="800">
        <v>17.11</v>
      </c>
    </row>
    <row r="3071" spans="1:4" ht="27">
      <c r="A3071" s="798">
        <v>97612</v>
      </c>
      <c r="B3071" s="799" t="s">
        <v>4842</v>
      </c>
      <c r="C3071" s="798" t="s">
        <v>24</v>
      </c>
      <c r="D3071" s="800">
        <v>18.489999999999998</v>
      </c>
    </row>
    <row r="3072" spans="1:4" ht="27">
      <c r="A3072" s="798">
        <v>97613</v>
      </c>
      <c r="B3072" s="799" t="s">
        <v>4843</v>
      </c>
      <c r="C3072" s="798" t="s">
        <v>24</v>
      </c>
      <c r="D3072" s="800">
        <v>23.04</v>
      </c>
    </row>
    <row r="3073" spans="1:4" ht="27">
      <c r="A3073" s="798">
        <v>97614</v>
      </c>
      <c r="B3073" s="799" t="s">
        <v>4844</v>
      </c>
      <c r="C3073" s="798" t="s">
        <v>24</v>
      </c>
      <c r="D3073" s="800">
        <v>39.49</v>
      </c>
    </row>
    <row r="3074" spans="1:4" ht="27">
      <c r="A3074" s="798">
        <v>97615</v>
      </c>
      <c r="B3074" s="799" t="s">
        <v>4845</v>
      </c>
      <c r="C3074" s="798" t="s">
        <v>24</v>
      </c>
      <c r="D3074" s="800">
        <v>61.64</v>
      </c>
    </row>
    <row r="3075" spans="1:4" ht="27">
      <c r="A3075" s="798">
        <v>97616</v>
      </c>
      <c r="B3075" s="799" t="s">
        <v>4846</v>
      </c>
      <c r="C3075" s="798" t="s">
        <v>24</v>
      </c>
      <c r="D3075" s="800">
        <v>72.75</v>
      </c>
    </row>
    <row r="3076" spans="1:4" ht="27">
      <c r="A3076" s="798">
        <v>97617</v>
      </c>
      <c r="B3076" s="799" t="s">
        <v>4847</v>
      </c>
      <c r="C3076" s="798" t="s">
        <v>24</v>
      </c>
      <c r="D3076" s="800">
        <v>72.53</v>
      </c>
    </row>
    <row r="3077" spans="1:4" ht="27">
      <c r="A3077" s="798">
        <v>97618</v>
      </c>
      <c r="B3077" s="799" t="s">
        <v>4848</v>
      </c>
      <c r="C3077" s="798" t="s">
        <v>24</v>
      </c>
      <c r="D3077" s="800">
        <v>63.56</v>
      </c>
    </row>
    <row r="3078" spans="1:4" ht="27">
      <c r="A3078" s="798">
        <v>100902</v>
      </c>
      <c r="B3078" s="799" t="s">
        <v>4849</v>
      </c>
      <c r="C3078" s="798" t="s">
        <v>24</v>
      </c>
      <c r="D3078" s="800">
        <v>22.57</v>
      </c>
    </row>
    <row r="3079" spans="1:4" ht="27">
      <c r="A3079" s="798">
        <v>100903</v>
      </c>
      <c r="B3079" s="799" t="s">
        <v>4850</v>
      </c>
      <c r="C3079" s="798" t="s">
        <v>24</v>
      </c>
      <c r="D3079" s="800">
        <v>26.89</v>
      </c>
    </row>
    <row r="3080" spans="1:4" ht="40.5">
      <c r="A3080" s="798">
        <v>100904</v>
      </c>
      <c r="B3080" s="799" t="s">
        <v>4851</v>
      </c>
      <c r="C3080" s="798" t="s">
        <v>24</v>
      </c>
      <c r="D3080" s="800">
        <v>114.43</v>
      </c>
    </row>
    <row r="3081" spans="1:4" ht="54">
      <c r="A3081" s="798">
        <v>100905</v>
      </c>
      <c r="B3081" s="799" t="s">
        <v>4852</v>
      </c>
      <c r="C3081" s="798" t="s">
        <v>24</v>
      </c>
      <c r="D3081" s="800">
        <v>312.5</v>
      </c>
    </row>
    <row r="3082" spans="1:4" ht="54">
      <c r="A3082" s="798">
        <v>100906</v>
      </c>
      <c r="B3082" s="799" t="s">
        <v>4853</v>
      </c>
      <c r="C3082" s="798" t="s">
        <v>24</v>
      </c>
      <c r="D3082" s="800">
        <v>433.1</v>
      </c>
    </row>
    <row r="3083" spans="1:4" ht="27">
      <c r="A3083" s="798">
        <v>100919</v>
      </c>
      <c r="B3083" s="799" t="s">
        <v>4854</v>
      </c>
      <c r="C3083" s="798" t="s">
        <v>24</v>
      </c>
      <c r="D3083" s="800">
        <v>44.86</v>
      </c>
    </row>
    <row r="3084" spans="1:4" ht="27">
      <c r="A3084" s="798">
        <v>100920</v>
      </c>
      <c r="B3084" s="799" t="s">
        <v>4855</v>
      </c>
      <c r="C3084" s="798" t="s">
        <v>24</v>
      </c>
      <c r="D3084" s="800">
        <v>75.19</v>
      </c>
    </row>
    <row r="3085" spans="1:4" ht="27">
      <c r="A3085" s="798">
        <v>100921</v>
      </c>
      <c r="B3085" s="799" t="s">
        <v>4856</v>
      </c>
      <c r="C3085" s="798" t="s">
        <v>24</v>
      </c>
      <c r="D3085" s="800">
        <v>76.45</v>
      </c>
    </row>
    <row r="3086" spans="1:4" ht="27">
      <c r="A3086" s="798">
        <v>100922</v>
      </c>
      <c r="B3086" s="799" t="s">
        <v>4857</v>
      </c>
      <c r="C3086" s="798" t="s">
        <v>24</v>
      </c>
      <c r="D3086" s="800">
        <v>55.47</v>
      </c>
    </row>
    <row r="3087" spans="1:4" ht="27">
      <c r="A3087" s="798">
        <v>100923</v>
      </c>
      <c r="B3087" s="799" t="s">
        <v>4858</v>
      </c>
      <c r="C3087" s="798" t="s">
        <v>24</v>
      </c>
      <c r="D3087" s="800">
        <v>66.23</v>
      </c>
    </row>
    <row r="3088" spans="1:4" ht="40.5">
      <c r="A3088" s="798">
        <v>101489</v>
      </c>
      <c r="B3088" s="799" t="s">
        <v>5182</v>
      </c>
      <c r="C3088" s="798" t="s">
        <v>24</v>
      </c>
      <c r="D3088" s="800">
        <v>1169.06</v>
      </c>
    </row>
    <row r="3089" spans="1:4" ht="40.5">
      <c r="A3089" s="798">
        <v>101490</v>
      </c>
      <c r="B3089" s="799" t="s">
        <v>5183</v>
      </c>
      <c r="C3089" s="798" t="s">
        <v>24</v>
      </c>
      <c r="D3089" s="800">
        <v>1264.0999999999999</v>
      </c>
    </row>
    <row r="3090" spans="1:4" ht="40.5">
      <c r="A3090" s="798">
        <v>101491</v>
      </c>
      <c r="B3090" s="799" t="s">
        <v>5184</v>
      </c>
      <c r="C3090" s="798" t="s">
        <v>24</v>
      </c>
      <c r="D3090" s="800">
        <v>1312.5</v>
      </c>
    </row>
    <row r="3091" spans="1:4" ht="40.5">
      <c r="A3091" s="798">
        <v>101492</v>
      </c>
      <c r="B3091" s="799" t="s">
        <v>5185</v>
      </c>
      <c r="C3091" s="798" t="s">
        <v>24</v>
      </c>
      <c r="D3091" s="800">
        <v>1453.41</v>
      </c>
    </row>
    <row r="3092" spans="1:4" ht="40.5">
      <c r="A3092" s="798">
        <v>101493</v>
      </c>
      <c r="B3092" s="799" t="s">
        <v>5186</v>
      </c>
      <c r="C3092" s="798" t="s">
        <v>24</v>
      </c>
      <c r="D3092" s="800">
        <v>1158.6600000000001</v>
      </c>
    </row>
    <row r="3093" spans="1:4" ht="40.5">
      <c r="A3093" s="798">
        <v>101494</v>
      </c>
      <c r="B3093" s="799" t="s">
        <v>5187</v>
      </c>
      <c r="C3093" s="798" t="s">
        <v>24</v>
      </c>
      <c r="D3093" s="800">
        <v>1253.7</v>
      </c>
    </row>
    <row r="3094" spans="1:4" ht="40.5">
      <c r="A3094" s="798">
        <v>101495</v>
      </c>
      <c r="B3094" s="799" t="s">
        <v>5188</v>
      </c>
      <c r="C3094" s="798" t="s">
        <v>24</v>
      </c>
      <c r="D3094" s="800">
        <v>1302.0999999999999</v>
      </c>
    </row>
    <row r="3095" spans="1:4" ht="40.5">
      <c r="A3095" s="798">
        <v>101496</v>
      </c>
      <c r="B3095" s="799" t="s">
        <v>5189</v>
      </c>
      <c r="C3095" s="798" t="s">
        <v>24</v>
      </c>
      <c r="D3095" s="800">
        <v>1443.01</v>
      </c>
    </row>
    <row r="3096" spans="1:4" ht="40.5">
      <c r="A3096" s="798">
        <v>101497</v>
      </c>
      <c r="B3096" s="799" t="s">
        <v>5190</v>
      </c>
      <c r="C3096" s="798" t="s">
        <v>24</v>
      </c>
      <c r="D3096" s="800">
        <v>1410.59</v>
      </c>
    </row>
    <row r="3097" spans="1:4" ht="40.5">
      <c r="A3097" s="798">
        <v>101498</v>
      </c>
      <c r="B3097" s="799" t="s">
        <v>5191</v>
      </c>
      <c r="C3097" s="798" t="s">
        <v>24</v>
      </c>
      <c r="D3097" s="800">
        <v>1554.44</v>
      </c>
    </row>
    <row r="3098" spans="1:4" ht="40.5">
      <c r="A3098" s="798">
        <v>101499</v>
      </c>
      <c r="B3098" s="799" t="s">
        <v>5192</v>
      </c>
      <c r="C3098" s="798" t="s">
        <v>24</v>
      </c>
      <c r="D3098" s="800">
        <v>1627.7</v>
      </c>
    </row>
    <row r="3099" spans="1:4" ht="40.5">
      <c r="A3099" s="798">
        <v>101500</v>
      </c>
      <c r="B3099" s="799" t="s">
        <v>5193</v>
      </c>
      <c r="C3099" s="798" t="s">
        <v>24</v>
      </c>
      <c r="D3099" s="800">
        <v>1828.79</v>
      </c>
    </row>
    <row r="3100" spans="1:4" ht="40.5">
      <c r="A3100" s="798">
        <v>101501</v>
      </c>
      <c r="B3100" s="799" t="s">
        <v>5194</v>
      </c>
      <c r="C3100" s="798" t="s">
        <v>24</v>
      </c>
      <c r="D3100" s="800">
        <v>1406.32</v>
      </c>
    </row>
    <row r="3101" spans="1:4" ht="40.5">
      <c r="A3101" s="798">
        <v>101502</v>
      </c>
      <c r="B3101" s="799" t="s">
        <v>5195</v>
      </c>
      <c r="C3101" s="798" t="s">
        <v>24</v>
      </c>
      <c r="D3101" s="800">
        <v>1550.17</v>
      </c>
    </row>
    <row r="3102" spans="1:4" ht="40.5">
      <c r="A3102" s="798">
        <v>101503</v>
      </c>
      <c r="B3102" s="799" t="s">
        <v>5196</v>
      </c>
      <c r="C3102" s="798" t="s">
        <v>24</v>
      </c>
      <c r="D3102" s="800">
        <v>1623.43</v>
      </c>
    </row>
    <row r="3103" spans="1:4" ht="40.5">
      <c r="A3103" s="798">
        <v>101504</v>
      </c>
      <c r="B3103" s="799" t="s">
        <v>5197</v>
      </c>
      <c r="C3103" s="798" t="s">
        <v>24</v>
      </c>
      <c r="D3103" s="800">
        <v>1824.52</v>
      </c>
    </row>
    <row r="3104" spans="1:4" ht="40.5">
      <c r="A3104" s="798">
        <v>101505</v>
      </c>
      <c r="B3104" s="799" t="s">
        <v>5198</v>
      </c>
      <c r="C3104" s="798" t="s">
        <v>24</v>
      </c>
      <c r="D3104" s="800">
        <v>1522.93</v>
      </c>
    </row>
    <row r="3105" spans="1:4" ht="40.5">
      <c r="A3105" s="798">
        <v>101506</v>
      </c>
      <c r="B3105" s="799" t="s">
        <v>5199</v>
      </c>
      <c r="C3105" s="798" t="s">
        <v>24</v>
      </c>
      <c r="D3105" s="800">
        <v>1714.74</v>
      </c>
    </row>
    <row r="3106" spans="1:4" ht="40.5">
      <c r="A3106" s="798">
        <v>101507</v>
      </c>
      <c r="B3106" s="799" t="s">
        <v>5200</v>
      </c>
      <c r="C3106" s="798" t="s">
        <v>24</v>
      </c>
      <c r="D3106" s="800">
        <v>1812.42</v>
      </c>
    </row>
    <row r="3107" spans="1:4" ht="40.5">
      <c r="A3107" s="798">
        <v>101508</v>
      </c>
      <c r="B3107" s="799" t="s">
        <v>5201</v>
      </c>
      <c r="C3107" s="798" t="s">
        <v>24</v>
      </c>
      <c r="D3107" s="800">
        <v>2072.61</v>
      </c>
    </row>
    <row r="3108" spans="1:4" ht="40.5">
      <c r="A3108" s="798">
        <v>101509</v>
      </c>
      <c r="B3108" s="799" t="s">
        <v>5202</v>
      </c>
      <c r="C3108" s="798" t="s">
        <v>24</v>
      </c>
      <c r="D3108" s="800">
        <v>1672.17</v>
      </c>
    </row>
    <row r="3109" spans="1:4" ht="40.5">
      <c r="A3109" s="798">
        <v>101510</v>
      </c>
      <c r="B3109" s="799" t="s">
        <v>5203</v>
      </c>
      <c r="C3109" s="798" t="s">
        <v>24</v>
      </c>
      <c r="D3109" s="800">
        <v>1863.98</v>
      </c>
    </row>
    <row r="3110" spans="1:4" ht="40.5">
      <c r="A3110" s="798">
        <v>101511</v>
      </c>
      <c r="B3110" s="799" t="s">
        <v>5204</v>
      </c>
      <c r="C3110" s="798" t="s">
        <v>24</v>
      </c>
      <c r="D3110" s="800">
        <v>1961.66</v>
      </c>
    </row>
    <row r="3111" spans="1:4" ht="40.5">
      <c r="A3111" s="798">
        <v>101512</v>
      </c>
      <c r="B3111" s="799" t="s">
        <v>5205</v>
      </c>
      <c r="C3111" s="798" t="s">
        <v>24</v>
      </c>
      <c r="D3111" s="800">
        <v>2221.85</v>
      </c>
    </row>
    <row r="3112" spans="1:4" ht="40.5">
      <c r="A3112" s="798">
        <v>101513</v>
      </c>
      <c r="B3112" s="799" t="s">
        <v>5206</v>
      </c>
      <c r="C3112" s="798" t="s">
        <v>24</v>
      </c>
      <c r="D3112" s="800">
        <v>675.47</v>
      </c>
    </row>
    <row r="3113" spans="1:4" ht="40.5">
      <c r="A3113" s="798">
        <v>101514</v>
      </c>
      <c r="B3113" s="799" t="s">
        <v>5207</v>
      </c>
      <c r="C3113" s="798" t="s">
        <v>24</v>
      </c>
      <c r="D3113" s="800">
        <v>789.52</v>
      </c>
    </row>
    <row r="3114" spans="1:4" ht="40.5">
      <c r="A3114" s="798">
        <v>101515</v>
      </c>
      <c r="B3114" s="799" t="s">
        <v>5208</v>
      </c>
      <c r="C3114" s="798" t="s">
        <v>24</v>
      </c>
      <c r="D3114" s="800">
        <v>847.6</v>
      </c>
    </row>
    <row r="3115" spans="1:4" ht="40.5">
      <c r="A3115" s="798">
        <v>101516</v>
      </c>
      <c r="B3115" s="799" t="s">
        <v>5209</v>
      </c>
      <c r="C3115" s="798" t="s">
        <v>24</v>
      </c>
      <c r="D3115" s="800">
        <v>988.18</v>
      </c>
    </row>
    <row r="3116" spans="1:4" ht="40.5">
      <c r="A3116" s="798">
        <v>101517</v>
      </c>
      <c r="B3116" s="799" t="s">
        <v>5210</v>
      </c>
      <c r="C3116" s="798" t="s">
        <v>24</v>
      </c>
      <c r="D3116" s="800">
        <v>665.05</v>
      </c>
    </row>
    <row r="3117" spans="1:4" ht="40.5">
      <c r="A3117" s="798">
        <v>101518</v>
      </c>
      <c r="B3117" s="799" t="s">
        <v>5211</v>
      </c>
      <c r="C3117" s="798" t="s">
        <v>24</v>
      </c>
      <c r="D3117" s="800">
        <v>779.1</v>
      </c>
    </row>
    <row r="3118" spans="1:4" ht="40.5">
      <c r="A3118" s="798">
        <v>101519</v>
      </c>
      <c r="B3118" s="799" t="s">
        <v>5212</v>
      </c>
      <c r="C3118" s="798" t="s">
        <v>24</v>
      </c>
      <c r="D3118" s="800">
        <v>837.18</v>
      </c>
    </row>
    <row r="3119" spans="1:4" ht="40.5">
      <c r="A3119" s="798">
        <v>101520</v>
      </c>
      <c r="B3119" s="799" t="s">
        <v>5213</v>
      </c>
      <c r="C3119" s="798" t="s">
        <v>24</v>
      </c>
      <c r="D3119" s="800">
        <v>977.76</v>
      </c>
    </row>
    <row r="3120" spans="1:4" ht="40.5">
      <c r="A3120" s="798">
        <v>101521</v>
      </c>
      <c r="B3120" s="799" t="s">
        <v>5214</v>
      </c>
      <c r="C3120" s="798" t="s">
        <v>24</v>
      </c>
      <c r="D3120" s="800">
        <v>932.58</v>
      </c>
    </row>
    <row r="3121" spans="1:4" ht="40.5">
      <c r="A3121" s="798">
        <v>101522</v>
      </c>
      <c r="B3121" s="799" t="s">
        <v>5215</v>
      </c>
      <c r="C3121" s="798" t="s">
        <v>24</v>
      </c>
      <c r="D3121" s="800">
        <v>1103.6500000000001</v>
      </c>
    </row>
    <row r="3122" spans="1:4" ht="40.5">
      <c r="A3122" s="798">
        <v>101523</v>
      </c>
      <c r="B3122" s="799" t="s">
        <v>5216</v>
      </c>
      <c r="C3122" s="798" t="s">
        <v>24</v>
      </c>
      <c r="D3122" s="800">
        <v>1190.77</v>
      </c>
    </row>
    <row r="3123" spans="1:4" ht="40.5">
      <c r="A3123" s="798">
        <v>101524</v>
      </c>
      <c r="B3123" s="799" t="s">
        <v>5217</v>
      </c>
      <c r="C3123" s="798" t="s">
        <v>24</v>
      </c>
      <c r="D3123" s="800">
        <v>1401.64</v>
      </c>
    </row>
    <row r="3124" spans="1:4" ht="40.5">
      <c r="A3124" s="798">
        <v>101525</v>
      </c>
      <c r="B3124" s="799" t="s">
        <v>5218</v>
      </c>
      <c r="C3124" s="798" t="s">
        <v>24</v>
      </c>
      <c r="D3124" s="800">
        <v>928.29</v>
      </c>
    </row>
    <row r="3125" spans="1:4" ht="40.5">
      <c r="A3125" s="798">
        <v>101526</v>
      </c>
      <c r="B3125" s="799" t="s">
        <v>5219</v>
      </c>
      <c r="C3125" s="798" t="s">
        <v>24</v>
      </c>
      <c r="D3125" s="800">
        <v>1099.3599999999999</v>
      </c>
    </row>
    <row r="3126" spans="1:4" ht="40.5">
      <c r="A3126" s="798">
        <v>101527</v>
      </c>
      <c r="B3126" s="799" t="s">
        <v>5220</v>
      </c>
      <c r="C3126" s="798" t="s">
        <v>24</v>
      </c>
      <c r="D3126" s="800">
        <v>1186.48</v>
      </c>
    </row>
    <row r="3127" spans="1:4" ht="40.5">
      <c r="A3127" s="798">
        <v>101528</v>
      </c>
      <c r="B3127" s="799" t="s">
        <v>5221</v>
      </c>
      <c r="C3127" s="798" t="s">
        <v>24</v>
      </c>
      <c r="D3127" s="800">
        <v>1397.35</v>
      </c>
    </row>
    <row r="3128" spans="1:4" ht="40.5">
      <c r="A3128" s="798">
        <v>101529</v>
      </c>
      <c r="B3128" s="799" t="s">
        <v>5222</v>
      </c>
      <c r="C3128" s="798" t="s">
        <v>24</v>
      </c>
      <c r="D3128" s="800">
        <v>1062.1300000000001</v>
      </c>
    </row>
    <row r="3129" spans="1:4" ht="40.5">
      <c r="A3129" s="798">
        <v>101530</v>
      </c>
      <c r="B3129" s="799" t="s">
        <v>5223</v>
      </c>
      <c r="C3129" s="798" t="s">
        <v>24</v>
      </c>
      <c r="D3129" s="800">
        <v>1290.23</v>
      </c>
    </row>
    <row r="3130" spans="1:4" ht="40.5">
      <c r="A3130" s="798">
        <v>101531</v>
      </c>
      <c r="B3130" s="799" t="s">
        <v>5224</v>
      </c>
      <c r="C3130" s="798" t="s">
        <v>24</v>
      </c>
      <c r="D3130" s="800">
        <v>1406.39</v>
      </c>
    </row>
    <row r="3131" spans="1:4" ht="40.5">
      <c r="A3131" s="798">
        <v>101532</v>
      </c>
      <c r="B3131" s="799" t="s">
        <v>5225</v>
      </c>
      <c r="C3131" s="798" t="s">
        <v>24</v>
      </c>
      <c r="D3131" s="800">
        <v>1687.55</v>
      </c>
    </row>
    <row r="3132" spans="1:4" ht="40.5">
      <c r="A3132" s="798">
        <v>101533</v>
      </c>
      <c r="B3132" s="799" t="s">
        <v>5226</v>
      </c>
      <c r="C3132" s="798" t="s">
        <v>24</v>
      </c>
      <c r="D3132" s="800">
        <v>1211.3499999999999</v>
      </c>
    </row>
    <row r="3133" spans="1:4" ht="40.5">
      <c r="A3133" s="798">
        <v>101534</v>
      </c>
      <c r="B3133" s="799" t="s">
        <v>5227</v>
      </c>
      <c r="C3133" s="798" t="s">
        <v>24</v>
      </c>
      <c r="D3133" s="800">
        <v>1439.45</v>
      </c>
    </row>
    <row r="3134" spans="1:4" ht="40.5">
      <c r="A3134" s="798">
        <v>101535</v>
      </c>
      <c r="B3134" s="799" t="s">
        <v>5228</v>
      </c>
      <c r="C3134" s="798" t="s">
        <v>24</v>
      </c>
      <c r="D3134" s="800">
        <v>1555.61</v>
      </c>
    </row>
    <row r="3135" spans="1:4" ht="40.5">
      <c r="A3135" s="798">
        <v>101536</v>
      </c>
      <c r="B3135" s="799" t="s">
        <v>5229</v>
      </c>
      <c r="C3135" s="798" t="s">
        <v>24</v>
      </c>
      <c r="D3135" s="800">
        <v>1836.77</v>
      </c>
    </row>
    <row r="3136" spans="1:4" ht="27">
      <c r="A3136" s="798">
        <v>101537</v>
      </c>
      <c r="B3136" s="799" t="s">
        <v>5230</v>
      </c>
      <c r="C3136" s="798" t="s">
        <v>24</v>
      </c>
      <c r="D3136" s="800">
        <v>110.5</v>
      </c>
    </row>
    <row r="3137" spans="1:4" ht="27">
      <c r="A3137" s="798">
        <v>101538</v>
      </c>
      <c r="B3137" s="799" t="s">
        <v>5231</v>
      </c>
      <c r="C3137" s="798" t="s">
        <v>24</v>
      </c>
      <c r="D3137" s="800">
        <v>45.81</v>
      </c>
    </row>
    <row r="3138" spans="1:4" ht="27">
      <c r="A3138" s="798">
        <v>101539</v>
      </c>
      <c r="B3138" s="799" t="s">
        <v>5232</v>
      </c>
      <c r="C3138" s="798" t="s">
        <v>24</v>
      </c>
      <c r="D3138" s="800">
        <v>73.75</v>
      </c>
    </row>
    <row r="3139" spans="1:4" ht="27">
      <c r="A3139" s="798">
        <v>101540</v>
      </c>
      <c r="B3139" s="799" t="s">
        <v>5233</v>
      </c>
      <c r="C3139" s="798" t="s">
        <v>24</v>
      </c>
      <c r="D3139" s="800">
        <v>126.51</v>
      </c>
    </row>
    <row r="3140" spans="1:4" ht="27">
      <c r="A3140" s="798">
        <v>101541</v>
      </c>
      <c r="B3140" s="799" t="s">
        <v>5234</v>
      </c>
      <c r="C3140" s="798" t="s">
        <v>24</v>
      </c>
      <c r="D3140" s="800">
        <v>164.5</v>
      </c>
    </row>
    <row r="3141" spans="1:4" ht="27">
      <c r="A3141" s="798">
        <v>101542</v>
      </c>
      <c r="B3141" s="799" t="s">
        <v>5235</v>
      </c>
      <c r="C3141" s="798" t="s">
        <v>24</v>
      </c>
      <c r="D3141" s="800">
        <v>34.03</v>
      </c>
    </row>
    <row r="3142" spans="1:4" ht="27">
      <c r="A3142" s="798">
        <v>101543</v>
      </c>
      <c r="B3142" s="799" t="s">
        <v>5236</v>
      </c>
      <c r="C3142" s="798" t="s">
        <v>24</v>
      </c>
      <c r="D3142" s="800">
        <v>59.43</v>
      </c>
    </row>
    <row r="3143" spans="1:4" ht="27">
      <c r="A3143" s="798">
        <v>101544</v>
      </c>
      <c r="B3143" s="799" t="s">
        <v>5237</v>
      </c>
      <c r="C3143" s="798" t="s">
        <v>24</v>
      </c>
      <c r="D3143" s="800">
        <v>96.04</v>
      </c>
    </row>
    <row r="3144" spans="1:4" ht="27">
      <c r="A3144" s="798">
        <v>101545</v>
      </c>
      <c r="B3144" s="799" t="s">
        <v>5238</v>
      </c>
      <c r="C3144" s="798" t="s">
        <v>24</v>
      </c>
      <c r="D3144" s="800">
        <v>141.05000000000001</v>
      </c>
    </row>
    <row r="3145" spans="1:4" ht="27">
      <c r="A3145" s="798">
        <v>101546</v>
      </c>
      <c r="B3145" s="799" t="s">
        <v>5239</v>
      </c>
      <c r="C3145" s="798" t="s">
        <v>24</v>
      </c>
      <c r="D3145" s="800">
        <v>29.43</v>
      </c>
    </row>
    <row r="3146" spans="1:4" ht="27">
      <c r="A3146" s="798">
        <v>101547</v>
      </c>
      <c r="B3146" s="799" t="s">
        <v>5240</v>
      </c>
      <c r="C3146" s="798" t="s">
        <v>24</v>
      </c>
      <c r="D3146" s="800">
        <v>93.2</v>
      </c>
    </row>
    <row r="3147" spans="1:4" ht="27">
      <c r="A3147" s="798">
        <v>101548</v>
      </c>
      <c r="B3147" s="799" t="s">
        <v>5241</v>
      </c>
      <c r="C3147" s="798" t="s">
        <v>24</v>
      </c>
      <c r="D3147" s="800">
        <v>6.94</v>
      </c>
    </row>
    <row r="3148" spans="1:4" ht="40.5">
      <c r="A3148" s="798">
        <v>101549</v>
      </c>
      <c r="B3148" s="799" t="s">
        <v>5242</v>
      </c>
      <c r="C3148" s="798" t="s">
        <v>24</v>
      </c>
      <c r="D3148" s="800">
        <v>14.29</v>
      </c>
    </row>
    <row r="3149" spans="1:4" ht="27">
      <c r="A3149" s="798">
        <v>101553</v>
      </c>
      <c r="B3149" s="799" t="s">
        <v>5243</v>
      </c>
      <c r="C3149" s="798" t="s">
        <v>24</v>
      </c>
      <c r="D3149" s="800">
        <v>16.09</v>
      </c>
    </row>
    <row r="3150" spans="1:4" ht="27">
      <c r="A3150" s="798">
        <v>101554</v>
      </c>
      <c r="B3150" s="799" t="s">
        <v>5244</v>
      </c>
      <c r="C3150" s="798" t="s">
        <v>24</v>
      </c>
      <c r="D3150" s="800">
        <v>11.03</v>
      </c>
    </row>
    <row r="3151" spans="1:4" ht="27">
      <c r="A3151" s="798">
        <v>101555</v>
      </c>
      <c r="B3151" s="799" t="s">
        <v>5245</v>
      </c>
      <c r="C3151" s="798" t="s">
        <v>24</v>
      </c>
      <c r="D3151" s="800">
        <v>6.41</v>
      </c>
    </row>
    <row r="3152" spans="1:4" ht="27">
      <c r="A3152" s="798">
        <v>101556</v>
      </c>
      <c r="B3152" s="799" t="s">
        <v>5246</v>
      </c>
      <c r="C3152" s="798" t="s">
        <v>24</v>
      </c>
      <c r="D3152" s="800">
        <v>5.68</v>
      </c>
    </row>
    <row r="3153" spans="1:4" ht="54">
      <c r="A3153" s="798">
        <v>101560</v>
      </c>
      <c r="B3153" s="799" t="s">
        <v>5247</v>
      </c>
      <c r="C3153" s="798" t="s">
        <v>14</v>
      </c>
      <c r="D3153" s="800">
        <v>12.03</v>
      </c>
    </row>
    <row r="3154" spans="1:4" ht="54">
      <c r="A3154" s="798">
        <v>101561</v>
      </c>
      <c r="B3154" s="799" t="s">
        <v>5248</v>
      </c>
      <c r="C3154" s="798" t="s">
        <v>14</v>
      </c>
      <c r="D3154" s="800">
        <v>18.420000000000002</v>
      </c>
    </row>
    <row r="3155" spans="1:4" ht="54">
      <c r="A3155" s="798">
        <v>101562</v>
      </c>
      <c r="B3155" s="799" t="s">
        <v>5249</v>
      </c>
      <c r="C3155" s="798" t="s">
        <v>14</v>
      </c>
      <c r="D3155" s="800">
        <v>28.02</v>
      </c>
    </row>
    <row r="3156" spans="1:4" ht="54">
      <c r="A3156" s="798">
        <v>101563</v>
      </c>
      <c r="B3156" s="799" t="s">
        <v>5250</v>
      </c>
      <c r="C3156" s="798" t="s">
        <v>14</v>
      </c>
      <c r="D3156" s="800">
        <v>38.619999999999997</v>
      </c>
    </row>
    <row r="3157" spans="1:4" ht="54">
      <c r="A3157" s="798">
        <v>101564</v>
      </c>
      <c r="B3157" s="799" t="s">
        <v>5251</v>
      </c>
      <c r="C3157" s="798" t="s">
        <v>14</v>
      </c>
      <c r="D3157" s="800">
        <v>55.02</v>
      </c>
    </row>
    <row r="3158" spans="1:4" ht="54">
      <c r="A3158" s="798">
        <v>101565</v>
      </c>
      <c r="B3158" s="799" t="s">
        <v>5252</v>
      </c>
      <c r="C3158" s="798" t="s">
        <v>14</v>
      </c>
      <c r="D3158" s="800">
        <v>76.209999999999994</v>
      </c>
    </row>
    <row r="3159" spans="1:4" ht="54">
      <c r="A3159" s="798">
        <v>101567</v>
      </c>
      <c r="B3159" s="799" t="s">
        <v>5253</v>
      </c>
      <c r="C3159" s="798" t="s">
        <v>14</v>
      </c>
      <c r="D3159" s="800">
        <v>101.23</v>
      </c>
    </row>
    <row r="3160" spans="1:4" ht="54">
      <c r="A3160" s="798">
        <v>101568</v>
      </c>
      <c r="B3160" s="799" t="s">
        <v>5254</v>
      </c>
      <c r="C3160" s="798" t="s">
        <v>14</v>
      </c>
      <c r="D3160" s="800">
        <v>131.75</v>
      </c>
    </row>
    <row r="3161" spans="1:4" ht="27">
      <c r="A3161" s="798">
        <v>101626</v>
      </c>
      <c r="B3161" s="799" t="s">
        <v>5662</v>
      </c>
      <c r="C3161" s="798" t="s">
        <v>24</v>
      </c>
      <c r="D3161" s="800">
        <v>238.95</v>
      </c>
    </row>
    <row r="3162" spans="1:4" ht="27">
      <c r="A3162" s="798">
        <v>101627</v>
      </c>
      <c r="B3162" s="799" t="s">
        <v>5663</v>
      </c>
      <c r="C3162" s="798" t="s">
        <v>24</v>
      </c>
      <c r="D3162" s="800">
        <v>375.47</v>
      </c>
    </row>
    <row r="3163" spans="1:4" ht="27">
      <c r="A3163" s="798">
        <v>101628</v>
      </c>
      <c r="B3163" s="799" t="s">
        <v>5664</v>
      </c>
      <c r="C3163" s="798" t="s">
        <v>24</v>
      </c>
      <c r="D3163" s="800">
        <v>175.8</v>
      </c>
    </row>
    <row r="3164" spans="1:4" ht="27">
      <c r="A3164" s="798">
        <v>101629</v>
      </c>
      <c r="B3164" s="799" t="s">
        <v>5665</v>
      </c>
      <c r="C3164" s="798" t="s">
        <v>24</v>
      </c>
      <c r="D3164" s="800">
        <v>208.32</v>
      </c>
    </row>
    <row r="3165" spans="1:4" ht="27">
      <c r="A3165" s="798">
        <v>101630</v>
      </c>
      <c r="B3165" s="799" t="s">
        <v>5666</v>
      </c>
      <c r="C3165" s="798" t="s">
        <v>24</v>
      </c>
      <c r="D3165" s="800">
        <v>64.510000000000005</v>
      </c>
    </row>
    <row r="3166" spans="1:4" ht="40.5">
      <c r="A3166" s="798">
        <v>101631</v>
      </c>
      <c r="B3166" s="799" t="s">
        <v>5667</v>
      </c>
      <c r="C3166" s="798" t="s">
        <v>24</v>
      </c>
      <c r="D3166" s="800">
        <v>25.34</v>
      </c>
    </row>
    <row r="3167" spans="1:4" ht="27">
      <c r="A3167" s="798">
        <v>101632</v>
      </c>
      <c r="B3167" s="799" t="s">
        <v>5668</v>
      </c>
      <c r="C3167" s="798" t="s">
        <v>24</v>
      </c>
      <c r="D3167" s="800">
        <v>54.05</v>
      </c>
    </row>
    <row r="3168" spans="1:4" ht="40.5">
      <c r="A3168" s="798">
        <v>101633</v>
      </c>
      <c r="B3168" s="799" t="s">
        <v>5669</v>
      </c>
      <c r="C3168" s="798" t="s">
        <v>24</v>
      </c>
      <c r="D3168" s="800">
        <v>109.51</v>
      </c>
    </row>
    <row r="3169" spans="1:4" ht="54">
      <c r="A3169" s="798">
        <v>101636</v>
      </c>
      <c r="B3169" s="799" t="s">
        <v>5670</v>
      </c>
      <c r="C3169" s="798" t="s">
        <v>24</v>
      </c>
      <c r="D3169" s="800">
        <v>155.31</v>
      </c>
    </row>
    <row r="3170" spans="1:4" ht="54">
      <c r="A3170" s="798">
        <v>101637</v>
      </c>
      <c r="B3170" s="799" t="s">
        <v>5671</v>
      </c>
      <c r="C3170" s="798" t="s">
        <v>24</v>
      </c>
      <c r="D3170" s="800">
        <v>147.97</v>
      </c>
    </row>
    <row r="3171" spans="1:4" ht="27">
      <c r="A3171" s="798">
        <v>101640</v>
      </c>
      <c r="B3171" s="799" t="s">
        <v>5672</v>
      </c>
      <c r="C3171" s="798" t="s">
        <v>24</v>
      </c>
      <c r="D3171" s="800">
        <v>63.75</v>
      </c>
    </row>
    <row r="3172" spans="1:4" ht="27">
      <c r="A3172" s="798">
        <v>101641</v>
      </c>
      <c r="B3172" s="799" t="s">
        <v>5673</v>
      </c>
      <c r="C3172" s="798" t="s">
        <v>24</v>
      </c>
      <c r="D3172" s="800">
        <v>33.04</v>
      </c>
    </row>
    <row r="3173" spans="1:4" ht="27">
      <c r="A3173" s="798">
        <v>101642</v>
      </c>
      <c r="B3173" s="799" t="s">
        <v>5674</v>
      </c>
      <c r="C3173" s="798" t="s">
        <v>24</v>
      </c>
      <c r="D3173" s="800">
        <v>16.59</v>
      </c>
    </row>
    <row r="3174" spans="1:4" ht="27">
      <c r="A3174" s="798">
        <v>101643</v>
      </c>
      <c r="B3174" s="799" t="s">
        <v>5675</v>
      </c>
      <c r="C3174" s="798" t="s">
        <v>24</v>
      </c>
      <c r="D3174" s="800">
        <v>28.84</v>
      </c>
    </row>
    <row r="3175" spans="1:4" ht="27">
      <c r="A3175" s="798">
        <v>101644</v>
      </c>
      <c r="B3175" s="799" t="s">
        <v>5676</v>
      </c>
      <c r="C3175" s="798" t="s">
        <v>24</v>
      </c>
      <c r="D3175" s="800">
        <v>39.01</v>
      </c>
    </row>
    <row r="3176" spans="1:4" ht="27">
      <c r="A3176" s="798">
        <v>101645</v>
      </c>
      <c r="B3176" s="799" t="s">
        <v>5677</v>
      </c>
      <c r="C3176" s="798" t="s">
        <v>24</v>
      </c>
      <c r="D3176" s="800">
        <v>18.489999999999998</v>
      </c>
    </row>
    <row r="3177" spans="1:4" ht="27">
      <c r="A3177" s="798">
        <v>101646</v>
      </c>
      <c r="B3177" s="799" t="s">
        <v>5678</v>
      </c>
      <c r="C3177" s="798" t="s">
        <v>24</v>
      </c>
      <c r="D3177" s="800">
        <v>24.54</v>
      </c>
    </row>
    <row r="3178" spans="1:4" ht="27">
      <c r="A3178" s="798">
        <v>101647</v>
      </c>
      <c r="B3178" s="799" t="s">
        <v>5679</v>
      </c>
      <c r="C3178" s="798" t="s">
        <v>24</v>
      </c>
      <c r="D3178" s="800">
        <v>45.04</v>
      </c>
    </row>
    <row r="3179" spans="1:4" ht="27">
      <c r="A3179" s="798">
        <v>101648</v>
      </c>
      <c r="B3179" s="799" t="s">
        <v>5680</v>
      </c>
      <c r="C3179" s="798" t="s">
        <v>24</v>
      </c>
      <c r="D3179" s="800">
        <v>34.85</v>
      </c>
    </row>
    <row r="3180" spans="1:4" ht="27">
      <c r="A3180" s="798">
        <v>101649</v>
      </c>
      <c r="B3180" s="799" t="s">
        <v>5681</v>
      </c>
      <c r="C3180" s="798" t="s">
        <v>24</v>
      </c>
      <c r="D3180" s="800">
        <v>40.14</v>
      </c>
    </row>
    <row r="3181" spans="1:4" ht="27">
      <c r="A3181" s="798">
        <v>101650</v>
      </c>
      <c r="B3181" s="799" t="s">
        <v>5682</v>
      </c>
      <c r="C3181" s="798" t="s">
        <v>24</v>
      </c>
      <c r="D3181" s="800">
        <v>46.65</v>
      </c>
    </row>
    <row r="3182" spans="1:4" ht="27">
      <c r="A3182" s="798">
        <v>101651</v>
      </c>
      <c r="B3182" s="799" t="s">
        <v>5683</v>
      </c>
      <c r="C3182" s="798" t="s">
        <v>24</v>
      </c>
      <c r="D3182" s="800">
        <v>56.9</v>
      </c>
    </row>
    <row r="3183" spans="1:4" ht="40.5">
      <c r="A3183" s="798">
        <v>101652</v>
      </c>
      <c r="B3183" s="799" t="s">
        <v>5684</v>
      </c>
      <c r="C3183" s="798" t="s">
        <v>24</v>
      </c>
      <c r="D3183" s="800">
        <v>670.34</v>
      </c>
    </row>
    <row r="3184" spans="1:4" ht="67.5">
      <c r="A3184" s="798">
        <v>101653</v>
      </c>
      <c r="B3184" s="799" t="s">
        <v>5685</v>
      </c>
      <c r="C3184" s="798" t="s">
        <v>24</v>
      </c>
      <c r="D3184" s="800">
        <v>309.35000000000002</v>
      </c>
    </row>
    <row r="3185" spans="1:4" ht="27">
      <c r="A3185" s="798">
        <v>101654</v>
      </c>
      <c r="B3185" s="799" t="s">
        <v>5686</v>
      </c>
      <c r="C3185" s="798" t="s">
        <v>24</v>
      </c>
      <c r="D3185" s="800">
        <v>254.91</v>
      </c>
    </row>
    <row r="3186" spans="1:4" ht="27">
      <c r="A3186" s="798">
        <v>101655</v>
      </c>
      <c r="B3186" s="799" t="s">
        <v>5687</v>
      </c>
      <c r="C3186" s="798" t="s">
        <v>24</v>
      </c>
      <c r="D3186" s="800">
        <v>416.98</v>
      </c>
    </row>
    <row r="3187" spans="1:4" ht="27">
      <c r="A3187" s="798">
        <v>101656</v>
      </c>
      <c r="B3187" s="799" t="s">
        <v>5688</v>
      </c>
      <c r="C3187" s="798" t="s">
        <v>24</v>
      </c>
      <c r="D3187" s="800">
        <v>454.82</v>
      </c>
    </row>
    <row r="3188" spans="1:4" ht="27">
      <c r="A3188" s="798">
        <v>101657</v>
      </c>
      <c r="B3188" s="799" t="s">
        <v>5689</v>
      </c>
      <c r="C3188" s="798" t="s">
        <v>24</v>
      </c>
      <c r="D3188" s="800">
        <v>535.41999999999996</v>
      </c>
    </row>
    <row r="3189" spans="1:4" ht="27">
      <c r="A3189" s="798">
        <v>101658</v>
      </c>
      <c r="B3189" s="799" t="s">
        <v>5690</v>
      </c>
      <c r="C3189" s="798" t="s">
        <v>24</v>
      </c>
      <c r="D3189" s="800">
        <v>701.16</v>
      </c>
    </row>
    <row r="3190" spans="1:4" ht="27">
      <c r="A3190" s="798">
        <v>101659</v>
      </c>
      <c r="B3190" s="799" t="s">
        <v>5691</v>
      </c>
      <c r="C3190" s="798" t="s">
        <v>24</v>
      </c>
      <c r="D3190" s="800">
        <v>804.24</v>
      </c>
    </row>
    <row r="3191" spans="1:4" ht="27">
      <c r="A3191" s="798">
        <v>101660</v>
      </c>
      <c r="B3191" s="799" t="s">
        <v>5692</v>
      </c>
      <c r="C3191" s="798" t="s">
        <v>24</v>
      </c>
      <c r="D3191" s="800">
        <v>1290.8499999999999</v>
      </c>
    </row>
    <row r="3192" spans="1:4" ht="40.5">
      <c r="A3192" s="798">
        <v>101661</v>
      </c>
      <c r="B3192" s="799" t="s">
        <v>5693</v>
      </c>
      <c r="C3192" s="798" t="s">
        <v>24</v>
      </c>
      <c r="D3192" s="800">
        <v>91.28</v>
      </c>
    </row>
    <row r="3193" spans="1:4" ht="40.5">
      <c r="A3193" s="798">
        <v>101662</v>
      </c>
      <c r="B3193" s="799" t="s">
        <v>5694</v>
      </c>
      <c r="C3193" s="798" t="s">
        <v>24</v>
      </c>
      <c r="D3193" s="800">
        <v>907.52</v>
      </c>
    </row>
    <row r="3194" spans="1:4" ht="27">
      <c r="A3194" s="798">
        <v>101663</v>
      </c>
      <c r="B3194" s="799" t="s">
        <v>5695</v>
      </c>
      <c r="C3194" s="798" t="s">
        <v>24</v>
      </c>
      <c r="D3194" s="800">
        <v>21.59</v>
      </c>
    </row>
    <row r="3195" spans="1:4" ht="27">
      <c r="A3195" s="798">
        <v>101664</v>
      </c>
      <c r="B3195" s="799" t="s">
        <v>5696</v>
      </c>
      <c r="C3195" s="798" t="s">
        <v>24</v>
      </c>
      <c r="D3195" s="800">
        <v>22.88</v>
      </c>
    </row>
    <row r="3196" spans="1:4" ht="27">
      <c r="A3196" s="798">
        <v>101665</v>
      </c>
      <c r="B3196" s="799" t="s">
        <v>5697</v>
      </c>
      <c r="C3196" s="798" t="s">
        <v>24</v>
      </c>
      <c r="D3196" s="800">
        <v>28.42</v>
      </c>
    </row>
    <row r="3197" spans="1:4" ht="40.5">
      <c r="A3197" s="798">
        <v>101666</v>
      </c>
      <c r="B3197" s="799" t="s">
        <v>5698</v>
      </c>
      <c r="C3197" s="798" t="s">
        <v>24</v>
      </c>
      <c r="D3197" s="800">
        <v>478.12</v>
      </c>
    </row>
    <row r="3198" spans="1:4" ht="27">
      <c r="A3198" s="798">
        <v>102085</v>
      </c>
      <c r="B3198" s="799" t="s">
        <v>6625</v>
      </c>
      <c r="C3198" s="798" t="s">
        <v>24</v>
      </c>
      <c r="D3198" s="800">
        <v>262.33</v>
      </c>
    </row>
    <row r="3199" spans="1:4" ht="54">
      <c r="A3199" s="798">
        <v>100578</v>
      </c>
      <c r="B3199" s="799" t="s">
        <v>4304</v>
      </c>
      <c r="C3199" s="798" t="s">
        <v>24</v>
      </c>
      <c r="D3199" s="800">
        <v>382.34</v>
      </c>
    </row>
    <row r="3200" spans="1:4" ht="54">
      <c r="A3200" s="798">
        <v>100579</v>
      </c>
      <c r="B3200" s="799" t="s">
        <v>4305</v>
      </c>
      <c r="C3200" s="798" t="s">
        <v>24</v>
      </c>
      <c r="D3200" s="800">
        <v>419.68</v>
      </c>
    </row>
    <row r="3201" spans="1:4" ht="54">
      <c r="A3201" s="798">
        <v>100580</v>
      </c>
      <c r="B3201" s="799" t="s">
        <v>4306</v>
      </c>
      <c r="C3201" s="798" t="s">
        <v>24</v>
      </c>
      <c r="D3201" s="800">
        <v>453.91</v>
      </c>
    </row>
    <row r="3202" spans="1:4" ht="54">
      <c r="A3202" s="798">
        <v>100581</v>
      </c>
      <c r="B3202" s="799" t="s">
        <v>4307</v>
      </c>
      <c r="C3202" s="798" t="s">
        <v>24</v>
      </c>
      <c r="D3202" s="800">
        <v>438.18</v>
      </c>
    </row>
    <row r="3203" spans="1:4" ht="54">
      <c r="A3203" s="798">
        <v>100582</v>
      </c>
      <c r="B3203" s="799" t="s">
        <v>4308</v>
      </c>
      <c r="C3203" s="798" t="s">
        <v>24</v>
      </c>
      <c r="D3203" s="800">
        <v>499.75</v>
      </c>
    </row>
    <row r="3204" spans="1:4" ht="54">
      <c r="A3204" s="798">
        <v>100583</v>
      </c>
      <c r="B3204" s="799" t="s">
        <v>4309</v>
      </c>
      <c r="C3204" s="798" t="s">
        <v>24</v>
      </c>
      <c r="D3204" s="800">
        <v>457.83</v>
      </c>
    </row>
    <row r="3205" spans="1:4" ht="54">
      <c r="A3205" s="798">
        <v>100584</v>
      </c>
      <c r="B3205" s="799" t="s">
        <v>4310</v>
      </c>
      <c r="C3205" s="798" t="s">
        <v>24</v>
      </c>
      <c r="D3205" s="800">
        <v>494.94</v>
      </c>
    </row>
    <row r="3206" spans="1:4" ht="54">
      <c r="A3206" s="798">
        <v>100585</v>
      </c>
      <c r="B3206" s="799" t="s">
        <v>4311</v>
      </c>
      <c r="C3206" s="798" t="s">
        <v>24</v>
      </c>
      <c r="D3206" s="800">
        <v>496.15</v>
      </c>
    </row>
    <row r="3207" spans="1:4" ht="54">
      <c r="A3207" s="798">
        <v>100586</v>
      </c>
      <c r="B3207" s="799" t="s">
        <v>4312</v>
      </c>
      <c r="C3207" s="798" t="s">
        <v>24</v>
      </c>
      <c r="D3207" s="800">
        <v>555.36</v>
      </c>
    </row>
    <row r="3208" spans="1:4" ht="54">
      <c r="A3208" s="798">
        <v>100587</v>
      </c>
      <c r="B3208" s="799" t="s">
        <v>4313</v>
      </c>
      <c r="C3208" s="798" t="s">
        <v>24</v>
      </c>
      <c r="D3208" s="800">
        <v>535.61</v>
      </c>
    </row>
    <row r="3209" spans="1:4" ht="54">
      <c r="A3209" s="798">
        <v>100588</v>
      </c>
      <c r="B3209" s="799" t="s">
        <v>4314</v>
      </c>
      <c r="C3209" s="798" t="s">
        <v>24</v>
      </c>
      <c r="D3209" s="800">
        <v>581.66</v>
      </c>
    </row>
    <row r="3210" spans="1:4" ht="54">
      <c r="A3210" s="798">
        <v>100589</v>
      </c>
      <c r="B3210" s="799" t="s">
        <v>4315</v>
      </c>
      <c r="C3210" s="798" t="s">
        <v>24</v>
      </c>
      <c r="D3210" s="800">
        <v>586.99</v>
      </c>
    </row>
    <row r="3211" spans="1:4" ht="54">
      <c r="A3211" s="798">
        <v>100590</v>
      </c>
      <c r="B3211" s="799" t="s">
        <v>4316</v>
      </c>
      <c r="C3211" s="798" t="s">
        <v>24</v>
      </c>
      <c r="D3211" s="800">
        <v>632.28</v>
      </c>
    </row>
    <row r="3212" spans="1:4" ht="54">
      <c r="A3212" s="798">
        <v>100591</v>
      </c>
      <c r="B3212" s="799" t="s">
        <v>4317</v>
      </c>
      <c r="C3212" s="798" t="s">
        <v>24</v>
      </c>
      <c r="D3212" s="800">
        <v>587.27</v>
      </c>
    </row>
    <row r="3213" spans="1:4" ht="54">
      <c r="A3213" s="798">
        <v>100592</v>
      </c>
      <c r="B3213" s="799" t="s">
        <v>4318</v>
      </c>
      <c r="C3213" s="798" t="s">
        <v>24</v>
      </c>
      <c r="D3213" s="800">
        <v>624.84</v>
      </c>
    </row>
    <row r="3214" spans="1:4" ht="54">
      <c r="A3214" s="798">
        <v>100593</v>
      </c>
      <c r="B3214" s="799" t="s">
        <v>4319</v>
      </c>
      <c r="C3214" s="798" t="s">
        <v>24</v>
      </c>
      <c r="D3214" s="800">
        <v>628.82000000000005</v>
      </c>
    </row>
    <row r="3215" spans="1:4" ht="54">
      <c r="A3215" s="798">
        <v>100594</v>
      </c>
      <c r="B3215" s="799" t="s">
        <v>4320</v>
      </c>
      <c r="C3215" s="798" t="s">
        <v>24</v>
      </c>
      <c r="D3215" s="800">
        <v>692.7</v>
      </c>
    </row>
    <row r="3216" spans="1:4" ht="54">
      <c r="A3216" s="798">
        <v>100595</v>
      </c>
      <c r="B3216" s="799" t="s">
        <v>4321</v>
      </c>
      <c r="C3216" s="798" t="s">
        <v>24</v>
      </c>
      <c r="D3216" s="800">
        <v>753.34</v>
      </c>
    </row>
    <row r="3217" spans="1:4" ht="54">
      <c r="A3217" s="798">
        <v>100596</v>
      </c>
      <c r="B3217" s="799" t="s">
        <v>4322</v>
      </c>
      <c r="C3217" s="798" t="s">
        <v>24</v>
      </c>
      <c r="D3217" s="800">
        <v>839.7</v>
      </c>
    </row>
    <row r="3218" spans="1:4" ht="54">
      <c r="A3218" s="798">
        <v>100597</v>
      </c>
      <c r="B3218" s="799" t="s">
        <v>4323</v>
      </c>
      <c r="C3218" s="798" t="s">
        <v>24</v>
      </c>
      <c r="D3218" s="800">
        <v>865.69</v>
      </c>
    </row>
    <row r="3219" spans="1:4" ht="54">
      <c r="A3219" s="798">
        <v>100598</v>
      </c>
      <c r="B3219" s="799" t="s">
        <v>4324</v>
      </c>
      <c r="C3219" s="798" t="s">
        <v>24</v>
      </c>
      <c r="D3219" s="800">
        <v>936.9</v>
      </c>
    </row>
    <row r="3220" spans="1:4" ht="54">
      <c r="A3220" s="798">
        <v>100599</v>
      </c>
      <c r="B3220" s="799" t="s">
        <v>4325</v>
      </c>
      <c r="C3220" s="798" t="s">
        <v>24</v>
      </c>
      <c r="D3220" s="800">
        <v>404.98</v>
      </c>
    </row>
    <row r="3221" spans="1:4" ht="54">
      <c r="A3221" s="798">
        <v>100600</v>
      </c>
      <c r="B3221" s="799" t="s">
        <v>4326</v>
      </c>
      <c r="C3221" s="798" t="s">
        <v>24</v>
      </c>
      <c r="D3221" s="800">
        <v>477.35</v>
      </c>
    </row>
    <row r="3222" spans="1:4" ht="54">
      <c r="A3222" s="798">
        <v>100601</v>
      </c>
      <c r="B3222" s="799" t="s">
        <v>4327</v>
      </c>
      <c r="C3222" s="798" t="s">
        <v>24</v>
      </c>
      <c r="D3222" s="800">
        <v>602.72</v>
      </c>
    </row>
    <row r="3223" spans="1:4" ht="54">
      <c r="A3223" s="798">
        <v>100602</v>
      </c>
      <c r="B3223" s="799" t="s">
        <v>4328</v>
      </c>
      <c r="C3223" s="798" t="s">
        <v>24</v>
      </c>
      <c r="D3223" s="800">
        <v>759.09</v>
      </c>
    </row>
    <row r="3224" spans="1:4" ht="54">
      <c r="A3224" s="798">
        <v>100603</v>
      </c>
      <c r="B3224" s="799" t="s">
        <v>4329</v>
      </c>
      <c r="C3224" s="798" t="s">
        <v>24</v>
      </c>
      <c r="D3224" s="800">
        <v>1160.23</v>
      </c>
    </row>
    <row r="3225" spans="1:4" ht="54">
      <c r="A3225" s="798">
        <v>100604</v>
      </c>
      <c r="B3225" s="799" t="s">
        <v>4330</v>
      </c>
      <c r="C3225" s="798" t="s">
        <v>24</v>
      </c>
      <c r="D3225" s="800">
        <v>507.2</v>
      </c>
    </row>
    <row r="3226" spans="1:4" ht="54">
      <c r="A3226" s="798">
        <v>100605</v>
      </c>
      <c r="B3226" s="799" t="s">
        <v>4331</v>
      </c>
      <c r="C3226" s="798" t="s">
        <v>24</v>
      </c>
      <c r="D3226" s="800">
        <v>795</v>
      </c>
    </row>
    <row r="3227" spans="1:4" ht="54">
      <c r="A3227" s="798">
        <v>100606</v>
      </c>
      <c r="B3227" s="799" t="s">
        <v>4332</v>
      </c>
      <c r="C3227" s="798" t="s">
        <v>24</v>
      </c>
      <c r="D3227" s="800">
        <v>1203.8599999999999</v>
      </c>
    </row>
    <row r="3228" spans="1:4" ht="54">
      <c r="A3228" s="798">
        <v>100607</v>
      </c>
      <c r="B3228" s="799" t="s">
        <v>4333</v>
      </c>
      <c r="C3228" s="798" t="s">
        <v>24</v>
      </c>
      <c r="D3228" s="800">
        <v>521.36</v>
      </c>
    </row>
    <row r="3229" spans="1:4" ht="54">
      <c r="A3229" s="798">
        <v>100608</v>
      </c>
      <c r="B3229" s="799" t="s">
        <v>4334</v>
      </c>
      <c r="C3229" s="798" t="s">
        <v>24</v>
      </c>
      <c r="D3229" s="800">
        <v>812.69</v>
      </c>
    </row>
    <row r="3230" spans="1:4" ht="54">
      <c r="A3230" s="798">
        <v>100609</v>
      </c>
      <c r="B3230" s="799" t="s">
        <v>4335</v>
      </c>
      <c r="C3230" s="798" t="s">
        <v>24</v>
      </c>
      <c r="D3230" s="800">
        <v>1227.1099999999999</v>
      </c>
    </row>
    <row r="3231" spans="1:4" ht="54">
      <c r="A3231" s="798">
        <v>100610</v>
      </c>
      <c r="B3231" s="799" t="s">
        <v>4336</v>
      </c>
      <c r="C3231" s="798" t="s">
        <v>24</v>
      </c>
      <c r="D3231" s="800">
        <v>535.53</v>
      </c>
    </row>
    <row r="3232" spans="1:4" ht="54">
      <c r="A3232" s="798">
        <v>100611</v>
      </c>
      <c r="B3232" s="799" t="s">
        <v>4337</v>
      </c>
      <c r="C3232" s="798" t="s">
        <v>24</v>
      </c>
      <c r="D3232" s="800">
        <v>666.24</v>
      </c>
    </row>
    <row r="3233" spans="1:4" ht="54">
      <c r="A3233" s="798">
        <v>100612</v>
      </c>
      <c r="B3233" s="799" t="s">
        <v>4338</v>
      </c>
      <c r="C3233" s="798" t="s">
        <v>24</v>
      </c>
      <c r="D3233" s="800">
        <v>830.07</v>
      </c>
    </row>
    <row r="3234" spans="1:4" ht="54">
      <c r="A3234" s="798">
        <v>100613</v>
      </c>
      <c r="B3234" s="799" t="s">
        <v>4339</v>
      </c>
      <c r="C3234" s="798" t="s">
        <v>24</v>
      </c>
      <c r="D3234" s="800">
        <v>1249.74</v>
      </c>
    </row>
    <row r="3235" spans="1:4" ht="54">
      <c r="A3235" s="798">
        <v>100614</v>
      </c>
      <c r="B3235" s="799" t="s">
        <v>4340</v>
      </c>
      <c r="C3235" s="798" t="s">
        <v>24</v>
      </c>
      <c r="D3235" s="800">
        <v>697.49</v>
      </c>
    </row>
    <row r="3236" spans="1:4" ht="54">
      <c r="A3236" s="798">
        <v>100615</v>
      </c>
      <c r="B3236" s="799" t="s">
        <v>4341</v>
      </c>
      <c r="C3236" s="798" t="s">
        <v>24</v>
      </c>
      <c r="D3236" s="800">
        <v>864.54</v>
      </c>
    </row>
    <row r="3237" spans="1:4" ht="54">
      <c r="A3237" s="798">
        <v>100616</v>
      </c>
      <c r="B3237" s="799" t="s">
        <v>4342</v>
      </c>
      <c r="C3237" s="798" t="s">
        <v>24</v>
      </c>
      <c r="D3237" s="800">
        <v>1297.1500000000001</v>
      </c>
    </row>
    <row r="3238" spans="1:4" ht="54">
      <c r="A3238" s="798">
        <v>100617</v>
      </c>
      <c r="B3238" s="799" t="s">
        <v>4343</v>
      </c>
      <c r="C3238" s="798" t="s">
        <v>24</v>
      </c>
      <c r="D3238" s="800">
        <v>898.81</v>
      </c>
    </row>
    <row r="3239" spans="1:4" ht="67.5">
      <c r="A3239" s="798">
        <v>100618</v>
      </c>
      <c r="B3239" s="799" t="s">
        <v>4344</v>
      </c>
      <c r="C3239" s="798" t="s">
        <v>24</v>
      </c>
      <c r="D3239" s="800">
        <v>1349.94</v>
      </c>
    </row>
    <row r="3240" spans="1:4" ht="40.5">
      <c r="A3240" s="798">
        <v>100619</v>
      </c>
      <c r="B3240" s="799" t="s">
        <v>4345</v>
      </c>
      <c r="C3240" s="798" t="s">
        <v>24</v>
      </c>
      <c r="D3240" s="800">
        <v>604.01</v>
      </c>
    </row>
    <row r="3241" spans="1:4" ht="40.5">
      <c r="A3241" s="798">
        <v>100620</v>
      </c>
      <c r="B3241" s="799" t="s">
        <v>4346</v>
      </c>
      <c r="C3241" s="798" t="s">
        <v>24</v>
      </c>
      <c r="D3241" s="800">
        <v>4000.94</v>
      </c>
    </row>
    <row r="3242" spans="1:4" ht="40.5">
      <c r="A3242" s="798">
        <v>100621</v>
      </c>
      <c r="B3242" s="799" t="s">
        <v>4347</v>
      </c>
      <c r="C3242" s="798" t="s">
        <v>24</v>
      </c>
      <c r="D3242" s="800">
        <v>4561.68</v>
      </c>
    </row>
    <row r="3243" spans="1:4" ht="40.5">
      <c r="A3243" s="798">
        <v>100622</v>
      </c>
      <c r="B3243" s="799" t="s">
        <v>4348</v>
      </c>
      <c r="C3243" s="798" t="s">
        <v>24</v>
      </c>
      <c r="D3243" s="800">
        <v>2832.49</v>
      </c>
    </row>
    <row r="3244" spans="1:4" ht="40.5">
      <c r="A3244" s="798">
        <v>100623</v>
      </c>
      <c r="B3244" s="799" t="s">
        <v>4349</v>
      </c>
      <c r="C3244" s="798" t="s">
        <v>24</v>
      </c>
      <c r="D3244" s="800">
        <v>3061.34</v>
      </c>
    </row>
    <row r="3245" spans="1:4" ht="54">
      <c r="A3245" s="798">
        <v>97600</v>
      </c>
      <c r="B3245" s="799" t="s">
        <v>4859</v>
      </c>
      <c r="C3245" s="798" t="s">
        <v>24</v>
      </c>
      <c r="D3245" s="800">
        <v>361.53</v>
      </c>
    </row>
    <row r="3246" spans="1:4" ht="40.5">
      <c r="A3246" s="798">
        <v>97601</v>
      </c>
      <c r="B3246" s="799" t="s">
        <v>4860</v>
      </c>
      <c r="C3246" s="798" t="s">
        <v>24</v>
      </c>
      <c r="D3246" s="800">
        <v>373.78</v>
      </c>
    </row>
    <row r="3247" spans="1:4" ht="40.5">
      <c r="A3247" s="798">
        <v>97605</v>
      </c>
      <c r="B3247" s="799" t="s">
        <v>4861</v>
      </c>
      <c r="C3247" s="798" t="s">
        <v>24</v>
      </c>
      <c r="D3247" s="800">
        <v>116.97</v>
      </c>
    </row>
    <row r="3248" spans="1:4" ht="40.5">
      <c r="A3248" s="798">
        <v>97606</v>
      </c>
      <c r="B3248" s="799" t="s">
        <v>4862</v>
      </c>
      <c r="C3248" s="798" t="s">
        <v>24</v>
      </c>
      <c r="D3248" s="800">
        <v>120.23</v>
      </c>
    </row>
    <row r="3249" spans="1:4" ht="40.5">
      <c r="A3249" s="798">
        <v>97607</v>
      </c>
      <c r="B3249" s="799" t="s">
        <v>4863</v>
      </c>
      <c r="C3249" s="798" t="s">
        <v>24</v>
      </c>
      <c r="D3249" s="800">
        <v>142.37</v>
      </c>
    </row>
    <row r="3250" spans="1:4" ht="40.5">
      <c r="A3250" s="798">
        <v>97608</v>
      </c>
      <c r="B3250" s="799" t="s">
        <v>4864</v>
      </c>
      <c r="C3250" s="798" t="s">
        <v>24</v>
      </c>
      <c r="D3250" s="800">
        <v>145.63</v>
      </c>
    </row>
    <row r="3251" spans="1:4" ht="54">
      <c r="A3251" s="798">
        <v>102102</v>
      </c>
      <c r="B3251" s="799" t="s">
        <v>6626</v>
      </c>
      <c r="C3251" s="798" t="s">
        <v>24</v>
      </c>
      <c r="D3251" s="800">
        <v>11650.34</v>
      </c>
    </row>
    <row r="3252" spans="1:4" ht="54">
      <c r="A3252" s="798">
        <v>102103</v>
      </c>
      <c r="B3252" s="799" t="s">
        <v>6627</v>
      </c>
      <c r="C3252" s="798" t="s">
        <v>24</v>
      </c>
      <c r="D3252" s="800">
        <v>12983.39</v>
      </c>
    </row>
    <row r="3253" spans="1:4" ht="54">
      <c r="A3253" s="798">
        <v>102104</v>
      </c>
      <c r="B3253" s="799" t="s">
        <v>6628</v>
      </c>
      <c r="C3253" s="798" t="s">
        <v>24</v>
      </c>
      <c r="D3253" s="800">
        <v>16705.07</v>
      </c>
    </row>
    <row r="3254" spans="1:4" ht="54">
      <c r="A3254" s="798">
        <v>102105</v>
      </c>
      <c r="B3254" s="799" t="s">
        <v>6629</v>
      </c>
      <c r="C3254" s="798" t="s">
        <v>24</v>
      </c>
      <c r="D3254" s="800">
        <v>20572.330000000002</v>
      </c>
    </row>
    <row r="3255" spans="1:4" ht="54">
      <c r="A3255" s="798">
        <v>102106</v>
      </c>
      <c r="B3255" s="799" t="s">
        <v>6630</v>
      </c>
      <c r="C3255" s="798" t="s">
        <v>24</v>
      </c>
      <c r="D3255" s="800">
        <v>25856.74</v>
      </c>
    </row>
    <row r="3256" spans="1:4" ht="54">
      <c r="A3256" s="798">
        <v>102107</v>
      </c>
      <c r="B3256" s="799" t="s">
        <v>6631</v>
      </c>
      <c r="C3256" s="798" t="s">
        <v>24</v>
      </c>
      <c r="D3256" s="800">
        <v>36152.239999999998</v>
      </c>
    </row>
    <row r="3257" spans="1:4" ht="54">
      <c r="A3257" s="798">
        <v>102108</v>
      </c>
      <c r="B3257" s="799" t="s">
        <v>6632</v>
      </c>
      <c r="C3257" s="798" t="s">
        <v>24</v>
      </c>
      <c r="D3257" s="800">
        <v>42128.86</v>
      </c>
    </row>
    <row r="3258" spans="1:4" ht="27">
      <c r="A3258" s="798">
        <v>102109</v>
      </c>
      <c r="B3258" s="799" t="s">
        <v>6633</v>
      </c>
      <c r="C3258" s="798" t="s">
        <v>24</v>
      </c>
      <c r="D3258" s="800">
        <v>58.6</v>
      </c>
    </row>
    <row r="3259" spans="1:4" ht="27">
      <c r="A3259" s="798">
        <v>102110</v>
      </c>
      <c r="B3259" s="799" t="s">
        <v>6634</v>
      </c>
      <c r="C3259" s="798" t="s">
        <v>24</v>
      </c>
      <c r="D3259" s="800">
        <v>203.79</v>
      </c>
    </row>
    <row r="3260" spans="1:4" ht="54">
      <c r="A3260" s="798">
        <v>103654</v>
      </c>
      <c r="B3260" s="799" t="s">
        <v>13441</v>
      </c>
      <c r="C3260" s="798" t="s">
        <v>24</v>
      </c>
      <c r="D3260" s="800">
        <v>68399.02</v>
      </c>
    </row>
    <row r="3261" spans="1:4" ht="54">
      <c r="A3261" s="798">
        <v>103655</v>
      </c>
      <c r="B3261" s="799" t="s">
        <v>13442</v>
      </c>
      <c r="C3261" s="798" t="s">
        <v>24</v>
      </c>
      <c r="D3261" s="800">
        <v>93745.13</v>
      </c>
    </row>
    <row r="3262" spans="1:4" ht="54">
      <c r="A3262" s="798">
        <v>103656</v>
      </c>
      <c r="B3262" s="799" t="s">
        <v>13443</v>
      </c>
      <c r="C3262" s="798" t="s">
        <v>24</v>
      </c>
      <c r="D3262" s="800">
        <v>131140.01999999999</v>
      </c>
    </row>
    <row r="3263" spans="1:4" ht="54">
      <c r="A3263" s="798">
        <v>93128</v>
      </c>
      <c r="B3263" s="799" t="s">
        <v>2144</v>
      </c>
      <c r="C3263" s="798" t="s">
        <v>24</v>
      </c>
      <c r="D3263" s="800">
        <v>115.6</v>
      </c>
    </row>
    <row r="3264" spans="1:4" ht="54">
      <c r="A3264" s="798">
        <v>93137</v>
      </c>
      <c r="B3264" s="799" t="s">
        <v>2145</v>
      </c>
      <c r="C3264" s="798" t="s">
        <v>24</v>
      </c>
      <c r="D3264" s="800">
        <v>138.53</v>
      </c>
    </row>
    <row r="3265" spans="1:4" ht="54">
      <c r="A3265" s="798">
        <v>93138</v>
      </c>
      <c r="B3265" s="799" t="s">
        <v>2146</v>
      </c>
      <c r="C3265" s="798" t="s">
        <v>24</v>
      </c>
      <c r="D3265" s="800">
        <v>131.56</v>
      </c>
    </row>
    <row r="3266" spans="1:4" ht="54">
      <c r="A3266" s="798">
        <v>93139</v>
      </c>
      <c r="B3266" s="799" t="s">
        <v>2147</v>
      </c>
      <c r="C3266" s="798" t="s">
        <v>24</v>
      </c>
      <c r="D3266" s="800">
        <v>170.42</v>
      </c>
    </row>
    <row r="3267" spans="1:4" ht="54">
      <c r="A3267" s="798">
        <v>93140</v>
      </c>
      <c r="B3267" s="799" t="s">
        <v>2148</v>
      </c>
      <c r="C3267" s="798" t="s">
        <v>24</v>
      </c>
      <c r="D3267" s="800">
        <v>160.1</v>
      </c>
    </row>
    <row r="3268" spans="1:4" ht="40.5">
      <c r="A3268" s="798">
        <v>93141</v>
      </c>
      <c r="B3268" s="799" t="s">
        <v>472</v>
      </c>
      <c r="C3268" s="798" t="s">
        <v>24</v>
      </c>
      <c r="D3268" s="800">
        <v>146.97</v>
      </c>
    </row>
    <row r="3269" spans="1:4" ht="40.5">
      <c r="A3269" s="798">
        <v>93142</v>
      </c>
      <c r="B3269" s="799" t="s">
        <v>2149</v>
      </c>
      <c r="C3269" s="798" t="s">
        <v>24</v>
      </c>
      <c r="D3269" s="800">
        <v>162.26</v>
      </c>
    </row>
    <row r="3270" spans="1:4" ht="40.5">
      <c r="A3270" s="798">
        <v>93143</v>
      </c>
      <c r="B3270" s="799" t="s">
        <v>473</v>
      </c>
      <c r="C3270" s="798" t="s">
        <v>24</v>
      </c>
      <c r="D3270" s="800">
        <v>148.85</v>
      </c>
    </row>
    <row r="3271" spans="1:4" ht="54">
      <c r="A3271" s="798">
        <v>93144</v>
      </c>
      <c r="B3271" s="799" t="s">
        <v>2150</v>
      </c>
      <c r="C3271" s="798" t="s">
        <v>24</v>
      </c>
      <c r="D3271" s="800">
        <v>209.56</v>
      </c>
    </row>
    <row r="3272" spans="1:4" ht="67.5">
      <c r="A3272" s="798">
        <v>93145</v>
      </c>
      <c r="B3272" s="799" t="s">
        <v>2151</v>
      </c>
      <c r="C3272" s="798" t="s">
        <v>24</v>
      </c>
      <c r="D3272" s="800">
        <v>181.15</v>
      </c>
    </row>
    <row r="3273" spans="1:4" ht="67.5">
      <c r="A3273" s="798">
        <v>93146</v>
      </c>
      <c r="B3273" s="799" t="s">
        <v>2152</v>
      </c>
      <c r="C3273" s="798" t="s">
        <v>24</v>
      </c>
      <c r="D3273" s="800">
        <v>197.12</v>
      </c>
    </row>
    <row r="3274" spans="1:4" ht="67.5">
      <c r="A3274" s="798">
        <v>93147</v>
      </c>
      <c r="B3274" s="799" t="s">
        <v>2153</v>
      </c>
      <c r="C3274" s="798" t="s">
        <v>24</v>
      </c>
      <c r="D3274" s="800">
        <v>225.7</v>
      </c>
    </row>
    <row r="3275" spans="1:4" ht="27">
      <c r="A3275" s="798">
        <v>96971</v>
      </c>
      <c r="B3275" s="799" t="s">
        <v>3189</v>
      </c>
      <c r="C3275" s="798" t="s">
        <v>14</v>
      </c>
      <c r="D3275" s="800">
        <v>27.64</v>
      </c>
    </row>
    <row r="3276" spans="1:4" ht="27">
      <c r="A3276" s="798">
        <v>96972</v>
      </c>
      <c r="B3276" s="799" t="s">
        <v>3190</v>
      </c>
      <c r="C3276" s="798" t="s">
        <v>14</v>
      </c>
      <c r="D3276" s="800">
        <v>38.729999999999997</v>
      </c>
    </row>
    <row r="3277" spans="1:4" ht="27">
      <c r="A3277" s="798">
        <v>96973</v>
      </c>
      <c r="B3277" s="799" t="s">
        <v>3191</v>
      </c>
      <c r="C3277" s="798" t="s">
        <v>14</v>
      </c>
      <c r="D3277" s="800">
        <v>49.7</v>
      </c>
    </row>
    <row r="3278" spans="1:4" ht="27">
      <c r="A3278" s="798">
        <v>96974</v>
      </c>
      <c r="B3278" s="799" t="s">
        <v>3192</v>
      </c>
      <c r="C3278" s="798" t="s">
        <v>14</v>
      </c>
      <c r="D3278" s="800">
        <v>64.459999999999994</v>
      </c>
    </row>
    <row r="3279" spans="1:4" ht="27">
      <c r="A3279" s="798">
        <v>96975</v>
      </c>
      <c r="B3279" s="799" t="s">
        <v>3193</v>
      </c>
      <c r="C3279" s="798" t="s">
        <v>14</v>
      </c>
      <c r="D3279" s="800">
        <v>84.6</v>
      </c>
    </row>
    <row r="3280" spans="1:4" ht="27">
      <c r="A3280" s="798">
        <v>96976</v>
      </c>
      <c r="B3280" s="799" t="s">
        <v>3194</v>
      </c>
      <c r="C3280" s="798" t="s">
        <v>14</v>
      </c>
      <c r="D3280" s="800">
        <v>111.78</v>
      </c>
    </row>
    <row r="3281" spans="1:4" ht="27">
      <c r="A3281" s="798">
        <v>96977</v>
      </c>
      <c r="B3281" s="799" t="s">
        <v>3195</v>
      </c>
      <c r="C3281" s="798" t="s">
        <v>14</v>
      </c>
      <c r="D3281" s="800">
        <v>46.72</v>
      </c>
    </row>
    <row r="3282" spans="1:4" ht="27">
      <c r="A3282" s="798">
        <v>96978</v>
      </c>
      <c r="B3282" s="799" t="s">
        <v>3196</v>
      </c>
      <c r="C3282" s="798" t="s">
        <v>14</v>
      </c>
      <c r="D3282" s="800">
        <v>65.59</v>
      </c>
    </row>
    <row r="3283" spans="1:4" ht="27">
      <c r="A3283" s="798">
        <v>96979</v>
      </c>
      <c r="B3283" s="799" t="s">
        <v>3197</v>
      </c>
      <c r="C3283" s="798" t="s">
        <v>14</v>
      </c>
      <c r="D3283" s="800">
        <v>92.04</v>
      </c>
    </row>
    <row r="3284" spans="1:4" ht="27">
      <c r="A3284" s="798">
        <v>96984</v>
      </c>
      <c r="B3284" s="799" t="s">
        <v>3199</v>
      </c>
      <c r="C3284" s="798" t="s">
        <v>24</v>
      </c>
      <c r="D3284" s="800">
        <v>45.57</v>
      </c>
    </row>
    <row r="3285" spans="1:4" ht="27">
      <c r="A3285" s="798">
        <v>96985</v>
      </c>
      <c r="B3285" s="799" t="s">
        <v>3200</v>
      </c>
      <c r="C3285" s="798" t="s">
        <v>24</v>
      </c>
      <c r="D3285" s="800">
        <v>60.39</v>
      </c>
    </row>
    <row r="3286" spans="1:4" ht="27">
      <c r="A3286" s="798">
        <v>96986</v>
      </c>
      <c r="B3286" s="799" t="s">
        <v>3201</v>
      </c>
      <c r="C3286" s="798" t="s">
        <v>24</v>
      </c>
      <c r="D3286" s="800">
        <v>90.09</v>
      </c>
    </row>
    <row r="3287" spans="1:4" ht="27">
      <c r="A3287" s="798">
        <v>96987</v>
      </c>
      <c r="B3287" s="799" t="s">
        <v>3202</v>
      </c>
      <c r="C3287" s="798" t="s">
        <v>24</v>
      </c>
      <c r="D3287" s="800">
        <v>93.6</v>
      </c>
    </row>
    <row r="3288" spans="1:4" ht="27">
      <c r="A3288" s="798">
        <v>96988</v>
      </c>
      <c r="B3288" s="799" t="s">
        <v>3203</v>
      </c>
      <c r="C3288" s="798" t="s">
        <v>24</v>
      </c>
      <c r="D3288" s="800">
        <v>165.89</v>
      </c>
    </row>
    <row r="3289" spans="1:4" ht="27">
      <c r="A3289" s="798">
        <v>96989</v>
      </c>
      <c r="B3289" s="799" t="s">
        <v>3204</v>
      </c>
      <c r="C3289" s="798" t="s">
        <v>24</v>
      </c>
      <c r="D3289" s="800">
        <v>138.91</v>
      </c>
    </row>
    <row r="3290" spans="1:4" ht="27">
      <c r="A3290" s="798">
        <v>98463</v>
      </c>
      <c r="B3290" s="799" t="s">
        <v>3198</v>
      </c>
      <c r="C3290" s="798" t="s">
        <v>24</v>
      </c>
      <c r="D3290" s="800">
        <v>19.41</v>
      </c>
    </row>
    <row r="3291" spans="1:4" ht="54">
      <c r="A3291" s="798">
        <v>103490</v>
      </c>
      <c r="B3291" s="799" t="s">
        <v>8246</v>
      </c>
      <c r="C3291" s="798" t="s">
        <v>22</v>
      </c>
      <c r="D3291" s="800">
        <v>2497.31</v>
      </c>
    </row>
    <row r="3292" spans="1:4" ht="54">
      <c r="A3292" s="798">
        <v>103491</v>
      </c>
      <c r="B3292" s="799" t="s">
        <v>8247</v>
      </c>
      <c r="C3292" s="798" t="s">
        <v>22</v>
      </c>
      <c r="D3292" s="800">
        <v>615.94000000000005</v>
      </c>
    </row>
    <row r="3293" spans="1:4" ht="67.5">
      <c r="A3293" s="798">
        <v>96765</v>
      </c>
      <c r="B3293" s="799" t="s">
        <v>5816</v>
      </c>
      <c r="C3293" s="798" t="s">
        <v>24</v>
      </c>
      <c r="D3293" s="800">
        <v>1338.03</v>
      </c>
    </row>
    <row r="3294" spans="1:4" ht="40.5">
      <c r="A3294" s="798">
        <v>101905</v>
      </c>
      <c r="B3294" s="799" t="s">
        <v>5817</v>
      </c>
      <c r="C3294" s="798" t="s">
        <v>24</v>
      </c>
      <c r="D3294" s="800">
        <v>186.74</v>
      </c>
    </row>
    <row r="3295" spans="1:4" ht="40.5">
      <c r="A3295" s="798">
        <v>101906</v>
      </c>
      <c r="B3295" s="799" t="s">
        <v>5818</v>
      </c>
      <c r="C3295" s="798" t="s">
        <v>24</v>
      </c>
      <c r="D3295" s="800">
        <v>553.96</v>
      </c>
    </row>
    <row r="3296" spans="1:4" ht="40.5">
      <c r="A3296" s="798">
        <v>101907</v>
      </c>
      <c r="B3296" s="799" t="s">
        <v>5819</v>
      </c>
      <c r="C3296" s="798" t="s">
        <v>24</v>
      </c>
      <c r="D3296" s="800">
        <v>598.70000000000005</v>
      </c>
    </row>
    <row r="3297" spans="1:4" ht="40.5">
      <c r="A3297" s="798">
        <v>101908</v>
      </c>
      <c r="B3297" s="799" t="s">
        <v>5820</v>
      </c>
      <c r="C3297" s="798" t="s">
        <v>24</v>
      </c>
      <c r="D3297" s="800">
        <v>181.15</v>
      </c>
    </row>
    <row r="3298" spans="1:4" ht="40.5">
      <c r="A3298" s="798">
        <v>101909</v>
      </c>
      <c r="B3298" s="799" t="s">
        <v>5821</v>
      </c>
      <c r="C3298" s="798" t="s">
        <v>24</v>
      </c>
      <c r="D3298" s="800">
        <v>210.98</v>
      </c>
    </row>
    <row r="3299" spans="1:4" ht="40.5">
      <c r="A3299" s="798">
        <v>101910</v>
      </c>
      <c r="B3299" s="799" t="s">
        <v>5822</v>
      </c>
      <c r="C3299" s="798" t="s">
        <v>24</v>
      </c>
      <c r="D3299" s="800">
        <v>248.26</v>
      </c>
    </row>
    <row r="3300" spans="1:4" ht="40.5">
      <c r="A3300" s="798">
        <v>101911</v>
      </c>
      <c r="B3300" s="799" t="s">
        <v>5823</v>
      </c>
      <c r="C3300" s="798" t="s">
        <v>24</v>
      </c>
      <c r="D3300" s="800">
        <v>285.54000000000002</v>
      </c>
    </row>
    <row r="3301" spans="1:4" ht="54">
      <c r="A3301" s="798">
        <v>101912</v>
      </c>
      <c r="B3301" s="799" t="s">
        <v>5824</v>
      </c>
      <c r="C3301" s="798" t="s">
        <v>24</v>
      </c>
      <c r="D3301" s="800">
        <v>1714.43</v>
      </c>
    </row>
    <row r="3302" spans="1:4" ht="27">
      <c r="A3302" s="798">
        <v>101913</v>
      </c>
      <c r="B3302" s="799" t="s">
        <v>5825</v>
      </c>
      <c r="C3302" s="798" t="s">
        <v>24</v>
      </c>
      <c r="D3302" s="800">
        <v>480.95</v>
      </c>
    </row>
    <row r="3303" spans="1:4" ht="27">
      <c r="A3303" s="798">
        <v>101914</v>
      </c>
      <c r="B3303" s="799" t="s">
        <v>5826</v>
      </c>
      <c r="C3303" s="798" t="s">
        <v>24</v>
      </c>
      <c r="D3303" s="800">
        <v>425.28</v>
      </c>
    </row>
    <row r="3304" spans="1:4" ht="54">
      <c r="A3304" s="798">
        <v>101915</v>
      </c>
      <c r="B3304" s="799" t="s">
        <v>5827</v>
      </c>
      <c r="C3304" s="798" t="s">
        <v>24</v>
      </c>
      <c r="D3304" s="800">
        <v>377.7</v>
      </c>
    </row>
    <row r="3305" spans="1:4" ht="40.5">
      <c r="A3305" s="798">
        <v>101916</v>
      </c>
      <c r="B3305" s="799" t="s">
        <v>5828</v>
      </c>
      <c r="C3305" s="798" t="s">
        <v>24</v>
      </c>
      <c r="D3305" s="800">
        <v>3135.8</v>
      </c>
    </row>
    <row r="3306" spans="1:4" ht="27">
      <c r="A3306" s="798">
        <v>101917</v>
      </c>
      <c r="B3306" s="799" t="s">
        <v>5829</v>
      </c>
      <c r="C3306" s="798" t="s">
        <v>24</v>
      </c>
      <c r="D3306" s="800">
        <v>122.11</v>
      </c>
    </row>
    <row r="3307" spans="1:4" ht="27">
      <c r="A3307" s="798">
        <v>98261</v>
      </c>
      <c r="B3307" s="799" t="s">
        <v>4350</v>
      </c>
      <c r="C3307" s="798" t="s">
        <v>14</v>
      </c>
      <c r="D3307" s="800">
        <v>3.15</v>
      </c>
    </row>
    <row r="3308" spans="1:4" ht="40.5">
      <c r="A3308" s="798">
        <v>98262</v>
      </c>
      <c r="B3308" s="799" t="s">
        <v>4351</v>
      </c>
      <c r="C3308" s="798" t="s">
        <v>14</v>
      </c>
      <c r="D3308" s="800">
        <v>4.0199999999999996</v>
      </c>
    </row>
    <row r="3309" spans="1:4" ht="40.5">
      <c r="A3309" s="798">
        <v>98263</v>
      </c>
      <c r="B3309" s="799" t="s">
        <v>4352</v>
      </c>
      <c r="C3309" s="798" t="s">
        <v>14</v>
      </c>
      <c r="D3309" s="800">
        <v>5.0999999999999996</v>
      </c>
    </row>
    <row r="3310" spans="1:4" ht="40.5">
      <c r="A3310" s="798">
        <v>98264</v>
      </c>
      <c r="B3310" s="799" t="s">
        <v>4353</v>
      </c>
      <c r="C3310" s="798" t="s">
        <v>14</v>
      </c>
      <c r="D3310" s="800">
        <v>5.92</v>
      </c>
    </row>
    <row r="3311" spans="1:4" ht="40.5">
      <c r="A3311" s="798">
        <v>98265</v>
      </c>
      <c r="B3311" s="799" t="s">
        <v>4354</v>
      </c>
      <c r="C3311" s="798" t="s">
        <v>14</v>
      </c>
      <c r="D3311" s="800">
        <v>7.22</v>
      </c>
    </row>
    <row r="3312" spans="1:4" ht="40.5">
      <c r="A3312" s="798">
        <v>98266</v>
      </c>
      <c r="B3312" s="799" t="s">
        <v>4355</v>
      </c>
      <c r="C3312" s="798" t="s">
        <v>14</v>
      </c>
      <c r="D3312" s="800">
        <v>7.97</v>
      </c>
    </row>
    <row r="3313" spans="1:4" ht="27">
      <c r="A3313" s="798">
        <v>98267</v>
      </c>
      <c r="B3313" s="799" t="s">
        <v>4356</v>
      </c>
      <c r="C3313" s="798" t="s">
        <v>14</v>
      </c>
      <c r="D3313" s="800">
        <v>14</v>
      </c>
    </row>
    <row r="3314" spans="1:4" ht="27">
      <c r="A3314" s="798">
        <v>98268</v>
      </c>
      <c r="B3314" s="799" t="s">
        <v>4357</v>
      </c>
      <c r="C3314" s="798" t="s">
        <v>14</v>
      </c>
      <c r="D3314" s="800">
        <v>24.58</v>
      </c>
    </row>
    <row r="3315" spans="1:4" ht="27">
      <c r="A3315" s="798">
        <v>98269</v>
      </c>
      <c r="B3315" s="799" t="s">
        <v>4358</v>
      </c>
      <c r="C3315" s="798" t="s">
        <v>14</v>
      </c>
      <c r="D3315" s="800">
        <v>32.520000000000003</v>
      </c>
    </row>
    <row r="3316" spans="1:4" ht="27">
      <c r="A3316" s="798">
        <v>98270</v>
      </c>
      <c r="B3316" s="799" t="s">
        <v>4359</v>
      </c>
      <c r="C3316" s="798" t="s">
        <v>14</v>
      </c>
      <c r="D3316" s="800">
        <v>55.09</v>
      </c>
    </row>
    <row r="3317" spans="1:4" ht="27">
      <c r="A3317" s="798">
        <v>98271</v>
      </c>
      <c r="B3317" s="799" t="s">
        <v>4360</v>
      </c>
      <c r="C3317" s="798" t="s">
        <v>14</v>
      </c>
      <c r="D3317" s="800">
        <v>87.62</v>
      </c>
    </row>
    <row r="3318" spans="1:4" ht="27">
      <c r="A3318" s="798">
        <v>98272</v>
      </c>
      <c r="B3318" s="799" t="s">
        <v>4361</v>
      </c>
      <c r="C3318" s="798" t="s">
        <v>14</v>
      </c>
      <c r="D3318" s="800">
        <v>210.57</v>
      </c>
    </row>
    <row r="3319" spans="1:4" ht="40.5">
      <c r="A3319" s="798">
        <v>98273</v>
      </c>
      <c r="B3319" s="799" t="s">
        <v>4362</v>
      </c>
      <c r="C3319" s="798" t="s">
        <v>14</v>
      </c>
      <c r="D3319" s="800">
        <v>3.83</v>
      </c>
    </row>
    <row r="3320" spans="1:4" ht="40.5">
      <c r="A3320" s="798">
        <v>98274</v>
      </c>
      <c r="B3320" s="799" t="s">
        <v>4363</v>
      </c>
      <c r="C3320" s="798" t="s">
        <v>14</v>
      </c>
      <c r="D3320" s="800">
        <v>5.13</v>
      </c>
    </row>
    <row r="3321" spans="1:4" ht="40.5">
      <c r="A3321" s="798">
        <v>98275</v>
      </c>
      <c r="B3321" s="799" t="s">
        <v>4364</v>
      </c>
      <c r="C3321" s="798" t="s">
        <v>14</v>
      </c>
      <c r="D3321" s="800">
        <v>5.88</v>
      </c>
    </row>
    <row r="3322" spans="1:4" ht="27">
      <c r="A3322" s="798">
        <v>98276</v>
      </c>
      <c r="B3322" s="799" t="s">
        <v>4365</v>
      </c>
      <c r="C3322" s="798" t="s">
        <v>14</v>
      </c>
      <c r="D3322" s="800">
        <v>11.91</v>
      </c>
    </row>
    <row r="3323" spans="1:4" ht="27">
      <c r="A3323" s="798">
        <v>98277</v>
      </c>
      <c r="B3323" s="799" t="s">
        <v>4366</v>
      </c>
      <c r="C3323" s="798" t="s">
        <v>14</v>
      </c>
      <c r="D3323" s="800">
        <v>22.48</v>
      </c>
    </row>
    <row r="3324" spans="1:4" ht="27">
      <c r="A3324" s="798">
        <v>98278</v>
      </c>
      <c r="B3324" s="799" t="s">
        <v>4367</v>
      </c>
      <c r="C3324" s="798" t="s">
        <v>14</v>
      </c>
      <c r="D3324" s="800">
        <v>30.43</v>
      </c>
    </row>
    <row r="3325" spans="1:4" ht="27">
      <c r="A3325" s="798">
        <v>98279</v>
      </c>
      <c r="B3325" s="799" t="s">
        <v>4368</v>
      </c>
      <c r="C3325" s="798" t="s">
        <v>14</v>
      </c>
      <c r="D3325" s="800">
        <v>52.99</v>
      </c>
    </row>
    <row r="3326" spans="1:4" ht="40.5">
      <c r="A3326" s="798">
        <v>98280</v>
      </c>
      <c r="B3326" s="799" t="s">
        <v>4369</v>
      </c>
      <c r="C3326" s="798" t="s">
        <v>14</v>
      </c>
      <c r="D3326" s="800">
        <v>5.84</v>
      </c>
    </row>
    <row r="3327" spans="1:4" ht="40.5">
      <c r="A3327" s="798">
        <v>98281</v>
      </c>
      <c r="B3327" s="799" t="s">
        <v>4370</v>
      </c>
      <c r="C3327" s="798" t="s">
        <v>14</v>
      </c>
      <c r="D3327" s="800">
        <v>6.71</v>
      </c>
    </row>
    <row r="3328" spans="1:4" ht="40.5">
      <c r="A3328" s="798">
        <v>98282</v>
      </c>
      <c r="B3328" s="799" t="s">
        <v>4371</v>
      </c>
      <c r="C3328" s="798" t="s">
        <v>14</v>
      </c>
      <c r="D3328" s="800">
        <v>7.78</v>
      </c>
    </row>
    <row r="3329" spans="1:4" ht="40.5">
      <c r="A3329" s="798">
        <v>98283</v>
      </c>
      <c r="B3329" s="799" t="s">
        <v>4372</v>
      </c>
      <c r="C3329" s="798" t="s">
        <v>14</v>
      </c>
      <c r="D3329" s="800">
        <v>8.61</v>
      </c>
    </row>
    <row r="3330" spans="1:4" ht="40.5">
      <c r="A3330" s="798">
        <v>98284</v>
      </c>
      <c r="B3330" s="799" t="s">
        <v>4373</v>
      </c>
      <c r="C3330" s="798" t="s">
        <v>14</v>
      </c>
      <c r="D3330" s="800">
        <v>9.91</v>
      </c>
    </row>
    <row r="3331" spans="1:4" ht="40.5">
      <c r="A3331" s="798">
        <v>98285</v>
      </c>
      <c r="B3331" s="799" t="s">
        <v>4374</v>
      </c>
      <c r="C3331" s="798" t="s">
        <v>14</v>
      </c>
      <c r="D3331" s="800">
        <v>10.66</v>
      </c>
    </row>
    <row r="3332" spans="1:4" ht="40.5">
      <c r="A3332" s="798">
        <v>98286</v>
      </c>
      <c r="B3332" s="799" t="s">
        <v>4375</v>
      </c>
      <c r="C3332" s="798" t="s">
        <v>14</v>
      </c>
      <c r="D3332" s="800">
        <v>16.690000000000001</v>
      </c>
    </row>
    <row r="3333" spans="1:4" ht="40.5">
      <c r="A3333" s="798">
        <v>98287</v>
      </c>
      <c r="B3333" s="799" t="s">
        <v>4376</v>
      </c>
      <c r="C3333" s="798" t="s">
        <v>14</v>
      </c>
      <c r="D3333" s="800">
        <v>1.53</v>
      </c>
    </row>
    <row r="3334" spans="1:4" ht="40.5">
      <c r="A3334" s="798">
        <v>98288</v>
      </c>
      <c r="B3334" s="799" t="s">
        <v>4377</v>
      </c>
      <c r="C3334" s="798" t="s">
        <v>14</v>
      </c>
      <c r="D3334" s="800">
        <v>2.4</v>
      </c>
    </row>
    <row r="3335" spans="1:4" ht="40.5">
      <c r="A3335" s="798">
        <v>98289</v>
      </c>
      <c r="B3335" s="799" t="s">
        <v>4378</v>
      </c>
      <c r="C3335" s="798" t="s">
        <v>14</v>
      </c>
      <c r="D3335" s="800">
        <v>3.48</v>
      </c>
    </row>
    <row r="3336" spans="1:4" ht="40.5">
      <c r="A3336" s="798">
        <v>98290</v>
      </c>
      <c r="B3336" s="799" t="s">
        <v>4379</v>
      </c>
      <c r="C3336" s="798" t="s">
        <v>14</v>
      </c>
      <c r="D3336" s="800">
        <v>4.3099999999999996</v>
      </c>
    </row>
    <row r="3337" spans="1:4" ht="40.5">
      <c r="A3337" s="798">
        <v>98291</v>
      </c>
      <c r="B3337" s="799" t="s">
        <v>4380</v>
      </c>
      <c r="C3337" s="798" t="s">
        <v>14</v>
      </c>
      <c r="D3337" s="800">
        <v>5.61</v>
      </c>
    </row>
    <row r="3338" spans="1:4" ht="40.5">
      <c r="A3338" s="798">
        <v>98292</v>
      </c>
      <c r="B3338" s="799" t="s">
        <v>4381</v>
      </c>
      <c r="C3338" s="798" t="s">
        <v>14</v>
      </c>
      <c r="D3338" s="800">
        <v>6.36</v>
      </c>
    </row>
    <row r="3339" spans="1:4" ht="40.5">
      <c r="A3339" s="798">
        <v>98293</v>
      </c>
      <c r="B3339" s="799" t="s">
        <v>4382</v>
      </c>
      <c r="C3339" s="798" t="s">
        <v>14</v>
      </c>
      <c r="D3339" s="800">
        <v>12.38</v>
      </c>
    </row>
    <row r="3340" spans="1:4" ht="40.5">
      <c r="A3340" s="798">
        <v>98400</v>
      </c>
      <c r="B3340" s="799" t="s">
        <v>4383</v>
      </c>
      <c r="C3340" s="798" t="s">
        <v>14</v>
      </c>
      <c r="D3340" s="800">
        <v>17.22</v>
      </c>
    </row>
    <row r="3341" spans="1:4" ht="40.5">
      <c r="A3341" s="798">
        <v>98401</v>
      </c>
      <c r="B3341" s="799" t="s">
        <v>4384</v>
      </c>
      <c r="C3341" s="798" t="s">
        <v>14</v>
      </c>
      <c r="D3341" s="800">
        <v>28.06</v>
      </c>
    </row>
    <row r="3342" spans="1:4" ht="40.5">
      <c r="A3342" s="798">
        <v>98402</v>
      </c>
      <c r="B3342" s="799" t="s">
        <v>4385</v>
      </c>
      <c r="C3342" s="798" t="s">
        <v>14</v>
      </c>
      <c r="D3342" s="800">
        <v>37.14</v>
      </c>
    </row>
    <row r="3343" spans="1:4" ht="27">
      <c r="A3343" s="798">
        <v>100556</v>
      </c>
      <c r="B3343" s="799" t="s">
        <v>4386</v>
      </c>
      <c r="C3343" s="798" t="s">
        <v>24</v>
      </c>
      <c r="D3343" s="800">
        <v>39.4</v>
      </c>
    </row>
    <row r="3344" spans="1:4" ht="27">
      <c r="A3344" s="798">
        <v>100557</v>
      </c>
      <c r="B3344" s="799" t="s">
        <v>4387</v>
      </c>
      <c r="C3344" s="798" t="s">
        <v>24</v>
      </c>
      <c r="D3344" s="800">
        <v>547.91</v>
      </c>
    </row>
    <row r="3345" spans="1:4" ht="40.5">
      <c r="A3345" s="798">
        <v>100560</v>
      </c>
      <c r="B3345" s="799" t="s">
        <v>4388</v>
      </c>
      <c r="C3345" s="798" t="s">
        <v>24</v>
      </c>
      <c r="D3345" s="800">
        <v>107.41</v>
      </c>
    </row>
    <row r="3346" spans="1:4" ht="40.5">
      <c r="A3346" s="798">
        <v>100561</v>
      </c>
      <c r="B3346" s="799" t="s">
        <v>4389</v>
      </c>
      <c r="C3346" s="798" t="s">
        <v>24</v>
      </c>
      <c r="D3346" s="800">
        <v>206.25</v>
      </c>
    </row>
    <row r="3347" spans="1:4" ht="40.5">
      <c r="A3347" s="798">
        <v>100562</v>
      </c>
      <c r="B3347" s="799" t="s">
        <v>4390</v>
      </c>
      <c r="C3347" s="798" t="s">
        <v>24</v>
      </c>
      <c r="D3347" s="800">
        <v>325.75</v>
      </c>
    </row>
    <row r="3348" spans="1:4" ht="40.5">
      <c r="A3348" s="798">
        <v>100563</v>
      </c>
      <c r="B3348" s="799" t="s">
        <v>4391</v>
      </c>
      <c r="C3348" s="798" t="s">
        <v>24</v>
      </c>
      <c r="D3348" s="800">
        <v>474.96</v>
      </c>
    </row>
    <row r="3349" spans="1:4" ht="54">
      <c r="A3349" s="798">
        <v>101795</v>
      </c>
      <c r="B3349" s="799" t="s">
        <v>6635</v>
      </c>
      <c r="C3349" s="798" t="s">
        <v>24</v>
      </c>
      <c r="D3349" s="800">
        <v>467.43</v>
      </c>
    </row>
    <row r="3350" spans="1:4" ht="40.5">
      <c r="A3350" s="798">
        <v>101798</v>
      </c>
      <c r="B3350" s="799" t="s">
        <v>6636</v>
      </c>
      <c r="C3350" s="798" t="s">
        <v>24</v>
      </c>
      <c r="D3350" s="800">
        <v>370.84</v>
      </c>
    </row>
    <row r="3351" spans="1:4" ht="40.5">
      <c r="A3351" s="798">
        <v>101799</v>
      </c>
      <c r="B3351" s="799" t="s">
        <v>6637</v>
      </c>
      <c r="C3351" s="798" t="s">
        <v>24</v>
      </c>
      <c r="D3351" s="800">
        <v>911.45</v>
      </c>
    </row>
    <row r="3352" spans="1:4" ht="13.5">
      <c r="A3352" s="798">
        <v>98397</v>
      </c>
      <c r="B3352" s="799" t="s">
        <v>3256</v>
      </c>
      <c r="C3352" s="798" t="s">
        <v>32</v>
      </c>
      <c r="D3352" s="800">
        <v>9.4</v>
      </c>
    </row>
    <row r="3353" spans="1:4" ht="40.5">
      <c r="A3353" s="798">
        <v>103244</v>
      </c>
      <c r="B3353" s="799" t="s">
        <v>7735</v>
      </c>
      <c r="C3353" s="798" t="s">
        <v>24</v>
      </c>
      <c r="D3353" s="800">
        <v>2248.62</v>
      </c>
    </row>
    <row r="3354" spans="1:4" ht="40.5">
      <c r="A3354" s="798">
        <v>103245</v>
      </c>
      <c r="B3354" s="799" t="s">
        <v>7736</v>
      </c>
      <c r="C3354" s="798" t="s">
        <v>24</v>
      </c>
      <c r="D3354" s="800">
        <v>1768.15</v>
      </c>
    </row>
    <row r="3355" spans="1:4" ht="40.5">
      <c r="A3355" s="798">
        <v>103246</v>
      </c>
      <c r="B3355" s="799" t="s">
        <v>7737</v>
      </c>
      <c r="C3355" s="798" t="s">
        <v>24</v>
      </c>
      <c r="D3355" s="800">
        <v>1930.64</v>
      </c>
    </row>
    <row r="3356" spans="1:4" ht="40.5">
      <c r="A3356" s="798">
        <v>103247</v>
      </c>
      <c r="B3356" s="799" t="s">
        <v>7738</v>
      </c>
      <c r="C3356" s="798" t="s">
        <v>24</v>
      </c>
      <c r="D3356" s="800">
        <v>2498.52</v>
      </c>
    </row>
    <row r="3357" spans="1:4" ht="40.5">
      <c r="A3357" s="798">
        <v>103248</v>
      </c>
      <c r="B3357" s="799" t="s">
        <v>7739</v>
      </c>
      <c r="C3357" s="798" t="s">
        <v>24</v>
      </c>
      <c r="D3357" s="800">
        <v>2037.03</v>
      </c>
    </row>
    <row r="3358" spans="1:4" ht="40.5">
      <c r="A3358" s="798">
        <v>103249</v>
      </c>
      <c r="B3358" s="799" t="s">
        <v>7740</v>
      </c>
      <c r="C3358" s="798" t="s">
        <v>24</v>
      </c>
      <c r="D3358" s="800">
        <v>2190.38</v>
      </c>
    </row>
    <row r="3359" spans="1:4" ht="40.5">
      <c r="A3359" s="798">
        <v>103250</v>
      </c>
      <c r="B3359" s="799" t="s">
        <v>7741</v>
      </c>
      <c r="C3359" s="798" t="s">
        <v>24</v>
      </c>
      <c r="D3359" s="800">
        <v>3638.07</v>
      </c>
    </row>
    <row r="3360" spans="1:4" ht="40.5">
      <c r="A3360" s="798">
        <v>103251</v>
      </c>
      <c r="B3360" s="799" t="s">
        <v>7742</v>
      </c>
      <c r="C3360" s="798" t="s">
        <v>24</v>
      </c>
      <c r="D3360" s="800">
        <v>2867.3</v>
      </c>
    </row>
    <row r="3361" spans="1:4" ht="40.5">
      <c r="A3361" s="798">
        <v>103252</v>
      </c>
      <c r="B3361" s="799" t="s">
        <v>7743</v>
      </c>
      <c r="C3361" s="798" t="s">
        <v>24</v>
      </c>
      <c r="D3361" s="800">
        <v>3178.13</v>
      </c>
    </row>
    <row r="3362" spans="1:4" ht="40.5">
      <c r="A3362" s="798">
        <v>103253</v>
      </c>
      <c r="B3362" s="799" t="s">
        <v>7744</v>
      </c>
      <c r="C3362" s="798" t="s">
        <v>24</v>
      </c>
      <c r="D3362" s="800">
        <v>4968.01</v>
      </c>
    </row>
    <row r="3363" spans="1:4" ht="40.5">
      <c r="A3363" s="798">
        <v>103254</v>
      </c>
      <c r="B3363" s="799" t="s">
        <v>7745</v>
      </c>
      <c r="C3363" s="798" t="s">
        <v>24</v>
      </c>
      <c r="D3363" s="800">
        <v>3707.89</v>
      </c>
    </row>
    <row r="3364" spans="1:4" ht="40.5">
      <c r="A3364" s="798">
        <v>103255</v>
      </c>
      <c r="B3364" s="799" t="s">
        <v>7746</v>
      </c>
      <c r="C3364" s="798" t="s">
        <v>24</v>
      </c>
      <c r="D3364" s="800">
        <v>4152.5</v>
      </c>
    </row>
    <row r="3365" spans="1:4" ht="40.5">
      <c r="A3365" s="798">
        <v>103256</v>
      </c>
      <c r="B3365" s="799" t="s">
        <v>7747</v>
      </c>
      <c r="C3365" s="798" t="s">
        <v>24</v>
      </c>
      <c r="D3365" s="800">
        <v>9231.2900000000009</v>
      </c>
    </row>
    <row r="3366" spans="1:4" ht="40.5">
      <c r="A3366" s="798">
        <v>103257</v>
      </c>
      <c r="B3366" s="799" t="s">
        <v>7748</v>
      </c>
      <c r="C3366" s="798" t="s">
        <v>24</v>
      </c>
      <c r="D3366" s="800">
        <v>5252.38</v>
      </c>
    </row>
    <row r="3367" spans="1:4" ht="40.5">
      <c r="A3367" s="798">
        <v>103258</v>
      </c>
      <c r="B3367" s="799" t="s">
        <v>7749</v>
      </c>
      <c r="C3367" s="798" t="s">
        <v>24</v>
      </c>
      <c r="D3367" s="800">
        <v>10324.709999999999</v>
      </c>
    </row>
    <row r="3368" spans="1:4" ht="40.5">
      <c r="A3368" s="798">
        <v>103259</v>
      </c>
      <c r="B3368" s="799" t="s">
        <v>7750</v>
      </c>
      <c r="C3368" s="798" t="s">
        <v>24</v>
      </c>
      <c r="D3368" s="800">
        <v>5540.28</v>
      </c>
    </row>
    <row r="3369" spans="1:4" ht="40.5">
      <c r="A3369" s="798">
        <v>103260</v>
      </c>
      <c r="B3369" s="799" t="s">
        <v>7751</v>
      </c>
      <c r="C3369" s="798" t="s">
        <v>24</v>
      </c>
      <c r="D3369" s="800">
        <v>5692.54</v>
      </c>
    </row>
    <row r="3370" spans="1:4" ht="40.5">
      <c r="A3370" s="798">
        <v>103261</v>
      </c>
      <c r="B3370" s="799" t="s">
        <v>7752</v>
      </c>
      <c r="C3370" s="798" t="s">
        <v>24</v>
      </c>
      <c r="D3370" s="800">
        <v>11648.43</v>
      </c>
    </row>
    <row r="3371" spans="1:4" ht="40.5">
      <c r="A3371" s="798">
        <v>103262</v>
      </c>
      <c r="B3371" s="799" t="s">
        <v>7753</v>
      </c>
      <c r="C3371" s="798" t="s">
        <v>24</v>
      </c>
      <c r="D3371" s="800">
        <v>7289.17</v>
      </c>
    </row>
    <row r="3372" spans="1:4" ht="40.5">
      <c r="A3372" s="798">
        <v>103263</v>
      </c>
      <c r="B3372" s="799" t="s">
        <v>7754</v>
      </c>
      <c r="C3372" s="798" t="s">
        <v>24</v>
      </c>
      <c r="D3372" s="800">
        <v>16116.97</v>
      </c>
    </row>
    <row r="3373" spans="1:4" ht="40.5">
      <c r="A3373" s="798">
        <v>103264</v>
      </c>
      <c r="B3373" s="799" t="s">
        <v>7755</v>
      </c>
      <c r="C3373" s="798" t="s">
        <v>24</v>
      </c>
      <c r="D3373" s="800">
        <v>8979.61</v>
      </c>
    </row>
    <row r="3374" spans="1:4" ht="40.5">
      <c r="A3374" s="798">
        <v>103265</v>
      </c>
      <c r="B3374" s="799" t="s">
        <v>7756</v>
      </c>
      <c r="C3374" s="798" t="s">
        <v>24</v>
      </c>
      <c r="D3374" s="800">
        <v>19457.830000000002</v>
      </c>
    </row>
    <row r="3375" spans="1:4" ht="40.5">
      <c r="A3375" s="798">
        <v>103266</v>
      </c>
      <c r="B3375" s="799" t="s">
        <v>7757</v>
      </c>
      <c r="C3375" s="798" t="s">
        <v>24</v>
      </c>
      <c r="D3375" s="800">
        <v>10044.26</v>
      </c>
    </row>
    <row r="3376" spans="1:4" ht="40.5">
      <c r="A3376" s="798">
        <v>103267</v>
      </c>
      <c r="B3376" s="799" t="s">
        <v>7758</v>
      </c>
      <c r="C3376" s="798" t="s">
        <v>24</v>
      </c>
      <c r="D3376" s="800">
        <v>5750.33</v>
      </c>
    </row>
    <row r="3377" spans="1:4" ht="40.5">
      <c r="A3377" s="798">
        <v>103268</v>
      </c>
      <c r="B3377" s="799" t="s">
        <v>7759</v>
      </c>
      <c r="C3377" s="798" t="s">
        <v>24</v>
      </c>
      <c r="D3377" s="800">
        <v>6834.77</v>
      </c>
    </row>
    <row r="3378" spans="1:4" ht="40.5">
      <c r="A3378" s="798">
        <v>103269</v>
      </c>
      <c r="B3378" s="799" t="s">
        <v>7760</v>
      </c>
      <c r="C3378" s="798" t="s">
        <v>24</v>
      </c>
      <c r="D3378" s="800">
        <v>7076.47</v>
      </c>
    </row>
    <row r="3379" spans="1:4" ht="40.5">
      <c r="A3379" s="798">
        <v>103270</v>
      </c>
      <c r="B3379" s="799" t="s">
        <v>7761</v>
      </c>
      <c r="C3379" s="798" t="s">
        <v>24</v>
      </c>
      <c r="D3379" s="800">
        <v>7347.38</v>
      </c>
    </row>
    <row r="3380" spans="1:4" ht="40.5">
      <c r="A3380" s="798">
        <v>103271</v>
      </c>
      <c r="B3380" s="799" t="s">
        <v>7762</v>
      </c>
      <c r="C3380" s="798" t="s">
        <v>24</v>
      </c>
      <c r="D3380" s="800">
        <v>10421.82</v>
      </c>
    </row>
    <row r="3381" spans="1:4" ht="40.5">
      <c r="A3381" s="798">
        <v>103272</v>
      </c>
      <c r="B3381" s="799" t="s">
        <v>7763</v>
      </c>
      <c r="C3381" s="798" t="s">
        <v>24</v>
      </c>
      <c r="D3381" s="800">
        <v>10766.33</v>
      </c>
    </row>
    <row r="3382" spans="1:4" ht="40.5">
      <c r="A3382" s="798">
        <v>103273</v>
      </c>
      <c r="B3382" s="799" t="s">
        <v>7764</v>
      </c>
      <c r="C3382" s="798" t="s">
        <v>24</v>
      </c>
      <c r="D3382" s="800">
        <v>10996.47</v>
      </c>
    </row>
    <row r="3383" spans="1:4" ht="40.5">
      <c r="A3383" s="798">
        <v>103274</v>
      </c>
      <c r="B3383" s="799" t="s">
        <v>7765</v>
      </c>
      <c r="C3383" s="798" t="s">
        <v>24</v>
      </c>
      <c r="D3383" s="800">
        <v>12616.73</v>
      </c>
    </row>
    <row r="3384" spans="1:4" ht="40.5">
      <c r="A3384" s="798">
        <v>103275</v>
      </c>
      <c r="B3384" s="799" t="s">
        <v>7766</v>
      </c>
      <c r="C3384" s="798" t="s">
        <v>24</v>
      </c>
      <c r="D3384" s="800">
        <v>12550.58</v>
      </c>
    </row>
    <row r="3385" spans="1:4" ht="40.5">
      <c r="A3385" s="798">
        <v>103276</v>
      </c>
      <c r="B3385" s="799" t="s">
        <v>7767</v>
      </c>
      <c r="C3385" s="798" t="s">
        <v>24</v>
      </c>
      <c r="D3385" s="800">
        <v>13177.25</v>
      </c>
    </row>
    <row r="3386" spans="1:4" ht="27">
      <c r="A3386" s="798">
        <v>103277</v>
      </c>
      <c r="B3386" s="799" t="s">
        <v>7768</v>
      </c>
      <c r="C3386" s="798" t="s">
        <v>24</v>
      </c>
      <c r="D3386" s="800">
        <v>24377.11</v>
      </c>
    </row>
    <row r="3387" spans="1:4" ht="27">
      <c r="A3387" s="798">
        <v>103278</v>
      </c>
      <c r="B3387" s="799" t="s">
        <v>7769</v>
      </c>
      <c r="C3387" s="798" t="s">
        <v>24</v>
      </c>
      <c r="D3387" s="800">
        <v>31258.98</v>
      </c>
    </row>
    <row r="3388" spans="1:4" ht="27">
      <c r="A3388" s="798">
        <v>103288</v>
      </c>
      <c r="B3388" s="799" t="s">
        <v>7770</v>
      </c>
      <c r="C3388" s="798" t="s">
        <v>24</v>
      </c>
      <c r="D3388" s="800">
        <v>12.56</v>
      </c>
    </row>
    <row r="3389" spans="1:4" ht="40.5">
      <c r="A3389" s="798">
        <v>103289</v>
      </c>
      <c r="B3389" s="799" t="s">
        <v>7771</v>
      </c>
      <c r="C3389" s="798" t="s">
        <v>14</v>
      </c>
      <c r="D3389" s="800">
        <v>35.83</v>
      </c>
    </row>
    <row r="3390" spans="1:4" ht="40.5">
      <c r="A3390" s="798">
        <v>103290</v>
      </c>
      <c r="B3390" s="799" t="s">
        <v>7772</v>
      </c>
      <c r="C3390" s="798" t="s">
        <v>14</v>
      </c>
      <c r="D3390" s="800">
        <v>59.81</v>
      </c>
    </row>
    <row r="3391" spans="1:4" ht="40.5">
      <c r="A3391" s="798">
        <v>103291</v>
      </c>
      <c r="B3391" s="799" t="s">
        <v>7773</v>
      </c>
      <c r="C3391" s="798" t="s">
        <v>14</v>
      </c>
      <c r="D3391" s="800">
        <v>74.39</v>
      </c>
    </row>
    <row r="3392" spans="1:4" ht="40.5">
      <c r="A3392" s="798">
        <v>103292</v>
      </c>
      <c r="B3392" s="799" t="s">
        <v>7774</v>
      </c>
      <c r="C3392" s="798" t="s">
        <v>14</v>
      </c>
      <c r="D3392" s="800">
        <v>90.21</v>
      </c>
    </row>
    <row r="3393" spans="1:4" ht="67.5">
      <c r="A3393" s="798">
        <v>101936</v>
      </c>
      <c r="B3393" s="799" t="s">
        <v>5830</v>
      </c>
      <c r="C3393" s="798" t="s">
        <v>24</v>
      </c>
      <c r="D3393" s="800">
        <v>6343.17</v>
      </c>
    </row>
    <row r="3394" spans="1:4" ht="67.5">
      <c r="A3394" s="798">
        <v>101937</v>
      </c>
      <c r="B3394" s="799" t="s">
        <v>5831</v>
      </c>
      <c r="C3394" s="798" t="s">
        <v>24</v>
      </c>
      <c r="D3394" s="800">
        <v>11282.75</v>
      </c>
    </row>
    <row r="3395" spans="1:4" ht="27">
      <c r="A3395" s="798">
        <v>98294</v>
      </c>
      <c r="B3395" s="799" t="s">
        <v>4392</v>
      </c>
      <c r="C3395" s="798" t="s">
        <v>14</v>
      </c>
      <c r="D3395" s="800">
        <v>2.34</v>
      </c>
    </row>
    <row r="3396" spans="1:4" ht="27">
      <c r="A3396" s="798">
        <v>98295</v>
      </c>
      <c r="B3396" s="799" t="s">
        <v>4393</v>
      </c>
      <c r="C3396" s="798" t="s">
        <v>14</v>
      </c>
      <c r="D3396" s="800">
        <v>1.85</v>
      </c>
    </row>
    <row r="3397" spans="1:4" ht="27">
      <c r="A3397" s="798">
        <v>98296</v>
      </c>
      <c r="B3397" s="799" t="s">
        <v>4394</v>
      </c>
      <c r="C3397" s="798" t="s">
        <v>14</v>
      </c>
      <c r="D3397" s="800">
        <v>3.57</v>
      </c>
    </row>
    <row r="3398" spans="1:4" ht="27">
      <c r="A3398" s="798">
        <v>98297</v>
      </c>
      <c r="B3398" s="799" t="s">
        <v>4395</v>
      </c>
      <c r="C3398" s="798" t="s">
        <v>14</v>
      </c>
      <c r="D3398" s="800">
        <v>2.79</v>
      </c>
    </row>
    <row r="3399" spans="1:4" ht="27">
      <c r="A3399" s="798">
        <v>98301</v>
      </c>
      <c r="B3399" s="799" t="s">
        <v>4396</v>
      </c>
      <c r="C3399" s="798" t="s">
        <v>24</v>
      </c>
      <c r="D3399" s="800">
        <v>486.27</v>
      </c>
    </row>
    <row r="3400" spans="1:4" ht="27">
      <c r="A3400" s="798">
        <v>98302</v>
      </c>
      <c r="B3400" s="799" t="s">
        <v>4397</v>
      </c>
      <c r="C3400" s="798" t="s">
        <v>24</v>
      </c>
      <c r="D3400" s="800">
        <v>687.61</v>
      </c>
    </row>
    <row r="3401" spans="1:4" ht="27">
      <c r="A3401" s="798">
        <v>98304</v>
      </c>
      <c r="B3401" s="799" t="s">
        <v>4398</v>
      </c>
      <c r="C3401" s="798" t="s">
        <v>24</v>
      </c>
      <c r="D3401" s="800">
        <v>1064.83</v>
      </c>
    </row>
    <row r="3402" spans="1:4" ht="27">
      <c r="A3402" s="798">
        <v>98307</v>
      </c>
      <c r="B3402" s="799" t="s">
        <v>4399</v>
      </c>
      <c r="C3402" s="798" t="s">
        <v>24</v>
      </c>
      <c r="D3402" s="800">
        <v>37.840000000000003</v>
      </c>
    </row>
    <row r="3403" spans="1:4" ht="27">
      <c r="A3403" s="798">
        <v>98308</v>
      </c>
      <c r="B3403" s="799" t="s">
        <v>4400</v>
      </c>
      <c r="C3403" s="798" t="s">
        <v>24</v>
      </c>
      <c r="D3403" s="800">
        <v>24.54</v>
      </c>
    </row>
    <row r="3404" spans="1:4" ht="27">
      <c r="A3404" s="798">
        <v>98593</v>
      </c>
      <c r="B3404" s="799" t="s">
        <v>4401</v>
      </c>
      <c r="C3404" s="798" t="s">
        <v>24</v>
      </c>
      <c r="D3404" s="800">
        <v>824.35</v>
      </c>
    </row>
    <row r="3405" spans="1:4" ht="40.5">
      <c r="A3405" s="798">
        <v>89355</v>
      </c>
      <c r="B3405" s="799" t="s">
        <v>210</v>
      </c>
      <c r="C3405" s="798" t="s">
        <v>14</v>
      </c>
      <c r="D3405" s="800">
        <v>14.46</v>
      </c>
    </row>
    <row r="3406" spans="1:4" ht="40.5">
      <c r="A3406" s="798">
        <v>89356</v>
      </c>
      <c r="B3406" s="799" t="s">
        <v>211</v>
      </c>
      <c r="C3406" s="798" t="s">
        <v>14</v>
      </c>
      <c r="D3406" s="800">
        <v>17.14</v>
      </c>
    </row>
    <row r="3407" spans="1:4" ht="40.5">
      <c r="A3407" s="798">
        <v>89357</v>
      </c>
      <c r="B3407" s="799" t="s">
        <v>212</v>
      </c>
      <c r="C3407" s="798" t="s">
        <v>14</v>
      </c>
      <c r="D3407" s="800">
        <v>24.9</v>
      </c>
    </row>
    <row r="3408" spans="1:4" ht="40.5">
      <c r="A3408" s="798">
        <v>89401</v>
      </c>
      <c r="B3408" s="799" t="s">
        <v>1202</v>
      </c>
      <c r="C3408" s="798" t="s">
        <v>14</v>
      </c>
      <c r="D3408" s="800">
        <v>6.69</v>
      </c>
    </row>
    <row r="3409" spans="1:4" ht="40.5">
      <c r="A3409" s="798">
        <v>89402</v>
      </c>
      <c r="B3409" s="799" t="s">
        <v>1203</v>
      </c>
      <c r="C3409" s="798" t="s">
        <v>14</v>
      </c>
      <c r="D3409" s="800">
        <v>8.18</v>
      </c>
    </row>
    <row r="3410" spans="1:4" ht="40.5">
      <c r="A3410" s="798">
        <v>89403</v>
      </c>
      <c r="B3410" s="799" t="s">
        <v>1204</v>
      </c>
      <c r="C3410" s="798" t="s">
        <v>14</v>
      </c>
      <c r="D3410" s="800">
        <v>14.19</v>
      </c>
    </row>
    <row r="3411" spans="1:4" ht="27">
      <c r="A3411" s="798">
        <v>89446</v>
      </c>
      <c r="B3411" s="799" t="s">
        <v>1241</v>
      </c>
      <c r="C3411" s="798" t="s">
        <v>14</v>
      </c>
      <c r="D3411" s="800">
        <v>4.7699999999999996</v>
      </c>
    </row>
    <row r="3412" spans="1:4" ht="27">
      <c r="A3412" s="798">
        <v>89447</v>
      </c>
      <c r="B3412" s="799" t="s">
        <v>1242</v>
      </c>
      <c r="C3412" s="798" t="s">
        <v>14</v>
      </c>
      <c r="D3412" s="800">
        <v>10.199999999999999</v>
      </c>
    </row>
    <row r="3413" spans="1:4" ht="27">
      <c r="A3413" s="798">
        <v>89448</v>
      </c>
      <c r="B3413" s="799" t="s">
        <v>1243</v>
      </c>
      <c r="C3413" s="798" t="s">
        <v>14</v>
      </c>
      <c r="D3413" s="800">
        <v>14.68</v>
      </c>
    </row>
    <row r="3414" spans="1:4" ht="27">
      <c r="A3414" s="798">
        <v>89449</v>
      </c>
      <c r="B3414" s="799" t="s">
        <v>1244</v>
      </c>
      <c r="C3414" s="798" t="s">
        <v>14</v>
      </c>
      <c r="D3414" s="800">
        <v>16.899999999999999</v>
      </c>
    </row>
    <row r="3415" spans="1:4" ht="27">
      <c r="A3415" s="798">
        <v>89450</v>
      </c>
      <c r="B3415" s="799" t="s">
        <v>1245</v>
      </c>
      <c r="C3415" s="798" t="s">
        <v>14</v>
      </c>
      <c r="D3415" s="800">
        <v>27.98</v>
      </c>
    </row>
    <row r="3416" spans="1:4" ht="27">
      <c r="A3416" s="798">
        <v>89451</v>
      </c>
      <c r="B3416" s="799" t="s">
        <v>1246</v>
      </c>
      <c r="C3416" s="798" t="s">
        <v>14</v>
      </c>
      <c r="D3416" s="800">
        <v>46.37</v>
      </c>
    </row>
    <row r="3417" spans="1:4" ht="27">
      <c r="A3417" s="798">
        <v>89452</v>
      </c>
      <c r="B3417" s="799" t="s">
        <v>1247</v>
      </c>
      <c r="C3417" s="798" t="s">
        <v>14</v>
      </c>
      <c r="D3417" s="800">
        <v>57.74</v>
      </c>
    </row>
    <row r="3418" spans="1:4" ht="27">
      <c r="A3418" s="798">
        <v>89508</v>
      </c>
      <c r="B3418" s="799" t="s">
        <v>1283</v>
      </c>
      <c r="C3418" s="798" t="s">
        <v>14</v>
      </c>
      <c r="D3418" s="800">
        <v>22</v>
      </c>
    </row>
    <row r="3419" spans="1:4" ht="27">
      <c r="A3419" s="798">
        <v>89509</v>
      </c>
      <c r="B3419" s="799" t="s">
        <v>1284</v>
      </c>
      <c r="C3419" s="798" t="s">
        <v>14</v>
      </c>
      <c r="D3419" s="800">
        <v>30.24</v>
      </c>
    </row>
    <row r="3420" spans="1:4" ht="27">
      <c r="A3420" s="798">
        <v>89511</v>
      </c>
      <c r="B3420" s="799" t="s">
        <v>1285</v>
      </c>
      <c r="C3420" s="798" t="s">
        <v>14</v>
      </c>
      <c r="D3420" s="800">
        <v>44.19</v>
      </c>
    </row>
    <row r="3421" spans="1:4" ht="27">
      <c r="A3421" s="798">
        <v>89512</v>
      </c>
      <c r="B3421" s="799" t="s">
        <v>1286</v>
      </c>
      <c r="C3421" s="798" t="s">
        <v>14</v>
      </c>
      <c r="D3421" s="800">
        <v>71.599999999999994</v>
      </c>
    </row>
    <row r="3422" spans="1:4" ht="40.5">
      <c r="A3422" s="798">
        <v>89576</v>
      </c>
      <c r="B3422" s="799" t="s">
        <v>1319</v>
      </c>
      <c r="C3422" s="798" t="s">
        <v>14</v>
      </c>
      <c r="D3422" s="800">
        <v>29.75</v>
      </c>
    </row>
    <row r="3423" spans="1:4" ht="40.5">
      <c r="A3423" s="798">
        <v>89578</v>
      </c>
      <c r="B3423" s="799" t="s">
        <v>1320</v>
      </c>
      <c r="C3423" s="798" t="s">
        <v>14</v>
      </c>
      <c r="D3423" s="800">
        <v>51.52</v>
      </c>
    </row>
    <row r="3424" spans="1:4" ht="40.5">
      <c r="A3424" s="798">
        <v>89580</v>
      </c>
      <c r="B3424" s="799" t="s">
        <v>1322</v>
      </c>
      <c r="C3424" s="798" t="s">
        <v>14</v>
      </c>
      <c r="D3424" s="800">
        <v>102.36</v>
      </c>
    </row>
    <row r="3425" spans="1:4" ht="40.5">
      <c r="A3425" s="798">
        <v>89633</v>
      </c>
      <c r="B3425" s="799" t="s">
        <v>286</v>
      </c>
      <c r="C3425" s="798" t="s">
        <v>14</v>
      </c>
      <c r="D3425" s="800">
        <v>19.78</v>
      </c>
    </row>
    <row r="3426" spans="1:4" ht="40.5">
      <c r="A3426" s="798">
        <v>89634</v>
      </c>
      <c r="B3426" s="799" t="s">
        <v>287</v>
      </c>
      <c r="C3426" s="798" t="s">
        <v>14</v>
      </c>
      <c r="D3426" s="800">
        <v>30.41</v>
      </c>
    </row>
    <row r="3427" spans="1:4" ht="40.5">
      <c r="A3427" s="798">
        <v>89635</v>
      </c>
      <c r="B3427" s="799" t="s">
        <v>288</v>
      </c>
      <c r="C3427" s="798" t="s">
        <v>14</v>
      </c>
      <c r="D3427" s="800">
        <v>43.88</v>
      </c>
    </row>
    <row r="3428" spans="1:4" ht="40.5">
      <c r="A3428" s="798">
        <v>89636</v>
      </c>
      <c r="B3428" s="799" t="s">
        <v>1359</v>
      </c>
      <c r="C3428" s="798" t="s">
        <v>14</v>
      </c>
      <c r="D3428" s="800">
        <v>53.5</v>
      </c>
    </row>
    <row r="3429" spans="1:4" ht="40.5">
      <c r="A3429" s="798">
        <v>89711</v>
      </c>
      <c r="B3429" s="799" t="s">
        <v>1425</v>
      </c>
      <c r="C3429" s="798" t="s">
        <v>14</v>
      </c>
      <c r="D3429" s="800">
        <v>17.36</v>
      </c>
    </row>
    <row r="3430" spans="1:4" ht="40.5">
      <c r="A3430" s="798">
        <v>89712</v>
      </c>
      <c r="B3430" s="799" t="s">
        <v>1426</v>
      </c>
      <c r="C3430" s="798" t="s">
        <v>14</v>
      </c>
      <c r="D3430" s="800">
        <v>27.23</v>
      </c>
    </row>
    <row r="3431" spans="1:4" ht="40.5">
      <c r="A3431" s="798">
        <v>89713</v>
      </c>
      <c r="B3431" s="799" t="s">
        <v>1427</v>
      </c>
      <c r="C3431" s="798" t="s">
        <v>14</v>
      </c>
      <c r="D3431" s="800">
        <v>41.74</v>
      </c>
    </row>
    <row r="3432" spans="1:4" ht="40.5">
      <c r="A3432" s="798">
        <v>89714</v>
      </c>
      <c r="B3432" s="799" t="s">
        <v>1428</v>
      </c>
      <c r="C3432" s="798" t="s">
        <v>14</v>
      </c>
      <c r="D3432" s="800">
        <v>52.9</v>
      </c>
    </row>
    <row r="3433" spans="1:4" ht="40.5">
      <c r="A3433" s="798">
        <v>89716</v>
      </c>
      <c r="B3433" s="799" t="s">
        <v>1429</v>
      </c>
      <c r="C3433" s="798" t="s">
        <v>14</v>
      </c>
      <c r="D3433" s="800">
        <v>22.33</v>
      </c>
    </row>
    <row r="3434" spans="1:4" ht="40.5">
      <c r="A3434" s="798">
        <v>89717</v>
      </c>
      <c r="B3434" s="799" t="s">
        <v>1430</v>
      </c>
      <c r="C3434" s="798" t="s">
        <v>14</v>
      </c>
      <c r="D3434" s="800">
        <v>34.36</v>
      </c>
    </row>
    <row r="3435" spans="1:4" ht="27">
      <c r="A3435" s="798">
        <v>89770</v>
      </c>
      <c r="B3435" s="799" t="s">
        <v>1474</v>
      </c>
      <c r="C3435" s="798" t="s">
        <v>14</v>
      </c>
      <c r="D3435" s="800">
        <v>38.090000000000003</v>
      </c>
    </row>
    <row r="3436" spans="1:4" ht="27">
      <c r="A3436" s="798">
        <v>89771</v>
      </c>
      <c r="B3436" s="799" t="s">
        <v>1475</v>
      </c>
      <c r="C3436" s="798" t="s">
        <v>14</v>
      </c>
      <c r="D3436" s="800">
        <v>52.07</v>
      </c>
    </row>
    <row r="3437" spans="1:4" ht="27">
      <c r="A3437" s="798">
        <v>89773</v>
      </c>
      <c r="B3437" s="799" t="s">
        <v>1477</v>
      </c>
      <c r="C3437" s="798" t="s">
        <v>14</v>
      </c>
      <c r="D3437" s="800">
        <v>121.35</v>
      </c>
    </row>
    <row r="3438" spans="1:4" ht="27">
      <c r="A3438" s="798">
        <v>89775</v>
      </c>
      <c r="B3438" s="799" t="s">
        <v>1479</v>
      </c>
      <c r="C3438" s="798" t="s">
        <v>14</v>
      </c>
      <c r="D3438" s="800">
        <v>191.77</v>
      </c>
    </row>
    <row r="3439" spans="1:4" ht="40.5">
      <c r="A3439" s="798">
        <v>89798</v>
      </c>
      <c r="B3439" s="799" t="s">
        <v>1501</v>
      </c>
      <c r="C3439" s="798" t="s">
        <v>14</v>
      </c>
      <c r="D3439" s="800">
        <v>14.1</v>
      </c>
    </row>
    <row r="3440" spans="1:4" ht="40.5">
      <c r="A3440" s="798">
        <v>89799</v>
      </c>
      <c r="B3440" s="799" t="s">
        <v>1502</v>
      </c>
      <c r="C3440" s="798" t="s">
        <v>14</v>
      </c>
      <c r="D3440" s="800">
        <v>22.42</v>
      </c>
    </row>
    <row r="3441" spans="1:4" ht="40.5">
      <c r="A3441" s="798">
        <v>89800</v>
      </c>
      <c r="B3441" s="799" t="s">
        <v>1503</v>
      </c>
      <c r="C3441" s="798" t="s">
        <v>14</v>
      </c>
      <c r="D3441" s="800">
        <v>27.21</v>
      </c>
    </row>
    <row r="3442" spans="1:4" ht="40.5">
      <c r="A3442" s="798">
        <v>89848</v>
      </c>
      <c r="B3442" s="799" t="s">
        <v>1550</v>
      </c>
      <c r="C3442" s="798" t="s">
        <v>14</v>
      </c>
      <c r="D3442" s="800">
        <v>31.52</v>
      </c>
    </row>
    <row r="3443" spans="1:4" ht="40.5">
      <c r="A3443" s="798">
        <v>89849</v>
      </c>
      <c r="B3443" s="799" t="s">
        <v>1551</v>
      </c>
      <c r="C3443" s="798" t="s">
        <v>14</v>
      </c>
      <c r="D3443" s="800">
        <v>65.5</v>
      </c>
    </row>
    <row r="3444" spans="1:4" ht="40.5">
      <c r="A3444" s="798">
        <v>89865</v>
      </c>
      <c r="B3444" s="799" t="s">
        <v>304</v>
      </c>
      <c r="C3444" s="798" t="s">
        <v>14</v>
      </c>
      <c r="D3444" s="800">
        <v>10.83</v>
      </c>
    </row>
    <row r="3445" spans="1:4" ht="67.5">
      <c r="A3445" s="798">
        <v>91784</v>
      </c>
      <c r="B3445" s="799" t="s">
        <v>406</v>
      </c>
      <c r="C3445" s="798" t="s">
        <v>14</v>
      </c>
      <c r="D3445" s="800">
        <v>35.229999999999997</v>
      </c>
    </row>
    <row r="3446" spans="1:4" ht="67.5">
      <c r="A3446" s="798">
        <v>91785</v>
      </c>
      <c r="B3446" s="799" t="s">
        <v>407</v>
      </c>
      <c r="C3446" s="798" t="s">
        <v>14</v>
      </c>
      <c r="D3446" s="800">
        <v>35.049999999999997</v>
      </c>
    </row>
    <row r="3447" spans="1:4" ht="67.5">
      <c r="A3447" s="798">
        <v>91786</v>
      </c>
      <c r="B3447" s="799" t="s">
        <v>1795</v>
      </c>
      <c r="C3447" s="798" t="s">
        <v>14</v>
      </c>
      <c r="D3447" s="800">
        <v>26.32</v>
      </c>
    </row>
    <row r="3448" spans="1:4" ht="54">
      <c r="A3448" s="798">
        <v>91787</v>
      </c>
      <c r="B3448" s="799" t="s">
        <v>1796</v>
      </c>
      <c r="C3448" s="798" t="s">
        <v>14</v>
      </c>
      <c r="D3448" s="800">
        <v>31.09</v>
      </c>
    </row>
    <row r="3449" spans="1:4" ht="54">
      <c r="A3449" s="798">
        <v>91788</v>
      </c>
      <c r="B3449" s="799" t="s">
        <v>1797</v>
      </c>
      <c r="C3449" s="798" t="s">
        <v>14</v>
      </c>
      <c r="D3449" s="800">
        <v>39.270000000000003</v>
      </c>
    </row>
    <row r="3450" spans="1:4" ht="67.5">
      <c r="A3450" s="798">
        <v>91789</v>
      </c>
      <c r="B3450" s="799" t="s">
        <v>408</v>
      </c>
      <c r="C3450" s="798" t="s">
        <v>14</v>
      </c>
      <c r="D3450" s="800">
        <v>52.18</v>
      </c>
    </row>
    <row r="3451" spans="1:4" ht="67.5">
      <c r="A3451" s="798">
        <v>91790</v>
      </c>
      <c r="B3451" s="799" t="s">
        <v>1798</v>
      </c>
      <c r="C3451" s="798" t="s">
        <v>14</v>
      </c>
      <c r="D3451" s="800">
        <v>77.290000000000006</v>
      </c>
    </row>
    <row r="3452" spans="1:4" ht="54">
      <c r="A3452" s="798">
        <v>91791</v>
      </c>
      <c r="B3452" s="799" t="s">
        <v>409</v>
      </c>
      <c r="C3452" s="798" t="s">
        <v>14</v>
      </c>
      <c r="D3452" s="800">
        <v>108.88</v>
      </c>
    </row>
    <row r="3453" spans="1:4" ht="67.5">
      <c r="A3453" s="798">
        <v>91792</v>
      </c>
      <c r="B3453" s="799" t="s">
        <v>1799</v>
      </c>
      <c r="C3453" s="798" t="s">
        <v>14</v>
      </c>
      <c r="D3453" s="800">
        <v>50.47</v>
      </c>
    </row>
    <row r="3454" spans="1:4" ht="67.5">
      <c r="A3454" s="798">
        <v>91793</v>
      </c>
      <c r="B3454" s="799" t="s">
        <v>1800</v>
      </c>
      <c r="C3454" s="798" t="s">
        <v>14</v>
      </c>
      <c r="D3454" s="800">
        <v>82.65</v>
      </c>
    </row>
    <row r="3455" spans="1:4" ht="67.5">
      <c r="A3455" s="798">
        <v>91794</v>
      </c>
      <c r="B3455" s="799" t="s">
        <v>1801</v>
      </c>
      <c r="C3455" s="798" t="s">
        <v>14</v>
      </c>
      <c r="D3455" s="800">
        <v>42.94</v>
      </c>
    </row>
    <row r="3456" spans="1:4" ht="67.5">
      <c r="A3456" s="798">
        <v>91795</v>
      </c>
      <c r="B3456" s="799" t="s">
        <v>1802</v>
      </c>
      <c r="C3456" s="798" t="s">
        <v>14</v>
      </c>
      <c r="D3456" s="800">
        <v>70.08</v>
      </c>
    </row>
    <row r="3457" spans="1:4" ht="54">
      <c r="A3457" s="798">
        <v>91796</v>
      </c>
      <c r="B3457" s="799" t="s">
        <v>1803</v>
      </c>
      <c r="C3457" s="798" t="s">
        <v>14</v>
      </c>
      <c r="D3457" s="800">
        <v>78.44</v>
      </c>
    </row>
    <row r="3458" spans="1:4" ht="40.5">
      <c r="A3458" s="798">
        <v>92275</v>
      </c>
      <c r="B3458" s="799" t="s">
        <v>3390</v>
      </c>
      <c r="C3458" s="798" t="s">
        <v>14</v>
      </c>
      <c r="D3458" s="800">
        <v>63.64</v>
      </c>
    </row>
    <row r="3459" spans="1:4" ht="40.5">
      <c r="A3459" s="798">
        <v>92276</v>
      </c>
      <c r="B3459" s="799" t="s">
        <v>3391</v>
      </c>
      <c r="C3459" s="798" t="s">
        <v>14</v>
      </c>
      <c r="D3459" s="800">
        <v>80.64</v>
      </c>
    </row>
    <row r="3460" spans="1:4" ht="40.5">
      <c r="A3460" s="798">
        <v>92277</v>
      </c>
      <c r="B3460" s="799" t="s">
        <v>3392</v>
      </c>
      <c r="C3460" s="798" t="s">
        <v>14</v>
      </c>
      <c r="D3460" s="800">
        <v>116.59</v>
      </c>
    </row>
    <row r="3461" spans="1:4" ht="40.5">
      <c r="A3461" s="798">
        <v>92278</v>
      </c>
      <c r="B3461" s="799" t="s">
        <v>3393</v>
      </c>
      <c r="C3461" s="798" t="s">
        <v>14</v>
      </c>
      <c r="D3461" s="800">
        <v>157.01</v>
      </c>
    </row>
    <row r="3462" spans="1:4" ht="40.5">
      <c r="A3462" s="798">
        <v>92279</v>
      </c>
      <c r="B3462" s="799" t="s">
        <v>3394</v>
      </c>
      <c r="C3462" s="798" t="s">
        <v>14</v>
      </c>
      <c r="D3462" s="800">
        <v>227.13</v>
      </c>
    </row>
    <row r="3463" spans="1:4" ht="40.5">
      <c r="A3463" s="798">
        <v>92280</v>
      </c>
      <c r="B3463" s="799" t="s">
        <v>3395</v>
      </c>
      <c r="C3463" s="798" t="s">
        <v>14</v>
      </c>
      <c r="D3463" s="800">
        <v>319.25</v>
      </c>
    </row>
    <row r="3464" spans="1:4" ht="40.5">
      <c r="A3464" s="798">
        <v>92281</v>
      </c>
      <c r="B3464" s="799" t="s">
        <v>3396</v>
      </c>
      <c r="C3464" s="798" t="s">
        <v>14</v>
      </c>
      <c r="D3464" s="800">
        <v>168.04</v>
      </c>
    </row>
    <row r="3465" spans="1:4" ht="40.5">
      <c r="A3465" s="798">
        <v>92282</v>
      </c>
      <c r="B3465" s="799" t="s">
        <v>3397</v>
      </c>
      <c r="C3465" s="798" t="s">
        <v>14</v>
      </c>
      <c r="D3465" s="800">
        <v>189.29</v>
      </c>
    </row>
    <row r="3466" spans="1:4" ht="40.5">
      <c r="A3466" s="798">
        <v>92283</v>
      </c>
      <c r="B3466" s="799" t="s">
        <v>3398</v>
      </c>
      <c r="C3466" s="798" t="s">
        <v>14</v>
      </c>
      <c r="D3466" s="800">
        <v>254.05</v>
      </c>
    </row>
    <row r="3467" spans="1:4" ht="40.5">
      <c r="A3467" s="798">
        <v>92284</v>
      </c>
      <c r="B3467" s="799" t="s">
        <v>3399</v>
      </c>
      <c r="C3467" s="798" t="s">
        <v>14</v>
      </c>
      <c r="D3467" s="800">
        <v>313.82</v>
      </c>
    </row>
    <row r="3468" spans="1:4" ht="40.5">
      <c r="A3468" s="798">
        <v>92285</v>
      </c>
      <c r="B3468" s="799" t="s">
        <v>3400</v>
      </c>
      <c r="C3468" s="798" t="s">
        <v>14</v>
      </c>
      <c r="D3468" s="800">
        <v>414.61</v>
      </c>
    </row>
    <row r="3469" spans="1:4" ht="40.5">
      <c r="A3469" s="798">
        <v>92286</v>
      </c>
      <c r="B3469" s="799" t="s">
        <v>3401</v>
      </c>
      <c r="C3469" s="798" t="s">
        <v>14</v>
      </c>
      <c r="D3469" s="800">
        <v>509.39</v>
      </c>
    </row>
    <row r="3470" spans="1:4" ht="40.5">
      <c r="A3470" s="798">
        <v>92305</v>
      </c>
      <c r="B3470" s="799" t="s">
        <v>3402</v>
      </c>
      <c r="C3470" s="798" t="s">
        <v>14</v>
      </c>
      <c r="D3470" s="800">
        <v>40.340000000000003</v>
      </c>
    </row>
    <row r="3471" spans="1:4" ht="40.5">
      <c r="A3471" s="798">
        <v>92306</v>
      </c>
      <c r="B3471" s="799" t="s">
        <v>3403</v>
      </c>
      <c r="C3471" s="798" t="s">
        <v>14</v>
      </c>
      <c r="D3471" s="800">
        <v>66.959999999999994</v>
      </c>
    </row>
    <row r="3472" spans="1:4" ht="40.5">
      <c r="A3472" s="798">
        <v>92307</v>
      </c>
      <c r="B3472" s="799" t="s">
        <v>3404</v>
      </c>
      <c r="C3472" s="798" t="s">
        <v>14</v>
      </c>
      <c r="D3472" s="800">
        <v>84.2</v>
      </c>
    </row>
    <row r="3473" spans="1:4" ht="40.5">
      <c r="A3473" s="798">
        <v>92308</v>
      </c>
      <c r="B3473" s="799" t="s">
        <v>3405</v>
      </c>
      <c r="C3473" s="798" t="s">
        <v>14</v>
      </c>
      <c r="D3473" s="800">
        <v>63.73</v>
      </c>
    </row>
    <row r="3474" spans="1:4" ht="40.5">
      <c r="A3474" s="798">
        <v>92309</v>
      </c>
      <c r="B3474" s="799" t="s">
        <v>3406</v>
      </c>
      <c r="C3474" s="798" t="s">
        <v>14</v>
      </c>
      <c r="D3474" s="800">
        <v>173.04</v>
      </c>
    </row>
    <row r="3475" spans="1:4" ht="40.5">
      <c r="A3475" s="798">
        <v>92310</v>
      </c>
      <c r="B3475" s="799" t="s">
        <v>3407</v>
      </c>
      <c r="C3475" s="798" t="s">
        <v>14</v>
      </c>
      <c r="D3475" s="800">
        <v>194.56</v>
      </c>
    </row>
    <row r="3476" spans="1:4" ht="40.5">
      <c r="A3476" s="798">
        <v>92320</v>
      </c>
      <c r="B3476" s="799" t="s">
        <v>3408</v>
      </c>
      <c r="C3476" s="798" t="s">
        <v>14</v>
      </c>
      <c r="D3476" s="800">
        <v>47.63</v>
      </c>
    </row>
    <row r="3477" spans="1:4" ht="40.5">
      <c r="A3477" s="798">
        <v>92321</v>
      </c>
      <c r="B3477" s="799" t="s">
        <v>3409</v>
      </c>
      <c r="C3477" s="798" t="s">
        <v>14</v>
      </c>
      <c r="D3477" s="800">
        <v>79.5</v>
      </c>
    </row>
    <row r="3478" spans="1:4" ht="40.5">
      <c r="A3478" s="798">
        <v>92322</v>
      </c>
      <c r="B3478" s="799" t="s">
        <v>3410</v>
      </c>
      <c r="C3478" s="798" t="s">
        <v>14</v>
      </c>
      <c r="D3478" s="800">
        <v>101.3</v>
      </c>
    </row>
    <row r="3479" spans="1:4" ht="40.5">
      <c r="A3479" s="798">
        <v>92323</v>
      </c>
      <c r="B3479" s="799" t="s">
        <v>3411</v>
      </c>
      <c r="C3479" s="798" t="s">
        <v>14</v>
      </c>
      <c r="D3479" s="800">
        <v>69.27</v>
      </c>
    </row>
    <row r="3480" spans="1:4" ht="40.5">
      <c r="A3480" s="798">
        <v>92324</v>
      </c>
      <c r="B3480" s="799" t="s">
        <v>3412</v>
      </c>
      <c r="C3480" s="798" t="s">
        <v>14</v>
      </c>
      <c r="D3480" s="800">
        <v>183.83</v>
      </c>
    </row>
    <row r="3481" spans="1:4" ht="40.5">
      <c r="A3481" s="798">
        <v>92325</v>
      </c>
      <c r="B3481" s="799" t="s">
        <v>3413</v>
      </c>
      <c r="C3481" s="798" t="s">
        <v>14</v>
      </c>
      <c r="D3481" s="800">
        <v>209.88</v>
      </c>
    </row>
    <row r="3482" spans="1:4" ht="40.5">
      <c r="A3482" s="798">
        <v>92335</v>
      </c>
      <c r="B3482" s="799" t="s">
        <v>5832</v>
      </c>
      <c r="C3482" s="798" t="s">
        <v>14</v>
      </c>
      <c r="D3482" s="800">
        <v>103.82</v>
      </c>
    </row>
    <row r="3483" spans="1:4" ht="40.5">
      <c r="A3483" s="798">
        <v>92336</v>
      </c>
      <c r="B3483" s="799" t="s">
        <v>5833</v>
      </c>
      <c r="C3483" s="798" t="s">
        <v>14</v>
      </c>
      <c r="D3483" s="800">
        <v>128.04</v>
      </c>
    </row>
    <row r="3484" spans="1:4" ht="40.5">
      <c r="A3484" s="798">
        <v>92337</v>
      </c>
      <c r="B3484" s="799" t="s">
        <v>5834</v>
      </c>
      <c r="C3484" s="798" t="s">
        <v>14</v>
      </c>
      <c r="D3484" s="800">
        <v>170.04</v>
      </c>
    </row>
    <row r="3485" spans="1:4" ht="40.5">
      <c r="A3485" s="798">
        <v>92338</v>
      </c>
      <c r="B3485" s="799" t="s">
        <v>5835</v>
      </c>
      <c r="C3485" s="798" t="s">
        <v>14</v>
      </c>
      <c r="D3485" s="800">
        <v>115.05</v>
      </c>
    </row>
    <row r="3486" spans="1:4" ht="40.5">
      <c r="A3486" s="798">
        <v>92339</v>
      </c>
      <c r="B3486" s="799" t="s">
        <v>5836</v>
      </c>
      <c r="C3486" s="798" t="s">
        <v>14</v>
      </c>
      <c r="D3486" s="800">
        <v>176.01</v>
      </c>
    </row>
    <row r="3487" spans="1:4" ht="40.5">
      <c r="A3487" s="798">
        <v>92341</v>
      </c>
      <c r="B3487" s="799" t="s">
        <v>5837</v>
      </c>
      <c r="C3487" s="798" t="s">
        <v>14</v>
      </c>
      <c r="D3487" s="800">
        <v>111.09</v>
      </c>
    </row>
    <row r="3488" spans="1:4" ht="40.5">
      <c r="A3488" s="798">
        <v>92342</v>
      </c>
      <c r="B3488" s="799" t="s">
        <v>5838</v>
      </c>
      <c r="C3488" s="798" t="s">
        <v>14</v>
      </c>
      <c r="D3488" s="800">
        <v>135.38</v>
      </c>
    </row>
    <row r="3489" spans="1:4" ht="40.5">
      <c r="A3489" s="798">
        <v>92343</v>
      </c>
      <c r="B3489" s="799" t="s">
        <v>5839</v>
      </c>
      <c r="C3489" s="798" t="s">
        <v>14</v>
      </c>
      <c r="D3489" s="800">
        <v>177.45</v>
      </c>
    </row>
    <row r="3490" spans="1:4" ht="40.5">
      <c r="A3490" s="798">
        <v>92359</v>
      </c>
      <c r="B3490" s="799" t="s">
        <v>5840</v>
      </c>
      <c r="C3490" s="798" t="s">
        <v>14</v>
      </c>
      <c r="D3490" s="800">
        <v>55.53</v>
      </c>
    </row>
    <row r="3491" spans="1:4" ht="40.5">
      <c r="A3491" s="798">
        <v>92360</v>
      </c>
      <c r="B3491" s="799" t="s">
        <v>5841</v>
      </c>
      <c r="C3491" s="798" t="s">
        <v>14</v>
      </c>
      <c r="D3491" s="800">
        <v>74.260000000000005</v>
      </c>
    </row>
    <row r="3492" spans="1:4" ht="40.5">
      <c r="A3492" s="798">
        <v>92361</v>
      </c>
      <c r="B3492" s="799" t="s">
        <v>5842</v>
      </c>
      <c r="C3492" s="798" t="s">
        <v>14</v>
      </c>
      <c r="D3492" s="800">
        <v>100.09</v>
      </c>
    </row>
    <row r="3493" spans="1:4" ht="40.5">
      <c r="A3493" s="798">
        <v>92362</v>
      </c>
      <c r="B3493" s="799" t="s">
        <v>5843</v>
      </c>
      <c r="C3493" s="798" t="s">
        <v>14</v>
      </c>
      <c r="D3493" s="800">
        <v>160.46</v>
      </c>
    </row>
    <row r="3494" spans="1:4" ht="54">
      <c r="A3494" s="798">
        <v>92364</v>
      </c>
      <c r="B3494" s="799" t="s">
        <v>5844</v>
      </c>
      <c r="C3494" s="798" t="s">
        <v>14</v>
      </c>
      <c r="D3494" s="800">
        <v>62.64</v>
      </c>
    </row>
    <row r="3495" spans="1:4" ht="54">
      <c r="A3495" s="798">
        <v>92365</v>
      </c>
      <c r="B3495" s="799" t="s">
        <v>5845</v>
      </c>
      <c r="C3495" s="798" t="s">
        <v>14</v>
      </c>
      <c r="D3495" s="800">
        <v>72.33</v>
      </c>
    </row>
    <row r="3496" spans="1:4" ht="54">
      <c r="A3496" s="798">
        <v>92366</v>
      </c>
      <c r="B3496" s="799" t="s">
        <v>5846</v>
      </c>
      <c r="C3496" s="798" t="s">
        <v>14</v>
      </c>
      <c r="D3496" s="800">
        <v>102.09</v>
      </c>
    </row>
    <row r="3497" spans="1:4" ht="54">
      <c r="A3497" s="798">
        <v>92367</v>
      </c>
      <c r="B3497" s="799" t="s">
        <v>5847</v>
      </c>
      <c r="C3497" s="798" t="s">
        <v>14</v>
      </c>
      <c r="D3497" s="800">
        <v>125.95</v>
      </c>
    </row>
    <row r="3498" spans="1:4" ht="54">
      <c r="A3498" s="798">
        <v>92368</v>
      </c>
      <c r="B3498" s="799" t="s">
        <v>5848</v>
      </c>
      <c r="C3498" s="798" t="s">
        <v>14</v>
      </c>
      <c r="D3498" s="800">
        <v>167.64</v>
      </c>
    </row>
    <row r="3499" spans="1:4" ht="40.5">
      <c r="A3499" s="798">
        <v>92645</v>
      </c>
      <c r="B3499" s="799" t="s">
        <v>5849</v>
      </c>
      <c r="C3499" s="798" t="s">
        <v>14</v>
      </c>
      <c r="D3499" s="800">
        <v>58.23</v>
      </c>
    </row>
    <row r="3500" spans="1:4" ht="40.5">
      <c r="A3500" s="798">
        <v>92646</v>
      </c>
      <c r="B3500" s="799" t="s">
        <v>5850</v>
      </c>
      <c r="C3500" s="798" t="s">
        <v>14</v>
      </c>
      <c r="D3500" s="800">
        <v>76.959999999999994</v>
      </c>
    </row>
    <row r="3501" spans="1:4" ht="40.5">
      <c r="A3501" s="798">
        <v>92648</v>
      </c>
      <c r="B3501" s="799" t="s">
        <v>5851</v>
      </c>
      <c r="C3501" s="798" t="s">
        <v>14</v>
      </c>
      <c r="D3501" s="800">
        <v>84.17</v>
      </c>
    </row>
    <row r="3502" spans="1:4" ht="40.5">
      <c r="A3502" s="798">
        <v>92649</v>
      </c>
      <c r="B3502" s="799" t="s">
        <v>5852</v>
      </c>
      <c r="C3502" s="798" t="s">
        <v>14</v>
      </c>
      <c r="D3502" s="800">
        <v>102.78</v>
      </c>
    </row>
    <row r="3503" spans="1:4" ht="40.5">
      <c r="A3503" s="798">
        <v>92650</v>
      </c>
      <c r="B3503" s="799" t="s">
        <v>5853</v>
      </c>
      <c r="C3503" s="798" t="s">
        <v>14</v>
      </c>
      <c r="D3503" s="800">
        <v>163.13999999999999</v>
      </c>
    </row>
    <row r="3504" spans="1:4" ht="54">
      <c r="A3504" s="798">
        <v>92652</v>
      </c>
      <c r="B3504" s="799" t="s">
        <v>5854</v>
      </c>
      <c r="C3504" s="798" t="s">
        <v>14</v>
      </c>
      <c r="D3504" s="800">
        <v>65.959999999999994</v>
      </c>
    </row>
    <row r="3505" spans="1:4" ht="54">
      <c r="A3505" s="798">
        <v>92653</v>
      </c>
      <c r="B3505" s="799" t="s">
        <v>5855</v>
      </c>
      <c r="C3505" s="798" t="s">
        <v>14</v>
      </c>
      <c r="D3505" s="800">
        <v>75.680000000000007</v>
      </c>
    </row>
    <row r="3506" spans="1:4" ht="54">
      <c r="A3506" s="798">
        <v>92654</v>
      </c>
      <c r="B3506" s="799" t="s">
        <v>5856</v>
      </c>
      <c r="C3506" s="798" t="s">
        <v>14</v>
      </c>
      <c r="D3506" s="800">
        <v>105.44</v>
      </c>
    </row>
    <row r="3507" spans="1:4" ht="54">
      <c r="A3507" s="798">
        <v>92655</v>
      </c>
      <c r="B3507" s="799" t="s">
        <v>5857</v>
      </c>
      <c r="C3507" s="798" t="s">
        <v>14</v>
      </c>
      <c r="D3507" s="800">
        <v>129.38</v>
      </c>
    </row>
    <row r="3508" spans="1:4" ht="54">
      <c r="A3508" s="798">
        <v>92656</v>
      </c>
      <c r="B3508" s="799" t="s">
        <v>5858</v>
      </c>
      <c r="C3508" s="798" t="s">
        <v>14</v>
      </c>
      <c r="D3508" s="800">
        <v>171.07</v>
      </c>
    </row>
    <row r="3509" spans="1:4" ht="54">
      <c r="A3509" s="798">
        <v>92687</v>
      </c>
      <c r="B3509" s="799" t="s">
        <v>5859</v>
      </c>
      <c r="C3509" s="798" t="s">
        <v>14</v>
      </c>
      <c r="D3509" s="800">
        <v>29.8</v>
      </c>
    </row>
    <row r="3510" spans="1:4" ht="54">
      <c r="A3510" s="798">
        <v>92688</v>
      </c>
      <c r="B3510" s="799" t="s">
        <v>5860</v>
      </c>
      <c r="C3510" s="798" t="s">
        <v>14</v>
      </c>
      <c r="D3510" s="800">
        <v>40.380000000000003</v>
      </c>
    </row>
    <row r="3511" spans="1:4" ht="40.5">
      <c r="A3511" s="798">
        <v>92689</v>
      </c>
      <c r="B3511" s="799" t="s">
        <v>5861</v>
      </c>
      <c r="C3511" s="798" t="s">
        <v>14</v>
      </c>
      <c r="D3511" s="800">
        <v>40.56</v>
      </c>
    </row>
    <row r="3512" spans="1:4" ht="40.5">
      <c r="A3512" s="798">
        <v>92690</v>
      </c>
      <c r="B3512" s="799" t="s">
        <v>5862</v>
      </c>
      <c r="C3512" s="798" t="s">
        <v>14</v>
      </c>
      <c r="D3512" s="800">
        <v>57.49</v>
      </c>
    </row>
    <row r="3513" spans="1:4" ht="40.5">
      <c r="A3513" s="798">
        <v>92691</v>
      </c>
      <c r="B3513" s="799" t="s">
        <v>6638</v>
      </c>
      <c r="C3513" s="798" t="s">
        <v>14</v>
      </c>
      <c r="D3513" s="800">
        <v>73.41</v>
      </c>
    </row>
    <row r="3514" spans="1:4" ht="67.5">
      <c r="A3514" s="798">
        <v>94462</v>
      </c>
      <c r="B3514" s="799" t="s">
        <v>2315</v>
      </c>
      <c r="C3514" s="798" t="s">
        <v>14</v>
      </c>
      <c r="D3514" s="800">
        <v>107.21</v>
      </c>
    </row>
    <row r="3515" spans="1:4" ht="67.5">
      <c r="A3515" s="798">
        <v>94463</v>
      </c>
      <c r="B3515" s="799" t="s">
        <v>2316</v>
      </c>
      <c r="C3515" s="798" t="s">
        <v>14</v>
      </c>
      <c r="D3515" s="800">
        <v>128.26</v>
      </c>
    </row>
    <row r="3516" spans="1:4" ht="67.5">
      <c r="A3516" s="798">
        <v>94464</v>
      </c>
      <c r="B3516" s="799" t="s">
        <v>2317</v>
      </c>
      <c r="C3516" s="798" t="s">
        <v>14</v>
      </c>
      <c r="D3516" s="800">
        <v>183.03</v>
      </c>
    </row>
    <row r="3517" spans="1:4" ht="67.5">
      <c r="A3517" s="798">
        <v>94602</v>
      </c>
      <c r="B3517" s="799" t="s">
        <v>3414</v>
      </c>
      <c r="C3517" s="798" t="s">
        <v>14</v>
      </c>
      <c r="D3517" s="800">
        <v>232.12</v>
      </c>
    </row>
    <row r="3518" spans="1:4" ht="67.5">
      <c r="A3518" s="798">
        <v>94603</v>
      </c>
      <c r="B3518" s="799" t="s">
        <v>3415</v>
      </c>
      <c r="C3518" s="798" t="s">
        <v>14</v>
      </c>
      <c r="D3518" s="800">
        <v>317.47000000000003</v>
      </c>
    </row>
    <row r="3519" spans="1:4" ht="67.5">
      <c r="A3519" s="798">
        <v>94604</v>
      </c>
      <c r="B3519" s="799" t="s">
        <v>3416</v>
      </c>
      <c r="C3519" s="798" t="s">
        <v>14</v>
      </c>
      <c r="D3519" s="800">
        <v>438.22</v>
      </c>
    </row>
    <row r="3520" spans="1:4" ht="67.5">
      <c r="A3520" s="798">
        <v>94605</v>
      </c>
      <c r="B3520" s="799" t="s">
        <v>3417</v>
      </c>
      <c r="C3520" s="798" t="s">
        <v>14</v>
      </c>
      <c r="D3520" s="800">
        <v>634.12</v>
      </c>
    </row>
    <row r="3521" spans="1:4" ht="54">
      <c r="A3521" s="798">
        <v>94648</v>
      </c>
      <c r="B3521" s="799" t="s">
        <v>2337</v>
      </c>
      <c r="C3521" s="798" t="s">
        <v>14</v>
      </c>
      <c r="D3521" s="800">
        <v>8.7100000000000009</v>
      </c>
    </row>
    <row r="3522" spans="1:4" ht="54">
      <c r="A3522" s="798">
        <v>94649</v>
      </c>
      <c r="B3522" s="799" t="s">
        <v>2338</v>
      </c>
      <c r="C3522" s="798" t="s">
        <v>14</v>
      </c>
      <c r="D3522" s="800">
        <v>13.9</v>
      </c>
    </row>
    <row r="3523" spans="1:4" ht="54">
      <c r="A3523" s="798">
        <v>94650</v>
      </c>
      <c r="B3523" s="799" t="s">
        <v>2339</v>
      </c>
      <c r="C3523" s="798" t="s">
        <v>14</v>
      </c>
      <c r="D3523" s="800">
        <v>19.899999999999999</v>
      </c>
    </row>
    <row r="3524" spans="1:4" ht="54">
      <c r="A3524" s="798">
        <v>94651</v>
      </c>
      <c r="B3524" s="799" t="s">
        <v>2340</v>
      </c>
      <c r="C3524" s="798" t="s">
        <v>14</v>
      </c>
      <c r="D3524" s="800">
        <v>21.86</v>
      </c>
    </row>
    <row r="3525" spans="1:4" ht="54">
      <c r="A3525" s="798">
        <v>94652</v>
      </c>
      <c r="B3525" s="799" t="s">
        <v>2341</v>
      </c>
      <c r="C3525" s="798" t="s">
        <v>14</v>
      </c>
      <c r="D3525" s="800">
        <v>35.58</v>
      </c>
    </row>
    <row r="3526" spans="1:4" ht="54">
      <c r="A3526" s="798">
        <v>94653</v>
      </c>
      <c r="B3526" s="799" t="s">
        <v>2342</v>
      </c>
      <c r="C3526" s="798" t="s">
        <v>14</v>
      </c>
      <c r="D3526" s="800">
        <v>52.48</v>
      </c>
    </row>
    <row r="3527" spans="1:4" ht="54">
      <c r="A3527" s="798">
        <v>94654</v>
      </c>
      <c r="B3527" s="799" t="s">
        <v>2343</v>
      </c>
      <c r="C3527" s="798" t="s">
        <v>14</v>
      </c>
      <c r="D3527" s="800">
        <v>68.31</v>
      </c>
    </row>
    <row r="3528" spans="1:4" ht="54">
      <c r="A3528" s="798">
        <v>94655</v>
      </c>
      <c r="B3528" s="799" t="s">
        <v>2344</v>
      </c>
      <c r="C3528" s="798" t="s">
        <v>14</v>
      </c>
      <c r="D3528" s="800">
        <v>98.42</v>
      </c>
    </row>
    <row r="3529" spans="1:4" ht="54">
      <c r="A3529" s="798">
        <v>94716</v>
      </c>
      <c r="B3529" s="799" t="s">
        <v>2403</v>
      </c>
      <c r="C3529" s="798" t="s">
        <v>14</v>
      </c>
      <c r="D3529" s="800">
        <v>22.44</v>
      </c>
    </row>
    <row r="3530" spans="1:4" ht="54">
      <c r="A3530" s="798">
        <v>94717</v>
      </c>
      <c r="B3530" s="799" t="s">
        <v>2404</v>
      </c>
      <c r="C3530" s="798" t="s">
        <v>14</v>
      </c>
      <c r="D3530" s="800">
        <v>33.46</v>
      </c>
    </row>
    <row r="3531" spans="1:4" ht="54">
      <c r="A3531" s="798">
        <v>94718</v>
      </c>
      <c r="B3531" s="799" t="s">
        <v>2405</v>
      </c>
      <c r="C3531" s="798" t="s">
        <v>14</v>
      </c>
      <c r="D3531" s="800">
        <v>41.3</v>
      </c>
    </row>
    <row r="3532" spans="1:4" ht="54">
      <c r="A3532" s="798">
        <v>94719</v>
      </c>
      <c r="B3532" s="799" t="s">
        <v>2406</v>
      </c>
      <c r="C3532" s="798" t="s">
        <v>14</v>
      </c>
      <c r="D3532" s="800">
        <v>54.52</v>
      </c>
    </row>
    <row r="3533" spans="1:4" ht="54">
      <c r="A3533" s="798">
        <v>94720</v>
      </c>
      <c r="B3533" s="799" t="s">
        <v>2407</v>
      </c>
      <c r="C3533" s="798" t="s">
        <v>14</v>
      </c>
      <c r="D3533" s="800">
        <v>82</v>
      </c>
    </row>
    <row r="3534" spans="1:4" ht="54">
      <c r="A3534" s="798">
        <v>94721</v>
      </c>
      <c r="B3534" s="799" t="s">
        <v>2408</v>
      </c>
      <c r="C3534" s="798" t="s">
        <v>14</v>
      </c>
      <c r="D3534" s="800">
        <v>120.75</v>
      </c>
    </row>
    <row r="3535" spans="1:4" ht="54">
      <c r="A3535" s="798">
        <v>94722</v>
      </c>
      <c r="B3535" s="799" t="s">
        <v>2409</v>
      </c>
      <c r="C3535" s="798" t="s">
        <v>14</v>
      </c>
      <c r="D3535" s="800">
        <v>209.79</v>
      </c>
    </row>
    <row r="3536" spans="1:4" ht="40.5">
      <c r="A3536" s="798">
        <v>95697</v>
      </c>
      <c r="B3536" s="799" t="s">
        <v>5863</v>
      </c>
      <c r="C3536" s="798" t="s">
        <v>14</v>
      </c>
      <c r="D3536" s="800">
        <v>81.47</v>
      </c>
    </row>
    <row r="3537" spans="1:4" ht="40.5">
      <c r="A3537" s="798">
        <v>96635</v>
      </c>
      <c r="B3537" s="799" t="s">
        <v>2846</v>
      </c>
      <c r="C3537" s="798" t="s">
        <v>14</v>
      </c>
      <c r="D3537" s="800">
        <v>27.71</v>
      </c>
    </row>
    <row r="3538" spans="1:4" ht="40.5">
      <c r="A3538" s="798">
        <v>96636</v>
      </c>
      <c r="B3538" s="799" t="s">
        <v>2847</v>
      </c>
      <c r="C3538" s="798" t="s">
        <v>14</v>
      </c>
      <c r="D3538" s="800">
        <v>28.94</v>
      </c>
    </row>
    <row r="3539" spans="1:4" ht="40.5">
      <c r="A3539" s="798">
        <v>96644</v>
      </c>
      <c r="B3539" s="799" t="s">
        <v>2855</v>
      </c>
      <c r="C3539" s="798" t="s">
        <v>14</v>
      </c>
      <c r="D3539" s="800">
        <v>20.14</v>
      </c>
    </row>
    <row r="3540" spans="1:4" ht="40.5">
      <c r="A3540" s="798">
        <v>96645</v>
      </c>
      <c r="B3540" s="799" t="s">
        <v>2856</v>
      </c>
      <c r="C3540" s="798" t="s">
        <v>14</v>
      </c>
      <c r="D3540" s="800">
        <v>25.83</v>
      </c>
    </row>
    <row r="3541" spans="1:4" ht="40.5">
      <c r="A3541" s="798">
        <v>96646</v>
      </c>
      <c r="B3541" s="799" t="s">
        <v>2857</v>
      </c>
      <c r="C3541" s="798" t="s">
        <v>14</v>
      </c>
      <c r="D3541" s="800">
        <v>39.85</v>
      </c>
    </row>
    <row r="3542" spans="1:4" ht="40.5">
      <c r="A3542" s="798">
        <v>96647</v>
      </c>
      <c r="B3542" s="799" t="s">
        <v>2858</v>
      </c>
      <c r="C3542" s="798" t="s">
        <v>14</v>
      </c>
      <c r="D3542" s="800">
        <v>18.77</v>
      </c>
    </row>
    <row r="3543" spans="1:4" ht="40.5">
      <c r="A3543" s="798">
        <v>96648</v>
      </c>
      <c r="B3543" s="799" t="s">
        <v>2859</v>
      </c>
      <c r="C3543" s="798" t="s">
        <v>14</v>
      </c>
      <c r="D3543" s="800">
        <v>33.28</v>
      </c>
    </row>
    <row r="3544" spans="1:4" ht="40.5">
      <c r="A3544" s="798">
        <v>96649</v>
      </c>
      <c r="B3544" s="799" t="s">
        <v>2860</v>
      </c>
      <c r="C3544" s="798" t="s">
        <v>14</v>
      </c>
      <c r="D3544" s="800">
        <v>48.17</v>
      </c>
    </row>
    <row r="3545" spans="1:4" ht="27">
      <c r="A3545" s="798">
        <v>96668</v>
      </c>
      <c r="B3545" s="799" t="s">
        <v>2879</v>
      </c>
      <c r="C3545" s="798" t="s">
        <v>14</v>
      </c>
      <c r="D3545" s="800">
        <v>14.87</v>
      </c>
    </row>
    <row r="3546" spans="1:4" ht="27">
      <c r="A3546" s="798">
        <v>96669</v>
      </c>
      <c r="B3546" s="799" t="s">
        <v>2880</v>
      </c>
      <c r="C3546" s="798" t="s">
        <v>14</v>
      </c>
      <c r="D3546" s="800">
        <v>18.53</v>
      </c>
    </row>
    <row r="3547" spans="1:4" ht="27">
      <c r="A3547" s="798">
        <v>96670</v>
      </c>
      <c r="B3547" s="799" t="s">
        <v>2881</v>
      </c>
      <c r="C3547" s="798" t="s">
        <v>14</v>
      </c>
      <c r="D3547" s="800">
        <v>28.17</v>
      </c>
    </row>
    <row r="3548" spans="1:4" ht="27">
      <c r="A3548" s="798">
        <v>96671</v>
      </c>
      <c r="B3548" s="799" t="s">
        <v>2882</v>
      </c>
      <c r="C3548" s="798" t="s">
        <v>14</v>
      </c>
      <c r="D3548" s="800">
        <v>37.54</v>
      </c>
    </row>
    <row r="3549" spans="1:4" ht="27">
      <c r="A3549" s="798">
        <v>96672</v>
      </c>
      <c r="B3549" s="799" t="s">
        <v>2883</v>
      </c>
      <c r="C3549" s="798" t="s">
        <v>14</v>
      </c>
      <c r="D3549" s="800">
        <v>54.97</v>
      </c>
    </row>
    <row r="3550" spans="1:4" ht="27">
      <c r="A3550" s="798">
        <v>96673</v>
      </c>
      <c r="B3550" s="799" t="s">
        <v>2884</v>
      </c>
      <c r="C3550" s="798" t="s">
        <v>14</v>
      </c>
      <c r="D3550" s="800">
        <v>90.48</v>
      </c>
    </row>
    <row r="3551" spans="1:4" ht="27">
      <c r="A3551" s="798">
        <v>96674</v>
      </c>
      <c r="B3551" s="799" t="s">
        <v>2885</v>
      </c>
      <c r="C3551" s="798" t="s">
        <v>14</v>
      </c>
      <c r="D3551" s="800">
        <v>127.03</v>
      </c>
    </row>
    <row r="3552" spans="1:4" ht="40.5">
      <c r="A3552" s="798">
        <v>96675</v>
      </c>
      <c r="B3552" s="799" t="s">
        <v>2886</v>
      </c>
      <c r="C3552" s="798" t="s">
        <v>14</v>
      </c>
      <c r="D3552" s="800">
        <v>222.22</v>
      </c>
    </row>
    <row r="3553" spans="1:4" ht="27">
      <c r="A3553" s="798">
        <v>96676</v>
      </c>
      <c r="B3553" s="799" t="s">
        <v>2887</v>
      </c>
      <c r="C3553" s="798" t="s">
        <v>14</v>
      </c>
      <c r="D3553" s="800">
        <v>14.83</v>
      </c>
    </row>
    <row r="3554" spans="1:4" ht="27">
      <c r="A3554" s="798">
        <v>96677</v>
      </c>
      <c r="B3554" s="799" t="s">
        <v>2888</v>
      </c>
      <c r="C3554" s="798" t="s">
        <v>14</v>
      </c>
      <c r="D3554" s="800">
        <v>24.58</v>
      </c>
    </row>
    <row r="3555" spans="1:4" ht="27">
      <c r="A3555" s="798">
        <v>96678</v>
      </c>
      <c r="B3555" s="799" t="s">
        <v>2889</v>
      </c>
      <c r="C3555" s="798" t="s">
        <v>14</v>
      </c>
      <c r="D3555" s="800">
        <v>34.11</v>
      </c>
    </row>
    <row r="3556" spans="1:4" ht="27">
      <c r="A3556" s="798">
        <v>96679</v>
      </c>
      <c r="B3556" s="799" t="s">
        <v>2890</v>
      </c>
      <c r="C3556" s="798" t="s">
        <v>14</v>
      </c>
      <c r="D3556" s="800">
        <v>49.73</v>
      </c>
    </row>
    <row r="3557" spans="1:4" ht="27">
      <c r="A3557" s="798">
        <v>96680</v>
      </c>
      <c r="B3557" s="799" t="s">
        <v>2891</v>
      </c>
      <c r="C3557" s="798" t="s">
        <v>14</v>
      </c>
      <c r="D3557" s="800">
        <v>66.599999999999994</v>
      </c>
    </row>
    <row r="3558" spans="1:4" ht="27">
      <c r="A3558" s="798">
        <v>96681</v>
      </c>
      <c r="B3558" s="799" t="s">
        <v>2892</v>
      </c>
      <c r="C3558" s="798" t="s">
        <v>14</v>
      </c>
      <c r="D3558" s="800">
        <v>125.85</v>
      </c>
    </row>
    <row r="3559" spans="1:4" ht="27">
      <c r="A3559" s="798">
        <v>96682</v>
      </c>
      <c r="B3559" s="799" t="s">
        <v>2893</v>
      </c>
      <c r="C3559" s="798" t="s">
        <v>14</v>
      </c>
      <c r="D3559" s="800">
        <v>185.87</v>
      </c>
    </row>
    <row r="3560" spans="1:4" ht="40.5">
      <c r="A3560" s="798">
        <v>96683</v>
      </c>
      <c r="B3560" s="799" t="s">
        <v>2894</v>
      </c>
      <c r="C3560" s="798" t="s">
        <v>14</v>
      </c>
      <c r="D3560" s="800">
        <v>253.71</v>
      </c>
    </row>
    <row r="3561" spans="1:4" ht="54">
      <c r="A3561" s="798">
        <v>96718</v>
      </c>
      <c r="B3561" s="799" t="s">
        <v>2929</v>
      </c>
      <c r="C3561" s="798" t="s">
        <v>14</v>
      </c>
      <c r="D3561" s="800">
        <v>10.050000000000001</v>
      </c>
    </row>
    <row r="3562" spans="1:4" ht="54">
      <c r="A3562" s="798">
        <v>96719</v>
      </c>
      <c r="B3562" s="799" t="s">
        <v>2930</v>
      </c>
      <c r="C3562" s="798" t="s">
        <v>14</v>
      </c>
      <c r="D3562" s="800">
        <v>17.809999999999999</v>
      </c>
    </row>
    <row r="3563" spans="1:4" ht="54">
      <c r="A3563" s="798">
        <v>96720</v>
      </c>
      <c r="B3563" s="799" t="s">
        <v>2931</v>
      </c>
      <c r="C3563" s="798" t="s">
        <v>14</v>
      </c>
      <c r="D3563" s="800">
        <v>21.78</v>
      </c>
    </row>
    <row r="3564" spans="1:4" ht="54">
      <c r="A3564" s="798">
        <v>96721</v>
      </c>
      <c r="B3564" s="799" t="s">
        <v>2932</v>
      </c>
      <c r="C3564" s="798" t="s">
        <v>14</v>
      </c>
      <c r="D3564" s="800">
        <v>30.43</v>
      </c>
    </row>
    <row r="3565" spans="1:4" ht="54">
      <c r="A3565" s="798">
        <v>96722</v>
      </c>
      <c r="B3565" s="799" t="s">
        <v>2933</v>
      </c>
      <c r="C3565" s="798" t="s">
        <v>14</v>
      </c>
      <c r="D3565" s="800">
        <v>41.02</v>
      </c>
    </row>
    <row r="3566" spans="1:4" ht="54">
      <c r="A3566" s="798">
        <v>96723</v>
      </c>
      <c r="B3566" s="799" t="s">
        <v>2934</v>
      </c>
      <c r="C3566" s="798" t="s">
        <v>14</v>
      </c>
      <c r="D3566" s="800">
        <v>56.17</v>
      </c>
    </row>
    <row r="3567" spans="1:4" ht="54">
      <c r="A3567" s="798">
        <v>96724</v>
      </c>
      <c r="B3567" s="799" t="s">
        <v>2935</v>
      </c>
      <c r="C3567" s="798" t="s">
        <v>14</v>
      </c>
      <c r="D3567" s="800">
        <v>91.62</v>
      </c>
    </row>
    <row r="3568" spans="1:4" ht="54">
      <c r="A3568" s="798">
        <v>96725</v>
      </c>
      <c r="B3568" s="799" t="s">
        <v>2936</v>
      </c>
      <c r="C3568" s="798" t="s">
        <v>14</v>
      </c>
      <c r="D3568" s="800">
        <v>123.21</v>
      </c>
    </row>
    <row r="3569" spans="1:4" ht="54">
      <c r="A3569" s="798">
        <v>96726</v>
      </c>
      <c r="B3569" s="799" t="s">
        <v>2937</v>
      </c>
      <c r="C3569" s="798" t="s">
        <v>14</v>
      </c>
      <c r="D3569" s="800">
        <v>201.42</v>
      </c>
    </row>
    <row r="3570" spans="1:4" ht="54">
      <c r="A3570" s="798">
        <v>96727</v>
      </c>
      <c r="B3570" s="799" t="s">
        <v>2938</v>
      </c>
      <c r="C3570" s="798" t="s">
        <v>14</v>
      </c>
      <c r="D3570" s="800">
        <v>14.71</v>
      </c>
    </row>
    <row r="3571" spans="1:4" ht="54">
      <c r="A3571" s="798">
        <v>96728</v>
      </c>
      <c r="B3571" s="799" t="s">
        <v>2939</v>
      </c>
      <c r="C3571" s="798" t="s">
        <v>14</v>
      </c>
      <c r="D3571" s="800">
        <v>18.22</v>
      </c>
    </row>
    <row r="3572" spans="1:4" ht="54">
      <c r="A3572" s="798">
        <v>96729</v>
      </c>
      <c r="B3572" s="799" t="s">
        <v>2940</v>
      </c>
      <c r="C3572" s="798" t="s">
        <v>14</v>
      </c>
      <c r="D3572" s="800">
        <v>28.33</v>
      </c>
    </row>
    <row r="3573" spans="1:4" ht="54">
      <c r="A3573" s="798">
        <v>96730</v>
      </c>
      <c r="B3573" s="799" t="s">
        <v>2941</v>
      </c>
      <c r="C3573" s="798" t="s">
        <v>14</v>
      </c>
      <c r="D3573" s="800">
        <v>36.82</v>
      </c>
    </row>
    <row r="3574" spans="1:4" ht="54">
      <c r="A3574" s="798">
        <v>96731</v>
      </c>
      <c r="B3574" s="799" t="s">
        <v>2942</v>
      </c>
      <c r="C3574" s="798" t="s">
        <v>14</v>
      </c>
      <c r="D3574" s="800">
        <v>53.63</v>
      </c>
    </row>
    <row r="3575" spans="1:4" ht="54">
      <c r="A3575" s="798">
        <v>96732</v>
      </c>
      <c r="B3575" s="799" t="s">
        <v>2943</v>
      </c>
      <c r="C3575" s="798" t="s">
        <v>14</v>
      </c>
      <c r="D3575" s="800">
        <v>67.989999999999995</v>
      </c>
    </row>
    <row r="3576" spans="1:4" ht="54">
      <c r="A3576" s="798">
        <v>96733</v>
      </c>
      <c r="B3576" s="799" t="s">
        <v>2944</v>
      </c>
      <c r="C3576" s="798" t="s">
        <v>14</v>
      </c>
      <c r="D3576" s="800">
        <v>125.92</v>
      </c>
    </row>
    <row r="3577" spans="1:4" ht="54">
      <c r="A3577" s="798">
        <v>96734</v>
      </c>
      <c r="B3577" s="799" t="s">
        <v>2945</v>
      </c>
      <c r="C3577" s="798" t="s">
        <v>14</v>
      </c>
      <c r="D3577" s="800">
        <v>178.84</v>
      </c>
    </row>
    <row r="3578" spans="1:4" ht="54">
      <c r="A3578" s="798">
        <v>96735</v>
      </c>
      <c r="B3578" s="799" t="s">
        <v>2946</v>
      </c>
      <c r="C3578" s="798" t="s">
        <v>14</v>
      </c>
      <c r="D3578" s="800">
        <v>230.55</v>
      </c>
    </row>
    <row r="3579" spans="1:4" ht="40.5">
      <c r="A3579" s="798">
        <v>96794</v>
      </c>
      <c r="B3579" s="799" t="s">
        <v>2976</v>
      </c>
      <c r="C3579" s="798" t="s">
        <v>14</v>
      </c>
      <c r="D3579" s="800">
        <v>8.48</v>
      </c>
    </row>
    <row r="3580" spans="1:4" ht="40.5">
      <c r="A3580" s="798">
        <v>96795</v>
      </c>
      <c r="B3580" s="799" t="s">
        <v>2977</v>
      </c>
      <c r="C3580" s="798" t="s">
        <v>14</v>
      </c>
      <c r="D3580" s="800">
        <v>10.85</v>
      </c>
    </row>
    <row r="3581" spans="1:4" ht="40.5">
      <c r="A3581" s="798">
        <v>96796</v>
      </c>
      <c r="B3581" s="799" t="s">
        <v>2978</v>
      </c>
      <c r="C3581" s="798" t="s">
        <v>14</v>
      </c>
      <c r="D3581" s="800">
        <v>15.4</v>
      </c>
    </row>
    <row r="3582" spans="1:4" ht="40.5">
      <c r="A3582" s="798">
        <v>96797</v>
      </c>
      <c r="B3582" s="799" t="s">
        <v>2979</v>
      </c>
      <c r="C3582" s="798" t="s">
        <v>14</v>
      </c>
      <c r="D3582" s="800">
        <v>23.58</v>
      </c>
    </row>
    <row r="3583" spans="1:4" ht="40.5">
      <c r="A3583" s="798">
        <v>96798</v>
      </c>
      <c r="B3583" s="799" t="s">
        <v>2980</v>
      </c>
      <c r="C3583" s="798" t="s">
        <v>14</v>
      </c>
      <c r="D3583" s="800">
        <v>8.59</v>
      </c>
    </row>
    <row r="3584" spans="1:4" ht="40.5">
      <c r="A3584" s="798">
        <v>96799</v>
      </c>
      <c r="B3584" s="799" t="s">
        <v>2981</v>
      </c>
      <c r="C3584" s="798" t="s">
        <v>14</v>
      </c>
      <c r="D3584" s="800">
        <v>11.44</v>
      </c>
    </row>
    <row r="3585" spans="1:4" ht="40.5">
      <c r="A3585" s="798">
        <v>96800</v>
      </c>
      <c r="B3585" s="799" t="s">
        <v>2982</v>
      </c>
      <c r="C3585" s="798" t="s">
        <v>14</v>
      </c>
      <c r="D3585" s="800">
        <v>16.61</v>
      </c>
    </row>
    <row r="3586" spans="1:4" ht="40.5">
      <c r="A3586" s="798">
        <v>96801</v>
      </c>
      <c r="B3586" s="799" t="s">
        <v>2983</v>
      </c>
      <c r="C3586" s="798" t="s">
        <v>14</v>
      </c>
      <c r="D3586" s="800">
        <v>25.68</v>
      </c>
    </row>
    <row r="3587" spans="1:4" ht="54">
      <c r="A3587" s="798">
        <v>97327</v>
      </c>
      <c r="B3587" s="799" t="s">
        <v>3800</v>
      </c>
      <c r="C3587" s="798" t="s">
        <v>14</v>
      </c>
      <c r="D3587" s="800">
        <v>32.119999999999997</v>
      </c>
    </row>
    <row r="3588" spans="1:4" ht="54">
      <c r="A3588" s="798">
        <v>97328</v>
      </c>
      <c r="B3588" s="799" t="s">
        <v>3418</v>
      </c>
      <c r="C3588" s="798" t="s">
        <v>14</v>
      </c>
      <c r="D3588" s="800">
        <v>56.06</v>
      </c>
    </row>
    <row r="3589" spans="1:4" ht="54">
      <c r="A3589" s="798">
        <v>97329</v>
      </c>
      <c r="B3589" s="799" t="s">
        <v>3419</v>
      </c>
      <c r="C3589" s="798" t="s">
        <v>14</v>
      </c>
      <c r="D3589" s="800">
        <v>70.58</v>
      </c>
    </row>
    <row r="3590" spans="1:4" ht="54">
      <c r="A3590" s="798">
        <v>97330</v>
      </c>
      <c r="B3590" s="799" t="s">
        <v>3420</v>
      </c>
      <c r="C3590" s="798" t="s">
        <v>14</v>
      </c>
      <c r="D3590" s="800">
        <v>86.36</v>
      </c>
    </row>
    <row r="3591" spans="1:4" ht="54">
      <c r="A3591" s="798">
        <v>97331</v>
      </c>
      <c r="B3591" s="799" t="s">
        <v>3421</v>
      </c>
      <c r="C3591" s="798" t="s">
        <v>14</v>
      </c>
      <c r="D3591" s="800">
        <v>32.36</v>
      </c>
    </row>
    <row r="3592" spans="1:4" ht="54">
      <c r="A3592" s="798">
        <v>97332</v>
      </c>
      <c r="B3592" s="799" t="s">
        <v>3422</v>
      </c>
      <c r="C3592" s="798" t="s">
        <v>14</v>
      </c>
      <c r="D3592" s="800">
        <v>56.34</v>
      </c>
    </row>
    <row r="3593" spans="1:4" ht="54">
      <c r="A3593" s="798">
        <v>97333</v>
      </c>
      <c r="B3593" s="799" t="s">
        <v>3423</v>
      </c>
      <c r="C3593" s="798" t="s">
        <v>14</v>
      </c>
      <c r="D3593" s="800">
        <v>70.92</v>
      </c>
    </row>
    <row r="3594" spans="1:4" ht="54">
      <c r="A3594" s="798">
        <v>97334</v>
      </c>
      <c r="B3594" s="799" t="s">
        <v>3801</v>
      </c>
      <c r="C3594" s="798" t="s">
        <v>14</v>
      </c>
      <c r="D3594" s="800">
        <v>86.74</v>
      </c>
    </row>
    <row r="3595" spans="1:4" ht="40.5">
      <c r="A3595" s="798">
        <v>97335</v>
      </c>
      <c r="B3595" s="799" t="s">
        <v>3424</v>
      </c>
      <c r="C3595" s="798" t="s">
        <v>14</v>
      </c>
      <c r="D3595" s="800">
        <v>91.94</v>
      </c>
    </row>
    <row r="3596" spans="1:4" ht="40.5">
      <c r="A3596" s="798">
        <v>97336</v>
      </c>
      <c r="B3596" s="799" t="s">
        <v>3425</v>
      </c>
      <c r="C3596" s="798" t="s">
        <v>14</v>
      </c>
      <c r="D3596" s="800">
        <v>116.84</v>
      </c>
    </row>
    <row r="3597" spans="1:4" ht="40.5">
      <c r="A3597" s="798">
        <v>97337</v>
      </c>
      <c r="B3597" s="799" t="s">
        <v>3426</v>
      </c>
      <c r="C3597" s="798" t="s">
        <v>14</v>
      </c>
      <c r="D3597" s="800">
        <v>175.84</v>
      </c>
    </row>
    <row r="3598" spans="1:4" ht="40.5">
      <c r="A3598" s="798">
        <v>97338</v>
      </c>
      <c r="B3598" s="799" t="s">
        <v>3427</v>
      </c>
      <c r="C3598" s="798" t="s">
        <v>14</v>
      </c>
      <c r="D3598" s="800">
        <v>211.45</v>
      </c>
    </row>
    <row r="3599" spans="1:4" ht="40.5">
      <c r="A3599" s="798">
        <v>97339</v>
      </c>
      <c r="B3599" s="799" t="s">
        <v>3428</v>
      </c>
      <c r="C3599" s="798" t="s">
        <v>14</v>
      </c>
      <c r="D3599" s="800">
        <v>227.13</v>
      </c>
    </row>
    <row r="3600" spans="1:4" ht="40.5">
      <c r="A3600" s="798">
        <v>97340</v>
      </c>
      <c r="B3600" s="799" t="s">
        <v>3429</v>
      </c>
      <c r="C3600" s="798" t="s">
        <v>14</v>
      </c>
      <c r="D3600" s="800">
        <v>227.71</v>
      </c>
    </row>
    <row r="3601" spans="1:4" ht="40.5">
      <c r="A3601" s="798">
        <v>97341</v>
      </c>
      <c r="B3601" s="799" t="s">
        <v>3430</v>
      </c>
      <c r="C3601" s="798" t="s">
        <v>14</v>
      </c>
      <c r="D3601" s="800">
        <v>60.11</v>
      </c>
    </row>
    <row r="3602" spans="1:4" ht="40.5">
      <c r="A3602" s="798">
        <v>97342</v>
      </c>
      <c r="B3602" s="799" t="s">
        <v>3431</v>
      </c>
      <c r="C3602" s="798" t="s">
        <v>14</v>
      </c>
      <c r="D3602" s="800">
        <v>95.26</v>
      </c>
    </row>
    <row r="3603" spans="1:4" ht="40.5">
      <c r="A3603" s="798">
        <v>97343</v>
      </c>
      <c r="B3603" s="799" t="s">
        <v>3432</v>
      </c>
      <c r="C3603" s="798" t="s">
        <v>14</v>
      </c>
      <c r="D3603" s="800">
        <v>120.4</v>
      </c>
    </row>
    <row r="3604" spans="1:4" ht="40.5">
      <c r="A3604" s="798">
        <v>97344</v>
      </c>
      <c r="B3604" s="799" t="s">
        <v>3433</v>
      </c>
      <c r="C3604" s="798" t="s">
        <v>14</v>
      </c>
      <c r="D3604" s="800">
        <v>67.400000000000006</v>
      </c>
    </row>
    <row r="3605" spans="1:4" ht="40.5">
      <c r="A3605" s="798">
        <v>97345</v>
      </c>
      <c r="B3605" s="799" t="s">
        <v>3434</v>
      </c>
      <c r="C3605" s="798" t="s">
        <v>14</v>
      </c>
      <c r="D3605" s="800">
        <v>107.8</v>
      </c>
    </row>
    <row r="3606" spans="1:4" ht="40.5">
      <c r="A3606" s="798">
        <v>97346</v>
      </c>
      <c r="B3606" s="799" t="s">
        <v>3435</v>
      </c>
      <c r="C3606" s="798" t="s">
        <v>14</v>
      </c>
      <c r="D3606" s="800">
        <v>137.5</v>
      </c>
    </row>
    <row r="3607" spans="1:4" ht="40.5">
      <c r="A3607" s="798">
        <v>97347</v>
      </c>
      <c r="B3607" s="799" t="s">
        <v>3436</v>
      </c>
      <c r="C3607" s="798" t="s">
        <v>14</v>
      </c>
      <c r="D3607" s="800">
        <v>110.92</v>
      </c>
    </row>
    <row r="3608" spans="1:4" ht="40.5">
      <c r="A3608" s="798">
        <v>97348</v>
      </c>
      <c r="B3608" s="799" t="s">
        <v>3437</v>
      </c>
      <c r="C3608" s="798" t="s">
        <v>14</v>
      </c>
      <c r="D3608" s="800">
        <v>153.37</v>
      </c>
    </row>
    <row r="3609" spans="1:4" ht="40.5">
      <c r="A3609" s="798">
        <v>97349</v>
      </c>
      <c r="B3609" s="799" t="s">
        <v>3438</v>
      </c>
      <c r="C3609" s="798" t="s">
        <v>14</v>
      </c>
      <c r="D3609" s="800">
        <v>221.32</v>
      </c>
    </row>
    <row r="3610" spans="1:4" ht="40.5">
      <c r="A3610" s="798">
        <v>97350</v>
      </c>
      <c r="B3610" s="799" t="s">
        <v>3439</v>
      </c>
      <c r="C3610" s="798" t="s">
        <v>14</v>
      </c>
      <c r="D3610" s="800">
        <v>268.82</v>
      </c>
    </row>
    <row r="3611" spans="1:4" ht="40.5">
      <c r="A3611" s="798">
        <v>97351</v>
      </c>
      <c r="B3611" s="799" t="s">
        <v>3440</v>
      </c>
      <c r="C3611" s="798" t="s">
        <v>14</v>
      </c>
      <c r="D3611" s="800">
        <v>371.86</v>
      </c>
    </row>
    <row r="3612" spans="1:4" ht="40.5">
      <c r="A3612" s="798">
        <v>97352</v>
      </c>
      <c r="B3612" s="799" t="s">
        <v>3441</v>
      </c>
      <c r="C3612" s="798" t="s">
        <v>14</v>
      </c>
      <c r="D3612" s="800">
        <v>482.11</v>
      </c>
    </row>
    <row r="3613" spans="1:4" ht="40.5">
      <c r="A3613" s="798">
        <v>97353</v>
      </c>
      <c r="B3613" s="799" t="s">
        <v>3442</v>
      </c>
      <c r="C3613" s="798" t="s">
        <v>14</v>
      </c>
      <c r="D3613" s="800">
        <v>71.349999999999994</v>
      </c>
    </row>
    <row r="3614" spans="1:4" ht="40.5">
      <c r="A3614" s="798">
        <v>97354</v>
      </c>
      <c r="B3614" s="799" t="s">
        <v>3443</v>
      </c>
      <c r="C3614" s="798" t="s">
        <v>14</v>
      </c>
      <c r="D3614" s="800">
        <v>114.24</v>
      </c>
    </row>
    <row r="3615" spans="1:4" ht="40.5">
      <c r="A3615" s="798">
        <v>97355</v>
      </c>
      <c r="B3615" s="799" t="s">
        <v>3444</v>
      </c>
      <c r="C3615" s="798" t="s">
        <v>14</v>
      </c>
      <c r="D3615" s="800">
        <v>156.93</v>
      </c>
    </row>
    <row r="3616" spans="1:4" ht="40.5">
      <c r="A3616" s="798">
        <v>97356</v>
      </c>
      <c r="B3616" s="799" t="s">
        <v>3445</v>
      </c>
      <c r="C3616" s="798" t="s">
        <v>14</v>
      </c>
      <c r="D3616" s="800">
        <v>78.64</v>
      </c>
    </row>
    <row r="3617" spans="1:4" ht="40.5">
      <c r="A3617" s="798">
        <v>97357</v>
      </c>
      <c r="B3617" s="799" t="s">
        <v>3446</v>
      </c>
      <c r="C3617" s="798" t="s">
        <v>14</v>
      </c>
      <c r="D3617" s="800">
        <v>126.78</v>
      </c>
    </row>
    <row r="3618" spans="1:4" ht="40.5">
      <c r="A3618" s="798">
        <v>97358</v>
      </c>
      <c r="B3618" s="799" t="s">
        <v>3447</v>
      </c>
      <c r="C3618" s="798" t="s">
        <v>14</v>
      </c>
      <c r="D3618" s="800">
        <v>174.03</v>
      </c>
    </row>
    <row r="3619" spans="1:4" ht="54">
      <c r="A3619" s="798">
        <v>97498</v>
      </c>
      <c r="B3619" s="799" t="s">
        <v>5864</v>
      </c>
      <c r="C3619" s="798" t="s">
        <v>14</v>
      </c>
      <c r="D3619" s="800">
        <v>50.42</v>
      </c>
    </row>
    <row r="3620" spans="1:4" ht="54">
      <c r="A3620" s="798">
        <v>97535</v>
      </c>
      <c r="B3620" s="799" t="s">
        <v>5865</v>
      </c>
      <c r="C3620" s="798" t="s">
        <v>14</v>
      </c>
      <c r="D3620" s="800">
        <v>53.74</v>
      </c>
    </row>
    <row r="3621" spans="1:4" ht="54">
      <c r="A3621" s="798">
        <v>97536</v>
      </c>
      <c r="B3621" s="799" t="s">
        <v>5866</v>
      </c>
      <c r="C3621" s="798" t="s">
        <v>14</v>
      </c>
      <c r="D3621" s="800">
        <v>61.38</v>
      </c>
    </row>
    <row r="3622" spans="1:4" ht="54">
      <c r="A3622" s="798">
        <v>100788</v>
      </c>
      <c r="B3622" s="799" t="s">
        <v>4402</v>
      </c>
      <c r="C3622" s="798" t="s">
        <v>24</v>
      </c>
      <c r="D3622" s="800">
        <v>554.29999999999995</v>
      </c>
    </row>
    <row r="3623" spans="1:4" ht="40.5">
      <c r="A3623" s="798">
        <v>100791</v>
      </c>
      <c r="B3623" s="799" t="s">
        <v>4403</v>
      </c>
      <c r="C3623" s="798" t="s">
        <v>14</v>
      </c>
      <c r="D3623" s="800">
        <v>17.309999999999999</v>
      </c>
    </row>
    <row r="3624" spans="1:4" ht="40.5">
      <c r="A3624" s="798">
        <v>100792</v>
      </c>
      <c r="B3624" s="799" t="s">
        <v>4404</v>
      </c>
      <c r="C3624" s="798" t="s">
        <v>14</v>
      </c>
      <c r="D3624" s="800">
        <v>25.94</v>
      </c>
    </row>
    <row r="3625" spans="1:4" ht="40.5">
      <c r="A3625" s="798">
        <v>100793</v>
      </c>
      <c r="B3625" s="799" t="s">
        <v>4405</v>
      </c>
      <c r="C3625" s="798" t="s">
        <v>14</v>
      </c>
      <c r="D3625" s="800">
        <v>34.729999999999997</v>
      </c>
    </row>
    <row r="3626" spans="1:4" ht="40.5">
      <c r="A3626" s="798">
        <v>100794</v>
      </c>
      <c r="B3626" s="799" t="s">
        <v>4406</v>
      </c>
      <c r="C3626" s="798" t="s">
        <v>14</v>
      </c>
      <c r="D3626" s="800">
        <v>47.19</v>
      </c>
    </row>
    <row r="3627" spans="1:4" ht="40.5">
      <c r="A3627" s="798">
        <v>100799</v>
      </c>
      <c r="B3627" s="799" t="s">
        <v>6639</v>
      </c>
      <c r="C3627" s="798" t="s">
        <v>14</v>
      </c>
      <c r="D3627" s="800">
        <v>17.649999999999999</v>
      </c>
    </row>
    <row r="3628" spans="1:4" ht="40.5">
      <c r="A3628" s="798">
        <v>100800</v>
      </c>
      <c r="B3628" s="799" t="s">
        <v>6640</v>
      </c>
      <c r="C3628" s="798" t="s">
        <v>14</v>
      </c>
      <c r="D3628" s="800">
        <v>26.27</v>
      </c>
    </row>
    <row r="3629" spans="1:4" ht="40.5">
      <c r="A3629" s="798">
        <v>100801</v>
      </c>
      <c r="B3629" s="799" t="s">
        <v>6641</v>
      </c>
      <c r="C3629" s="798" t="s">
        <v>14</v>
      </c>
      <c r="D3629" s="800">
        <v>35.06</v>
      </c>
    </row>
    <row r="3630" spans="1:4" ht="40.5">
      <c r="A3630" s="798">
        <v>100802</v>
      </c>
      <c r="B3630" s="799" t="s">
        <v>6642</v>
      </c>
      <c r="C3630" s="798" t="s">
        <v>14</v>
      </c>
      <c r="D3630" s="800">
        <v>47.53</v>
      </c>
    </row>
    <row r="3631" spans="1:4" ht="40.5">
      <c r="A3631" s="798">
        <v>100803</v>
      </c>
      <c r="B3631" s="799" t="s">
        <v>4407</v>
      </c>
      <c r="C3631" s="798" t="s">
        <v>14</v>
      </c>
      <c r="D3631" s="800">
        <v>16.61</v>
      </c>
    </row>
    <row r="3632" spans="1:4" ht="40.5">
      <c r="A3632" s="798">
        <v>100804</v>
      </c>
      <c r="B3632" s="799" t="s">
        <v>4408</v>
      </c>
      <c r="C3632" s="798" t="s">
        <v>14</v>
      </c>
      <c r="D3632" s="800">
        <v>25.11</v>
      </c>
    </row>
    <row r="3633" spans="1:4" ht="40.5">
      <c r="A3633" s="798">
        <v>100805</v>
      </c>
      <c r="B3633" s="799" t="s">
        <v>4409</v>
      </c>
      <c r="C3633" s="798" t="s">
        <v>14</v>
      </c>
      <c r="D3633" s="800">
        <v>33.75</v>
      </c>
    </row>
    <row r="3634" spans="1:4" ht="40.5">
      <c r="A3634" s="798">
        <v>100806</v>
      </c>
      <c r="B3634" s="799" t="s">
        <v>4410</v>
      </c>
      <c r="C3634" s="798" t="s">
        <v>14</v>
      </c>
      <c r="D3634" s="800">
        <v>45.98</v>
      </c>
    </row>
    <row r="3635" spans="1:4" ht="40.5">
      <c r="A3635" s="798">
        <v>100807</v>
      </c>
      <c r="B3635" s="799" t="s">
        <v>6643</v>
      </c>
      <c r="C3635" s="798" t="s">
        <v>14</v>
      </c>
      <c r="D3635" s="800">
        <v>21.59</v>
      </c>
    </row>
    <row r="3636" spans="1:4" ht="40.5">
      <c r="A3636" s="798">
        <v>100808</v>
      </c>
      <c r="B3636" s="799" t="s">
        <v>6644</v>
      </c>
      <c r="C3636" s="798" t="s">
        <v>14</v>
      </c>
      <c r="D3636" s="800">
        <v>30.96</v>
      </c>
    </row>
    <row r="3637" spans="1:4" ht="40.5">
      <c r="A3637" s="798">
        <v>100809</v>
      </c>
      <c r="B3637" s="799" t="s">
        <v>6645</v>
      </c>
      <c r="C3637" s="798" t="s">
        <v>14</v>
      </c>
      <c r="D3637" s="800">
        <v>40.67</v>
      </c>
    </row>
    <row r="3638" spans="1:4" ht="40.5">
      <c r="A3638" s="798">
        <v>100810</v>
      </c>
      <c r="B3638" s="799" t="s">
        <v>6646</v>
      </c>
      <c r="C3638" s="798" t="s">
        <v>14</v>
      </c>
      <c r="D3638" s="800">
        <v>54.42</v>
      </c>
    </row>
    <row r="3639" spans="1:4" ht="40.5">
      <c r="A3639" s="798">
        <v>101918</v>
      </c>
      <c r="B3639" s="799" t="s">
        <v>5867</v>
      </c>
      <c r="C3639" s="798" t="s">
        <v>14</v>
      </c>
      <c r="D3639" s="800">
        <v>239.18</v>
      </c>
    </row>
    <row r="3640" spans="1:4" ht="40.5">
      <c r="A3640" s="798">
        <v>101919</v>
      </c>
      <c r="B3640" s="799" t="s">
        <v>5868</v>
      </c>
      <c r="C3640" s="798" t="s">
        <v>24</v>
      </c>
      <c r="D3640" s="800">
        <v>318.89</v>
      </c>
    </row>
    <row r="3641" spans="1:4" ht="40.5">
      <c r="A3641" s="798">
        <v>101920</v>
      </c>
      <c r="B3641" s="799" t="s">
        <v>5869</v>
      </c>
      <c r="C3641" s="798" t="s">
        <v>24</v>
      </c>
      <c r="D3641" s="800">
        <v>150.09</v>
      </c>
    </row>
    <row r="3642" spans="1:4" ht="40.5">
      <c r="A3642" s="798">
        <v>101921</v>
      </c>
      <c r="B3642" s="799" t="s">
        <v>5870</v>
      </c>
      <c r="C3642" s="798" t="s">
        <v>24</v>
      </c>
      <c r="D3642" s="800">
        <v>171.82</v>
      </c>
    </row>
    <row r="3643" spans="1:4" ht="40.5">
      <c r="A3643" s="798">
        <v>101922</v>
      </c>
      <c r="B3643" s="799" t="s">
        <v>5871</v>
      </c>
      <c r="C3643" s="798" t="s">
        <v>24</v>
      </c>
      <c r="D3643" s="800">
        <v>171.82</v>
      </c>
    </row>
    <row r="3644" spans="1:4" ht="40.5">
      <c r="A3644" s="798">
        <v>101923</v>
      </c>
      <c r="B3644" s="799" t="s">
        <v>5872</v>
      </c>
      <c r="C3644" s="798" t="s">
        <v>24</v>
      </c>
      <c r="D3644" s="800">
        <v>171.82</v>
      </c>
    </row>
    <row r="3645" spans="1:4" ht="40.5">
      <c r="A3645" s="798">
        <v>101924</v>
      </c>
      <c r="B3645" s="799" t="s">
        <v>5873</v>
      </c>
      <c r="C3645" s="798" t="s">
        <v>24</v>
      </c>
      <c r="D3645" s="800">
        <v>140.99</v>
      </c>
    </row>
    <row r="3646" spans="1:4" ht="40.5">
      <c r="A3646" s="798">
        <v>101925</v>
      </c>
      <c r="B3646" s="799" t="s">
        <v>5874</v>
      </c>
      <c r="C3646" s="798" t="s">
        <v>24</v>
      </c>
      <c r="D3646" s="800">
        <v>236.31</v>
      </c>
    </row>
    <row r="3647" spans="1:4" ht="40.5">
      <c r="A3647" s="798">
        <v>101926</v>
      </c>
      <c r="B3647" s="799" t="s">
        <v>5875</v>
      </c>
      <c r="C3647" s="798" t="s">
        <v>24</v>
      </c>
      <c r="D3647" s="800">
        <v>304.45</v>
      </c>
    </row>
    <row r="3648" spans="1:4" ht="54">
      <c r="A3648" s="798">
        <v>101927</v>
      </c>
      <c r="B3648" s="799" t="s">
        <v>5876</v>
      </c>
      <c r="C3648" s="798" t="s">
        <v>14</v>
      </c>
      <c r="D3648" s="800">
        <v>228.81</v>
      </c>
    </row>
    <row r="3649" spans="1:4" ht="40.5">
      <c r="A3649" s="798">
        <v>101928</v>
      </c>
      <c r="B3649" s="799" t="s">
        <v>5877</v>
      </c>
      <c r="C3649" s="798" t="s">
        <v>24</v>
      </c>
      <c r="D3649" s="800">
        <v>322.85000000000002</v>
      </c>
    </row>
    <row r="3650" spans="1:4" ht="40.5">
      <c r="A3650" s="798">
        <v>101929</v>
      </c>
      <c r="B3650" s="799" t="s">
        <v>5878</v>
      </c>
      <c r="C3650" s="798" t="s">
        <v>24</v>
      </c>
      <c r="D3650" s="800">
        <v>154.05000000000001</v>
      </c>
    </row>
    <row r="3651" spans="1:4" ht="40.5">
      <c r="A3651" s="798">
        <v>101930</v>
      </c>
      <c r="B3651" s="799" t="s">
        <v>5879</v>
      </c>
      <c r="C3651" s="798" t="s">
        <v>24</v>
      </c>
      <c r="D3651" s="800">
        <v>175.78</v>
      </c>
    </row>
    <row r="3652" spans="1:4" ht="40.5">
      <c r="A3652" s="798">
        <v>101931</v>
      </c>
      <c r="B3652" s="799" t="s">
        <v>5880</v>
      </c>
      <c r="C3652" s="798" t="s">
        <v>24</v>
      </c>
      <c r="D3652" s="800">
        <v>175.78</v>
      </c>
    </row>
    <row r="3653" spans="1:4" ht="40.5">
      <c r="A3653" s="798">
        <v>101932</v>
      </c>
      <c r="B3653" s="799" t="s">
        <v>5881</v>
      </c>
      <c r="C3653" s="798" t="s">
        <v>24</v>
      </c>
      <c r="D3653" s="800">
        <v>175.78</v>
      </c>
    </row>
    <row r="3654" spans="1:4" ht="40.5">
      <c r="A3654" s="798">
        <v>101933</v>
      </c>
      <c r="B3654" s="799" t="s">
        <v>5882</v>
      </c>
      <c r="C3654" s="798" t="s">
        <v>24</v>
      </c>
      <c r="D3654" s="800">
        <v>144.94999999999999</v>
      </c>
    </row>
    <row r="3655" spans="1:4" ht="40.5">
      <c r="A3655" s="798">
        <v>101934</v>
      </c>
      <c r="B3655" s="799" t="s">
        <v>5883</v>
      </c>
      <c r="C3655" s="798" t="s">
        <v>24</v>
      </c>
      <c r="D3655" s="800">
        <v>242.28</v>
      </c>
    </row>
    <row r="3656" spans="1:4" ht="40.5">
      <c r="A3656" s="798">
        <v>101935</v>
      </c>
      <c r="B3656" s="799" t="s">
        <v>5884</v>
      </c>
      <c r="C3656" s="798" t="s">
        <v>24</v>
      </c>
      <c r="D3656" s="800">
        <v>312.39</v>
      </c>
    </row>
    <row r="3657" spans="1:4" ht="40.5">
      <c r="A3657" s="798">
        <v>89358</v>
      </c>
      <c r="B3657" s="799" t="s">
        <v>1171</v>
      </c>
      <c r="C3657" s="798" t="s">
        <v>24</v>
      </c>
      <c r="D3657" s="800">
        <v>6.05</v>
      </c>
    </row>
    <row r="3658" spans="1:4" ht="40.5">
      <c r="A3658" s="798">
        <v>89359</v>
      </c>
      <c r="B3658" s="799" t="s">
        <v>1172</v>
      </c>
      <c r="C3658" s="798" t="s">
        <v>24</v>
      </c>
      <c r="D3658" s="800">
        <v>6.43</v>
      </c>
    </row>
    <row r="3659" spans="1:4" ht="40.5">
      <c r="A3659" s="798">
        <v>89360</v>
      </c>
      <c r="B3659" s="799" t="s">
        <v>1173</v>
      </c>
      <c r="C3659" s="798" t="s">
        <v>24</v>
      </c>
      <c r="D3659" s="800">
        <v>8.0399999999999991</v>
      </c>
    </row>
    <row r="3660" spans="1:4" ht="40.5">
      <c r="A3660" s="798">
        <v>89361</v>
      </c>
      <c r="B3660" s="799" t="s">
        <v>1174</v>
      </c>
      <c r="C3660" s="798" t="s">
        <v>24</v>
      </c>
      <c r="D3660" s="800">
        <v>7.41</v>
      </c>
    </row>
    <row r="3661" spans="1:4" ht="40.5">
      <c r="A3661" s="798">
        <v>89362</v>
      </c>
      <c r="B3661" s="799" t="s">
        <v>1175</v>
      </c>
      <c r="C3661" s="798" t="s">
        <v>24</v>
      </c>
      <c r="D3661" s="800">
        <v>7.25</v>
      </c>
    </row>
    <row r="3662" spans="1:4" ht="40.5">
      <c r="A3662" s="798">
        <v>89363</v>
      </c>
      <c r="B3662" s="799" t="s">
        <v>1176</v>
      </c>
      <c r="C3662" s="798" t="s">
        <v>24</v>
      </c>
      <c r="D3662" s="800">
        <v>8.07</v>
      </c>
    </row>
    <row r="3663" spans="1:4" ht="40.5">
      <c r="A3663" s="798">
        <v>89364</v>
      </c>
      <c r="B3663" s="799" t="s">
        <v>1177</v>
      </c>
      <c r="C3663" s="798" t="s">
        <v>24</v>
      </c>
      <c r="D3663" s="800">
        <v>9.77</v>
      </c>
    </row>
    <row r="3664" spans="1:4" ht="40.5">
      <c r="A3664" s="798">
        <v>89365</v>
      </c>
      <c r="B3664" s="799" t="s">
        <v>1178</v>
      </c>
      <c r="C3664" s="798" t="s">
        <v>24</v>
      </c>
      <c r="D3664" s="800">
        <v>9.01</v>
      </c>
    </row>
    <row r="3665" spans="1:4" ht="40.5">
      <c r="A3665" s="798">
        <v>89366</v>
      </c>
      <c r="B3665" s="799" t="s">
        <v>1179</v>
      </c>
      <c r="C3665" s="798" t="s">
        <v>24</v>
      </c>
      <c r="D3665" s="800">
        <v>14.27</v>
      </c>
    </row>
    <row r="3666" spans="1:4" ht="40.5">
      <c r="A3666" s="798">
        <v>89367</v>
      </c>
      <c r="B3666" s="799" t="s">
        <v>1180</v>
      </c>
      <c r="C3666" s="798" t="s">
        <v>24</v>
      </c>
      <c r="D3666" s="800">
        <v>10.25</v>
      </c>
    </row>
    <row r="3667" spans="1:4" ht="40.5">
      <c r="A3667" s="798">
        <v>89368</v>
      </c>
      <c r="B3667" s="799" t="s">
        <v>1181</v>
      </c>
      <c r="C3667" s="798" t="s">
        <v>24</v>
      </c>
      <c r="D3667" s="800">
        <v>12.56</v>
      </c>
    </row>
    <row r="3668" spans="1:4" ht="40.5">
      <c r="A3668" s="798">
        <v>89369</v>
      </c>
      <c r="B3668" s="799" t="s">
        <v>1182</v>
      </c>
      <c r="C3668" s="798" t="s">
        <v>24</v>
      </c>
      <c r="D3668" s="800">
        <v>15.43</v>
      </c>
    </row>
    <row r="3669" spans="1:4" ht="40.5">
      <c r="A3669" s="798">
        <v>89370</v>
      </c>
      <c r="B3669" s="799" t="s">
        <v>1183</v>
      </c>
      <c r="C3669" s="798" t="s">
        <v>24</v>
      </c>
      <c r="D3669" s="800">
        <v>12.08</v>
      </c>
    </row>
    <row r="3670" spans="1:4" ht="40.5">
      <c r="A3670" s="798">
        <v>89371</v>
      </c>
      <c r="B3670" s="799" t="s">
        <v>213</v>
      </c>
      <c r="C3670" s="798" t="s">
        <v>24</v>
      </c>
      <c r="D3670" s="800">
        <v>4.6900000000000004</v>
      </c>
    </row>
    <row r="3671" spans="1:4" ht="40.5">
      <c r="A3671" s="798">
        <v>89372</v>
      </c>
      <c r="B3671" s="799" t="s">
        <v>1184</v>
      </c>
      <c r="C3671" s="798" t="s">
        <v>24</v>
      </c>
      <c r="D3671" s="800">
        <v>12.31</v>
      </c>
    </row>
    <row r="3672" spans="1:4" ht="40.5">
      <c r="A3672" s="798">
        <v>89373</v>
      </c>
      <c r="B3672" s="799" t="s">
        <v>214</v>
      </c>
      <c r="C3672" s="798" t="s">
        <v>24</v>
      </c>
      <c r="D3672" s="800">
        <v>5.38</v>
      </c>
    </row>
    <row r="3673" spans="1:4" ht="40.5">
      <c r="A3673" s="798">
        <v>89374</v>
      </c>
      <c r="B3673" s="799" t="s">
        <v>1185</v>
      </c>
      <c r="C3673" s="798" t="s">
        <v>24</v>
      </c>
      <c r="D3673" s="800">
        <v>9.51</v>
      </c>
    </row>
    <row r="3674" spans="1:4" ht="40.5">
      <c r="A3674" s="798">
        <v>89375</v>
      </c>
      <c r="B3674" s="799" t="s">
        <v>215</v>
      </c>
      <c r="C3674" s="798" t="s">
        <v>24</v>
      </c>
      <c r="D3674" s="800">
        <v>12.01</v>
      </c>
    </row>
    <row r="3675" spans="1:4" ht="40.5">
      <c r="A3675" s="798">
        <v>89376</v>
      </c>
      <c r="B3675" s="799" t="s">
        <v>1186</v>
      </c>
      <c r="C3675" s="798" t="s">
        <v>24</v>
      </c>
      <c r="D3675" s="800">
        <v>4.7699999999999996</v>
      </c>
    </row>
    <row r="3676" spans="1:4" ht="40.5">
      <c r="A3676" s="798">
        <v>89377</v>
      </c>
      <c r="B3676" s="799" t="s">
        <v>1187</v>
      </c>
      <c r="C3676" s="798" t="s">
        <v>24</v>
      </c>
      <c r="D3676" s="800">
        <v>8.4499999999999993</v>
      </c>
    </row>
    <row r="3677" spans="1:4" ht="40.5">
      <c r="A3677" s="798">
        <v>89378</v>
      </c>
      <c r="B3677" s="799" t="s">
        <v>216</v>
      </c>
      <c r="C3677" s="798" t="s">
        <v>24</v>
      </c>
      <c r="D3677" s="800">
        <v>5.59</v>
      </c>
    </row>
    <row r="3678" spans="1:4" ht="40.5">
      <c r="A3678" s="798">
        <v>89379</v>
      </c>
      <c r="B3678" s="799" t="s">
        <v>1188</v>
      </c>
      <c r="C3678" s="798" t="s">
        <v>24</v>
      </c>
      <c r="D3678" s="800">
        <v>15.75</v>
      </c>
    </row>
    <row r="3679" spans="1:4" ht="40.5">
      <c r="A3679" s="798">
        <v>89380</v>
      </c>
      <c r="B3679" s="799" t="s">
        <v>217</v>
      </c>
      <c r="C3679" s="798" t="s">
        <v>24</v>
      </c>
      <c r="D3679" s="800">
        <v>8.7100000000000009</v>
      </c>
    </row>
    <row r="3680" spans="1:4" ht="40.5">
      <c r="A3680" s="798">
        <v>89381</v>
      </c>
      <c r="B3680" s="799" t="s">
        <v>1189</v>
      </c>
      <c r="C3680" s="798" t="s">
        <v>24</v>
      </c>
      <c r="D3680" s="800">
        <v>12.02</v>
      </c>
    </row>
    <row r="3681" spans="1:4" ht="40.5">
      <c r="A3681" s="798">
        <v>89382</v>
      </c>
      <c r="B3681" s="799" t="s">
        <v>218</v>
      </c>
      <c r="C3681" s="798" t="s">
        <v>24</v>
      </c>
      <c r="D3681" s="800">
        <v>14.34</v>
      </c>
    </row>
    <row r="3682" spans="1:4" ht="40.5">
      <c r="A3682" s="798">
        <v>89383</v>
      </c>
      <c r="B3682" s="799" t="s">
        <v>1190</v>
      </c>
      <c r="C3682" s="798" t="s">
        <v>24</v>
      </c>
      <c r="D3682" s="800">
        <v>5.7</v>
      </c>
    </row>
    <row r="3683" spans="1:4" ht="40.5">
      <c r="A3683" s="798">
        <v>89384</v>
      </c>
      <c r="B3683" s="799" t="s">
        <v>1191</v>
      </c>
      <c r="C3683" s="798" t="s">
        <v>24</v>
      </c>
      <c r="D3683" s="800">
        <v>12.18</v>
      </c>
    </row>
    <row r="3684" spans="1:4" ht="40.5">
      <c r="A3684" s="798">
        <v>89385</v>
      </c>
      <c r="B3684" s="799" t="s">
        <v>1192</v>
      </c>
      <c r="C3684" s="798" t="s">
        <v>24</v>
      </c>
      <c r="D3684" s="800">
        <v>6.5</v>
      </c>
    </row>
    <row r="3685" spans="1:4" ht="40.5">
      <c r="A3685" s="798">
        <v>89386</v>
      </c>
      <c r="B3685" s="799" t="s">
        <v>219</v>
      </c>
      <c r="C3685" s="798" t="s">
        <v>24</v>
      </c>
      <c r="D3685" s="800">
        <v>7.9</v>
      </c>
    </row>
    <row r="3686" spans="1:4" ht="40.5">
      <c r="A3686" s="798">
        <v>89387</v>
      </c>
      <c r="B3686" s="799" t="s">
        <v>1193</v>
      </c>
      <c r="C3686" s="798" t="s">
        <v>24</v>
      </c>
      <c r="D3686" s="800">
        <v>32.14</v>
      </c>
    </row>
    <row r="3687" spans="1:4" ht="40.5">
      <c r="A3687" s="798">
        <v>89388</v>
      </c>
      <c r="B3687" s="799" t="s">
        <v>220</v>
      </c>
      <c r="C3687" s="798" t="s">
        <v>24</v>
      </c>
      <c r="D3687" s="800">
        <v>10.64</v>
      </c>
    </row>
    <row r="3688" spans="1:4" ht="40.5">
      <c r="A3688" s="798">
        <v>89389</v>
      </c>
      <c r="B3688" s="799" t="s">
        <v>1194</v>
      </c>
      <c r="C3688" s="798" t="s">
        <v>24</v>
      </c>
      <c r="D3688" s="800">
        <v>11.58</v>
      </c>
    </row>
    <row r="3689" spans="1:4" ht="40.5">
      <c r="A3689" s="798">
        <v>89390</v>
      </c>
      <c r="B3689" s="799" t="s">
        <v>221</v>
      </c>
      <c r="C3689" s="798" t="s">
        <v>24</v>
      </c>
      <c r="D3689" s="800">
        <v>21.57</v>
      </c>
    </row>
    <row r="3690" spans="1:4" ht="40.5">
      <c r="A3690" s="798">
        <v>89391</v>
      </c>
      <c r="B3690" s="799" t="s">
        <v>1195</v>
      </c>
      <c r="C3690" s="798" t="s">
        <v>24</v>
      </c>
      <c r="D3690" s="800">
        <v>7.79</v>
      </c>
    </row>
    <row r="3691" spans="1:4" ht="40.5">
      <c r="A3691" s="798">
        <v>89392</v>
      </c>
      <c r="B3691" s="799" t="s">
        <v>1196</v>
      </c>
      <c r="C3691" s="798" t="s">
        <v>24</v>
      </c>
      <c r="D3691" s="800">
        <v>25.74</v>
      </c>
    </row>
    <row r="3692" spans="1:4" ht="27">
      <c r="A3692" s="798">
        <v>89393</v>
      </c>
      <c r="B3692" s="799" t="s">
        <v>222</v>
      </c>
      <c r="C3692" s="798" t="s">
        <v>24</v>
      </c>
      <c r="D3692" s="800">
        <v>8.51</v>
      </c>
    </row>
    <row r="3693" spans="1:4" ht="40.5">
      <c r="A3693" s="798">
        <v>89394</v>
      </c>
      <c r="B3693" s="799" t="s">
        <v>1197</v>
      </c>
      <c r="C3693" s="798" t="s">
        <v>24</v>
      </c>
      <c r="D3693" s="800">
        <v>18.02</v>
      </c>
    </row>
    <row r="3694" spans="1:4" ht="27">
      <c r="A3694" s="798">
        <v>89395</v>
      </c>
      <c r="B3694" s="799" t="s">
        <v>223</v>
      </c>
      <c r="C3694" s="798" t="s">
        <v>24</v>
      </c>
      <c r="D3694" s="800">
        <v>10.220000000000001</v>
      </c>
    </row>
    <row r="3695" spans="1:4" ht="40.5">
      <c r="A3695" s="798">
        <v>89396</v>
      </c>
      <c r="B3695" s="799" t="s">
        <v>1198</v>
      </c>
      <c r="C3695" s="798" t="s">
        <v>24</v>
      </c>
      <c r="D3695" s="800">
        <v>18.36</v>
      </c>
    </row>
    <row r="3696" spans="1:4" ht="40.5">
      <c r="A3696" s="798">
        <v>89397</v>
      </c>
      <c r="B3696" s="799" t="s">
        <v>1199</v>
      </c>
      <c r="C3696" s="798" t="s">
        <v>24</v>
      </c>
      <c r="D3696" s="800">
        <v>12.39</v>
      </c>
    </row>
    <row r="3697" spans="1:4" ht="27">
      <c r="A3697" s="798">
        <v>89398</v>
      </c>
      <c r="B3697" s="799" t="s">
        <v>224</v>
      </c>
      <c r="C3697" s="798" t="s">
        <v>24</v>
      </c>
      <c r="D3697" s="800">
        <v>15.33</v>
      </c>
    </row>
    <row r="3698" spans="1:4" ht="40.5">
      <c r="A3698" s="798">
        <v>89399</v>
      </c>
      <c r="B3698" s="799" t="s">
        <v>1200</v>
      </c>
      <c r="C3698" s="798" t="s">
        <v>24</v>
      </c>
      <c r="D3698" s="800">
        <v>29.14</v>
      </c>
    </row>
    <row r="3699" spans="1:4" ht="40.5">
      <c r="A3699" s="798">
        <v>89400</v>
      </c>
      <c r="B3699" s="799" t="s">
        <v>1201</v>
      </c>
      <c r="C3699" s="798" t="s">
        <v>24</v>
      </c>
      <c r="D3699" s="800">
        <v>17.48</v>
      </c>
    </row>
    <row r="3700" spans="1:4" ht="40.5">
      <c r="A3700" s="798">
        <v>89404</v>
      </c>
      <c r="B3700" s="799" t="s">
        <v>1205</v>
      </c>
      <c r="C3700" s="798" t="s">
        <v>24</v>
      </c>
      <c r="D3700" s="800">
        <v>4.2300000000000004</v>
      </c>
    </row>
    <row r="3701" spans="1:4" ht="40.5">
      <c r="A3701" s="798">
        <v>89405</v>
      </c>
      <c r="B3701" s="799" t="s">
        <v>1206</v>
      </c>
      <c r="C3701" s="798" t="s">
        <v>24</v>
      </c>
      <c r="D3701" s="800">
        <v>4.6100000000000003</v>
      </c>
    </row>
    <row r="3702" spans="1:4" ht="40.5">
      <c r="A3702" s="798">
        <v>89406</v>
      </c>
      <c r="B3702" s="799" t="s">
        <v>1207</v>
      </c>
      <c r="C3702" s="798" t="s">
        <v>24</v>
      </c>
      <c r="D3702" s="800">
        <v>6.22</v>
      </c>
    </row>
    <row r="3703" spans="1:4" ht="40.5">
      <c r="A3703" s="798">
        <v>89407</v>
      </c>
      <c r="B3703" s="799" t="s">
        <v>1208</v>
      </c>
      <c r="C3703" s="798" t="s">
        <v>24</v>
      </c>
      <c r="D3703" s="800">
        <v>5.59</v>
      </c>
    </row>
    <row r="3704" spans="1:4" ht="40.5">
      <c r="A3704" s="798">
        <v>89408</v>
      </c>
      <c r="B3704" s="799" t="s">
        <v>1209</v>
      </c>
      <c r="C3704" s="798" t="s">
        <v>24</v>
      </c>
      <c r="D3704" s="800">
        <v>5.14</v>
      </c>
    </row>
    <row r="3705" spans="1:4" ht="40.5">
      <c r="A3705" s="798">
        <v>89409</v>
      </c>
      <c r="B3705" s="799" t="s">
        <v>1210</v>
      </c>
      <c r="C3705" s="798" t="s">
        <v>24</v>
      </c>
      <c r="D3705" s="800">
        <v>5.96</v>
      </c>
    </row>
    <row r="3706" spans="1:4" ht="40.5">
      <c r="A3706" s="798">
        <v>89410</v>
      </c>
      <c r="B3706" s="799" t="s">
        <v>1211</v>
      </c>
      <c r="C3706" s="798" t="s">
        <v>24</v>
      </c>
      <c r="D3706" s="800">
        <v>7.66</v>
      </c>
    </row>
    <row r="3707" spans="1:4" ht="40.5">
      <c r="A3707" s="798">
        <v>89411</v>
      </c>
      <c r="B3707" s="799" t="s">
        <v>1212</v>
      </c>
      <c r="C3707" s="798" t="s">
        <v>24</v>
      </c>
      <c r="D3707" s="800">
        <v>6.9</v>
      </c>
    </row>
    <row r="3708" spans="1:4" ht="40.5">
      <c r="A3708" s="798">
        <v>89412</v>
      </c>
      <c r="B3708" s="799" t="s">
        <v>1213</v>
      </c>
      <c r="C3708" s="798" t="s">
        <v>24</v>
      </c>
      <c r="D3708" s="800">
        <v>7.94</v>
      </c>
    </row>
    <row r="3709" spans="1:4" ht="40.5">
      <c r="A3709" s="798">
        <v>89413</v>
      </c>
      <c r="B3709" s="799" t="s">
        <v>1214</v>
      </c>
      <c r="C3709" s="798" t="s">
        <v>24</v>
      </c>
      <c r="D3709" s="800">
        <v>7.72</v>
      </c>
    </row>
    <row r="3710" spans="1:4" ht="40.5">
      <c r="A3710" s="798">
        <v>89414</v>
      </c>
      <c r="B3710" s="799" t="s">
        <v>1215</v>
      </c>
      <c r="C3710" s="798" t="s">
        <v>24</v>
      </c>
      <c r="D3710" s="800">
        <v>10.029999999999999</v>
      </c>
    </row>
    <row r="3711" spans="1:4" ht="40.5">
      <c r="A3711" s="798">
        <v>89415</v>
      </c>
      <c r="B3711" s="799" t="s">
        <v>1216</v>
      </c>
      <c r="C3711" s="798" t="s">
        <v>24</v>
      </c>
      <c r="D3711" s="800">
        <v>12.9</v>
      </c>
    </row>
    <row r="3712" spans="1:4" ht="40.5">
      <c r="A3712" s="798">
        <v>89416</v>
      </c>
      <c r="B3712" s="799" t="s">
        <v>1217</v>
      </c>
      <c r="C3712" s="798" t="s">
        <v>24</v>
      </c>
      <c r="D3712" s="800">
        <v>9.5500000000000007</v>
      </c>
    </row>
    <row r="3713" spans="1:4" ht="40.5">
      <c r="A3713" s="798">
        <v>89417</v>
      </c>
      <c r="B3713" s="799" t="s">
        <v>1218</v>
      </c>
      <c r="C3713" s="798" t="s">
        <v>24</v>
      </c>
      <c r="D3713" s="800">
        <v>3.49</v>
      </c>
    </row>
    <row r="3714" spans="1:4" ht="40.5">
      <c r="A3714" s="798">
        <v>89418</v>
      </c>
      <c r="B3714" s="799" t="s">
        <v>1219</v>
      </c>
      <c r="C3714" s="798" t="s">
        <v>24</v>
      </c>
      <c r="D3714" s="800">
        <v>11.11</v>
      </c>
    </row>
    <row r="3715" spans="1:4" ht="40.5">
      <c r="A3715" s="798">
        <v>89419</v>
      </c>
      <c r="B3715" s="799" t="s">
        <v>225</v>
      </c>
      <c r="C3715" s="798" t="s">
        <v>24</v>
      </c>
      <c r="D3715" s="800">
        <v>4.18</v>
      </c>
    </row>
    <row r="3716" spans="1:4" ht="40.5">
      <c r="A3716" s="798">
        <v>89420</v>
      </c>
      <c r="B3716" s="799" t="s">
        <v>1220</v>
      </c>
      <c r="C3716" s="798" t="s">
        <v>24</v>
      </c>
      <c r="D3716" s="800">
        <v>8.31</v>
      </c>
    </row>
    <row r="3717" spans="1:4" ht="40.5">
      <c r="A3717" s="798">
        <v>89421</v>
      </c>
      <c r="B3717" s="799" t="s">
        <v>1221</v>
      </c>
      <c r="C3717" s="798" t="s">
        <v>24</v>
      </c>
      <c r="D3717" s="800">
        <v>10.81</v>
      </c>
    </row>
    <row r="3718" spans="1:4" ht="54">
      <c r="A3718" s="798">
        <v>89422</v>
      </c>
      <c r="B3718" s="799" t="s">
        <v>1222</v>
      </c>
      <c r="C3718" s="798" t="s">
        <v>24</v>
      </c>
      <c r="D3718" s="800">
        <v>3.57</v>
      </c>
    </row>
    <row r="3719" spans="1:4" ht="40.5">
      <c r="A3719" s="798">
        <v>89423</v>
      </c>
      <c r="B3719" s="799" t="s">
        <v>1223</v>
      </c>
      <c r="C3719" s="798" t="s">
        <v>24</v>
      </c>
      <c r="D3719" s="800">
        <v>7.77</v>
      </c>
    </row>
    <row r="3720" spans="1:4" ht="40.5">
      <c r="A3720" s="798">
        <v>89424</v>
      </c>
      <c r="B3720" s="799" t="s">
        <v>1224</v>
      </c>
      <c r="C3720" s="798" t="s">
        <v>24</v>
      </c>
      <c r="D3720" s="800">
        <v>4.17</v>
      </c>
    </row>
    <row r="3721" spans="1:4" ht="40.5">
      <c r="A3721" s="798">
        <v>89425</v>
      </c>
      <c r="B3721" s="799" t="s">
        <v>1225</v>
      </c>
      <c r="C3721" s="798" t="s">
        <v>24</v>
      </c>
      <c r="D3721" s="800">
        <v>14.33</v>
      </c>
    </row>
    <row r="3722" spans="1:4" ht="40.5">
      <c r="A3722" s="798">
        <v>89426</v>
      </c>
      <c r="B3722" s="799" t="s">
        <v>226</v>
      </c>
      <c r="C3722" s="798" t="s">
        <v>24</v>
      </c>
      <c r="D3722" s="800">
        <v>7.29</v>
      </c>
    </row>
    <row r="3723" spans="1:4" ht="40.5">
      <c r="A3723" s="798">
        <v>89427</v>
      </c>
      <c r="B3723" s="799" t="s">
        <v>1226</v>
      </c>
      <c r="C3723" s="798" t="s">
        <v>24</v>
      </c>
      <c r="D3723" s="800">
        <v>10.6</v>
      </c>
    </row>
    <row r="3724" spans="1:4" ht="40.5">
      <c r="A3724" s="798">
        <v>89428</v>
      </c>
      <c r="B3724" s="799" t="s">
        <v>1227</v>
      </c>
      <c r="C3724" s="798" t="s">
        <v>24</v>
      </c>
      <c r="D3724" s="800">
        <v>12.92</v>
      </c>
    </row>
    <row r="3725" spans="1:4" ht="54">
      <c r="A3725" s="798">
        <v>89429</v>
      </c>
      <c r="B3725" s="799" t="s">
        <v>1228</v>
      </c>
      <c r="C3725" s="798" t="s">
        <v>24</v>
      </c>
      <c r="D3725" s="800">
        <v>4.28</v>
      </c>
    </row>
    <row r="3726" spans="1:4" ht="40.5">
      <c r="A3726" s="798">
        <v>89430</v>
      </c>
      <c r="B3726" s="799" t="s">
        <v>1229</v>
      </c>
      <c r="C3726" s="798" t="s">
        <v>24</v>
      </c>
      <c r="D3726" s="800">
        <v>10.76</v>
      </c>
    </row>
    <row r="3727" spans="1:4" ht="40.5">
      <c r="A3727" s="798">
        <v>89431</v>
      </c>
      <c r="B3727" s="799" t="s">
        <v>1230</v>
      </c>
      <c r="C3727" s="798" t="s">
        <v>24</v>
      </c>
      <c r="D3727" s="800">
        <v>6.2</v>
      </c>
    </row>
    <row r="3728" spans="1:4" ht="40.5">
      <c r="A3728" s="798">
        <v>89432</v>
      </c>
      <c r="B3728" s="799" t="s">
        <v>1231</v>
      </c>
      <c r="C3728" s="798" t="s">
        <v>24</v>
      </c>
      <c r="D3728" s="800">
        <v>30.44</v>
      </c>
    </row>
    <row r="3729" spans="1:4" ht="40.5">
      <c r="A3729" s="798">
        <v>89433</v>
      </c>
      <c r="B3729" s="799" t="s">
        <v>227</v>
      </c>
      <c r="C3729" s="798" t="s">
        <v>24</v>
      </c>
      <c r="D3729" s="800">
        <v>8.94</v>
      </c>
    </row>
    <row r="3730" spans="1:4" ht="40.5">
      <c r="A3730" s="798">
        <v>89434</v>
      </c>
      <c r="B3730" s="799" t="s">
        <v>1232</v>
      </c>
      <c r="C3730" s="798" t="s">
        <v>24</v>
      </c>
      <c r="D3730" s="800">
        <v>9.8800000000000008</v>
      </c>
    </row>
    <row r="3731" spans="1:4" ht="40.5">
      <c r="A3731" s="798">
        <v>89435</v>
      </c>
      <c r="B3731" s="799" t="s">
        <v>1233</v>
      </c>
      <c r="C3731" s="798" t="s">
        <v>24</v>
      </c>
      <c r="D3731" s="800">
        <v>19.87</v>
      </c>
    </row>
    <row r="3732" spans="1:4" ht="54">
      <c r="A3732" s="798">
        <v>89436</v>
      </c>
      <c r="B3732" s="799" t="s">
        <v>1234</v>
      </c>
      <c r="C3732" s="798" t="s">
        <v>24</v>
      </c>
      <c r="D3732" s="800">
        <v>6.09</v>
      </c>
    </row>
    <row r="3733" spans="1:4" ht="40.5">
      <c r="A3733" s="798">
        <v>89437</v>
      </c>
      <c r="B3733" s="799" t="s">
        <v>1235</v>
      </c>
      <c r="C3733" s="798" t="s">
        <v>24</v>
      </c>
      <c r="D3733" s="800">
        <v>24.04</v>
      </c>
    </row>
    <row r="3734" spans="1:4" ht="40.5">
      <c r="A3734" s="798">
        <v>89438</v>
      </c>
      <c r="B3734" s="799" t="s">
        <v>228</v>
      </c>
      <c r="C3734" s="798" t="s">
        <v>24</v>
      </c>
      <c r="D3734" s="800">
        <v>6.09</v>
      </c>
    </row>
    <row r="3735" spans="1:4" ht="54">
      <c r="A3735" s="798">
        <v>89439</v>
      </c>
      <c r="B3735" s="799" t="s">
        <v>1236</v>
      </c>
      <c r="C3735" s="798" t="s">
        <v>24</v>
      </c>
      <c r="D3735" s="800">
        <v>8.27</v>
      </c>
    </row>
    <row r="3736" spans="1:4" ht="40.5">
      <c r="A3736" s="798">
        <v>89440</v>
      </c>
      <c r="B3736" s="799" t="s">
        <v>229</v>
      </c>
      <c r="C3736" s="798" t="s">
        <v>24</v>
      </c>
      <c r="D3736" s="800">
        <v>7.41</v>
      </c>
    </row>
    <row r="3737" spans="1:4" ht="54">
      <c r="A3737" s="798">
        <v>89441</v>
      </c>
      <c r="B3737" s="799" t="s">
        <v>1237</v>
      </c>
      <c r="C3737" s="798" t="s">
        <v>24</v>
      </c>
      <c r="D3737" s="800">
        <v>15.55</v>
      </c>
    </row>
    <row r="3738" spans="1:4" ht="40.5">
      <c r="A3738" s="798">
        <v>89442</v>
      </c>
      <c r="B3738" s="799" t="s">
        <v>1238</v>
      </c>
      <c r="C3738" s="798" t="s">
        <v>24</v>
      </c>
      <c r="D3738" s="800">
        <v>9.58</v>
      </c>
    </row>
    <row r="3739" spans="1:4" ht="40.5">
      <c r="A3739" s="798">
        <v>89443</v>
      </c>
      <c r="B3739" s="799" t="s">
        <v>230</v>
      </c>
      <c r="C3739" s="798" t="s">
        <v>24</v>
      </c>
      <c r="D3739" s="800">
        <v>12</v>
      </c>
    </row>
    <row r="3740" spans="1:4" ht="54">
      <c r="A3740" s="798">
        <v>89444</v>
      </c>
      <c r="B3740" s="799" t="s">
        <v>1239</v>
      </c>
      <c r="C3740" s="798" t="s">
        <v>24</v>
      </c>
      <c r="D3740" s="800">
        <v>25.81</v>
      </c>
    </row>
    <row r="3741" spans="1:4" ht="40.5">
      <c r="A3741" s="798">
        <v>89445</v>
      </c>
      <c r="B3741" s="799" t="s">
        <v>1240</v>
      </c>
      <c r="C3741" s="798" t="s">
        <v>24</v>
      </c>
      <c r="D3741" s="800">
        <v>14.15</v>
      </c>
    </row>
    <row r="3742" spans="1:4" ht="40.5">
      <c r="A3742" s="798">
        <v>89481</v>
      </c>
      <c r="B3742" s="799" t="s">
        <v>231</v>
      </c>
      <c r="C3742" s="798" t="s">
        <v>24</v>
      </c>
      <c r="D3742" s="800">
        <v>4.08</v>
      </c>
    </row>
    <row r="3743" spans="1:4" ht="40.5">
      <c r="A3743" s="798">
        <v>89485</v>
      </c>
      <c r="B3743" s="799" t="s">
        <v>232</v>
      </c>
      <c r="C3743" s="798" t="s">
        <v>24</v>
      </c>
      <c r="D3743" s="800">
        <v>4.9000000000000004</v>
      </c>
    </row>
    <row r="3744" spans="1:4" ht="40.5">
      <c r="A3744" s="798">
        <v>89489</v>
      </c>
      <c r="B3744" s="799" t="s">
        <v>233</v>
      </c>
      <c r="C3744" s="798" t="s">
        <v>24</v>
      </c>
      <c r="D3744" s="800">
        <v>6.6</v>
      </c>
    </row>
    <row r="3745" spans="1:4" ht="40.5">
      <c r="A3745" s="798">
        <v>89490</v>
      </c>
      <c r="B3745" s="799" t="s">
        <v>234</v>
      </c>
      <c r="C3745" s="798" t="s">
        <v>24</v>
      </c>
      <c r="D3745" s="800">
        <v>5.84</v>
      </c>
    </row>
    <row r="3746" spans="1:4" ht="40.5">
      <c r="A3746" s="798">
        <v>89492</v>
      </c>
      <c r="B3746" s="799" t="s">
        <v>235</v>
      </c>
      <c r="C3746" s="798" t="s">
        <v>24</v>
      </c>
      <c r="D3746" s="800">
        <v>6.51</v>
      </c>
    </row>
    <row r="3747" spans="1:4" ht="40.5">
      <c r="A3747" s="798">
        <v>89493</v>
      </c>
      <c r="B3747" s="799" t="s">
        <v>236</v>
      </c>
      <c r="C3747" s="798" t="s">
        <v>24</v>
      </c>
      <c r="D3747" s="800">
        <v>8.82</v>
      </c>
    </row>
    <row r="3748" spans="1:4" ht="40.5">
      <c r="A3748" s="798">
        <v>89494</v>
      </c>
      <c r="B3748" s="799" t="s">
        <v>237</v>
      </c>
      <c r="C3748" s="798" t="s">
        <v>24</v>
      </c>
      <c r="D3748" s="800">
        <v>11.69</v>
      </c>
    </row>
    <row r="3749" spans="1:4" ht="40.5">
      <c r="A3749" s="798">
        <v>89496</v>
      </c>
      <c r="B3749" s="799" t="s">
        <v>238</v>
      </c>
      <c r="C3749" s="798" t="s">
        <v>24</v>
      </c>
      <c r="D3749" s="800">
        <v>8.34</v>
      </c>
    </row>
    <row r="3750" spans="1:4" ht="40.5">
      <c r="A3750" s="798">
        <v>89497</v>
      </c>
      <c r="B3750" s="799" t="s">
        <v>239</v>
      </c>
      <c r="C3750" s="798" t="s">
        <v>24</v>
      </c>
      <c r="D3750" s="800">
        <v>10.8</v>
      </c>
    </row>
    <row r="3751" spans="1:4" ht="40.5">
      <c r="A3751" s="798">
        <v>89498</v>
      </c>
      <c r="B3751" s="799" t="s">
        <v>240</v>
      </c>
      <c r="C3751" s="798" t="s">
        <v>24</v>
      </c>
      <c r="D3751" s="800">
        <v>11.86</v>
      </c>
    </row>
    <row r="3752" spans="1:4" ht="40.5">
      <c r="A3752" s="798">
        <v>89499</v>
      </c>
      <c r="B3752" s="799" t="s">
        <v>241</v>
      </c>
      <c r="C3752" s="798" t="s">
        <v>24</v>
      </c>
      <c r="D3752" s="800">
        <v>18.579999999999998</v>
      </c>
    </row>
    <row r="3753" spans="1:4" ht="40.5">
      <c r="A3753" s="798">
        <v>89500</v>
      </c>
      <c r="B3753" s="799" t="s">
        <v>242</v>
      </c>
      <c r="C3753" s="798" t="s">
        <v>24</v>
      </c>
      <c r="D3753" s="800">
        <v>12.06</v>
      </c>
    </row>
    <row r="3754" spans="1:4" ht="40.5">
      <c r="A3754" s="798">
        <v>89501</v>
      </c>
      <c r="B3754" s="799" t="s">
        <v>243</v>
      </c>
      <c r="C3754" s="798" t="s">
        <v>24</v>
      </c>
      <c r="D3754" s="800">
        <v>13.07</v>
      </c>
    </row>
    <row r="3755" spans="1:4" ht="40.5">
      <c r="A3755" s="798">
        <v>89502</v>
      </c>
      <c r="B3755" s="799" t="s">
        <v>244</v>
      </c>
      <c r="C3755" s="798" t="s">
        <v>24</v>
      </c>
      <c r="D3755" s="800">
        <v>14.98</v>
      </c>
    </row>
    <row r="3756" spans="1:4" ht="40.5">
      <c r="A3756" s="798">
        <v>89503</v>
      </c>
      <c r="B3756" s="799" t="s">
        <v>245</v>
      </c>
      <c r="C3756" s="798" t="s">
        <v>24</v>
      </c>
      <c r="D3756" s="800">
        <v>23.32</v>
      </c>
    </row>
    <row r="3757" spans="1:4" ht="40.5">
      <c r="A3757" s="798">
        <v>89504</v>
      </c>
      <c r="B3757" s="799" t="s">
        <v>246</v>
      </c>
      <c r="C3757" s="798" t="s">
        <v>24</v>
      </c>
      <c r="D3757" s="800">
        <v>20.3</v>
      </c>
    </row>
    <row r="3758" spans="1:4" ht="40.5">
      <c r="A3758" s="798">
        <v>89505</v>
      </c>
      <c r="B3758" s="799" t="s">
        <v>247</v>
      </c>
      <c r="C3758" s="798" t="s">
        <v>24</v>
      </c>
      <c r="D3758" s="800">
        <v>35.11</v>
      </c>
    </row>
    <row r="3759" spans="1:4" ht="40.5">
      <c r="A3759" s="798">
        <v>89506</v>
      </c>
      <c r="B3759" s="799" t="s">
        <v>248</v>
      </c>
      <c r="C3759" s="798" t="s">
        <v>24</v>
      </c>
      <c r="D3759" s="800">
        <v>39.67</v>
      </c>
    </row>
    <row r="3760" spans="1:4" ht="40.5">
      <c r="A3760" s="798">
        <v>89507</v>
      </c>
      <c r="B3760" s="799" t="s">
        <v>249</v>
      </c>
      <c r="C3760" s="798" t="s">
        <v>24</v>
      </c>
      <c r="D3760" s="800">
        <v>49.15</v>
      </c>
    </row>
    <row r="3761" spans="1:4" ht="40.5">
      <c r="A3761" s="798">
        <v>89510</v>
      </c>
      <c r="B3761" s="799" t="s">
        <v>250</v>
      </c>
      <c r="C3761" s="798" t="s">
        <v>24</v>
      </c>
      <c r="D3761" s="800">
        <v>31.75</v>
      </c>
    </row>
    <row r="3762" spans="1:4" ht="40.5">
      <c r="A3762" s="798">
        <v>89513</v>
      </c>
      <c r="B3762" s="799" t="s">
        <v>251</v>
      </c>
      <c r="C3762" s="798" t="s">
        <v>24</v>
      </c>
      <c r="D3762" s="800">
        <v>111.51</v>
      </c>
    </row>
    <row r="3763" spans="1:4" ht="40.5">
      <c r="A3763" s="798">
        <v>89514</v>
      </c>
      <c r="B3763" s="799" t="s">
        <v>252</v>
      </c>
      <c r="C3763" s="798" t="s">
        <v>24</v>
      </c>
      <c r="D3763" s="800">
        <v>11.14</v>
      </c>
    </row>
    <row r="3764" spans="1:4" ht="40.5">
      <c r="A3764" s="798">
        <v>89515</v>
      </c>
      <c r="B3764" s="799" t="s">
        <v>253</v>
      </c>
      <c r="C3764" s="798" t="s">
        <v>24</v>
      </c>
      <c r="D3764" s="800">
        <v>83.77</v>
      </c>
    </row>
    <row r="3765" spans="1:4" ht="40.5">
      <c r="A3765" s="798">
        <v>89516</v>
      </c>
      <c r="B3765" s="799" t="s">
        <v>254</v>
      </c>
      <c r="C3765" s="798" t="s">
        <v>24</v>
      </c>
      <c r="D3765" s="800">
        <v>9.51</v>
      </c>
    </row>
    <row r="3766" spans="1:4" ht="40.5">
      <c r="A3766" s="798">
        <v>89517</v>
      </c>
      <c r="B3766" s="799" t="s">
        <v>255</v>
      </c>
      <c r="C3766" s="798" t="s">
        <v>24</v>
      </c>
      <c r="D3766" s="800">
        <v>70.290000000000006</v>
      </c>
    </row>
    <row r="3767" spans="1:4" ht="40.5">
      <c r="A3767" s="798">
        <v>89518</v>
      </c>
      <c r="B3767" s="799" t="s">
        <v>256</v>
      </c>
      <c r="C3767" s="798" t="s">
        <v>24</v>
      </c>
      <c r="D3767" s="800">
        <v>17.41</v>
      </c>
    </row>
    <row r="3768" spans="1:4" ht="40.5">
      <c r="A3768" s="798">
        <v>89519</v>
      </c>
      <c r="B3768" s="799" t="s">
        <v>257</v>
      </c>
      <c r="C3768" s="798" t="s">
        <v>24</v>
      </c>
      <c r="D3768" s="800">
        <v>47</v>
      </c>
    </row>
    <row r="3769" spans="1:4" ht="40.5">
      <c r="A3769" s="798">
        <v>89520</v>
      </c>
      <c r="B3769" s="799" t="s">
        <v>258</v>
      </c>
      <c r="C3769" s="798" t="s">
        <v>24</v>
      </c>
      <c r="D3769" s="800">
        <v>15.26</v>
      </c>
    </row>
    <row r="3770" spans="1:4" ht="40.5">
      <c r="A3770" s="798">
        <v>89521</v>
      </c>
      <c r="B3770" s="799" t="s">
        <v>259</v>
      </c>
      <c r="C3770" s="798" t="s">
        <v>24</v>
      </c>
      <c r="D3770" s="800">
        <v>131.53</v>
      </c>
    </row>
    <row r="3771" spans="1:4" ht="40.5">
      <c r="A3771" s="798">
        <v>89522</v>
      </c>
      <c r="B3771" s="799" t="s">
        <v>260</v>
      </c>
      <c r="C3771" s="798" t="s">
        <v>24</v>
      </c>
      <c r="D3771" s="800">
        <v>33.42</v>
      </c>
    </row>
    <row r="3772" spans="1:4" ht="40.5">
      <c r="A3772" s="798">
        <v>89523</v>
      </c>
      <c r="B3772" s="799" t="s">
        <v>261</v>
      </c>
      <c r="C3772" s="798" t="s">
        <v>24</v>
      </c>
      <c r="D3772" s="800">
        <v>98.87</v>
      </c>
    </row>
    <row r="3773" spans="1:4" ht="40.5">
      <c r="A3773" s="798">
        <v>89524</v>
      </c>
      <c r="B3773" s="799" t="s">
        <v>262</v>
      </c>
      <c r="C3773" s="798" t="s">
        <v>24</v>
      </c>
      <c r="D3773" s="800">
        <v>29.31</v>
      </c>
    </row>
    <row r="3774" spans="1:4" ht="40.5">
      <c r="A3774" s="798">
        <v>89525</v>
      </c>
      <c r="B3774" s="799" t="s">
        <v>263</v>
      </c>
      <c r="C3774" s="798" t="s">
        <v>24</v>
      </c>
      <c r="D3774" s="800">
        <v>97.21</v>
      </c>
    </row>
    <row r="3775" spans="1:4" ht="40.5">
      <c r="A3775" s="798">
        <v>89526</v>
      </c>
      <c r="B3775" s="799" t="s">
        <v>1287</v>
      </c>
      <c r="C3775" s="798" t="s">
        <v>24</v>
      </c>
      <c r="D3775" s="800">
        <v>44.3</v>
      </c>
    </row>
    <row r="3776" spans="1:4" ht="40.5">
      <c r="A3776" s="798">
        <v>89527</v>
      </c>
      <c r="B3776" s="799" t="s">
        <v>264</v>
      </c>
      <c r="C3776" s="798" t="s">
        <v>24</v>
      </c>
      <c r="D3776" s="800">
        <v>74.3</v>
      </c>
    </row>
    <row r="3777" spans="1:4" ht="27">
      <c r="A3777" s="798">
        <v>89528</v>
      </c>
      <c r="B3777" s="799" t="s">
        <v>1288</v>
      </c>
      <c r="C3777" s="798" t="s">
        <v>24</v>
      </c>
      <c r="D3777" s="800">
        <v>3.44</v>
      </c>
    </row>
    <row r="3778" spans="1:4" ht="40.5">
      <c r="A3778" s="798">
        <v>89529</v>
      </c>
      <c r="B3778" s="799" t="s">
        <v>1289</v>
      </c>
      <c r="C3778" s="798" t="s">
        <v>24</v>
      </c>
      <c r="D3778" s="800">
        <v>49.76</v>
      </c>
    </row>
    <row r="3779" spans="1:4" ht="40.5">
      <c r="A3779" s="798">
        <v>89530</v>
      </c>
      <c r="B3779" s="799" t="s">
        <v>265</v>
      </c>
      <c r="C3779" s="798" t="s">
        <v>24</v>
      </c>
      <c r="D3779" s="800">
        <v>13.6</v>
      </c>
    </row>
    <row r="3780" spans="1:4" ht="40.5">
      <c r="A3780" s="798">
        <v>89531</v>
      </c>
      <c r="B3780" s="799" t="s">
        <v>1290</v>
      </c>
      <c r="C3780" s="798" t="s">
        <v>24</v>
      </c>
      <c r="D3780" s="800">
        <v>39.75</v>
      </c>
    </row>
    <row r="3781" spans="1:4" ht="40.5">
      <c r="A3781" s="798">
        <v>89532</v>
      </c>
      <c r="B3781" s="799" t="s">
        <v>1291</v>
      </c>
      <c r="C3781" s="798" t="s">
        <v>24</v>
      </c>
      <c r="D3781" s="800">
        <v>6.56</v>
      </c>
    </row>
    <row r="3782" spans="1:4" ht="40.5">
      <c r="A3782" s="798">
        <v>89533</v>
      </c>
      <c r="B3782" s="799" t="s">
        <v>266</v>
      </c>
      <c r="C3782" s="798" t="s">
        <v>24</v>
      </c>
      <c r="D3782" s="800">
        <v>39.75</v>
      </c>
    </row>
    <row r="3783" spans="1:4" ht="40.5">
      <c r="A3783" s="798">
        <v>89534</v>
      </c>
      <c r="B3783" s="799" t="s">
        <v>1292</v>
      </c>
      <c r="C3783" s="798" t="s">
        <v>24</v>
      </c>
      <c r="D3783" s="800">
        <v>4.3499999999999996</v>
      </c>
    </row>
    <row r="3784" spans="1:4" ht="40.5">
      <c r="A3784" s="798">
        <v>89535</v>
      </c>
      <c r="B3784" s="799" t="s">
        <v>1293</v>
      </c>
      <c r="C3784" s="798" t="s">
        <v>24</v>
      </c>
      <c r="D3784" s="800">
        <v>65.45</v>
      </c>
    </row>
    <row r="3785" spans="1:4" ht="27">
      <c r="A3785" s="798">
        <v>89536</v>
      </c>
      <c r="B3785" s="799" t="s">
        <v>1294</v>
      </c>
      <c r="C3785" s="798" t="s">
        <v>24</v>
      </c>
      <c r="D3785" s="800">
        <v>12.19</v>
      </c>
    </row>
    <row r="3786" spans="1:4" ht="40.5">
      <c r="A3786" s="798">
        <v>89538</v>
      </c>
      <c r="B3786" s="799" t="s">
        <v>1295</v>
      </c>
      <c r="C3786" s="798" t="s">
        <v>24</v>
      </c>
      <c r="D3786" s="800">
        <v>3.55</v>
      </c>
    </row>
    <row r="3787" spans="1:4" ht="40.5">
      <c r="A3787" s="798">
        <v>89539</v>
      </c>
      <c r="B3787" s="799" t="s">
        <v>6647</v>
      </c>
      <c r="C3787" s="798" t="s">
        <v>24</v>
      </c>
      <c r="D3787" s="800">
        <v>42.54</v>
      </c>
    </row>
    <row r="3788" spans="1:4" ht="40.5">
      <c r="A3788" s="798">
        <v>89540</v>
      </c>
      <c r="B3788" s="799" t="s">
        <v>267</v>
      </c>
      <c r="C3788" s="798" t="s">
        <v>24</v>
      </c>
      <c r="D3788" s="800">
        <v>10.029999999999999</v>
      </c>
    </row>
    <row r="3789" spans="1:4" ht="27">
      <c r="A3789" s="798">
        <v>89541</v>
      </c>
      <c r="B3789" s="799" t="s">
        <v>1296</v>
      </c>
      <c r="C3789" s="798" t="s">
        <v>24</v>
      </c>
      <c r="D3789" s="800">
        <v>5.41</v>
      </c>
    </row>
    <row r="3790" spans="1:4" ht="40.5">
      <c r="A3790" s="798">
        <v>89542</v>
      </c>
      <c r="B3790" s="799" t="s">
        <v>268</v>
      </c>
      <c r="C3790" s="798" t="s">
        <v>24</v>
      </c>
      <c r="D3790" s="800">
        <v>29.65</v>
      </c>
    </row>
    <row r="3791" spans="1:4" ht="40.5">
      <c r="A3791" s="798">
        <v>89544</v>
      </c>
      <c r="B3791" s="799" t="s">
        <v>1297</v>
      </c>
      <c r="C3791" s="798" t="s">
        <v>24</v>
      </c>
      <c r="D3791" s="800">
        <v>10</v>
      </c>
    </row>
    <row r="3792" spans="1:4" ht="40.5">
      <c r="A3792" s="798">
        <v>89545</v>
      </c>
      <c r="B3792" s="799" t="s">
        <v>1298</v>
      </c>
      <c r="C3792" s="798" t="s">
        <v>24</v>
      </c>
      <c r="D3792" s="800">
        <v>16.25</v>
      </c>
    </row>
    <row r="3793" spans="1:4" ht="40.5">
      <c r="A3793" s="798">
        <v>89546</v>
      </c>
      <c r="B3793" s="799" t="s">
        <v>1299</v>
      </c>
      <c r="C3793" s="798" t="s">
        <v>24</v>
      </c>
      <c r="D3793" s="800">
        <v>14.09</v>
      </c>
    </row>
    <row r="3794" spans="1:4" ht="40.5">
      <c r="A3794" s="798">
        <v>89547</v>
      </c>
      <c r="B3794" s="799" t="s">
        <v>1300</v>
      </c>
      <c r="C3794" s="798" t="s">
        <v>24</v>
      </c>
      <c r="D3794" s="800">
        <v>22.57</v>
      </c>
    </row>
    <row r="3795" spans="1:4" ht="40.5">
      <c r="A3795" s="798">
        <v>89548</v>
      </c>
      <c r="B3795" s="799" t="s">
        <v>269</v>
      </c>
      <c r="C3795" s="798" t="s">
        <v>24</v>
      </c>
      <c r="D3795" s="800">
        <v>24.62</v>
      </c>
    </row>
    <row r="3796" spans="1:4" ht="40.5">
      <c r="A3796" s="798">
        <v>89549</v>
      </c>
      <c r="B3796" s="799" t="s">
        <v>1301</v>
      </c>
      <c r="C3796" s="798" t="s">
        <v>24</v>
      </c>
      <c r="D3796" s="800">
        <v>17.09</v>
      </c>
    </row>
    <row r="3797" spans="1:4" ht="40.5">
      <c r="A3797" s="798">
        <v>89550</v>
      </c>
      <c r="B3797" s="799" t="s">
        <v>270</v>
      </c>
      <c r="C3797" s="798" t="s">
        <v>24</v>
      </c>
      <c r="D3797" s="800">
        <v>45.04</v>
      </c>
    </row>
    <row r="3798" spans="1:4" ht="40.5">
      <c r="A3798" s="798">
        <v>89551</v>
      </c>
      <c r="B3798" s="799" t="s">
        <v>1302</v>
      </c>
      <c r="C3798" s="798" t="s">
        <v>24</v>
      </c>
      <c r="D3798" s="800">
        <v>9.09</v>
      </c>
    </row>
    <row r="3799" spans="1:4" ht="27">
      <c r="A3799" s="798">
        <v>89552</v>
      </c>
      <c r="B3799" s="799" t="s">
        <v>1303</v>
      </c>
      <c r="C3799" s="798" t="s">
        <v>24</v>
      </c>
      <c r="D3799" s="800">
        <v>19.079999999999998</v>
      </c>
    </row>
    <row r="3800" spans="1:4" ht="40.5">
      <c r="A3800" s="798">
        <v>89553</v>
      </c>
      <c r="B3800" s="799" t="s">
        <v>1304</v>
      </c>
      <c r="C3800" s="798" t="s">
        <v>24</v>
      </c>
      <c r="D3800" s="800">
        <v>5.3</v>
      </c>
    </row>
    <row r="3801" spans="1:4" ht="40.5">
      <c r="A3801" s="798">
        <v>89554</v>
      </c>
      <c r="B3801" s="799" t="s">
        <v>1305</v>
      </c>
      <c r="C3801" s="798" t="s">
        <v>24</v>
      </c>
      <c r="D3801" s="800">
        <v>27.57</v>
      </c>
    </row>
    <row r="3802" spans="1:4" ht="40.5">
      <c r="A3802" s="798">
        <v>89555</v>
      </c>
      <c r="B3802" s="799" t="s">
        <v>271</v>
      </c>
      <c r="C3802" s="798" t="s">
        <v>24</v>
      </c>
      <c r="D3802" s="800">
        <v>23.25</v>
      </c>
    </row>
    <row r="3803" spans="1:4" ht="40.5">
      <c r="A3803" s="798">
        <v>89556</v>
      </c>
      <c r="B3803" s="799" t="s">
        <v>272</v>
      </c>
      <c r="C3803" s="798" t="s">
        <v>24</v>
      </c>
      <c r="D3803" s="800">
        <v>41.58</v>
      </c>
    </row>
    <row r="3804" spans="1:4" ht="40.5">
      <c r="A3804" s="798">
        <v>89557</v>
      </c>
      <c r="B3804" s="799" t="s">
        <v>273</v>
      </c>
      <c r="C3804" s="798" t="s">
        <v>24</v>
      </c>
      <c r="D3804" s="800">
        <v>32.380000000000003</v>
      </c>
    </row>
    <row r="3805" spans="1:4" ht="27">
      <c r="A3805" s="798">
        <v>89558</v>
      </c>
      <c r="B3805" s="799" t="s">
        <v>1306</v>
      </c>
      <c r="C3805" s="798" t="s">
        <v>24</v>
      </c>
      <c r="D3805" s="800">
        <v>8.41</v>
      </c>
    </row>
    <row r="3806" spans="1:4" ht="40.5">
      <c r="A3806" s="798">
        <v>89559</v>
      </c>
      <c r="B3806" s="799" t="s">
        <v>274</v>
      </c>
      <c r="C3806" s="798" t="s">
        <v>24</v>
      </c>
      <c r="D3806" s="800">
        <v>74.95</v>
      </c>
    </row>
    <row r="3807" spans="1:4" ht="40.5">
      <c r="A3807" s="798">
        <v>89561</v>
      </c>
      <c r="B3807" s="799" t="s">
        <v>275</v>
      </c>
      <c r="C3807" s="798" t="s">
        <v>24</v>
      </c>
      <c r="D3807" s="800">
        <v>14.23</v>
      </c>
    </row>
    <row r="3808" spans="1:4" ht="40.5">
      <c r="A3808" s="798">
        <v>89562</v>
      </c>
      <c r="B3808" s="799" t="s">
        <v>1307</v>
      </c>
      <c r="C3808" s="798" t="s">
        <v>24</v>
      </c>
      <c r="D3808" s="800">
        <v>9</v>
      </c>
    </row>
    <row r="3809" spans="1:4" ht="40.5">
      <c r="A3809" s="798">
        <v>89563</v>
      </c>
      <c r="B3809" s="799" t="s">
        <v>276</v>
      </c>
      <c r="C3809" s="798" t="s">
        <v>24</v>
      </c>
      <c r="D3809" s="800">
        <v>26.74</v>
      </c>
    </row>
    <row r="3810" spans="1:4" ht="40.5">
      <c r="A3810" s="798">
        <v>89564</v>
      </c>
      <c r="B3810" s="799" t="s">
        <v>1308</v>
      </c>
      <c r="C3810" s="798" t="s">
        <v>24</v>
      </c>
      <c r="D3810" s="800">
        <v>16.920000000000002</v>
      </c>
    </row>
    <row r="3811" spans="1:4" ht="40.5">
      <c r="A3811" s="798">
        <v>89565</v>
      </c>
      <c r="B3811" s="799" t="s">
        <v>1309</v>
      </c>
      <c r="C3811" s="798" t="s">
        <v>24</v>
      </c>
      <c r="D3811" s="800">
        <v>61.8</v>
      </c>
    </row>
    <row r="3812" spans="1:4" ht="40.5">
      <c r="A3812" s="798">
        <v>89566</v>
      </c>
      <c r="B3812" s="799" t="s">
        <v>277</v>
      </c>
      <c r="C3812" s="798" t="s">
        <v>24</v>
      </c>
      <c r="D3812" s="800">
        <v>52.92</v>
      </c>
    </row>
    <row r="3813" spans="1:4" ht="40.5">
      <c r="A3813" s="798">
        <v>89567</v>
      </c>
      <c r="B3813" s="799" t="s">
        <v>1310</v>
      </c>
      <c r="C3813" s="798" t="s">
        <v>24</v>
      </c>
      <c r="D3813" s="800">
        <v>91.79</v>
      </c>
    </row>
    <row r="3814" spans="1:4" ht="27">
      <c r="A3814" s="798">
        <v>89568</v>
      </c>
      <c r="B3814" s="799" t="s">
        <v>1311</v>
      </c>
      <c r="C3814" s="798" t="s">
        <v>24</v>
      </c>
      <c r="D3814" s="800">
        <v>34.86</v>
      </c>
    </row>
    <row r="3815" spans="1:4" ht="40.5">
      <c r="A3815" s="798">
        <v>89569</v>
      </c>
      <c r="B3815" s="799" t="s">
        <v>1312</v>
      </c>
      <c r="C3815" s="798" t="s">
        <v>24</v>
      </c>
      <c r="D3815" s="800">
        <v>86.5</v>
      </c>
    </row>
    <row r="3816" spans="1:4" ht="40.5">
      <c r="A3816" s="798">
        <v>89570</v>
      </c>
      <c r="B3816" s="799" t="s">
        <v>1313</v>
      </c>
      <c r="C3816" s="798" t="s">
        <v>24</v>
      </c>
      <c r="D3816" s="800">
        <v>11.77</v>
      </c>
    </row>
    <row r="3817" spans="1:4" ht="40.5">
      <c r="A3817" s="798">
        <v>89571</v>
      </c>
      <c r="B3817" s="799" t="s">
        <v>1314</v>
      </c>
      <c r="C3817" s="798" t="s">
        <v>24</v>
      </c>
      <c r="D3817" s="800">
        <v>84.01</v>
      </c>
    </row>
    <row r="3818" spans="1:4" ht="40.5">
      <c r="A3818" s="798">
        <v>89572</v>
      </c>
      <c r="B3818" s="799" t="s">
        <v>1315</v>
      </c>
      <c r="C3818" s="798" t="s">
        <v>24</v>
      </c>
      <c r="D3818" s="800">
        <v>7.93</v>
      </c>
    </row>
    <row r="3819" spans="1:4" ht="40.5">
      <c r="A3819" s="798">
        <v>89573</v>
      </c>
      <c r="B3819" s="799" t="s">
        <v>1316</v>
      </c>
      <c r="C3819" s="798" t="s">
        <v>24</v>
      </c>
      <c r="D3819" s="800">
        <v>75.959999999999994</v>
      </c>
    </row>
    <row r="3820" spans="1:4" ht="40.5">
      <c r="A3820" s="798">
        <v>89574</v>
      </c>
      <c r="B3820" s="799" t="s">
        <v>1317</v>
      </c>
      <c r="C3820" s="798" t="s">
        <v>24</v>
      </c>
      <c r="D3820" s="800">
        <v>150.68</v>
      </c>
    </row>
    <row r="3821" spans="1:4" ht="27">
      <c r="A3821" s="798">
        <v>89575</v>
      </c>
      <c r="B3821" s="799" t="s">
        <v>1318</v>
      </c>
      <c r="C3821" s="798" t="s">
        <v>24</v>
      </c>
      <c r="D3821" s="800">
        <v>10.74</v>
      </c>
    </row>
    <row r="3822" spans="1:4" ht="40.5">
      <c r="A3822" s="798">
        <v>89577</v>
      </c>
      <c r="B3822" s="799" t="s">
        <v>278</v>
      </c>
      <c r="C3822" s="798" t="s">
        <v>24</v>
      </c>
      <c r="D3822" s="800">
        <v>35.65</v>
      </c>
    </row>
    <row r="3823" spans="1:4" ht="40.5">
      <c r="A3823" s="798">
        <v>89579</v>
      </c>
      <c r="B3823" s="799" t="s">
        <v>1321</v>
      </c>
      <c r="C3823" s="798" t="s">
        <v>24</v>
      </c>
      <c r="D3823" s="800">
        <v>11.02</v>
      </c>
    </row>
    <row r="3824" spans="1:4" ht="40.5">
      <c r="A3824" s="798">
        <v>89581</v>
      </c>
      <c r="B3824" s="799" t="s">
        <v>1323</v>
      </c>
      <c r="C3824" s="798" t="s">
        <v>24</v>
      </c>
      <c r="D3824" s="800">
        <v>32.049999999999997</v>
      </c>
    </row>
    <row r="3825" spans="1:4" ht="40.5">
      <c r="A3825" s="798">
        <v>89582</v>
      </c>
      <c r="B3825" s="799" t="s">
        <v>1324</v>
      </c>
      <c r="C3825" s="798" t="s">
        <v>24</v>
      </c>
      <c r="D3825" s="800">
        <v>27.94</v>
      </c>
    </row>
    <row r="3826" spans="1:4" ht="54">
      <c r="A3826" s="798">
        <v>89583</v>
      </c>
      <c r="B3826" s="799" t="s">
        <v>1325</v>
      </c>
      <c r="C3826" s="798" t="s">
        <v>24</v>
      </c>
      <c r="D3826" s="800">
        <v>42.93</v>
      </c>
    </row>
    <row r="3827" spans="1:4" ht="40.5">
      <c r="A3827" s="798">
        <v>89584</v>
      </c>
      <c r="B3827" s="799" t="s">
        <v>1326</v>
      </c>
      <c r="C3827" s="798" t="s">
        <v>24</v>
      </c>
      <c r="D3827" s="800">
        <v>48.39</v>
      </c>
    </row>
    <row r="3828" spans="1:4" ht="40.5">
      <c r="A3828" s="798">
        <v>89585</v>
      </c>
      <c r="B3828" s="799" t="s">
        <v>1327</v>
      </c>
      <c r="C3828" s="798" t="s">
        <v>24</v>
      </c>
      <c r="D3828" s="800">
        <v>38.380000000000003</v>
      </c>
    </row>
    <row r="3829" spans="1:4" ht="54">
      <c r="A3829" s="798">
        <v>89586</v>
      </c>
      <c r="B3829" s="799" t="s">
        <v>1328</v>
      </c>
      <c r="C3829" s="798" t="s">
        <v>24</v>
      </c>
      <c r="D3829" s="800">
        <v>38.380000000000003</v>
      </c>
    </row>
    <row r="3830" spans="1:4" ht="54">
      <c r="A3830" s="798">
        <v>89587</v>
      </c>
      <c r="B3830" s="799" t="s">
        <v>1329</v>
      </c>
      <c r="C3830" s="798" t="s">
        <v>24</v>
      </c>
      <c r="D3830" s="800">
        <v>64.08</v>
      </c>
    </row>
    <row r="3831" spans="1:4" ht="40.5">
      <c r="A3831" s="798">
        <v>89589</v>
      </c>
      <c r="B3831" s="799" t="s">
        <v>6648</v>
      </c>
      <c r="C3831" s="798" t="s">
        <v>24</v>
      </c>
      <c r="D3831" s="800">
        <v>41.17</v>
      </c>
    </row>
    <row r="3832" spans="1:4" ht="40.5">
      <c r="A3832" s="798">
        <v>89590</v>
      </c>
      <c r="B3832" s="799" t="s">
        <v>1330</v>
      </c>
      <c r="C3832" s="798" t="s">
        <v>24</v>
      </c>
      <c r="D3832" s="800">
        <v>156.16</v>
      </c>
    </row>
    <row r="3833" spans="1:4" ht="40.5">
      <c r="A3833" s="798">
        <v>89591</v>
      </c>
      <c r="B3833" s="799" t="s">
        <v>1331</v>
      </c>
      <c r="C3833" s="798" t="s">
        <v>24</v>
      </c>
      <c r="D3833" s="800">
        <v>127.42</v>
      </c>
    </row>
    <row r="3834" spans="1:4" ht="54">
      <c r="A3834" s="798">
        <v>89592</v>
      </c>
      <c r="B3834" s="799" t="s">
        <v>1332</v>
      </c>
      <c r="C3834" s="798" t="s">
        <v>24</v>
      </c>
      <c r="D3834" s="800">
        <v>210.99</v>
      </c>
    </row>
    <row r="3835" spans="1:4" ht="40.5">
      <c r="A3835" s="798">
        <v>89593</v>
      </c>
      <c r="B3835" s="799" t="s">
        <v>1333</v>
      </c>
      <c r="C3835" s="798" t="s">
        <v>24</v>
      </c>
      <c r="D3835" s="800">
        <v>32.21</v>
      </c>
    </row>
    <row r="3836" spans="1:4" ht="27">
      <c r="A3836" s="798">
        <v>89594</v>
      </c>
      <c r="B3836" s="799" t="s">
        <v>1334</v>
      </c>
      <c r="C3836" s="798" t="s">
        <v>24</v>
      </c>
      <c r="D3836" s="800">
        <v>38.99</v>
      </c>
    </row>
    <row r="3837" spans="1:4" ht="40.5">
      <c r="A3837" s="798">
        <v>89595</v>
      </c>
      <c r="B3837" s="799" t="s">
        <v>1335</v>
      </c>
      <c r="C3837" s="798" t="s">
        <v>24</v>
      </c>
      <c r="D3837" s="800">
        <v>14.53</v>
      </c>
    </row>
    <row r="3838" spans="1:4" ht="40.5">
      <c r="A3838" s="798">
        <v>89596</v>
      </c>
      <c r="B3838" s="799" t="s">
        <v>1336</v>
      </c>
      <c r="C3838" s="798" t="s">
        <v>24</v>
      </c>
      <c r="D3838" s="800">
        <v>10.55</v>
      </c>
    </row>
    <row r="3839" spans="1:4" ht="27">
      <c r="A3839" s="798">
        <v>89597</v>
      </c>
      <c r="B3839" s="799" t="s">
        <v>1337</v>
      </c>
      <c r="C3839" s="798" t="s">
        <v>24</v>
      </c>
      <c r="D3839" s="800">
        <v>20.32</v>
      </c>
    </row>
    <row r="3840" spans="1:4" ht="40.5">
      <c r="A3840" s="798">
        <v>89598</v>
      </c>
      <c r="B3840" s="799" t="s">
        <v>1338</v>
      </c>
      <c r="C3840" s="798" t="s">
        <v>24</v>
      </c>
      <c r="D3840" s="800">
        <v>54.06</v>
      </c>
    </row>
    <row r="3841" spans="1:4" ht="40.5">
      <c r="A3841" s="798">
        <v>89599</v>
      </c>
      <c r="B3841" s="799" t="s">
        <v>1339</v>
      </c>
      <c r="C3841" s="798" t="s">
        <v>24</v>
      </c>
      <c r="D3841" s="800">
        <v>21.54</v>
      </c>
    </row>
    <row r="3842" spans="1:4" ht="40.5">
      <c r="A3842" s="798">
        <v>89600</v>
      </c>
      <c r="B3842" s="799" t="s">
        <v>1340</v>
      </c>
      <c r="C3842" s="798" t="s">
        <v>24</v>
      </c>
      <c r="D3842" s="800">
        <v>23.59</v>
      </c>
    </row>
    <row r="3843" spans="1:4" ht="40.5">
      <c r="A3843" s="798">
        <v>89605</v>
      </c>
      <c r="B3843" s="799" t="s">
        <v>1341</v>
      </c>
      <c r="C3843" s="798" t="s">
        <v>24</v>
      </c>
      <c r="D3843" s="800">
        <v>19.82</v>
      </c>
    </row>
    <row r="3844" spans="1:4" ht="27">
      <c r="A3844" s="798">
        <v>89609</v>
      </c>
      <c r="B3844" s="799" t="s">
        <v>1342</v>
      </c>
      <c r="C3844" s="798" t="s">
        <v>24</v>
      </c>
      <c r="D3844" s="800">
        <v>90.99</v>
      </c>
    </row>
    <row r="3845" spans="1:4" ht="40.5">
      <c r="A3845" s="798">
        <v>89610</v>
      </c>
      <c r="B3845" s="799" t="s">
        <v>1343</v>
      </c>
      <c r="C3845" s="798" t="s">
        <v>24</v>
      </c>
      <c r="D3845" s="800">
        <v>20.34</v>
      </c>
    </row>
    <row r="3846" spans="1:4" ht="27">
      <c r="A3846" s="798">
        <v>89611</v>
      </c>
      <c r="B3846" s="799" t="s">
        <v>1344</v>
      </c>
      <c r="C3846" s="798" t="s">
        <v>24</v>
      </c>
      <c r="D3846" s="800">
        <v>33.659999999999997</v>
      </c>
    </row>
    <row r="3847" spans="1:4" ht="27">
      <c r="A3847" s="798">
        <v>89612</v>
      </c>
      <c r="B3847" s="799" t="s">
        <v>1345</v>
      </c>
      <c r="C3847" s="798" t="s">
        <v>24</v>
      </c>
      <c r="D3847" s="800">
        <v>179.86</v>
      </c>
    </row>
    <row r="3848" spans="1:4" ht="40.5">
      <c r="A3848" s="798">
        <v>89613</v>
      </c>
      <c r="B3848" s="799" t="s">
        <v>1346</v>
      </c>
      <c r="C3848" s="798" t="s">
        <v>24</v>
      </c>
      <c r="D3848" s="800">
        <v>30.01</v>
      </c>
    </row>
    <row r="3849" spans="1:4" ht="27">
      <c r="A3849" s="798">
        <v>89614</v>
      </c>
      <c r="B3849" s="799" t="s">
        <v>1347</v>
      </c>
      <c r="C3849" s="798" t="s">
        <v>24</v>
      </c>
      <c r="D3849" s="800">
        <v>64.28</v>
      </c>
    </row>
    <row r="3850" spans="1:4" ht="27">
      <c r="A3850" s="798">
        <v>89615</v>
      </c>
      <c r="B3850" s="799" t="s">
        <v>1348</v>
      </c>
      <c r="C3850" s="798" t="s">
        <v>24</v>
      </c>
      <c r="D3850" s="800">
        <v>272.22000000000003</v>
      </c>
    </row>
    <row r="3851" spans="1:4" ht="40.5">
      <c r="A3851" s="798">
        <v>89616</v>
      </c>
      <c r="B3851" s="799" t="s">
        <v>1349</v>
      </c>
      <c r="C3851" s="798" t="s">
        <v>24</v>
      </c>
      <c r="D3851" s="800">
        <v>43.76</v>
      </c>
    </row>
    <row r="3852" spans="1:4" ht="27">
      <c r="A3852" s="798">
        <v>89617</v>
      </c>
      <c r="B3852" s="799" t="s">
        <v>1350</v>
      </c>
      <c r="C3852" s="798" t="s">
        <v>24</v>
      </c>
      <c r="D3852" s="800">
        <v>5.99</v>
      </c>
    </row>
    <row r="3853" spans="1:4" ht="40.5">
      <c r="A3853" s="798">
        <v>89618</v>
      </c>
      <c r="B3853" s="799" t="s">
        <v>1351</v>
      </c>
      <c r="C3853" s="798" t="s">
        <v>24</v>
      </c>
      <c r="D3853" s="800">
        <v>14.13</v>
      </c>
    </row>
    <row r="3854" spans="1:4" ht="40.5">
      <c r="A3854" s="798">
        <v>89619</v>
      </c>
      <c r="B3854" s="799" t="s">
        <v>279</v>
      </c>
      <c r="C3854" s="798" t="s">
        <v>24</v>
      </c>
      <c r="D3854" s="800">
        <v>8.16</v>
      </c>
    </row>
    <row r="3855" spans="1:4" ht="27">
      <c r="A3855" s="798">
        <v>89620</v>
      </c>
      <c r="B3855" s="799" t="s">
        <v>1352</v>
      </c>
      <c r="C3855" s="798" t="s">
        <v>24</v>
      </c>
      <c r="D3855" s="800">
        <v>10.4</v>
      </c>
    </row>
    <row r="3856" spans="1:4" ht="40.5">
      <c r="A3856" s="798">
        <v>89621</v>
      </c>
      <c r="B3856" s="799" t="s">
        <v>1353</v>
      </c>
      <c r="C3856" s="798" t="s">
        <v>24</v>
      </c>
      <c r="D3856" s="800">
        <v>24.21</v>
      </c>
    </row>
    <row r="3857" spans="1:4" ht="40.5">
      <c r="A3857" s="798">
        <v>89622</v>
      </c>
      <c r="B3857" s="799" t="s">
        <v>280</v>
      </c>
      <c r="C3857" s="798" t="s">
        <v>24</v>
      </c>
      <c r="D3857" s="800">
        <v>12.55</v>
      </c>
    </row>
    <row r="3858" spans="1:4" ht="27">
      <c r="A3858" s="798">
        <v>89623</v>
      </c>
      <c r="B3858" s="799" t="s">
        <v>1354</v>
      </c>
      <c r="C3858" s="798" t="s">
        <v>24</v>
      </c>
      <c r="D3858" s="800">
        <v>17.059999999999999</v>
      </c>
    </row>
    <row r="3859" spans="1:4" ht="40.5">
      <c r="A3859" s="798">
        <v>89624</v>
      </c>
      <c r="B3859" s="799" t="s">
        <v>281</v>
      </c>
      <c r="C3859" s="798" t="s">
        <v>24</v>
      </c>
      <c r="D3859" s="800">
        <v>18.149999999999999</v>
      </c>
    </row>
    <row r="3860" spans="1:4" ht="27">
      <c r="A3860" s="798">
        <v>89625</v>
      </c>
      <c r="B3860" s="799" t="s">
        <v>1355</v>
      </c>
      <c r="C3860" s="798" t="s">
        <v>24</v>
      </c>
      <c r="D3860" s="800">
        <v>20.74</v>
      </c>
    </row>
    <row r="3861" spans="1:4" ht="40.5">
      <c r="A3861" s="798">
        <v>89626</v>
      </c>
      <c r="B3861" s="799" t="s">
        <v>282</v>
      </c>
      <c r="C3861" s="798" t="s">
        <v>24</v>
      </c>
      <c r="D3861" s="800">
        <v>29.12</v>
      </c>
    </row>
    <row r="3862" spans="1:4" ht="40.5">
      <c r="A3862" s="798">
        <v>89627</v>
      </c>
      <c r="B3862" s="799" t="s">
        <v>283</v>
      </c>
      <c r="C3862" s="798" t="s">
        <v>24</v>
      </c>
      <c r="D3862" s="800">
        <v>19.489999999999998</v>
      </c>
    </row>
    <row r="3863" spans="1:4" ht="27">
      <c r="A3863" s="798">
        <v>89628</v>
      </c>
      <c r="B3863" s="799" t="s">
        <v>1356</v>
      </c>
      <c r="C3863" s="798" t="s">
        <v>24</v>
      </c>
      <c r="D3863" s="800">
        <v>44.95</v>
      </c>
    </row>
    <row r="3864" spans="1:4" ht="27">
      <c r="A3864" s="798">
        <v>89629</v>
      </c>
      <c r="B3864" s="799" t="s">
        <v>1357</v>
      </c>
      <c r="C3864" s="798" t="s">
        <v>24</v>
      </c>
      <c r="D3864" s="800">
        <v>83.54</v>
      </c>
    </row>
    <row r="3865" spans="1:4" ht="40.5">
      <c r="A3865" s="798">
        <v>89630</v>
      </c>
      <c r="B3865" s="799" t="s">
        <v>284</v>
      </c>
      <c r="C3865" s="798" t="s">
        <v>24</v>
      </c>
      <c r="D3865" s="800">
        <v>72.13</v>
      </c>
    </row>
    <row r="3866" spans="1:4" ht="27">
      <c r="A3866" s="798">
        <v>89631</v>
      </c>
      <c r="B3866" s="799" t="s">
        <v>1358</v>
      </c>
      <c r="C3866" s="798" t="s">
        <v>24</v>
      </c>
      <c r="D3866" s="800">
        <v>127.86</v>
      </c>
    </row>
    <row r="3867" spans="1:4" ht="40.5">
      <c r="A3867" s="798">
        <v>89632</v>
      </c>
      <c r="B3867" s="799" t="s">
        <v>285</v>
      </c>
      <c r="C3867" s="798" t="s">
        <v>24</v>
      </c>
      <c r="D3867" s="800">
        <v>104.51</v>
      </c>
    </row>
    <row r="3868" spans="1:4" ht="40.5">
      <c r="A3868" s="798">
        <v>89637</v>
      </c>
      <c r="B3868" s="799" t="s">
        <v>1360</v>
      </c>
      <c r="C3868" s="798" t="s">
        <v>24</v>
      </c>
      <c r="D3868" s="800">
        <v>9.81</v>
      </c>
    </row>
    <row r="3869" spans="1:4" ht="40.5">
      <c r="A3869" s="798">
        <v>89638</v>
      </c>
      <c r="B3869" s="799" t="s">
        <v>1361</v>
      </c>
      <c r="C3869" s="798" t="s">
        <v>24</v>
      </c>
      <c r="D3869" s="800">
        <v>11.1</v>
      </c>
    </row>
    <row r="3870" spans="1:4" ht="40.5">
      <c r="A3870" s="798">
        <v>89639</v>
      </c>
      <c r="B3870" s="799" t="s">
        <v>1362</v>
      </c>
      <c r="C3870" s="798" t="s">
        <v>24</v>
      </c>
      <c r="D3870" s="800">
        <v>11.6</v>
      </c>
    </row>
    <row r="3871" spans="1:4" ht="40.5">
      <c r="A3871" s="798">
        <v>89640</v>
      </c>
      <c r="B3871" s="799" t="s">
        <v>3802</v>
      </c>
      <c r="C3871" s="798" t="s">
        <v>24</v>
      </c>
      <c r="D3871" s="800">
        <v>19.29</v>
      </c>
    </row>
    <row r="3872" spans="1:4" ht="40.5">
      <c r="A3872" s="798">
        <v>89641</v>
      </c>
      <c r="B3872" s="799" t="s">
        <v>1363</v>
      </c>
      <c r="C3872" s="798" t="s">
        <v>24</v>
      </c>
      <c r="D3872" s="800">
        <v>14.19</v>
      </c>
    </row>
    <row r="3873" spans="1:4" ht="40.5">
      <c r="A3873" s="798">
        <v>89642</v>
      </c>
      <c r="B3873" s="799" t="s">
        <v>1364</v>
      </c>
      <c r="C3873" s="798" t="s">
        <v>24</v>
      </c>
      <c r="D3873" s="800">
        <v>16.670000000000002</v>
      </c>
    </row>
    <row r="3874" spans="1:4" ht="40.5">
      <c r="A3874" s="798">
        <v>89643</v>
      </c>
      <c r="B3874" s="799" t="s">
        <v>1365</v>
      </c>
      <c r="C3874" s="798" t="s">
        <v>24</v>
      </c>
      <c r="D3874" s="800">
        <v>17.5</v>
      </c>
    </row>
    <row r="3875" spans="1:4" ht="40.5">
      <c r="A3875" s="798">
        <v>89644</v>
      </c>
      <c r="B3875" s="799" t="s">
        <v>3803</v>
      </c>
      <c r="C3875" s="798" t="s">
        <v>24</v>
      </c>
      <c r="D3875" s="800">
        <v>29.22</v>
      </c>
    </row>
    <row r="3876" spans="1:4" ht="40.5">
      <c r="A3876" s="798">
        <v>89645</v>
      </c>
      <c r="B3876" s="799" t="s">
        <v>1366</v>
      </c>
      <c r="C3876" s="798" t="s">
        <v>24</v>
      </c>
      <c r="D3876" s="800">
        <v>33.1</v>
      </c>
    </row>
    <row r="3877" spans="1:4" ht="40.5">
      <c r="A3877" s="798">
        <v>89646</v>
      </c>
      <c r="B3877" s="799" t="s">
        <v>1367</v>
      </c>
      <c r="C3877" s="798" t="s">
        <v>24</v>
      </c>
      <c r="D3877" s="800">
        <v>23.09</v>
      </c>
    </row>
    <row r="3878" spans="1:4" ht="40.5">
      <c r="A3878" s="798">
        <v>89647</v>
      </c>
      <c r="B3878" s="799" t="s">
        <v>1368</v>
      </c>
      <c r="C3878" s="798" t="s">
        <v>24</v>
      </c>
      <c r="D3878" s="800">
        <v>22.52</v>
      </c>
    </row>
    <row r="3879" spans="1:4" ht="40.5">
      <c r="A3879" s="798">
        <v>89648</v>
      </c>
      <c r="B3879" s="799" t="s">
        <v>1369</v>
      </c>
      <c r="C3879" s="798" t="s">
        <v>24</v>
      </c>
      <c r="D3879" s="800">
        <v>25.18</v>
      </c>
    </row>
    <row r="3880" spans="1:4" ht="40.5">
      <c r="A3880" s="798">
        <v>89649</v>
      </c>
      <c r="B3880" s="799" t="s">
        <v>1370</v>
      </c>
      <c r="C3880" s="798" t="s">
        <v>24</v>
      </c>
      <c r="D3880" s="800">
        <v>34.880000000000003</v>
      </c>
    </row>
    <row r="3881" spans="1:4" ht="40.5">
      <c r="A3881" s="798">
        <v>89650</v>
      </c>
      <c r="B3881" s="799" t="s">
        <v>1371</v>
      </c>
      <c r="C3881" s="798" t="s">
        <v>24</v>
      </c>
      <c r="D3881" s="800">
        <v>34.880000000000003</v>
      </c>
    </row>
    <row r="3882" spans="1:4" ht="40.5">
      <c r="A3882" s="798">
        <v>89651</v>
      </c>
      <c r="B3882" s="799" t="s">
        <v>289</v>
      </c>
      <c r="C3882" s="798" t="s">
        <v>24</v>
      </c>
      <c r="D3882" s="800">
        <v>6.95</v>
      </c>
    </row>
    <row r="3883" spans="1:4" ht="40.5">
      <c r="A3883" s="798">
        <v>89652</v>
      </c>
      <c r="B3883" s="799" t="s">
        <v>1372</v>
      </c>
      <c r="C3883" s="798" t="s">
        <v>24</v>
      </c>
      <c r="D3883" s="800">
        <v>12.63</v>
      </c>
    </row>
    <row r="3884" spans="1:4" ht="40.5">
      <c r="A3884" s="798">
        <v>89653</v>
      </c>
      <c r="B3884" s="799" t="s">
        <v>1373</v>
      </c>
      <c r="C3884" s="798" t="s">
        <v>24</v>
      </c>
      <c r="D3884" s="800">
        <v>21.36</v>
      </c>
    </row>
    <row r="3885" spans="1:4" ht="40.5">
      <c r="A3885" s="798">
        <v>89654</v>
      </c>
      <c r="B3885" s="799" t="s">
        <v>1374</v>
      </c>
      <c r="C3885" s="798" t="s">
        <v>24</v>
      </c>
      <c r="D3885" s="800">
        <v>20.79</v>
      </c>
    </row>
    <row r="3886" spans="1:4" ht="40.5">
      <c r="A3886" s="798">
        <v>89655</v>
      </c>
      <c r="B3886" s="799" t="s">
        <v>1375</v>
      </c>
      <c r="C3886" s="798" t="s">
        <v>24</v>
      </c>
      <c r="D3886" s="800">
        <v>31.46</v>
      </c>
    </row>
    <row r="3887" spans="1:4" ht="40.5">
      <c r="A3887" s="798">
        <v>89656</v>
      </c>
      <c r="B3887" s="799" t="s">
        <v>1376</v>
      </c>
      <c r="C3887" s="798" t="s">
        <v>24</v>
      </c>
      <c r="D3887" s="800">
        <v>13.53</v>
      </c>
    </row>
    <row r="3888" spans="1:4" ht="40.5">
      <c r="A3888" s="798">
        <v>89657</v>
      </c>
      <c r="B3888" s="799" t="s">
        <v>1377</v>
      </c>
      <c r="C3888" s="798" t="s">
        <v>24</v>
      </c>
      <c r="D3888" s="800">
        <v>13.81</v>
      </c>
    </row>
    <row r="3889" spans="1:4" ht="40.5">
      <c r="A3889" s="798">
        <v>89658</v>
      </c>
      <c r="B3889" s="799" t="s">
        <v>1378</v>
      </c>
      <c r="C3889" s="798" t="s">
        <v>24</v>
      </c>
      <c r="D3889" s="800">
        <v>9.81</v>
      </c>
    </row>
    <row r="3890" spans="1:4" ht="40.5">
      <c r="A3890" s="798">
        <v>89659</v>
      </c>
      <c r="B3890" s="799" t="s">
        <v>1379</v>
      </c>
      <c r="C3890" s="798" t="s">
        <v>24</v>
      </c>
      <c r="D3890" s="800">
        <v>18.510000000000002</v>
      </c>
    </row>
    <row r="3891" spans="1:4" ht="40.5">
      <c r="A3891" s="798">
        <v>89660</v>
      </c>
      <c r="B3891" s="799" t="s">
        <v>1380</v>
      </c>
      <c r="C3891" s="798" t="s">
        <v>24</v>
      </c>
      <c r="D3891" s="800">
        <v>9.0500000000000007</v>
      </c>
    </row>
    <row r="3892" spans="1:4" ht="40.5">
      <c r="A3892" s="798">
        <v>89661</v>
      </c>
      <c r="B3892" s="799" t="s">
        <v>1381</v>
      </c>
      <c r="C3892" s="798" t="s">
        <v>24</v>
      </c>
      <c r="D3892" s="800">
        <v>25.12</v>
      </c>
    </row>
    <row r="3893" spans="1:4" ht="40.5">
      <c r="A3893" s="798">
        <v>89662</v>
      </c>
      <c r="B3893" s="799" t="s">
        <v>1382</v>
      </c>
      <c r="C3893" s="798" t="s">
        <v>24</v>
      </c>
      <c r="D3893" s="800">
        <v>39.28</v>
      </c>
    </row>
    <row r="3894" spans="1:4" ht="40.5">
      <c r="A3894" s="798">
        <v>89663</v>
      </c>
      <c r="B3894" s="799" t="s">
        <v>1383</v>
      </c>
      <c r="C3894" s="798" t="s">
        <v>24</v>
      </c>
      <c r="D3894" s="800">
        <v>15.56</v>
      </c>
    </row>
    <row r="3895" spans="1:4" ht="40.5">
      <c r="A3895" s="798">
        <v>89664</v>
      </c>
      <c r="B3895" s="799" t="s">
        <v>1384</v>
      </c>
      <c r="C3895" s="798" t="s">
        <v>24</v>
      </c>
      <c r="D3895" s="800">
        <v>18.510000000000002</v>
      </c>
    </row>
    <row r="3896" spans="1:4" ht="40.5">
      <c r="A3896" s="798">
        <v>89665</v>
      </c>
      <c r="B3896" s="799" t="s">
        <v>1385</v>
      </c>
      <c r="C3896" s="798" t="s">
        <v>24</v>
      </c>
      <c r="D3896" s="800">
        <v>16.059999999999999</v>
      </c>
    </row>
    <row r="3897" spans="1:4" ht="40.5">
      <c r="A3897" s="798">
        <v>89666</v>
      </c>
      <c r="B3897" s="799" t="s">
        <v>1386</v>
      </c>
      <c r="C3897" s="798" t="s">
        <v>24</v>
      </c>
      <c r="D3897" s="800">
        <v>7.76</v>
      </c>
    </row>
    <row r="3898" spans="1:4" ht="40.5">
      <c r="A3898" s="798">
        <v>89667</v>
      </c>
      <c r="B3898" s="799" t="s">
        <v>1387</v>
      </c>
      <c r="C3898" s="798" t="s">
        <v>24</v>
      </c>
      <c r="D3898" s="800">
        <v>44.01</v>
      </c>
    </row>
    <row r="3899" spans="1:4" ht="40.5">
      <c r="A3899" s="798">
        <v>89668</v>
      </c>
      <c r="B3899" s="799" t="s">
        <v>1388</v>
      </c>
      <c r="C3899" s="798" t="s">
        <v>24</v>
      </c>
      <c r="D3899" s="800">
        <v>37.200000000000003</v>
      </c>
    </row>
    <row r="3900" spans="1:4" ht="40.5">
      <c r="A3900" s="798">
        <v>89669</v>
      </c>
      <c r="B3900" s="799" t="s">
        <v>1389</v>
      </c>
      <c r="C3900" s="798" t="s">
        <v>24</v>
      </c>
      <c r="D3900" s="800">
        <v>26.72</v>
      </c>
    </row>
    <row r="3901" spans="1:4" ht="40.5">
      <c r="A3901" s="798">
        <v>89670</v>
      </c>
      <c r="B3901" s="799" t="s">
        <v>1390</v>
      </c>
      <c r="C3901" s="798" t="s">
        <v>24</v>
      </c>
      <c r="D3901" s="800">
        <v>15.06</v>
      </c>
    </row>
    <row r="3902" spans="1:4" ht="40.5">
      <c r="A3902" s="798">
        <v>89671</v>
      </c>
      <c r="B3902" s="799" t="s">
        <v>1391</v>
      </c>
      <c r="C3902" s="798" t="s">
        <v>24</v>
      </c>
      <c r="D3902" s="800">
        <v>40.729999999999997</v>
      </c>
    </row>
    <row r="3903" spans="1:4" ht="40.5">
      <c r="A3903" s="798">
        <v>89672</v>
      </c>
      <c r="B3903" s="799" t="s">
        <v>1392</v>
      </c>
      <c r="C3903" s="798" t="s">
        <v>24</v>
      </c>
      <c r="D3903" s="800">
        <v>25.02</v>
      </c>
    </row>
    <row r="3904" spans="1:4" ht="40.5">
      <c r="A3904" s="798">
        <v>89673</v>
      </c>
      <c r="B3904" s="799" t="s">
        <v>1393</v>
      </c>
      <c r="C3904" s="798" t="s">
        <v>24</v>
      </c>
      <c r="D3904" s="800">
        <v>31.53</v>
      </c>
    </row>
    <row r="3905" spans="1:4" ht="40.5">
      <c r="A3905" s="798">
        <v>89674</v>
      </c>
      <c r="B3905" s="799" t="s">
        <v>1394</v>
      </c>
      <c r="C3905" s="798" t="s">
        <v>24</v>
      </c>
      <c r="D3905" s="800">
        <v>37.700000000000003</v>
      </c>
    </row>
    <row r="3906" spans="1:4" ht="40.5">
      <c r="A3906" s="798">
        <v>89675</v>
      </c>
      <c r="B3906" s="799" t="s">
        <v>1395</v>
      </c>
      <c r="C3906" s="798" t="s">
        <v>24</v>
      </c>
      <c r="D3906" s="800">
        <v>74.099999999999994</v>
      </c>
    </row>
    <row r="3907" spans="1:4" ht="40.5">
      <c r="A3907" s="798">
        <v>89676</v>
      </c>
      <c r="B3907" s="799" t="s">
        <v>1396</v>
      </c>
      <c r="C3907" s="798" t="s">
        <v>24</v>
      </c>
      <c r="D3907" s="800">
        <v>58.41</v>
      </c>
    </row>
    <row r="3908" spans="1:4" ht="40.5">
      <c r="A3908" s="798">
        <v>89677</v>
      </c>
      <c r="B3908" s="799" t="s">
        <v>1397</v>
      </c>
      <c r="C3908" s="798" t="s">
        <v>24</v>
      </c>
      <c r="D3908" s="800">
        <v>79.19</v>
      </c>
    </row>
    <row r="3909" spans="1:4" ht="40.5">
      <c r="A3909" s="798">
        <v>89678</v>
      </c>
      <c r="B3909" s="799" t="s">
        <v>1398</v>
      </c>
      <c r="C3909" s="798" t="s">
        <v>24</v>
      </c>
      <c r="D3909" s="800">
        <v>10.64</v>
      </c>
    </row>
    <row r="3910" spans="1:4" ht="40.5">
      <c r="A3910" s="798">
        <v>89679</v>
      </c>
      <c r="B3910" s="799" t="s">
        <v>1399</v>
      </c>
      <c r="C3910" s="798" t="s">
        <v>24</v>
      </c>
      <c r="D3910" s="800">
        <v>129.16</v>
      </c>
    </row>
    <row r="3911" spans="1:4" ht="40.5">
      <c r="A3911" s="798">
        <v>89680</v>
      </c>
      <c r="B3911" s="799" t="s">
        <v>1400</v>
      </c>
      <c r="C3911" s="798" t="s">
        <v>24</v>
      </c>
      <c r="D3911" s="800">
        <v>24.24</v>
      </c>
    </row>
    <row r="3912" spans="1:4" ht="40.5">
      <c r="A3912" s="798">
        <v>89681</v>
      </c>
      <c r="B3912" s="799" t="s">
        <v>1401</v>
      </c>
      <c r="C3912" s="798" t="s">
        <v>24</v>
      </c>
      <c r="D3912" s="800">
        <v>88.04</v>
      </c>
    </row>
    <row r="3913" spans="1:4" ht="40.5">
      <c r="A3913" s="798">
        <v>89682</v>
      </c>
      <c r="B3913" s="799" t="s">
        <v>1402</v>
      </c>
      <c r="C3913" s="798" t="s">
        <v>24</v>
      </c>
      <c r="D3913" s="800">
        <v>39.119999999999997</v>
      </c>
    </row>
    <row r="3914" spans="1:4" ht="40.5">
      <c r="A3914" s="798">
        <v>89683</v>
      </c>
      <c r="B3914" s="799" t="s">
        <v>6649</v>
      </c>
      <c r="C3914" s="798" t="s">
        <v>24</v>
      </c>
      <c r="D3914" s="800">
        <v>332.96</v>
      </c>
    </row>
    <row r="3915" spans="1:4" ht="40.5">
      <c r="A3915" s="798">
        <v>89684</v>
      </c>
      <c r="B3915" s="799" t="s">
        <v>1403</v>
      </c>
      <c r="C3915" s="798" t="s">
        <v>24</v>
      </c>
      <c r="D3915" s="800">
        <v>55.08</v>
      </c>
    </row>
    <row r="3916" spans="1:4" ht="40.5">
      <c r="A3916" s="798">
        <v>89685</v>
      </c>
      <c r="B3916" s="799" t="s">
        <v>1404</v>
      </c>
      <c r="C3916" s="798" t="s">
        <v>24</v>
      </c>
      <c r="D3916" s="800">
        <v>59.92</v>
      </c>
    </row>
    <row r="3917" spans="1:4" ht="40.5">
      <c r="A3917" s="798">
        <v>89686</v>
      </c>
      <c r="B3917" s="799" t="s">
        <v>1405</v>
      </c>
      <c r="C3917" s="798" t="s">
        <v>24</v>
      </c>
      <c r="D3917" s="800">
        <v>212.96</v>
      </c>
    </row>
    <row r="3918" spans="1:4" ht="40.5">
      <c r="A3918" s="798">
        <v>89687</v>
      </c>
      <c r="B3918" s="799" t="s">
        <v>1406</v>
      </c>
      <c r="C3918" s="798" t="s">
        <v>24</v>
      </c>
      <c r="D3918" s="800">
        <v>51.04</v>
      </c>
    </row>
    <row r="3919" spans="1:4" ht="40.5">
      <c r="A3919" s="798">
        <v>89689</v>
      </c>
      <c r="B3919" s="799" t="s">
        <v>1407</v>
      </c>
      <c r="C3919" s="798" t="s">
        <v>24</v>
      </c>
      <c r="D3919" s="800">
        <v>42.32</v>
      </c>
    </row>
    <row r="3920" spans="1:4" ht="40.5">
      <c r="A3920" s="798">
        <v>89690</v>
      </c>
      <c r="B3920" s="799" t="s">
        <v>1408</v>
      </c>
      <c r="C3920" s="798" t="s">
        <v>24</v>
      </c>
      <c r="D3920" s="800">
        <v>89.91</v>
      </c>
    </row>
    <row r="3921" spans="1:4" ht="40.5">
      <c r="A3921" s="798">
        <v>89691</v>
      </c>
      <c r="B3921" s="799" t="s">
        <v>290</v>
      </c>
      <c r="C3921" s="798" t="s">
        <v>24</v>
      </c>
      <c r="D3921" s="800">
        <v>12.63</v>
      </c>
    </row>
    <row r="3922" spans="1:4" ht="40.5">
      <c r="A3922" s="798">
        <v>89692</v>
      </c>
      <c r="B3922" s="799" t="s">
        <v>1409</v>
      </c>
      <c r="C3922" s="798" t="s">
        <v>24</v>
      </c>
      <c r="D3922" s="800">
        <v>84.62</v>
      </c>
    </row>
    <row r="3923" spans="1:4" ht="40.5">
      <c r="A3923" s="798">
        <v>89693</v>
      </c>
      <c r="B3923" s="799" t="s">
        <v>1410</v>
      </c>
      <c r="C3923" s="798" t="s">
        <v>24</v>
      </c>
      <c r="D3923" s="800">
        <v>82.13</v>
      </c>
    </row>
    <row r="3924" spans="1:4" ht="40.5">
      <c r="A3924" s="798">
        <v>89694</v>
      </c>
      <c r="B3924" s="799" t="s">
        <v>1411</v>
      </c>
      <c r="C3924" s="798" t="s">
        <v>24</v>
      </c>
      <c r="D3924" s="800">
        <v>22.38</v>
      </c>
    </row>
    <row r="3925" spans="1:4" ht="40.5">
      <c r="A3925" s="798">
        <v>89695</v>
      </c>
      <c r="B3925" s="799" t="s">
        <v>1412</v>
      </c>
      <c r="C3925" s="798" t="s">
        <v>24</v>
      </c>
      <c r="D3925" s="800">
        <v>20.54</v>
      </c>
    </row>
    <row r="3926" spans="1:4" ht="40.5">
      <c r="A3926" s="798">
        <v>89696</v>
      </c>
      <c r="B3926" s="799" t="s">
        <v>1413</v>
      </c>
      <c r="C3926" s="798" t="s">
        <v>24</v>
      </c>
      <c r="D3926" s="800">
        <v>74.08</v>
      </c>
    </row>
    <row r="3927" spans="1:4" ht="40.5">
      <c r="A3927" s="798">
        <v>89697</v>
      </c>
      <c r="B3927" s="799" t="s">
        <v>291</v>
      </c>
      <c r="C3927" s="798" t="s">
        <v>24</v>
      </c>
      <c r="D3927" s="800">
        <v>14.13</v>
      </c>
    </row>
    <row r="3928" spans="1:4" ht="40.5">
      <c r="A3928" s="798">
        <v>89698</v>
      </c>
      <c r="B3928" s="799" t="s">
        <v>1414</v>
      </c>
      <c r="C3928" s="798" t="s">
        <v>24</v>
      </c>
      <c r="D3928" s="800">
        <v>269.37</v>
      </c>
    </row>
    <row r="3929" spans="1:4" ht="40.5">
      <c r="A3929" s="798">
        <v>89699</v>
      </c>
      <c r="B3929" s="799" t="s">
        <v>1415</v>
      </c>
      <c r="C3929" s="798" t="s">
        <v>24</v>
      </c>
      <c r="D3929" s="800">
        <v>229.91</v>
      </c>
    </row>
    <row r="3930" spans="1:4" ht="40.5">
      <c r="A3930" s="798">
        <v>89700</v>
      </c>
      <c r="B3930" s="799" t="s">
        <v>1416</v>
      </c>
      <c r="C3930" s="798" t="s">
        <v>24</v>
      </c>
      <c r="D3930" s="800">
        <v>22.47</v>
      </c>
    </row>
    <row r="3931" spans="1:4" ht="40.5">
      <c r="A3931" s="798">
        <v>89701</v>
      </c>
      <c r="B3931" s="799" t="s">
        <v>1417</v>
      </c>
      <c r="C3931" s="798" t="s">
        <v>24</v>
      </c>
      <c r="D3931" s="800">
        <v>208.39</v>
      </c>
    </row>
    <row r="3932" spans="1:4" ht="40.5">
      <c r="A3932" s="798">
        <v>89702</v>
      </c>
      <c r="B3932" s="799" t="s">
        <v>1418</v>
      </c>
      <c r="C3932" s="798" t="s">
        <v>24</v>
      </c>
      <c r="D3932" s="800">
        <v>22.47</v>
      </c>
    </row>
    <row r="3933" spans="1:4" ht="40.5">
      <c r="A3933" s="798">
        <v>89703</v>
      </c>
      <c r="B3933" s="799" t="s">
        <v>292</v>
      </c>
      <c r="C3933" s="798" t="s">
        <v>24</v>
      </c>
      <c r="D3933" s="800">
        <v>56.33</v>
      </c>
    </row>
    <row r="3934" spans="1:4" ht="40.5">
      <c r="A3934" s="798">
        <v>89704</v>
      </c>
      <c r="B3934" s="799" t="s">
        <v>1419</v>
      </c>
      <c r="C3934" s="798" t="s">
        <v>24</v>
      </c>
      <c r="D3934" s="800">
        <v>142.49</v>
      </c>
    </row>
    <row r="3935" spans="1:4" ht="27">
      <c r="A3935" s="798">
        <v>89705</v>
      </c>
      <c r="B3935" s="799" t="s">
        <v>1420</v>
      </c>
      <c r="C3935" s="798" t="s">
        <v>24</v>
      </c>
      <c r="D3935" s="800">
        <v>27.35</v>
      </c>
    </row>
    <row r="3936" spans="1:4" ht="27">
      <c r="A3936" s="798">
        <v>89706</v>
      </c>
      <c r="B3936" s="799" t="s">
        <v>1421</v>
      </c>
      <c r="C3936" s="798" t="s">
        <v>24</v>
      </c>
      <c r="D3936" s="800">
        <v>63.27</v>
      </c>
    </row>
    <row r="3937" spans="1:4" ht="40.5">
      <c r="A3937" s="798">
        <v>89718</v>
      </c>
      <c r="B3937" s="799" t="s">
        <v>1431</v>
      </c>
      <c r="C3937" s="798" t="s">
        <v>14</v>
      </c>
      <c r="D3937" s="800">
        <v>42.3</v>
      </c>
    </row>
    <row r="3938" spans="1:4" ht="40.5">
      <c r="A3938" s="798">
        <v>89719</v>
      </c>
      <c r="B3938" s="799" t="s">
        <v>1432</v>
      </c>
      <c r="C3938" s="798" t="s">
        <v>24</v>
      </c>
      <c r="D3938" s="800">
        <v>12.27</v>
      </c>
    </row>
    <row r="3939" spans="1:4" ht="40.5">
      <c r="A3939" s="798">
        <v>89720</v>
      </c>
      <c r="B3939" s="799" t="s">
        <v>1433</v>
      </c>
      <c r="C3939" s="798" t="s">
        <v>24</v>
      </c>
      <c r="D3939" s="800">
        <v>14.75</v>
      </c>
    </row>
    <row r="3940" spans="1:4" ht="40.5">
      <c r="A3940" s="798">
        <v>89721</v>
      </c>
      <c r="B3940" s="799" t="s">
        <v>1434</v>
      </c>
      <c r="C3940" s="798" t="s">
        <v>24</v>
      </c>
      <c r="D3940" s="800">
        <v>15.58</v>
      </c>
    </row>
    <row r="3941" spans="1:4" ht="40.5">
      <c r="A3941" s="798">
        <v>89722</v>
      </c>
      <c r="B3941" s="799" t="s">
        <v>3804</v>
      </c>
      <c r="C3941" s="798" t="s">
        <v>24</v>
      </c>
      <c r="D3941" s="800">
        <v>27.3</v>
      </c>
    </row>
    <row r="3942" spans="1:4" ht="40.5">
      <c r="A3942" s="798">
        <v>89723</v>
      </c>
      <c r="B3942" s="799" t="s">
        <v>1435</v>
      </c>
      <c r="C3942" s="798" t="s">
        <v>24</v>
      </c>
      <c r="D3942" s="800">
        <v>20.86</v>
      </c>
    </row>
    <row r="3943" spans="1:4" ht="54">
      <c r="A3943" s="798">
        <v>89724</v>
      </c>
      <c r="B3943" s="799" t="s">
        <v>1436</v>
      </c>
      <c r="C3943" s="798" t="s">
        <v>24</v>
      </c>
      <c r="D3943" s="800">
        <v>10.06</v>
      </c>
    </row>
    <row r="3944" spans="1:4" ht="40.5">
      <c r="A3944" s="798">
        <v>89725</v>
      </c>
      <c r="B3944" s="799" t="s">
        <v>1437</v>
      </c>
      <c r="C3944" s="798" t="s">
        <v>24</v>
      </c>
      <c r="D3944" s="800">
        <v>20.29</v>
      </c>
    </row>
    <row r="3945" spans="1:4" ht="54">
      <c r="A3945" s="798">
        <v>89726</v>
      </c>
      <c r="B3945" s="799" t="s">
        <v>1438</v>
      </c>
      <c r="C3945" s="798" t="s">
        <v>24</v>
      </c>
      <c r="D3945" s="800">
        <v>6.82</v>
      </c>
    </row>
    <row r="3946" spans="1:4" ht="40.5">
      <c r="A3946" s="798">
        <v>89727</v>
      </c>
      <c r="B3946" s="799" t="s">
        <v>1439</v>
      </c>
      <c r="C3946" s="798" t="s">
        <v>24</v>
      </c>
      <c r="D3946" s="800">
        <v>22.95</v>
      </c>
    </row>
    <row r="3947" spans="1:4" ht="54">
      <c r="A3947" s="798">
        <v>89728</v>
      </c>
      <c r="B3947" s="799" t="s">
        <v>1440</v>
      </c>
      <c r="C3947" s="798" t="s">
        <v>24</v>
      </c>
      <c r="D3947" s="800">
        <v>10.87</v>
      </c>
    </row>
    <row r="3948" spans="1:4" ht="40.5">
      <c r="A3948" s="798">
        <v>89729</v>
      </c>
      <c r="B3948" s="799" t="s">
        <v>1441</v>
      </c>
      <c r="C3948" s="798" t="s">
        <v>24</v>
      </c>
      <c r="D3948" s="800">
        <v>32.25</v>
      </c>
    </row>
    <row r="3949" spans="1:4" ht="54">
      <c r="A3949" s="798">
        <v>89730</v>
      </c>
      <c r="B3949" s="799" t="s">
        <v>1442</v>
      </c>
      <c r="C3949" s="798" t="s">
        <v>24</v>
      </c>
      <c r="D3949" s="800">
        <v>11.92</v>
      </c>
    </row>
    <row r="3950" spans="1:4" ht="54">
      <c r="A3950" s="798">
        <v>89731</v>
      </c>
      <c r="B3950" s="799" t="s">
        <v>1443</v>
      </c>
      <c r="C3950" s="798" t="s">
        <v>24</v>
      </c>
      <c r="D3950" s="800">
        <v>10.93</v>
      </c>
    </row>
    <row r="3951" spans="1:4" ht="54">
      <c r="A3951" s="798">
        <v>89732</v>
      </c>
      <c r="B3951" s="799" t="s">
        <v>1444</v>
      </c>
      <c r="C3951" s="798" t="s">
        <v>24</v>
      </c>
      <c r="D3951" s="800">
        <v>11.7</v>
      </c>
    </row>
    <row r="3952" spans="1:4" ht="54">
      <c r="A3952" s="798">
        <v>89733</v>
      </c>
      <c r="B3952" s="799" t="s">
        <v>1445</v>
      </c>
      <c r="C3952" s="798" t="s">
        <v>24</v>
      </c>
      <c r="D3952" s="800">
        <v>19.96</v>
      </c>
    </row>
    <row r="3953" spans="1:4" ht="40.5">
      <c r="A3953" s="798">
        <v>89734</v>
      </c>
      <c r="B3953" s="799" t="s">
        <v>1446</v>
      </c>
      <c r="C3953" s="798" t="s">
        <v>24</v>
      </c>
      <c r="D3953" s="800">
        <v>32.25</v>
      </c>
    </row>
    <row r="3954" spans="1:4" ht="54">
      <c r="A3954" s="798">
        <v>89735</v>
      </c>
      <c r="B3954" s="799" t="s">
        <v>1447</v>
      </c>
      <c r="C3954" s="798" t="s">
        <v>24</v>
      </c>
      <c r="D3954" s="800">
        <v>21.22</v>
      </c>
    </row>
    <row r="3955" spans="1:4" ht="40.5">
      <c r="A3955" s="798">
        <v>89736</v>
      </c>
      <c r="B3955" s="799" t="s">
        <v>1448</v>
      </c>
      <c r="C3955" s="798" t="s">
        <v>24</v>
      </c>
      <c r="D3955" s="800">
        <v>8.5399999999999991</v>
      </c>
    </row>
    <row r="3956" spans="1:4" ht="54">
      <c r="A3956" s="798">
        <v>89737</v>
      </c>
      <c r="B3956" s="799" t="s">
        <v>1449</v>
      </c>
      <c r="C3956" s="798" t="s">
        <v>24</v>
      </c>
      <c r="D3956" s="800">
        <v>19.59</v>
      </c>
    </row>
    <row r="3957" spans="1:4" ht="40.5">
      <c r="A3957" s="798">
        <v>89738</v>
      </c>
      <c r="B3957" s="799" t="s">
        <v>1450</v>
      </c>
      <c r="C3957" s="798" t="s">
        <v>24</v>
      </c>
      <c r="D3957" s="800">
        <v>17.239999999999998</v>
      </c>
    </row>
    <row r="3958" spans="1:4" ht="54">
      <c r="A3958" s="798">
        <v>89739</v>
      </c>
      <c r="B3958" s="799" t="s">
        <v>1451</v>
      </c>
      <c r="C3958" s="798" t="s">
        <v>24</v>
      </c>
      <c r="D3958" s="800">
        <v>20.69</v>
      </c>
    </row>
    <row r="3959" spans="1:4" ht="40.5">
      <c r="A3959" s="798">
        <v>89740</v>
      </c>
      <c r="B3959" s="799" t="s">
        <v>294</v>
      </c>
      <c r="C3959" s="798" t="s">
        <v>24</v>
      </c>
      <c r="D3959" s="800">
        <v>7.78</v>
      </c>
    </row>
    <row r="3960" spans="1:4" ht="40.5">
      <c r="A3960" s="798">
        <v>89741</v>
      </c>
      <c r="B3960" s="799" t="s">
        <v>295</v>
      </c>
      <c r="C3960" s="798" t="s">
        <v>24</v>
      </c>
      <c r="D3960" s="800">
        <v>23.85</v>
      </c>
    </row>
    <row r="3961" spans="1:4" ht="54">
      <c r="A3961" s="798">
        <v>89742</v>
      </c>
      <c r="B3961" s="799" t="s">
        <v>1452</v>
      </c>
      <c r="C3961" s="798" t="s">
        <v>24</v>
      </c>
      <c r="D3961" s="800">
        <v>35.24</v>
      </c>
    </row>
    <row r="3962" spans="1:4" ht="54">
      <c r="A3962" s="798">
        <v>89743</v>
      </c>
      <c r="B3962" s="799" t="s">
        <v>1453</v>
      </c>
      <c r="C3962" s="798" t="s">
        <v>24</v>
      </c>
      <c r="D3962" s="800">
        <v>50.94</v>
      </c>
    </row>
    <row r="3963" spans="1:4" ht="54">
      <c r="A3963" s="798">
        <v>89744</v>
      </c>
      <c r="B3963" s="799" t="s">
        <v>1454</v>
      </c>
      <c r="C3963" s="798" t="s">
        <v>24</v>
      </c>
      <c r="D3963" s="800">
        <v>25.19</v>
      </c>
    </row>
    <row r="3964" spans="1:4" ht="40.5">
      <c r="A3964" s="798">
        <v>89745</v>
      </c>
      <c r="B3964" s="799" t="s">
        <v>1455</v>
      </c>
      <c r="C3964" s="798" t="s">
        <v>24</v>
      </c>
      <c r="D3964" s="800">
        <v>38.01</v>
      </c>
    </row>
    <row r="3965" spans="1:4" ht="54">
      <c r="A3965" s="798">
        <v>89746</v>
      </c>
      <c r="B3965" s="799" t="s">
        <v>1456</v>
      </c>
      <c r="C3965" s="798" t="s">
        <v>24</v>
      </c>
      <c r="D3965" s="800">
        <v>25.12</v>
      </c>
    </row>
    <row r="3966" spans="1:4" ht="40.5">
      <c r="A3966" s="798">
        <v>89747</v>
      </c>
      <c r="B3966" s="799" t="s">
        <v>296</v>
      </c>
      <c r="C3966" s="798" t="s">
        <v>24</v>
      </c>
      <c r="D3966" s="800">
        <v>14.29</v>
      </c>
    </row>
    <row r="3967" spans="1:4" ht="54">
      <c r="A3967" s="798">
        <v>89748</v>
      </c>
      <c r="B3967" s="799" t="s">
        <v>1457</v>
      </c>
      <c r="C3967" s="798" t="s">
        <v>24</v>
      </c>
      <c r="D3967" s="800">
        <v>42.21</v>
      </c>
    </row>
    <row r="3968" spans="1:4" ht="40.5">
      <c r="A3968" s="798">
        <v>89749</v>
      </c>
      <c r="B3968" s="799" t="s">
        <v>297</v>
      </c>
      <c r="C3968" s="798" t="s">
        <v>24</v>
      </c>
      <c r="D3968" s="800">
        <v>17.239999999999998</v>
      </c>
    </row>
    <row r="3969" spans="1:4" ht="54">
      <c r="A3969" s="798">
        <v>89750</v>
      </c>
      <c r="B3969" s="799" t="s">
        <v>1458</v>
      </c>
      <c r="C3969" s="798" t="s">
        <v>24</v>
      </c>
      <c r="D3969" s="800">
        <v>72.400000000000006</v>
      </c>
    </row>
    <row r="3970" spans="1:4" ht="40.5">
      <c r="A3970" s="798">
        <v>89751</v>
      </c>
      <c r="B3970" s="799" t="s">
        <v>1459</v>
      </c>
      <c r="C3970" s="798" t="s">
        <v>24</v>
      </c>
      <c r="D3970" s="800">
        <v>6.49</v>
      </c>
    </row>
    <row r="3971" spans="1:4" ht="40.5">
      <c r="A3971" s="798">
        <v>89752</v>
      </c>
      <c r="B3971" s="799" t="s">
        <v>1460</v>
      </c>
      <c r="C3971" s="798" t="s">
        <v>24</v>
      </c>
      <c r="D3971" s="800">
        <v>6.11</v>
      </c>
    </row>
    <row r="3972" spans="1:4" ht="40.5">
      <c r="A3972" s="798">
        <v>89753</v>
      </c>
      <c r="B3972" s="799" t="s">
        <v>1461</v>
      </c>
      <c r="C3972" s="798" t="s">
        <v>24</v>
      </c>
      <c r="D3972" s="800">
        <v>9.68</v>
      </c>
    </row>
    <row r="3973" spans="1:4" ht="40.5">
      <c r="A3973" s="798">
        <v>89754</v>
      </c>
      <c r="B3973" s="799" t="s">
        <v>1462</v>
      </c>
      <c r="C3973" s="798" t="s">
        <v>24</v>
      </c>
      <c r="D3973" s="800">
        <v>18.850000000000001</v>
      </c>
    </row>
    <row r="3974" spans="1:4" ht="40.5">
      <c r="A3974" s="798">
        <v>89755</v>
      </c>
      <c r="B3974" s="799" t="s">
        <v>1463</v>
      </c>
      <c r="C3974" s="798" t="s">
        <v>24</v>
      </c>
      <c r="D3974" s="800">
        <v>13.59</v>
      </c>
    </row>
    <row r="3975" spans="1:4" ht="40.5">
      <c r="A3975" s="798">
        <v>89756</v>
      </c>
      <c r="B3975" s="799" t="s">
        <v>1464</v>
      </c>
      <c r="C3975" s="798" t="s">
        <v>24</v>
      </c>
      <c r="D3975" s="800">
        <v>23.55</v>
      </c>
    </row>
    <row r="3976" spans="1:4" ht="40.5">
      <c r="A3976" s="798">
        <v>89757</v>
      </c>
      <c r="B3976" s="799" t="s">
        <v>298</v>
      </c>
      <c r="C3976" s="798" t="s">
        <v>24</v>
      </c>
      <c r="D3976" s="800">
        <v>36.229999999999997</v>
      </c>
    </row>
    <row r="3977" spans="1:4" ht="40.5">
      <c r="A3977" s="798">
        <v>89758</v>
      </c>
      <c r="B3977" s="799" t="s">
        <v>1465</v>
      </c>
      <c r="C3977" s="798" t="s">
        <v>24</v>
      </c>
      <c r="D3977" s="800">
        <v>56.94</v>
      </c>
    </row>
    <row r="3978" spans="1:4" ht="40.5">
      <c r="A3978" s="798">
        <v>89759</v>
      </c>
      <c r="B3978" s="799" t="s">
        <v>1466</v>
      </c>
      <c r="C3978" s="798" t="s">
        <v>24</v>
      </c>
      <c r="D3978" s="800">
        <v>9.17</v>
      </c>
    </row>
    <row r="3979" spans="1:4" ht="40.5">
      <c r="A3979" s="798">
        <v>89760</v>
      </c>
      <c r="B3979" s="799" t="s">
        <v>1467</v>
      </c>
      <c r="C3979" s="798" t="s">
        <v>24</v>
      </c>
      <c r="D3979" s="800">
        <v>22.5</v>
      </c>
    </row>
    <row r="3980" spans="1:4" ht="40.5">
      <c r="A3980" s="798">
        <v>89761</v>
      </c>
      <c r="B3980" s="799" t="s">
        <v>1468</v>
      </c>
      <c r="C3980" s="798" t="s">
        <v>24</v>
      </c>
      <c r="D3980" s="800">
        <v>37.380000000000003</v>
      </c>
    </row>
    <row r="3981" spans="1:4" ht="40.5">
      <c r="A3981" s="798">
        <v>89762</v>
      </c>
      <c r="B3981" s="799" t="s">
        <v>1469</v>
      </c>
      <c r="C3981" s="798" t="s">
        <v>24</v>
      </c>
      <c r="D3981" s="800">
        <v>53.34</v>
      </c>
    </row>
    <row r="3982" spans="1:4" ht="40.5">
      <c r="A3982" s="798">
        <v>89763</v>
      </c>
      <c r="B3982" s="799" t="s">
        <v>1470</v>
      </c>
      <c r="C3982" s="798" t="s">
        <v>24</v>
      </c>
      <c r="D3982" s="800">
        <v>211.22</v>
      </c>
    </row>
    <row r="3983" spans="1:4" ht="40.5">
      <c r="A3983" s="798">
        <v>89764</v>
      </c>
      <c r="B3983" s="799" t="s">
        <v>299</v>
      </c>
      <c r="C3983" s="798" t="s">
        <v>24</v>
      </c>
      <c r="D3983" s="800">
        <v>40.58</v>
      </c>
    </row>
    <row r="3984" spans="1:4" ht="40.5">
      <c r="A3984" s="798">
        <v>89765</v>
      </c>
      <c r="B3984" s="799" t="s">
        <v>1471</v>
      </c>
      <c r="C3984" s="798" t="s">
        <v>24</v>
      </c>
      <c r="D3984" s="800">
        <v>15.88</v>
      </c>
    </row>
    <row r="3985" spans="1:4" ht="40.5">
      <c r="A3985" s="798">
        <v>89766</v>
      </c>
      <c r="B3985" s="799" t="s">
        <v>300</v>
      </c>
      <c r="C3985" s="798" t="s">
        <v>24</v>
      </c>
      <c r="D3985" s="800">
        <v>24.22</v>
      </c>
    </row>
    <row r="3986" spans="1:4" ht="40.5">
      <c r="A3986" s="798">
        <v>89767</v>
      </c>
      <c r="B3986" s="799" t="s">
        <v>1472</v>
      </c>
      <c r="C3986" s="798" t="s">
        <v>24</v>
      </c>
      <c r="D3986" s="800">
        <v>24.22</v>
      </c>
    </row>
    <row r="3987" spans="1:4" ht="40.5">
      <c r="A3987" s="798">
        <v>89768</v>
      </c>
      <c r="B3987" s="799" t="s">
        <v>1473</v>
      </c>
      <c r="C3987" s="798" t="s">
        <v>24</v>
      </c>
      <c r="D3987" s="800">
        <v>24.37</v>
      </c>
    </row>
    <row r="3988" spans="1:4" ht="40.5">
      <c r="A3988" s="798">
        <v>89769</v>
      </c>
      <c r="B3988" s="799" t="s">
        <v>301</v>
      </c>
      <c r="C3988" s="798" t="s">
        <v>24</v>
      </c>
      <c r="D3988" s="800">
        <v>59.74</v>
      </c>
    </row>
    <row r="3989" spans="1:4" ht="27">
      <c r="A3989" s="798">
        <v>89772</v>
      </c>
      <c r="B3989" s="799" t="s">
        <v>1476</v>
      </c>
      <c r="C3989" s="798" t="s">
        <v>14</v>
      </c>
      <c r="D3989" s="800">
        <v>79.16</v>
      </c>
    </row>
    <row r="3990" spans="1:4" ht="40.5">
      <c r="A3990" s="798">
        <v>89774</v>
      </c>
      <c r="B3990" s="799" t="s">
        <v>1478</v>
      </c>
      <c r="C3990" s="798" t="s">
        <v>24</v>
      </c>
      <c r="D3990" s="800">
        <v>16.21</v>
      </c>
    </row>
    <row r="3991" spans="1:4" ht="40.5">
      <c r="A3991" s="798">
        <v>89776</v>
      </c>
      <c r="B3991" s="799" t="s">
        <v>1480</v>
      </c>
      <c r="C3991" s="798" t="s">
        <v>24</v>
      </c>
      <c r="D3991" s="800">
        <v>23.3</v>
      </c>
    </row>
    <row r="3992" spans="1:4" ht="40.5">
      <c r="A3992" s="798">
        <v>89777</v>
      </c>
      <c r="B3992" s="799" t="s">
        <v>1481</v>
      </c>
      <c r="C3992" s="798" t="s">
        <v>24</v>
      </c>
      <c r="D3992" s="800">
        <v>31.04</v>
      </c>
    </row>
    <row r="3993" spans="1:4" ht="54">
      <c r="A3993" s="798">
        <v>89778</v>
      </c>
      <c r="B3993" s="799" t="s">
        <v>1482</v>
      </c>
      <c r="C3993" s="798" t="s">
        <v>24</v>
      </c>
      <c r="D3993" s="800">
        <v>19.989999999999998</v>
      </c>
    </row>
    <row r="3994" spans="1:4" ht="54">
      <c r="A3994" s="798">
        <v>89779</v>
      </c>
      <c r="B3994" s="799" t="s">
        <v>1483</v>
      </c>
      <c r="C3994" s="798" t="s">
        <v>24</v>
      </c>
      <c r="D3994" s="800">
        <v>33.119999999999997</v>
      </c>
    </row>
    <row r="3995" spans="1:4" ht="40.5">
      <c r="A3995" s="798">
        <v>89780</v>
      </c>
      <c r="B3995" s="799" t="s">
        <v>302</v>
      </c>
      <c r="C3995" s="798" t="s">
        <v>24</v>
      </c>
      <c r="D3995" s="800">
        <v>31.04</v>
      </c>
    </row>
    <row r="3996" spans="1:4" ht="40.5">
      <c r="A3996" s="798">
        <v>89781</v>
      </c>
      <c r="B3996" s="799" t="s">
        <v>1484</v>
      </c>
      <c r="C3996" s="798" t="s">
        <v>24</v>
      </c>
      <c r="D3996" s="800">
        <v>46.55</v>
      </c>
    </row>
    <row r="3997" spans="1:4" ht="40.5">
      <c r="A3997" s="798">
        <v>89782</v>
      </c>
      <c r="B3997" s="799" t="s">
        <v>1485</v>
      </c>
      <c r="C3997" s="798" t="s">
        <v>24</v>
      </c>
      <c r="D3997" s="800">
        <v>11.54</v>
      </c>
    </row>
    <row r="3998" spans="1:4" ht="40.5">
      <c r="A3998" s="798">
        <v>89783</v>
      </c>
      <c r="B3998" s="799" t="s">
        <v>1486</v>
      </c>
      <c r="C3998" s="798" t="s">
        <v>24</v>
      </c>
      <c r="D3998" s="800">
        <v>11.88</v>
      </c>
    </row>
    <row r="3999" spans="1:4" ht="40.5">
      <c r="A3999" s="798">
        <v>89784</v>
      </c>
      <c r="B3999" s="799" t="s">
        <v>1487</v>
      </c>
      <c r="C3999" s="798" t="s">
        <v>24</v>
      </c>
      <c r="D3999" s="800">
        <v>21.36</v>
      </c>
    </row>
    <row r="4000" spans="1:4" ht="54">
      <c r="A4000" s="798">
        <v>89785</v>
      </c>
      <c r="B4000" s="799" t="s">
        <v>1488</v>
      </c>
      <c r="C4000" s="798" t="s">
        <v>24</v>
      </c>
      <c r="D4000" s="800">
        <v>23.55</v>
      </c>
    </row>
    <row r="4001" spans="1:4" ht="40.5">
      <c r="A4001" s="798">
        <v>89786</v>
      </c>
      <c r="B4001" s="799" t="s">
        <v>1489</v>
      </c>
      <c r="C4001" s="798" t="s">
        <v>24</v>
      </c>
      <c r="D4001" s="800">
        <v>36.1</v>
      </c>
    </row>
    <row r="4002" spans="1:4" ht="40.5">
      <c r="A4002" s="798">
        <v>89787</v>
      </c>
      <c r="B4002" s="799" t="s">
        <v>1490</v>
      </c>
      <c r="C4002" s="798" t="s">
        <v>24</v>
      </c>
      <c r="D4002" s="800">
        <v>46.55</v>
      </c>
    </row>
    <row r="4003" spans="1:4" ht="40.5">
      <c r="A4003" s="798">
        <v>89788</v>
      </c>
      <c r="B4003" s="799" t="s">
        <v>1491</v>
      </c>
      <c r="C4003" s="798" t="s">
        <v>24</v>
      </c>
      <c r="D4003" s="800">
        <v>91.66</v>
      </c>
    </row>
    <row r="4004" spans="1:4" ht="40.5">
      <c r="A4004" s="798">
        <v>89789</v>
      </c>
      <c r="B4004" s="799" t="s">
        <v>1492</v>
      </c>
      <c r="C4004" s="798" t="s">
        <v>24</v>
      </c>
      <c r="D4004" s="800">
        <v>93.13</v>
      </c>
    </row>
    <row r="4005" spans="1:4" ht="40.5">
      <c r="A4005" s="798">
        <v>89790</v>
      </c>
      <c r="B4005" s="799" t="s">
        <v>1493</v>
      </c>
      <c r="C4005" s="798" t="s">
        <v>24</v>
      </c>
      <c r="D4005" s="800">
        <v>228.5</v>
      </c>
    </row>
    <row r="4006" spans="1:4" ht="40.5">
      <c r="A4006" s="798">
        <v>89791</v>
      </c>
      <c r="B4006" s="799" t="s">
        <v>1494</v>
      </c>
      <c r="C4006" s="798" t="s">
        <v>24</v>
      </c>
      <c r="D4006" s="800">
        <v>233.89</v>
      </c>
    </row>
    <row r="4007" spans="1:4" ht="40.5">
      <c r="A4007" s="798">
        <v>89792</v>
      </c>
      <c r="B4007" s="799" t="s">
        <v>1495</v>
      </c>
      <c r="C4007" s="798" t="s">
        <v>24</v>
      </c>
      <c r="D4007" s="800">
        <v>269.14</v>
      </c>
    </row>
    <row r="4008" spans="1:4" ht="40.5">
      <c r="A4008" s="798">
        <v>89793</v>
      </c>
      <c r="B4008" s="799" t="s">
        <v>1496</v>
      </c>
      <c r="C4008" s="798" t="s">
        <v>24</v>
      </c>
      <c r="D4008" s="800">
        <v>276.39999999999998</v>
      </c>
    </row>
    <row r="4009" spans="1:4" ht="27">
      <c r="A4009" s="798">
        <v>89794</v>
      </c>
      <c r="B4009" s="799" t="s">
        <v>1497</v>
      </c>
      <c r="C4009" s="798" t="s">
        <v>24</v>
      </c>
      <c r="D4009" s="800">
        <v>21.71</v>
      </c>
    </row>
    <row r="4010" spans="1:4" ht="54">
      <c r="A4010" s="798">
        <v>89795</v>
      </c>
      <c r="B4010" s="799" t="s">
        <v>1498</v>
      </c>
      <c r="C4010" s="798" t="s">
        <v>24</v>
      </c>
      <c r="D4010" s="800">
        <v>39.1</v>
      </c>
    </row>
    <row r="4011" spans="1:4" ht="40.5">
      <c r="A4011" s="798">
        <v>89796</v>
      </c>
      <c r="B4011" s="799" t="s">
        <v>1499</v>
      </c>
      <c r="C4011" s="798" t="s">
        <v>24</v>
      </c>
      <c r="D4011" s="800">
        <v>43.73</v>
      </c>
    </row>
    <row r="4012" spans="1:4" ht="54">
      <c r="A4012" s="798">
        <v>89797</v>
      </c>
      <c r="B4012" s="799" t="s">
        <v>1500</v>
      </c>
      <c r="C4012" s="798" t="s">
        <v>24</v>
      </c>
      <c r="D4012" s="800">
        <v>50.77</v>
      </c>
    </row>
    <row r="4013" spans="1:4" ht="40.5">
      <c r="A4013" s="798">
        <v>89801</v>
      </c>
      <c r="B4013" s="799" t="s">
        <v>1504</v>
      </c>
      <c r="C4013" s="798" t="s">
        <v>24</v>
      </c>
      <c r="D4013" s="800">
        <v>7.84</v>
      </c>
    </row>
    <row r="4014" spans="1:4" ht="40.5">
      <c r="A4014" s="798">
        <v>89802</v>
      </c>
      <c r="B4014" s="799" t="s">
        <v>1505</v>
      </c>
      <c r="C4014" s="798" t="s">
        <v>24</v>
      </c>
      <c r="D4014" s="800">
        <v>8.61</v>
      </c>
    </row>
    <row r="4015" spans="1:4" ht="54">
      <c r="A4015" s="798">
        <v>89803</v>
      </c>
      <c r="B4015" s="799" t="s">
        <v>1506</v>
      </c>
      <c r="C4015" s="798" t="s">
        <v>24</v>
      </c>
      <c r="D4015" s="800">
        <v>16.87</v>
      </c>
    </row>
    <row r="4016" spans="1:4" ht="54">
      <c r="A4016" s="798">
        <v>89804</v>
      </c>
      <c r="B4016" s="799" t="s">
        <v>1507</v>
      </c>
      <c r="C4016" s="798" t="s">
        <v>24</v>
      </c>
      <c r="D4016" s="800">
        <v>18.13</v>
      </c>
    </row>
    <row r="4017" spans="1:4" ht="40.5">
      <c r="A4017" s="798">
        <v>89805</v>
      </c>
      <c r="B4017" s="799" t="s">
        <v>1508</v>
      </c>
      <c r="C4017" s="798" t="s">
        <v>24</v>
      </c>
      <c r="D4017" s="800">
        <v>15.82</v>
      </c>
    </row>
    <row r="4018" spans="1:4" ht="40.5">
      <c r="A4018" s="798">
        <v>89806</v>
      </c>
      <c r="B4018" s="799" t="s">
        <v>1509</v>
      </c>
      <c r="C4018" s="798" t="s">
        <v>24</v>
      </c>
      <c r="D4018" s="800">
        <v>16.920000000000002</v>
      </c>
    </row>
    <row r="4019" spans="1:4" ht="54">
      <c r="A4019" s="798">
        <v>89807</v>
      </c>
      <c r="B4019" s="799" t="s">
        <v>1510</v>
      </c>
      <c r="C4019" s="798" t="s">
        <v>24</v>
      </c>
      <c r="D4019" s="800">
        <v>31.47</v>
      </c>
    </row>
    <row r="4020" spans="1:4" ht="54">
      <c r="A4020" s="798">
        <v>89808</v>
      </c>
      <c r="B4020" s="799" t="s">
        <v>1511</v>
      </c>
      <c r="C4020" s="798" t="s">
        <v>24</v>
      </c>
      <c r="D4020" s="800">
        <v>47.17</v>
      </c>
    </row>
    <row r="4021" spans="1:4" ht="40.5">
      <c r="A4021" s="798">
        <v>89809</v>
      </c>
      <c r="B4021" s="799" t="s">
        <v>1512</v>
      </c>
      <c r="C4021" s="798" t="s">
        <v>24</v>
      </c>
      <c r="D4021" s="800">
        <v>20.73</v>
      </c>
    </row>
    <row r="4022" spans="1:4" ht="40.5">
      <c r="A4022" s="798">
        <v>89810</v>
      </c>
      <c r="B4022" s="799" t="s">
        <v>1513</v>
      </c>
      <c r="C4022" s="798" t="s">
        <v>24</v>
      </c>
      <c r="D4022" s="800">
        <v>20.66</v>
      </c>
    </row>
    <row r="4023" spans="1:4" ht="54">
      <c r="A4023" s="798">
        <v>89811</v>
      </c>
      <c r="B4023" s="799" t="s">
        <v>1514</v>
      </c>
      <c r="C4023" s="798" t="s">
        <v>24</v>
      </c>
      <c r="D4023" s="800">
        <v>37.75</v>
      </c>
    </row>
    <row r="4024" spans="1:4" ht="54">
      <c r="A4024" s="798">
        <v>89812</v>
      </c>
      <c r="B4024" s="799" t="s">
        <v>1515</v>
      </c>
      <c r="C4024" s="798" t="s">
        <v>24</v>
      </c>
      <c r="D4024" s="800">
        <v>67.94</v>
      </c>
    </row>
    <row r="4025" spans="1:4" ht="40.5">
      <c r="A4025" s="798">
        <v>89813</v>
      </c>
      <c r="B4025" s="799" t="s">
        <v>1516</v>
      </c>
      <c r="C4025" s="798" t="s">
        <v>24</v>
      </c>
      <c r="D4025" s="800">
        <v>7.97</v>
      </c>
    </row>
    <row r="4026" spans="1:4" ht="40.5">
      <c r="A4026" s="798">
        <v>89814</v>
      </c>
      <c r="B4026" s="799" t="s">
        <v>1517</v>
      </c>
      <c r="C4026" s="798" t="s">
        <v>24</v>
      </c>
      <c r="D4026" s="800">
        <v>17.14</v>
      </c>
    </row>
    <row r="4027" spans="1:4" ht="40.5">
      <c r="A4027" s="798">
        <v>89815</v>
      </c>
      <c r="B4027" s="799" t="s">
        <v>1518</v>
      </c>
      <c r="C4027" s="798" t="s">
        <v>24</v>
      </c>
      <c r="D4027" s="800">
        <v>36.590000000000003</v>
      </c>
    </row>
    <row r="4028" spans="1:4" ht="27">
      <c r="A4028" s="798">
        <v>89816</v>
      </c>
      <c r="B4028" s="799" t="s">
        <v>1519</v>
      </c>
      <c r="C4028" s="798" t="s">
        <v>24</v>
      </c>
      <c r="D4028" s="800">
        <v>52.55</v>
      </c>
    </row>
    <row r="4029" spans="1:4" ht="40.5">
      <c r="A4029" s="798">
        <v>89817</v>
      </c>
      <c r="B4029" s="799" t="s">
        <v>1520</v>
      </c>
      <c r="C4029" s="798" t="s">
        <v>24</v>
      </c>
      <c r="D4029" s="800">
        <v>13.81</v>
      </c>
    </row>
    <row r="4030" spans="1:4" ht="40.5">
      <c r="A4030" s="798">
        <v>89818</v>
      </c>
      <c r="B4030" s="799" t="s">
        <v>1521</v>
      </c>
      <c r="C4030" s="798" t="s">
        <v>24</v>
      </c>
      <c r="D4030" s="800">
        <v>210.43</v>
      </c>
    </row>
    <row r="4031" spans="1:4" ht="40.5">
      <c r="A4031" s="798">
        <v>89819</v>
      </c>
      <c r="B4031" s="799" t="s">
        <v>1522</v>
      </c>
      <c r="C4031" s="798" t="s">
        <v>24</v>
      </c>
      <c r="D4031" s="800">
        <v>20.9</v>
      </c>
    </row>
    <row r="4032" spans="1:4" ht="40.5">
      <c r="A4032" s="798">
        <v>89820</v>
      </c>
      <c r="B4032" s="799" t="s">
        <v>1523</v>
      </c>
      <c r="C4032" s="798" t="s">
        <v>24</v>
      </c>
      <c r="D4032" s="800">
        <v>39.79</v>
      </c>
    </row>
    <row r="4033" spans="1:4" ht="40.5">
      <c r="A4033" s="798">
        <v>89821</v>
      </c>
      <c r="B4033" s="799" t="s">
        <v>1524</v>
      </c>
      <c r="C4033" s="798" t="s">
        <v>24</v>
      </c>
      <c r="D4033" s="800">
        <v>16.899999999999999</v>
      </c>
    </row>
    <row r="4034" spans="1:4" ht="27">
      <c r="A4034" s="798">
        <v>89822</v>
      </c>
      <c r="B4034" s="799" t="s">
        <v>1525</v>
      </c>
      <c r="C4034" s="798" t="s">
        <v>24</v>
      </c>
      <c r="D4034" s="800">
        <v>28.59</v>
      </c>
    </row>
    <row r="4035" spans="1:4" ht="40.5">
      <c r="A4035" s="798">
        <v>89823</v>
      </c>
      <c r="B4035" s="799" t="s">
        <v>1526</v>
      </c>
      <c r="C4035" s="798" t="s">
        <v>24</v>
      </c>
      <c r="D4035" s="800">
        <v>30.03</v>
      </c>
    </row>
    <row r="4036" spans="1:4" ht="40.5">
      <c r="A4036" s="798">
        <v>89824</v>
      </c>
      <c r="B4036" s="799" t="s">
        <v>1527</v>
      </c>
      <c r="C4036" s="798" t="s">
        <v>24</v>
      </c>
      <c r="D4036" s="800">
        <v>49.8</v>
      </c>
    </row>
    <row r="4037" spans="1:4" ht="40.5">
      <c r="A4037" s="798">
        <v>89825</v>
      </c>
      <c r="B4037" s="799" t="s">
        <v>1528</v>
      </c>
      <c r="C4037" s="798" t="s">
        <v>24</v>
      </c>
      <c r="D4037" s="800">
        <v>17.59</v>
      </c>
    </row>
    <row r="4038" spans="1:4" ht="40.5">
      <c r="A4038" s="798">
        <v>89826</v>
      </c>
      <c r="B4038" s="799" t="s">
        <v>1529</v>
      </c>
      <c r="C4038" s="798" t="s">
        <v>24</v>
      </c>
      <c r="D4038" s="800">
        <v>214.9</v>
      </c>
    </row>
    <row r="4039" spans="1:4" ht="40.5">
      <c r="A4039" s="798">
        <v>89827</v>
      </c>
      <c r="B4039" s="799" t="s">
        <v>1530</v>
      </c>
      <c r="C4039" s="798" t="s">
        <v>24</v>
      </c>
      <c r="D4039" s="800">
        <v>19.78</v>
      </c>
    </row>
    <row r="4040" spans="1:4" ht="27">
      <c r="A4040" s="798">
        <v>89828</v>
      </c>
      <c r="B4040" s="799" t="s">
        <v>1531</v>
      </c>
      <c r="C4040" s="798" t="s">
        <v>24</v>
      </c>
      <c r="D4040" s="800">
        <v>75.97</v>
      </c>
    </row>
    <row r="4041" spans="1:4" ht="40.5">
      <c r="A4041" s="798">
        <v>89829</v>
      </c>
      <c r="B4041" s="799" t="s">
        <v>1532</v>
      </c>
      <c r="C4041" s="798" t="s">
        <v>24</v>
      </c>
      <c r="D4041" s="800">
        <v>31.29</v>
      </c>
    </row>
    <row r="4042" spans="1:4" ht="40.5">
      <c r="A4042" s="798">
        <v>89830</v>
      </c>
      <c r="B4042" s="799" t="s">
        <v>1533</v>
      </c>
      <c r="C4042" s="798" t="s">
        <v>24</v>
      </c>
      <c r="D4042" s="800">
        <v>34.29</v>
      </c>
    </row>
    <row r="4043" spans="1:4" ht="40.5">
      <c r="A4043" s="798">
        <v>89831</v>
      </c>
      <c r="B4043" s="799" t="s">
        <v>1534</v>
      </c>
      <c r="C4043" s="798" t="s">
        <v>24</v>
      </c>
      <c r="D4043" s="800">
        <v>256.99</v>
      </c>
    </row>
    <row r="4044" spans="1:4" ht="40.5">
      <c r="A4044" s="798">
        <v>89832</v>
      </c>
      <c r="B4044" s="799" t="s">
        <v>1535</v>
      </c>
      <c r="C4044" s="798" t="s">
        <v>24</v>
      </c>
      <c r="D4044" s="800">
        <v>52.21</v>
      </c>
    </row>
    <row r="4045" spans="1:4" ht="40.5">
      <c r="A4045" s="798">
        <v>89833</v>
      </c>
      <c r="B4045" s="799" t="s">
        <v>1536</v>
      </c>
      <c r="C4045" s="798" t="s">
        <v>24</v>
      </c>
      <c r="D4045" s="800">
        <v>37.909999999999997</v>
      </c>
    </row>
    <row r="4046" spans="1:4" ht="54">
      <c r="A4046" s="798">
        <v>89834</v>
      </c>
      <c r="B4046" s="799" t="s">
        <v>1537</v>
      </c>
      <c r="C4046" s="798" t="s">
        <v>24</v>
      </c>
      <c r="D4046" s="800">
        <v>44.95</v>
      </c>
    </row>
    <row r="4047" spans="1:4" ht="27">
      <c r="A4047" s="798">
        <v>89835</v>
      </c>
      <c r="B4047" s="799" t="s">
        <v>1538</v>
      </c>
      <c r="C4047" s="798" t="s">
        <v>24</v>
      </c>
      <c r="D4047" s="800">
        <v>51.39</v>
      </c>
    </row>
    <row r="4048" spans="1:4" ht="40.5">
      <c r="A4048" s="798">
        <v>89836</v>
      </c>
      <c r="B4048" s="799" t="s">
        <v>1539</v>
      </c>
      <c r="C4048" s="798" t="s">
        <v>24</v>
      </c>
      <c r="D4048" s="800">
        <v>347.29</v>
      </c>
    </row>
    <row r="4049" spans="1:4" ht="27">
      <c r="A4049" s="798">
        <v>89837</v>
      </c>
      <c r="B4049" s="799" t="s">
        <v>1540</v>
      </c>
      <c r="C4049" s="798" t="s">
        <v>24</v>
      </c>
      <c r="D4049" s="800">
        <v>172.81</v>
      </c>
    </row>
    <row r="4050" spans="1:4" ht="27">
      <c r="A4050" s="798">
        <v>89838</v>
      </c>
      <c r="B4050" s="799" t="s">
        <v>1541</v>
      </c>
      <c r="C4050" s="798" t="s">
        <v>24</v>
      </c>
      <c r="D4050" s="800">
        <v>188.5</v>
      </c>
    </row>
    <row r="4051" spans="1:4" ht="27">
      <c r="A4051" s="798">
        <v>89839</v>
      </c>
      <c r="B4051" s="799" t="s">
        <v>1542</v>
      </c>
      <c r="C4051" s="798" t="s">
        <v>24</v>
      </c>
      <c r="D4051" s="800">
        <v>250.58</v>
      </c>
    </row>
    <row r="4052" spans="1:4" ht="27">
      <c r="A4052" s="798">
        <v>89840</v>
      </c>
      <c r="B4052" s="799" t="s">
        <v>1543</v>
      </c>
      <c r="C4052" s="798" t="s">
        <v>24</v>
      </c>
      <c r="D4052" s="800">
        <v>218.35</v>
      </c>
    </row>
    <row r="4053" spans="1:4" ht="27">
      <c r="A4053" s="798">
        <v>89841</v>
      </c>
      <c r="B4053" s="799" t="s">
        <v>1544</v>
      </c>
      <c r="C4053" s="798" t="s">
        <v>24</v>
      </c>
      <c r="D4053" s="800">
        <v>368.35</v>
      </c>
    </row>
    <row r="4054" spans="1:4" ht="27">
      <c r="A4054" s="798">
        <v>89842</v>
      </c>
      <c r="B4054" s="799" t="s">
        <v>1545</v>
      </c>
      <c r="C4054" s="798" t="s">
        <v>24</v>
      </c>
      <c r="D4054" s="800">
        <v>58.16</v>
      </c>
    </row>
    <row r="4055" spans="1:4" ht="27">
      <c r="A4055" s="798">
        <v>89844</v>
      </c>
      <c r="B4055" s="799" t="s">
        <v>1546</v>
      </c>
      <c r="C4055" s="798" t="s">
        <v>24</v>
      </c>
      <c r="D4055" s="800">
        <v>74.260000000000005</v>
      </c>
    </row>
    <row r="4056" spans="1:4" ht="27">
      <c r="A4056" s="798">
        <v>89845</v>
      </c>
      <c r="B4056" s="799" t="s">
        <v>1547</v>
      </c>
      <c r="C4056" s="798" t="s">
        <v>24</v>
      </c>
      <c r="D4056" s="800">
        <v>115.69</v>
      </c>
    </row>
    <row r="4057" spans="1:4" ht="27">
      <c r="A4057" s="798">
        <v>89846</v>
      </c>
      <c r="B4057" s="799" t="s">
        <v>1548</v>
      </c>
      <c r="C4057" s="798" t="s">
        <v>24</v>
      </c>
      <c r="D4057" s="800">
        <v>262.32</v>
      </c>
    </row>
    <row r="4058" spans="1:4" ht="27">
      <c r="A4058" s="798">
        <v>89847</v>
      </c>
      <c r="B4058" s="799" t="s">
        <v>1549</v>
      </c>
      <c r="C4058" s="798" t="s">
        <v>24</v>
      </c>
      <c r="D4058" s="800">
        <v>323.2</v>
      </c>
    </row>
    <row r="4059" spans="1:4" ht="40.5">
      <c r="A4059" s="798">
        <v>89850</v>
      </c>
      <c r="B4059" s="799" t="s">
        <v>1552</v>
      </c>
      <c r="C4059" s="798" t="s">
        <v>24</v>
      </c>
      <c r="D4059" s="800">
        <v>24.84</v>
      </c>
    </row>
    <row r="4060" spans="1:4" ht="40.5">
      <c r="A4060" s="798">
        <v>89851</v>
      </c>
      <c r="B4060" s="799" t="s">
        <v>1553</v>
      </c>
      <c r="C4060" s="798" t="s">
        <v>24</v>
      </c>
      <c r="D4060" s="800">
        <v>24.77</v>
      </c>
    </row>
    <row r="4061" spans="1:4" ht="54">
      <c r="A4061" s="798">
        <v>89852</v>
      </c>
      <c r="B4061" s="799" t="s">
        <v>1554</v>
      </c>
      <c r="C4061" s="798" t="s">
        <v>24</v>
      </c>
      <c r="D4061" s="800">
        <v>41.86</v>
      </c>
    </row>
    <row r="4062" spans="1:4" ht="54">
      <c r="A4062" s="798">
        <v>89853</v>
      </c>
      <c r="B4062" s="799" t="s">
        <v>1555</v>
      </c>
      <c r="C4062" s="798" t="s">
        <v>24</v>
      </c>
      <c r="D4062" s="800">
        <v>72.05</v>
      </c>
    </row>
    <row r="4063" spans="1:4" ht="40.5">
      <c r="A4063" s="798">
        <v>89854</v>
      </c>
      <c r="B4063" s="799" t="s">
        <v>1556</v>
      </c>
      <c r="C4063" s="798" t="s">
        <v>24</v>
      </c>
      <c r="D4063" s="800">
        <v>94.02</v>
      </c>
    </row>
    <row r="4064" spans="1:4" ht="40.5">
      <c r="A4064" s="798">
        <v>89855</v>
      </c>
      <c r="B4064" s="799" t="s">
        <v>1557</v>
      </c>
      <c r="C4064" s="798" t="s">
        <v>24</v>
      </c>
      <c r="D4064" s="800">
        <v>100.11</v>
      </c>
    </row>
    <row r="4065" spans="1:4" ht="40.5">
      <c r="A4065" s="798">
        <v>89856</v>
      </c>
      <c r="B4065" s="799" t="s">
        <v>1558</v>
      </c>
      <c r="C4065" s="798" t="s">
        <v>24</v>
      </c>
      <c r="D4065" s="800">
        <v>19.64</v>
      </c>
    </row>
    <row r="4066" spans="1:4" ht="40.5">
      <c r="A4066" s="798">
        <v>89857</v>
      </c>
      <c r="B4066" s="799" t="s">
        <v>1559</v>
      </c>
      <c r="C4066" s="798" t="s">
        <v>24</v>
      </c>
      <c r="D4066" s="800">
        <v>32.770000000000003</v>
      </c>
    </row>
    <row r="4067" spans="1:4" ht="40.5">
      <c r="A4067" s="798">
        <v>89859</v>
      </c>
      <c r="B4067" s="799" t="s">
        <v>1560</v>
      </c>
      <c r="C4067" s="798" t="s">
        <v>24</v>
      </c>
      <c r="D4067" s="800">
        <v>114.05</v>
      </c>
    </row>
    <row r="4068" spans="1:4" ht="40.5">
      <c r="A4068" s="798">
        <v>89860</v>
      </c>
      <c r="B4068" s="799" t="s">
        <v>1561</v>
      </c>
      <c r="C4068" s="798" t="s">
        <v>24</v>
      </c>
      <c r="D4068" s="800">
        <v>43.4</v>
      </c>
    </row>
    <row r="4069" spans="1:4" ht="40.5">
      <c r="A4069" s="798">
        <v>89861</v>
      </c>
      <c r="B4069" s="799" t="s">
        <v>1562</v>
      </c>
      <c r="C4069" s="798" t="s">
        <v>24</v>
      </c>
      <c r="D4069" s="800">
        <v>50.44</v>
      </c>
    </row>
    <row r="4070" spans="1:4" ht="40.5">
      <c r="A4070" s="798">
        <v>89862</v>
      </c>
      <c r="B4070" s="799" t="s">
        <v>1563</v>
      </c>
      <c r="C4070" s="798" t="s">
        <v>24</v>
      </c>
      <c r="D4070" s="800">
        <v>101.58</v>
      </c>
    </row>
    <row r="4071" spans="1:4" ht="40.5">
      <c r="A4071" s="798">
        <v>89863</v>
      </c>
      <c r="B4071" s="799" t="s">
        <v>1564</v>
      </c>
      <c r="C4071" s="798" t="s">
        <v>24</v>
      </c>
      <c r="D4071" s="800">
        <v>219.12</v>
      </c>
    </row>
    <row r="4072" spans="1:4" ht="40.5">
      <c r="A4072" s="798">
        <v>89866</v>
      </c>
      <c r="B4072" s="799" t="s">
        <v>1565</v>
      </c>
      <c r="C4072" s="798" t="s">
        <v>24</v>
      </c>
      <c r="D4072" s="800">
        <v>4.45</v>
      </c>
    </row>
    <row r="4073" spans="1:4" ht="40.5">
      <c r="A4073" s="798">
        <v>89867</v>
      </c>
      <c r="B4073" s="799" t="s">
        <v>1566</v>
      </c>
      <c r="C4073" s="798" t="s">
        <v>24</v>
      </c>
      <c r="D4073" s="800">
        <v>5.27</v>
      </c>
    </row>
    <row r="4074" spans="1:4" ht="40.5">
      <c r="A4074" s="798">
        <v>89868</v>
      </c>
      <c r="B4074" s="799" t="s">
        <v>305</v>
      </c>
      <c r="C4074" s="798" t="s">
        <v>24</v>
      </c>
      <c r="D4074" s="800">
        <v>3.47</v>
      </c>
    </row>
    <row r="4075" spans="1:4" ht="27">
      <c r="A4075" s="798">
        <v>89869</v>
      </c>
      <c r="B4075" s="799" t="s">
        <v>1567</v>
      </c>
      <c r="C4075" s="798" t="s">
        <v>24</v>
      </c>
      <c r="D4075" s="800">
        <v>7.57</v>
      </c>
    </row>
    <row r="4076" spans="1:4" ht="40.5">
      <c r="A4076" s="798">
        <v>89979</v>
      </c>
      <c r="B4076" s="799" t="s">
        <v>1576</v>
      </c>
      <c r="C4076" s="798" t="s">
        <v>24</v>
      </c>
      <c r="D4076" s="800">
        <v>25.61</v>
      </c>
    </row>
    <row r="4077" spans="1:4" ht="40.5">
      <c r="A4077" s="798">
        <v>89980</v>
      </c>
      <c r="B4077" s="799" t="s">
        <v>1577</v>
      </c>
      <c r="C4077" s="798" t="s">
        <v>24</v>
      </c>
      <c r="D4077" s="800">
        <v>9.8699999999999992</v>
      </c>
    </row>
    <row r="4078" spans="1:4" ht="40.5">
      <c r="A4078" s="798">
        <v>89981</v>
      </c>
      <c r="B4078" s="799" t="s">
        <v>1578</v>
      </c>
      <c r="C4078" s="798" t="s">
        <v>24</v>
      </c>
      <c r="D4078" s="800">
        <v>23.12</v>
      </c>
    </row>
    <row r="4079" spans="1:4" ht="40.5">
      <c r="A4079" s="798">
        <v>90373</v>
      </c>
      <c r="B4079" s="799" t="s">
        <v>1579</v>
      </c>
      <c r="C4079" s="798" t="s">
        <v>24</v>
      </c>
      <c r="D4079" s="800">
        <v>13.04</v>
      </c>
    </row>
    <row r="4080" spans="1:4" ht="40.5">
      <c r="A4080" s="798">
        <v>90374</v>
      </c>
      <c r="B4080" s="799" t="s">
        <v>1580</v>
      </c>
      <c r="C4080" s="798" t="s">
        <v>24</v>
      </c>
      <c r="D4080" s="800">
        <v>20.72</v>
      </c>
    </row>
    <row r="4081" spans="1:4" ht="40.5">
      <c r="A4081" s="798">
        <v>90375</v>
      </c>
      <c r="B4081" s="799" t="s">
        <v>320</v>
      </c>
      <c r="C4081" s="798" t="s">
        <v>24</v>
      </c>
      <c r="D4081" s="800">
        <v>7.94</v>
      </c>
    </row>
    <row r="4082" spans="1:4" ht="40.5">
      <c r="A4082" s="798">
        <v>92287</v>
      </c>
      <c r="B4082" s="799" t="s">
        <v>3448</v>
      </c>
      <c r="C4082" s="798" t="s">
        <v>24</v>
      </c>
      <c r="D4082" s="800">
        <v>18.739999999999998</v>
      </c>
    </row>
    <row r="4083" spans="1:4" ht="40.5">
      <c r="A4083" s="798">
        <v>92288</v>
      </c>
      <c r="B4083" s="799" t="s">
        <v>3449</v>
      </c>
      <c r="C4083" s="798" t="s">
        <v>24</v>
      </c>
      <c r="D4083" s="800">
        <v>29.64</v>
      </c>
    </row>
    <row r="4084" spans="1:4" ht="40.5">
      <c r="A4084" s="798">
        <v>92289</v>
      </c>
      <c r="B4084" s="799" t="s">
        <v>3450</v>
      </c>
      <c r="C4084" s="798" t="s">
        <v>24</v>
      </c>
      <c r="D4084" s="800">
        <v>53.38</v>
      </c>
    </row>
    <row r="4085" spans="1:4" ht="40.5">
      <c r="A4085" s="798">
        <v>92290</v>
      </c>
      <c r="B4085" s="799" t="s">
        <v>3451</v>
      </c>
      <c r="C4085" s="798" t="s">
        <v>24</v>
      </c>
      <c r="D4085" s="800">
        <v>82.1</v>
      </c>
    </row>
    <row r="4086" spans="1:4" ht="40.5">
      <c r="A4086" s="798">
        <v>92291</v>
      </c>
      <c r="B4086" s="799" t="s">
        <v>3452</v>
      </c>
      <c r="C4086" s="798" t="s">
        <v>24</v>
      </c>
      <c r="D4086" s="800">
        <v>126.74</v>
      </c>
    </row>
    <row r="4087" spans="1:4" ht="40.5">
      <c r="A4087" s="798">
        <v>92292</v>
      </c>
      <c r="B4087" s="799" t="s">
        <v>3453</v>
      </c>
      <c r="C4087" s="798" t="s">
        <v>24</v>
      </c>
      <c r="D4087" s="800">
        <v>403.59</v>
      </c>
    </row>
    <row r="4088" spans="1:4" ht="27">
      <c r="A4088" s="798">
        <v>92293</v>
      </c>
      <c r="B4088" s="799" t="s">
        <v>3454</v>
      </c>
      <c r="C4088" s="798" t="s">
        <v>24</v>
      </c>
      <c r="D4088" s="800">
        <v>10.59</v>
      </c>
    </row>
    <row r="4089" spans="1:4" ht="27">
      <c r="A4089" s="798">
        <v>92294</v>
      </c>
      <c r="B4089" s="799" t="s">
        <v>3455</v>
      </c>
      <c r="C4089" s="798" t="s">
        <v>24</v>
      </c>
      <c r="D4089" s="800">
        <v>18.059999999999999</v>
      </c>
    </row>
    <row r="4090" spans="1:4" ht="27">
      <c r="A4090" s="798">
        <v>92295</v>
      </c>
      <c r="B4090" s="799" t="s">
        <v>3456</v>
      </c>
      <c r="C4090" s="798" t="s">
        <v>24</v>
      </c>
      <c r="D4090" s="800">
        <v>34.71</v>
      </c>
    </row>
    <row r="4091" spans="1:4" ht="27">
      <c r="A4091" s="798">
        <v>92296</v>
      </c>
      <c r="B4091" s="799" t="s">
        <v>3457</v>
      </c>
      <c r="C4091" s="798" t="s">
        <v>24</v>
      </c>
      <c r="D4091" s="800">
        <v>46.56</v>
      </c>
    </row>
    <row r="4092" spans="1:4" ht="27">
      <c r="A4092" s="798">
        <v>92297</v>
      </c>
      <c r="B4092" s="799" t="s">
        <v>3458</v>
      </c>
      <c r="C4092" s="798" t="s">
        <v>24</v>
      </c>
      <c r="D4092" s="800">
        <v>72.62</v>
      </c>
    </row>
    <row r="4093" spans="1:4" ht="27">
      <c r="A4093" s="798">
        <v>92298</v>
      </c>
      <c r="B4093" s="799" t="s">
        <v>3459</v>
      </c>
      <c r="C4093" s="798" t="s">
        <v>24</v>
      </c>
      <c r="D4093" s="800">
        <v>208.19</v>
      </c>
    </row>
    <row r="4094" spans="1:4" ht="27">
      <c r="A4094" s="798">
        <v>92299</v>
      </c>
      <c r="B4094" s="799" t="s">
        <v>3460</v>
      </c>
      <c r="C4094" s="798" t="s">
        <v>24</v>
      </c>
      <c r="D4094" s="800">
        <v>24.67</v>
      </c>
    </row>
    <row r="4095" spans="1:4" ht="27">
      <c r="A4095" s="798">
        <v>92300</v>
      </c>
      <c r="B4095" s="799" t="s">
        <v>3461</v>
      </c>
      <c r="C4095" s="798" t="s">
        <v>24</v>
      </c>
      <c r="D4095" s="800">
        <v>37.61</v>
      </c>
    </row>
    <row r="4096" spans="1:4" ht="27">
      <c r="A4096" s="798">
        <v>92301</v>
      </c>
      <c r="B4096" s="799" t="s">
        <v>3462</v>
      </c>
      <c r="C4096" s="798" t="s">
        <v>24</v>
      </c>
      <c r="D4096" s="800">
        <v>76.180000000000007</v>
      </c>
    </row>
    <row r="4097" spans="1:4" ht="27">
      <c r="A4097" s="798">
        <v>92302</v>
      </c>
      <c r="B4097" s="799" t="s">
        <v>3463</v>
      </c>
      <c r="C4097" s="798" t="s">
        <v>24</v>
      </c>
      <c r="D4097" s="800">
        <v>101.49</v>
      </c>
    </row>
    <row r="4098" spans="1:4" ht="27">
      <c r="A4098" s="798">
        <v>92303</v>
      </c>
      <c r="B4098" s="799" t="s">
        <v>3464</v>
      </c>
      <c r="C4098" s="798" t="s">
        <v>24</v>
      </c>
      <c r="D4098" s="800">
        <v>188.49</v>
      </c>
    </row>
    <row r="4099" spans="1:4" ht="27">
      <c r="A4099" s="798">
        <v>92304</v>
      </c>
      <c r="B4099" s="799" t="s">
        <v>3465</v>
      </c>
      <c r="C4099" s="798" t="s">
        <v>24</v>
      </c>
      <c r="D4099" s="800">
        <v>497.6</v>
      </c>
    </row>
    <row r="4100" spans="1:4" ht="40.5">
      <c r="A4100" s="798">
        <v>92311</v>
      </c>
      <c r="B4100" s="799" t="s">
        <v>3466</v>
      </c>
      <c r="C4100" s="798" t="s">
        <v>24</v>
      </c>
      <c r="D4100" s="800">
        <v>11.87</v>
      </c>
    </row>
    <row r="4101" spans="1:4" ht="40.5">
      <c r="A4101" s="798">
        <v>92312</v>
      </c>
      <c r="B4101" s="799" t="s">
        <v>3467</v>
      </c>
      <c r="C4101" s="798" t="s">
        <v>24</v>
      </c>
      <c r="D4101" s="800">
        <v>20.88</v>
      </c>
    </row>
    <row r="4102" spans="1:4" ht="40.5">
      <c r="A4102" s="798">
        <v>92313</v>
      </c>
      <c r="B4102" s="799" t="s">
        <v>3468</v>
      </c>
      <c r="C4102" s="798" t="s">
        <v>24</v>
      </c>
      <c r="D4102" s="800">
        <v>31.77</v>
      </c>
    </row>
    <row r="4103" spans="1:4" ht="40.5">
      <c r="A4103" s="798">
        <v>92314</v>
      </c>
      <c r="B4103" s="799" t="s">
        <v>3469</v>
      </c>
      <c r="C4103" s="798" t="s">
        <v>24</v>
      </c>
      <c r="D4103" s="800">
        <v>7.67</v>
      </c>
    </row>
    <row r="4104" spans="1:4" ht="40.5">
      <c r="A4104" s="798">
        <v>92315</v>
      </c>
      <c r="B4104" s="799" t="s">
        <v>3470</v>
      </c>
      <c r="C4104" s="798" t="s">
        <v>24</v>
      </c>
      <c r="D4104" s="800">
        <v>12.05</v>
      </c>
    </row>
    <row r="4105" spans="1:4" ht="40.5">
      <c r="A4105" s="798">
        <v>92316</v>
      </c>
      <c r="B4105" s="799" t="s">
        <v>3471</v>
      </c>
      <c r="C4105" s="798" t="s">
        <v>24</v>
      </c>
      <c r="D4105" s="800">
        <v>19.5</v>
      </c>
    </row>
    <row r="4106" spans="1:4" ht="40.5">
      <c r="A4106" s="798">
        <v>92317</v>
      </c>
      <c r="B4106" s="799" t="s">
        <v>3472</v>
      </c>
      <c r="C4106" s="798" t="s">
        <v>24</v>
      </c>
      <c r="D4106" s="800">
        <v>16.22</v>
      </c>
    </row>
    <row r="4107" spans="1:4" ht="40.5">
      <c r="A4107" s="798">
        <v>92318</v>
      </c>
      <c r="B4107" s="799" t="s">
        <v>3473</v>
      </c>
      <c r="C4107" s="798" t="s">
        <v>24</v>
      </c>
      <c r="D4107" s="800">
        <v>27.54</v>
      </c>
    </row>
    <row r="4108" spans="1:4" ht="40.5">
      <c r="A4108" s="798">
        <v>92319</v>
      </c>
      <c r="B4108" s="799" t="s">
        <v>3474</v>
      </c>
      <c r="C4108" s="798" t="s">
        <v>24</v>
      </c>
      <c r="D4108" s="800">
        <v>40.479999999999997</v>
      </c>
    </row>
    <row r="4109" spans="1:4" ht="40.5">
      <c r="A4109" s="798">
        <v>92326</v>
      </c>
      <c r="B4109" s="799" t="s">
        <v>3475</v>
      </c>
      <c r="C4109" s="798" t="s">
        <v>24</v>
      </c>
      <c r="D4109" s="800">
        <v>13.45</v>
      </c>
    </row>
    <row r="4110" spans="1:4" ht="40.5">
      <c r="A4110" s="798">
        <v>92327</v>
      </c>
      <c r="B4110" s="799" t="s">
        <v>3476</v>
      </c>
      <c r="C4110" s="798" t="s">
        <v>24</v>
      </c>
      <c r="D4110" s="800">
        <v>22.88</v>
      </c>
    </row>
    <row r="4111" spans="1:4" ht="40.5">
      <c r="A4111" s="798">
        <v>92328</v>
      </c>
      <c r="B4111" s="799" t="s">
        <v>3477</v>
      </c>
      <c r="C4111" s="798" t="s">
        <v>24</v>
      </c>
      <c r="D4111" s="800">
        <v>35.31</v>
      </c>
    </row>
    <row r="4112" spans="1:4" ht="40.5">
      <c r="A4112" s="798">
        <v>92329</v>
      </c>
      <c r="B4112" s="799" t="s">
        <v>3478</v>
      </c>
      <c r="C4112" s="798" t="s">
        <v>24</v>
      </c>
      <c r="D4112" s="800">
        <v>7.8</v>
      </c>
    </row>
    <row r="4113" spans="1:4" ht="40.5">
      <c r="A4113" s="798">
        <v>92330</v>
      </c>
      <c r="B4113" s="799" t="s">
        <v>3479</v>
      </c>
      <c r="C4113" s="798" t="s">
        <v>24</v>
      </c>
      <c r="D4113" s="800">
        <v>13.36</v>
      </c>
    </row>
    <row r="4114" spans="1:4" ht="40.5">
      <c r="A4114" s="798">
        <v>92331</v>
      </c>
      <c r="B4114" s="799" t="s">
        <v>3480</v>
      </c>
      <c r="C4114" s="798" t="s">
        <v>24</v>
      </c>
      <c r="D4114" s="800">
        <v>21.88</v>
      </c>
    </row>
    <row r="4115" spans="1:4" ht="40.5">
      <c r="A4115" s="798">
        <v>92332</v>
      </c>
      <c r="B4115" s="799" t="s">
        <v>3481</v>
      </c>
      <c r="C4115" s="798" t="s">
        <v>24</v>
      </c>
      <c r="D4115" s="800">
        <v>16.420000000000002</v>
      </c>
    </row>
    <row r="4116" spans="1:4" ht="40.5">
      <c r="A4116" s="798">
        <v>92333</v>
      </c>
      <c r="B4116" s="799" t="s">
        <v>3482</v>
      </c>
      <c r="C4116" s="798" t="s">
        <v>24</v>
      </c>
      <c r="D4116" s="800">
        <v>30.18</v>
      </c>
    </row>
    <row r="4117" spans="1:4" ht="40.5">
      <c r="A4117" s="798">
        <v>92334</v>
      </c>
      <c r="B4117" s="799" t="s">
        <v>3483</v>
      </c>
      <c r="C4117" s="798" t="s">
        <v>24</v>
      </c>
      <c r="D4117" s="800">
        <v>45.18</v>
      </c>
    </row>
    <row r="4118" spans="1:4" ht="40.5">
      <c r="A4118" s="798">
        <v>92344</v>
      </c>
      <c r="B4118" s="799" t="s">
        <v>5885</v>
      </c>
      <c r="C4118" s="798" t="s">
        <v>24</v>
      </c>
      <c r="D4118" s="800">
        <v>50.43</v>
      </c>
    </row>
    <row r="4119" spans="1:4" ht="40.5">
      <c r="A4119" s="798">
        <v>92345</v>
      </c>
      <c r="B4119" s="799" t="s">
        <v>5886</v>
      </c>
      <c r="C4119" s="798" t="s">
        <v>24</v>
      </c>
      <c r="D4119" s="800">
        <v>50.41</v>
      </c>
    </row>
    <row r="4120" spans="1:4" ht="40.5">
      <c r="A4120" s="798">
        <v>92346</v>
      </c>
      <c r="B4120" s="799" t="s">
        <v>5887</v>
      </c>
      <c r="C4120" s="798" t="s">
        <v>24</v>
      </c>
      <c r="D4120" s="800">
        <v>67.23</v>
      </c>
    </row>
    <row r="4121" spans="1:4" ht="40.5">
      <c r="A4121" s="798">
        <v>92347</v>
      </c>
      <c r="B4121" s="799" t="s">
        <v>5888</v>
      </c>
      <c r="C4121" s="798" t="s">
        <v>24</v>
      </c>
      <c r="D4121" s="800">
        <v>75.34</v>
      </c>
    </row>
    <row r="4122" spans="1:4" ht="40.5">
      <c r="A4122" s="798">
        <v>92348</v>
      </c>
      <c r="B4122" s="799" t="s">
        <v>5889</v>
      </c>
      <c r="C4122" s="798" t="s">
        <v>24</v>
      </c>
      <c r="D4122" s="800">
        <v>95.85</v>
      </c>
    </row>
    <row r="4123" spans="1:4" ht="40.5">
      <c r="A4123" s="798">
        <v>92349</v>
      </c>
      <c r="B4123" s="799" t="s">
        <v>5890</v>
      </c>
      <c r="C4123" s="798" t="s">
        <v>24</v>
      </c>
      <c r="D4123" s="800">
        <v>103.06</v>
      </c>
    </row>
    <row r="4124" spans="1:4" ht="40.5">
      <c r="A4124" s="798">
        <v>92350</v>
      </c>
      <c r="B4124" s="799" t="s">
        <v>5891</v>
      </c>
      <c r="C4124" s="798" t="s">
        <v>24</v>
      </c>
      <c r="D4124" s="800">
        <v>74.89</v>
      </c>
    </row>
    <row r="4125" spans="1:4" ht="40.5">
      <c r="A4125" s="798">
        <v>92351</v>
      </c>
      <c r="B4125" s="799" t="s">
        <v>5892</v>
      </c>
      <c r="C4125" s="798" t="s">
        <v>24</v>
      </c>
      <c r="D4125" s="800">
        <v>73.08</v>
      </c>
    </row>
    <row r="4126" spans="1:4" ht="40.5">
      <c r="A4126" s="798">
        <v>92352</v>
      </c>
      <c r="B4126" s="799" t="s">
        <v>5893</v>
      </c>
      <c r="C4126" s="798" t="s">
        <v>24</v>
      </c>
      <c r="D4126" s="800">
        <v>116.33</v>
      </c>
    </row>
    <row r="4127" spans="1:4" ht="40.5">
      <c r="A4127" s="798">
        <v>92353</v>
      </c>
      <c r="B4127" s="799" t="s">
        <v>5894</v>
      </c>
      <c r="C4127" s="798" t="s">
        <v>24</v>
      </c>
      <c r="D4127" s="800">
        <v>108.4</v>
      </c>
    </row>
    <row r="4128" spans="1:4" ht="40.5">
      <c r="A4128" s="798">
        <v>92354</v>
      </c>
      <c r="B4128" s="799" t="s">
        <v>5895</v>
      </c>
      <c r="C4128" s="798" t="s">
        <v>24</v>
      </c>
      <c r="D4128" s="800">
        <v>156.11000000000001</v>
      </c>
    </row>
    <row r="4129" spans="1:4" ht="40.5">
      <c r="A4129" s="798">
        <v>92355</v>
      </c>
      <c r="B4129" s="799" t="s">
        <v>5896</v>
      </c>
      <c r="C4129" s="798" t="s">
        <v>24</v>
      </c>
      <c r="D4129" s="800">
        <v>140.83000000000001</v>
      </c>
    </row>
    <row r="4130" spans="1:4" ht="40.5">
      <c r="A4130" s="798">
        <v>92356</v>
      </c>
      <c r="B4130" s="799" t="s">
        <v>5897</v>
      </c>
      <c r="C4130" s="798" t="s">
        <v>24</v>
      </c>
      <c r="D4130" s="800">
        <v>97.43</v>
      </c>
    </row>
    <row r="4131" spans="1:4" ht="40.5">
      <c r="A4131" s="798">
        <v>92357</v>
      </c>
      <c r="B4131" s="799" t="s">
        <v>5898</v>
      </c>
      <c r="C4131" s="798" t="s">
        <v>24</v>
      </c>
      <c r="D4131" s="800">
        <v>148.54</v>
      </c>
    </row>
    <row r="4132" spans="1:4" ht="40.5">
      <c r="A4132" s="798">
        <v>92358</v>
      </c>
      <c r="B4132" s="799" t="s">
        <v>5899</v>
      </c>
      <c r="C4132" s="798" t="s">
        <v>24</v>
      </c>
      <c r="D4132" s="800">
        <v>186.32</v>
      </c>
    </row>
    <row r="4133" spans="1:4" ht="40.5">
      <c r="A4133" s="798">
        <v>92369</v>
      </c>
      <c r="B4133" s="799" t="s">
        <v>5900</v>
      </c>
      <c r="C4133" s="798" t="s">
        <v>24</v>
      </c>
      <c r="D4133" s="800">
        <v>26.21</v>
      </c>
    </row>
    <row r="4134" spans="1:4" ht="40.5">
      <c r="A4134" s="798">
        <v>92370</v>
      </c>
      <c r="B4134" s="799" t="s">
        <v>5901</v>
      </c>
      <c r="C4134" s="798" t="s">
        <v>24</v>
      </c>
      <c r="D4134" s="800">
        <v>27.67</v>
      </c>
    </row>
    <row r="4135" spans="1:4" ht="40.5">
      <c r="A4135" s="798">
        <v>92371</v>
      </c>
      <c r="B4135" s="799" t="s">
        <v>5902</v>
      </c>
      <c r="C4135" s="798" t="s">
        <v>24</v>
      </c>
      <c r="D4135" s="800">
        <v>32.1</v>
      </c>
    </row>
    <row r="4136" spans="1:4" ht="40.5">
      <c r="A4136" s="798">
        <v>92372</v>
      </c>
      <c r="B4136" s="799" t="s">
        <v>5903</v>
      </c>
      <c r="C4136" s="798" t="s">
        <v>24</v>
      </c>
      <c r="D4136" s="800">
        <v>33.450000000000003</v>
      </c>
    </row>
    <row r="4137" spans="1:4" ht="40.5">
      <c r="A4137" s="798">
        <v>92373</v>
      </c>
      <c r="B4137" s="799" t="s">
        <v>5904</v>
      </c>
      <c r="C4137" s="798" t="s">
        <v>24</v>
      </c>
      <c r="D4137" s="800">
        <v>38.25</v>
      </c>
    </row>
    <row r="4138" spans="1:4" ht="40.5">
      <c r="A4138" s="798">
        <v>92374</v>
      </c>
      <c r="B4138" s="799" t="s">
        <v>5905</v>
      </c>
      <c r="C4138" s="798" t="s">
        <v>24</v>
      </c>
      <c r="D4138" s="800">
        <v>38.51</v>
      </c>
    </row>
    <row r="4139" spans="1:4" ht="40.5">
      <c r="A4139" s="798">
        <v>92375</v>
      </c>
      <c r="B4139" s="799" t="s">
        <v>5906</v>
      </c>
      <c r="C4139" s="798" t="s">
        <v>24</v>
      </c>
      <c r="D4139" s="800">
        <v>50.39</v>
      </c>
    </row>
    <row r="4140" spans="1:4" ht="40.5">
      <c r="A4140" s="798">
        <v>92376</v>
      </c>
      <c r="B4140" s="799" t="s">
        <v>5907</v>
      </c>
      <c r="C4140" s="798" t="s">
        <v>24</v>
      </c>
      <c r="D4140" s="800">
        <v>50.37</v>
      </c>
    </row>
    <row r="4141" spans="1:4" ht="40.5">
      <c r="A4141" s="798">
        <v>92377</v>
      </c>
      <c r="B4141" s="799" t="s">
        <v>5908</v>
      </c>
      <c r="C4141" s="798" t="s">
        <v>24</v>
      </c>
      <c r="D4141" s="800">
        <v>68.39</v>
      </c>
    </row>
    <row r="4142" spans="1:4" ht="40.5">
      <c r="A4142" s="798">
        <v>92378</v>
      </c>
      <c r="B4142" s="799" t="s">
        <v>5909</v>
      </c>
      <c r="C4142" s="798" t="s">
        <v>24</v>
      </c>
      <c r="D4142" s="800">
        <v>76.5</v>
      </c>
    </row>
    <row r="4143" spans="1:4" ht="40.5">
      <c r="A4143" s="798">
        <v>92379</v>
      </c>
      <c r="B4143" s="799" t="s">
        <v>5910</v>
      </c>
      <c r="C4143" s="798" t="s">
        <v>24</v>
      </c>
      <c r="D4143" s="800">
        <v>98.26</v>
      </c>
    </row>
    <row r="4144" spans="1:4" ht="40.5">
      <c r="A4144" s="798">
        <v>92380</v>
      </c>
      <c r="B4144" s="799" t="s">
        <v>5911</v>
      </c>
      <c r="C4144" s="798" t="s">
        <v>24</v>
      </c>
      <c r="D4144" s="800">
        <v>105.47</v>
      </c>
    </row>
    <row r="4145" spans="1:4" ht="40.5">
      <c r="A4145" s="798">
        <v>92381</v>
      </c>
      <c r="B4145" s="799" t="s">
        <v>5912</v>
      </c>
      <c r="C4145" s="798" t="s">
        <v>24</v>
      </c>
      <c r="D4145" s="800">
        <v>39.71</v>
      </c>
    </row>
    <row r="4146" spans="1:4" ht="40.5">
      <c r="A4146" s="798">
        <v>92382</v>
      </c>
      <c r="B4146" s="799" t="s">
        <v>5913</v>
      </c>
      <c r="C4146" s="798" t="s">
        <v>24</v>
      </c>
      <c r="D4146" s="800">
        <v>37.770000000000003</v>
      </c>
    </row>
    <row r="4147" spans="1:4" ht="54">
      <c r="A4147" s="798">
        <v>92383</v>
      </c>
      <c r="B4147" s="799" t="s">
        <v>5914</v>
      </c>
      <c r="C4147" s="798" t="s">
        <v>24</v>
      </c>
      <c r="D4147" s="800">
        <v>50.89</v>
      </c>
    </row>
    <row r="4148" spans="1:4" ht="54">
      <c r="A4148" s="798">
        <v>92384</v>
      </c>
      <c r="B4148" s="799" t="s">
        <v>5915</v>
      </c>
      <c r="C4148" s="798" t="s">
        <v>24</v>
      </c>
      <c r="D4148" s="800">
        <v>47.04</v>
      </c>
    </row>
    <row r="4149" spans="1:4" ht="54">
      <c r="A4149" s="798">
        <v>92385</v>
      </c>
      <c r="B4149" s="799" t="s">
        <v>5916</v>
      </c>
      <c r="C4149" s="798" t="s">
        <v>24</v>
      </c>
      <c r="D4149" s="800">
        <v>58.62</v>
      </c>
    </row>
    <row r="4150" spans="1:4" ht="54">
      <c r="A4150" s="798">
        <v>92386</v>
      </c>
      <c r="B4150" s="799" t="s">
        <v>5917</v>
      </c>
      <c r="C4150" s="798" t="s">
        <v>24</v>
      </c>
      <c r="D4150" s="800">
        <v>55.97</v>
      </c>
    </row>
    <row r="4151" spans="1:4" ht="40.5">
      <c r="A4151" s="798">
        <v>92387</v>
      </c>
      <c r="B4151" s="799" t="s">
        <v>5918</v>
      </c>
      <c r="C4151" s="798" t="s">
        <v>24</v>
      </c>
      <c r="D4151" s="800">
        <v>74.819999999999993</v>
      </c>
    </row>
    <row r="4152" spans="1:4" ht="40.5">
      <c r="A4152" s="798">
        <v>92388</v>
      </c>
      <c r="B4152" s="799" t="s">
        <v>5919</v>
      </c>
      <c r="C4152" s="798" t="s">
        <v>24</v>
      </c>
      <c r="D4152" s="800">
        <v>73.010000000000005</v>
      </c>
    </row>
    <row r="4153" spans="1:4" ht="54">
      <c r="A4153" s="798">
        <v>92389</v>
      </c>
      <c r="B4153" s="799" t="s">
        <v>5920</v>
      </c>
      <c r="C4153" s="798" t="s">
        <v>24</v>
      </c>
      <c r="D4153" s="800">
        <v>118.11</v>
      </c>
    </row>
    <row r="4154" spans="1:4" ht="54">
      <c r="A4154" s="798">
        <v>92390</v>
      </c>
      <c r="B4154" s="799" t="s">
        <v>5921</v>
      </c>
      <c r="C4154" s="798" t="s">
        <v>24</v>
      </c>
      <c r="D4154" s="800">
        <v>110.18</v>
      </c>
    </row>
    <row r="4155" spans="1:4" ht="54">
      <c r="A4155" s="798">
        <v>92635</v>
      </c>
      <c r="B4155" s="799" t="s">
        <v>5922</v>
      </c>
      <c r="C4155" s="798" t="s">
        <v>24</v>
      </c>
      <c r="D4155" s="800">
        <v>159.72</v>
      </c>
    </row>
    <row r="4156" spans="1:4" ht="54">
      <c r="A4156" s="798">
        <v>92636</v>
      </c>
      <c r="B4156" s="799" t="s">
        <v>5923</v>
      </c>
      <c r="C4156" s="798" t="s">
        <v>24</v>
      </c>
      <c r="D4156" s="800">
        <v>144.44</v>
      </c>
    </row>
    <row r="4157" spans="1:4" ht="40.5">
      <c r="A4157" s="798">
        <v>92637</v>
      </c>
      <c r="B4157" s="799" t="s">
        <v>5924</v>
      </c>
      <c r="C4157" s="798" t="s">
        <v>24</v>
      </c>
      <c r="D4157" s="800">
        <v>51.1</v>
      </c>
    </row>
    <row r="4158" spans="1:4" ht="40.5">
      <c r="A4158" s="798">
        <v>92638</v>
      </c>
      <c r="B4158" s="799" t="s">
        <v>5925</v>
      </c>
      <c r="C4158" s="798" t="s">
        <v>24</v>
      </c>
      <c r="D4158" s="800">
        <v>63.22</v>
      </c>
    </row>
    <row r="4159" spans="1:4" ht="40.5">
      <c r="A4159" s="798">
        <v>92639</v>
      </c>
      <c r="B4159" s="799" t="s">
        <v>5926</v>
      </c>
      <c r="C4159" s="798" t="s">
        <v>24</v>
      </c>
      <c r="D4159" s="800">
        <v>73.64</v>
      </c>
    </row>
    <row r="4160" spans="1:4" ht="40.5">
      <c r="A4160" s="798">
        <v>92640</v>
      </c>
      <c r="B4160" s="799" t="s">
        <v>5927</v>
      </c>
      <c r="C4160" s="798" t="s">
        <v>24</v>
      </c>
      <c r="D4160" s="800">
        <v>97.33</v>
      </c>
    </row>
    <row r="4161" spans="1:4" ht="40.5">
      <c r="A4161" s="798">
        <v>92642</v>
      </c>
      <c r="B4161" s="799" t="s">
        <v>5928</v>
      </c>
      <c r="C4161" s="798" t="s">
        <v>24</v>
      </c>
      <c r="D4161" s="800">
        <v>150.86000000000001</v>
      </c>
    </row>
    <row r="4162" spans="1:4" ht="40.5">
      <c r="A4162" s="798">
        <v>92644</v>
      </c>
      <c r="B4162" s="799" t="s">
        <v>5929</v>
      </c>
      <c r="C4162" s="798" t="s">
        <v>24</v>
      </c>
      <c r="D4162" s="800">
        <v>191.13</v>
      </c>
    </row>
    <row r="4163" spans="1:4" ht="40.5">
      <c r="A4163" s="798">
        <v>92657</v>
      </c>
      <c r="B4163" s="799" t="s">
        <v>5930</v>
      </c>
      <c r="C4163" s="798" t="s">
        <v>24</v>
      </c>
      <c r="D4163" s="800">
        <v>19.73</v>
      </c>
    </row>
    <row r="4164" spans="1:4" ht="40.5">
      <c r="A4164" s="798">
        <v>92658</v>
      </c>
      <c r="B4164" s="799" t="s">
        <v>5931</v>
      </c>
      <c r="C4164" s="798" t="s">
        <v>24</v>
      </c>
      <c r="D4164" s="800">
        <v>21.19</v>
      </c>
    </row>
    <row r="4165" spans="1:4" ht="40.5">
      <c r="A4165" s="798">
        <v>92659</v>
      </c>
      <c r="B4165" s="799" t="s">
        <v>5932</v>
      </c>
      <c r="C4165" s="798" t="s">
        <v>24</v>
      </c>
      <c r="D4165" s="800">
        <v>24.74</v>
      </c>
    </row>
    <row r="4166" spans="1:4" ht="40.5">
      <c r="A4166" s="798">
        <v>92660</v>
      </c>
      <c r="B4166" s="799" t="s">
        <v>5933</v>
      </c>
      <c r="C4166" s="798" t="s">
        <v>24</v>
      </c>
      <c r="D4166" s="800">
        <v>26.09</v>
      </c>
    </row>
    <row r="4167" spans="1:4" ht="40.5">
      <c r="A4167" s="798">
        <v>92661</v>
      </c>
      <c r="B4167" s="799" t="s">
        <v>5934</v>
      </c>
      <c r="C4167" s="798" t="s">
        <v>24</v>
      </c>
      <c r="D4167" s="800">
        <v>29.85</v>
      </c>
    </row>
    <row r="4168" spans="1:4" ht="40.5">
      <c r="A4168" s="798">
        <v>92662</v>
      </c>
      <c r="B4168" s="799" t="s">
        <v>5935</v>
      </c>
      <c r="C4168" s="798" t="s">
        <v>24</v>
      </c>
      <c r="D4168" s="800">
        <v>30.11</v>
      </c>
    </row>
    <row r="4169" spans="1:4" ht="40.5">
      <c r="A4169" s="798">
        <v>92663</v>
      </c>
      <c r="B4169" s="799" t="s">
        <v>5936</v>
      </c>
      <c r="C4169" s="798" t="s">
        <v>24</v>
      </c>
      <c r="D4169" s="800">
        <v>40.729999999999997</v>
      </c>
    </row>
    <row r="4170" spans="1:4" ht="40.5">
      <c r="A4170" s="798">
        <v>92664</v>
      </c>
      <c r="B4170" s="799" t="s">
        <v>5937</v>
      </c>
      <c r="C4170" s="798" t="s">
        <v>24</v>
      </c>
      <c r="D4170" s="800">
        <v>40.71</v>
      </c>
    </row>
    <row r="4171" spans="1:4" ht="40.5">
      <c r="A4171" s="798">
        <v>92665</v>
      </c>
      <c r="B4171" s="799" t="s">
        <v>5938</v>
      </c>
      <c r="C4171" s="798" t="s">
        <v>24</v>
      </c>
      <c r="D4171" s="800">
        <v>56.82</v>
      </c>
    </row>
    <row r="4172" spans="1:4" ht="40.5">
      <c r="A4172" s="798">
        <v>92666</v>
      </c>
      <c r="B4172" s="799" t="s">
        <v>5939</v>
      </c>
      <c r="C4172" s="798" t="s">
        <v>24</v>
      </c>
      <c r="D4172" s="800">
        <v>64.930000000000007</v>
      </c>
    </row>
    <row r="4173" spans="1:4" ht="40.5">
      <c r="A4173" s="798">
        <v>92667</v>
      </c>
      <c r="B4173" s="799" t="s">
        <v>5940</v>
      </c>
      <c r="C4173" s="798" t="s">
        <v>24</v>
      </c>
      <c r="D4173" s="800">
        <v>84.79</v>
      </c>
    </row>
    <row r="4174" spans="1:4" ht="40.5">
      <c r="A4174" s="798">
        <v>92668</v>
      </c>
      <c r="B4174" s="799" t="s">
        <v>5941</v>
      </c>
      <c r="C4174" s="798" t="s">
        <v>24</v>
      </c>
      <c r="D4174" s="800">
        <v>92</v>
      </c>
    </row>
    <row r="4175" spans="1:4" ht="54">
      <c r="A4175" s="798">
        <v>92669</v>
      </c>
      <c r="B4175" s="799" t="s">
        <v>5942</v>
      </c>
      <c r="C4175" s="798" t="s">
        <v>24</v>
      </c>
      <c r="D4175" s="800">
        <v>29.98</v>
      </c>
    </row>
    <row r="4176" spans="1:4" ht="54">
      <c r="A4176" s="798">
        <v>92670</v>
      </c>
      <c r="B4176" s="799" t="s">
        <v>5943</v>
      </c>
      <c r="C4176" s="798" t="s">
        <v>24</v>
      </c>
      <c r="D4176" s="800">
        <v>28.04</v>
      </c>
    </row>
    <row r="4177" spans="1:4" ht="54">
      <c r="A4177" s="798">
        <v>92671</v>
      </c>
      <c r="B4177" s="799" t="s">
        <v>5944</v>
      </c>
      <c r="C4177" s="798" t="s">
        <v>24</v>
      </c>
      <c r="D4177" s="800">
        <v>39.86</v>
      </c>
    </row>
    <row r="4178" spans="1:4" ht="54">
      <c r="A4178" s="798">
        <v>92672</v>
      </c>
      <c r="B4178" s="799" t="s">
        <v>5945</v>
      </c>
      <c r="C4178" s="798" t="s">
        <v>24</v>
      </c>
      <c r="D4178" s="800">
        <v>36.01</v>
      </c>
    </row>
    <row r="4179" spans="1:4" ht="54">
      <c r="A4179" s="798">
        <v>92673</v>
      </c>
      <c r="B4179" s="799" t="s">
        <v>5946</v>
      </c>
      <c r="C4179" s="798" t="s">
        <v>24</v>
      </c>
      <c r="D4179" s="800">
        <v>46.05</v>
      </c>
    </row>
    <row r="4180" spans="1:4" ht="54">
      <c r="A4180" s="798">
        <v>92674</v>
      </c>
      <c r="B4180" s="799" t="s">
        <v>5947</v>
      </c>
      <c r="C4180" s="798" t="s">
        <v>24</v>
      </c>
      <c r="D4180" s="800">
        <v>43.4</v>
      </c>
    </row>
    <row r="4181" spans="1:4" ht="54">
      <c r="A4181" s="798">
        <v>92675</v>
      </c>
      <c r="B4181" s="799" t="s">
        <v>5948</v>
      </c>
      <c r="C4181" s="798" t="s">
        <v>24</v>
      </c>
      <c r="D4181" s="800">
        <v>60.36</v>
      </c>
    </row>
    <row r="4182" spans="1:4" ht="54">
      <c r="A4182" s="798">
        <v>92676</v>
      </c>
      <c r="B4182" s="799" t="s">
        <v>5949</v>
      </c>
      <c r="C4182" s="798" t="s">
        <v>24</v>
      </c>
      <c r="D4182" s="800">
        <v>58.55</v>
      </c>
    </row>
    <row r="4183" spans="1:4" ht="54">
      <c r="A4183" s="798">
        <v>92677</v>
      </c>
      <c r="B4183" s="799" t="s">
        <v>5950</v>
      </c>
      <c r="C4183" s="798" t="s">
        <v>24</v>
      </c>
      <c r="D4183" s="800">
        <v>100.78</v>
      </c>
    </row>
    <row r="4184" spans="1:4" ht="54">
      <c r="A4184" s="798">
        <v>92678</v>
      </c>
      <c r="B4184" s="799" t="s">
        <v>5951</v>
      </c>
      <c r="C4184" s="798" t="s">
        <v>24</v>
      </c>
      <c r="D4184" s="800">
        <v>92.85</v>
      </c>
    </row>
    <row r="4185" spans="1:4" ht="54">
      <c r="A4185" s="798">
        <v>92679</v>
      </c>
      <c r="B4185" s="799" t="s">
        <v>5952</v>
      </c>
      <c r="C4185" s="798" t="s">
        <v>24</v>
      </c>
      <c r="D4185" s="800">
        <v>139.53</v>
      </c>
    </row>
    <row r="4186" spans="1:4" ht="54">
      <c r="A4186" s="798">
        <v>92680</v>
      </c>
      <c r="B4186" s="799" t="s">
        <v>5953</v>
      </c>
      <c r="C4186" s="798" t="s">
        <v>24</v>
      </c>
      <c r="D4186" s="800">
        <v>124.25</v>
      </c>
    </row>
    <row r="4187" spans="1:4" ht="40.5">
      <c r="A4187" s="798">
        <v>92681</v>
      </c>
      <c r="B4187" s="799" t="s">
        <v>5954</v>
      </c>
      <c r="C4187" s="798" t="s">
        <v>24</v>
      </c>
      <c r="D4187" s="800">
        <v>38.119999999999997</v>
      </c>
    </row>
    <row r="4188" spans="1:4" ht="40.5">
      <c r="A4188" s="798">
        <v>92682</v>
      </c>
      <c r="B4188" s="799" t="s">
        <v>5955</v>
      </c>
      <c r="C4188" s="798" t="s">
        <v>24</v>
      </c>
      <c r="D4188" s="800">
        <v>48.45</v>
      </c>
    </row>
    <row r="4189" spans="1:4" ht="40.5">
      <c r="A4189" s="798">
        <v>92683</v>
      </c>
      <c r="B4189" s="799" t="s">
        <v>5956</v>
      </c>
      <c r="C4189" s="798" t="s">
        <v>24</v>
      </c>
      <c r="D4189" s="800">
        <v>56.88</v>
      </c>
    </row>
    <row r="4190" spans="1:4" ht="40.5">
      <c r="A4190" s="798">
        <v>92684</v>
      </c>
      <c r="B4190" s="799" t="s">
        <v>5957</v>
      </c>
      <c r="C4190" s="798" t="s">
        <v>24</v>
      </c>
      <c r="D4190" s="800">
        <v>78.05</v>
      </c>
    </row>
    <row r="4191" spans="1:4" ht="40.5">
      <c r="A4191" s="798">
        <v>92685</v>
      </c>
      <c r="B4191" s="799" t="s">
        <v>5958</v>
      </c>
      <c r="C4191" s="798" t="s">
        <v>24</v>
      </c>
      <c r="D4191" s="800">
        <v>127.77</v>
      </c>
    </row>
    <row r="4192" spans="1:4" ht="40.5">
      <c r="A4192" s="798">
        <v>92686</v>
      </c>
      <c r="B4192" s="799" t="s">
        <v>5959</v>
      </c>
      <c r="C4192" s="798" t="s">
        <v>24</v>
      </c>
      <c r="D4192" s="800">
        <v>164.19</v>
      </c>
    </row>
    <row r="4193" spans="1:4" ht="40.5">
      <c r="A4193" s="798">
        <v>92692</v>
      </c>
      <c r="B4193" s="799" t="s">
        <v>5960</v>
      </c>
      <c r="C4193" s="798" t="s">
        <v>24</v>
      </c>
      <c r="D4193" s="800">
        <v>10.56</v>
      </c>
    </row>
    <row r="4194" spans="1:4" ht="40.5">
      <c r="A4194" s="798">
        <v>92693</v>
      </c>
      <c r="B4194" s="799" t="s">
        <v>5961</v>
      </c>
      <c r="C4194" s="798" t="s">
        <v>24</v>
      </c>
      <c r="D4194" s="800">
        <v>10.89</v>
      </c>
    </row>
    <row r="4195" spans="1:4" ht="40.5">
      <c r="A4195" s="798">
        <v>92694</v>
      </c>
      <c r="B4195" s="799" t="s">
        <v>5962</v>
      </c>
      <c r="C4195" s="798" t="s">
        <v>24</v>
      </c>
      <c r="D4195" s="800">
        <v>16.62</v>
      </c>
    </row>
    <row r="4196" spans="1:4" ht="40.5">
      <c r="A4196" s="798">
        <v>92695</v>
      </c>
      <c r="B4196" s="799" t="s">
        <v>5963</v>
      </c>
      <c r="C4196" s="798" t="s">
        <v>24</v>
      </c>
      <c r="D4196" s="800">
        <v>16.95</v>
      </c>
    </row>
    <row r="4197" spans="1:4" ht="40.5">
      <c r="A4197" s="798">
        <v>92696</v>
      </c>
      <c r="B4197" s="799" t="s">
        <v>5964</v>
      </c>
      <c r="C4197" s="798" t="s">
        <v>24</v>
      </c>
      <c r="D4197" s="800">
        <v>25.94</v>
      </c>
    </row>
    <row r="4198" spans="1:4" ht="40.5">
      <c r="A4198" s="798">
        <v>92697</v>
      </c>
      <c r="B4198" s="799" t="s">
        <v>5965</v>
      </c>
      <c r="C4198" s="798" t="s">
        <v>24</v>
      </c>
      <c r="D4198" s="800">
        <v>27.4</v>
      </c>
    </row>
    <row r="4199" spans="1:4" ht="40.5">
      <c r="A4199" s="798">
        <v>92698</v>
      </c>
      <c r="B4199" s="799" t="s">
        <v>5966</v>
      </c>
      <c r="C4199" s="798" t="s">
        <v>24</v>
      </c>
      <c r="D4199" s="800">
        <v>15.58</v>
      </c>
    </row>
    <row r="4200" spans="1:4" ht="40.5">
      <c r="A4200" s="798">
        <v>92699</v>
      </c>
      <c r="B4200" s="799" t="s">
        <v>5967</v>
      </c>
      <c r="C4200" s="798" t="s">
        <v>24</v>
      </c>
      <c r="D4200" s="800">
        <v>14.52</v>
      </c>
    </row>
    <row r="4201" spans="1:4" ht="40.5">
      <c r="A4201" s="798">
        <v>92700</v>
      </c>
      <c r="B4201" s="799" t="s">
        <v>5968</v>
      </c>
      <c r="C4201" s="798" t="s">
        <v>24</v>
      </c>
      <c r="D4201" s="800">
        <v>25.28</v>
      </c>
    </row>
    <row r="4202" spans="1:4" ht="40.5">
      <c r="A4202" s="798">
        <v>92701</v>
      </c>
      <c r="B4202" s="799" t="s">
        <v>5969</v>
      </c>
      <c r="C4202" s="798" t="s">
        <v>24</v>
      </c>
      <c r="D4202" s="800">
        <v>23.71</v>
      </c>
    </row>
    <row r="4203" spans="1:4" ht="40.5">
      <c r="A4203" s="798">
        <v>92702</v>
      </c>
      <c r="B4203" s="799" t="s">
        <v>5970</v>
      </c>
      <c r="C4203" s="798" t="s">
        <v>24</v>
      </c>
      <c r="D4203" s="800">
        <v>39.340000000000003</v>
      </c>
    </row>
    <row r="4204" spans="1:4" ht="40.5">
      <c r="A4204" s="798">
        <v>92703</v>
      </c>
      <c r="B4204" s="799" t="s">
        <v>5971</v>
      </c>
      <c r="C4204" s="798" t="s">
        <v>24</v>
      </c>
      <c r="D4204" s="800">
        <v>37.4</v>
      </c>
    </row>
    <row r="4205" spans="1:4" ht="40.5">
      <c r="A4205" s="798">
        <v>92704</v>
      </c>
      <c r="B4205" s="799" t="s">
        <v>5972</v>
      </c>
      <c r="C4205" s="798" t="s">
        <v>24</v>
      </c>
      <c r="D4205" s="800">
        <v>19.59</v>
      </c>
    </row>
    <row r="4206" spans="1:4" ht="40.5">
      <c r="A4206" s="798">
        <v>92705</v>
      </c>
      <c r="B4206" s="799" t="s">
        <v>5973</v>
      </c>
      <c r="C4206" s="798" t="s">
        <v>24</v>
      </c>
      <c r="D4206" s="800">
        <v>31.3</v>
      </c>
    </row>
    <row r="4207" spans="1:4" ht="40.5">
      <c r="A4207" s="798">
        <v>92706</v>
      </c>
      <c r="B4207" s="799" t="s">
        <v>5974</v>
      </c>
      <c r="C4207" s="798" t="s">
        <v>24</v>
      </c>
      <c r="D4207" s="800">
        <v>50.59</v>
      </c>
    </row>
    <row r="4208" spans="1:4" ht="40.5">
      <c r="A4208" s="798">
        <v>92889</v>
      </c>
      <c r="B4208" s="799" t="s">
        <v>5975</v>
      </c>
      <c r="C4208" s="798" t="s">
        <v>24</v>
      </c>
      <c r="D4208" s="800">
        <v>103.02</v>
      </c>
    </row>
    <row r="4209" spans="1:4" ht="40.5">
      <c r="A4209" s="798">
        <v>92890</v>
      </c>
      <c r="B4209" s="799" t="s">
        <v>5976</v>
      </c>
      <c r="C4209" s="798" t="s">
        <v>24</v>
      </c>
      <c r="D4209" s="800">
        <v>157.69</v>
      </c>
    </row>
    <row r="4210" spans="1:4" ht="40.5">
      <c r="A4210" s="798">
        <v>92891</v>
      </c>
      <c r="B4210" s="799" t="s">
        <v>5977</v>
      </c>
      <c r="C4210" s="798" t="s">
        <v>24</v>
      </c>
      <c r="D4210" s="800">
        <v>232.7</v>
      </c>
    </row>
    <row r="4211" spans="1:4" ht="40.5">
      <c r="A4211" s="798">
        <v>92892</v>
      </c>
      <c r="B4211" s="799" t="s">
        <v>5978</v>
      </c>
      <c r="C4211" s="798" t="s">
        <v>24</v>
      </c>
      <c r="D4211" s="800">
        <v>43.33</v>
      </c>
    </row>
    <row r="4212" spans="1:4" ht="40.5">
      <c r="A4212" s="798">
        <v>92893</v>
      </c>
      <c r="B4212" s="799" t="s">
        <v>5979</v>
      </c>
      <c r="C4212" s="798" t="s">
        <v>24</v>
      </c>
      <c r="D4212" s="800">
        <v>62.56</v>
      </c>
    </row>
    <row r="4213" spans="1:4" ht="40.5">
      <c r="A4213" s="798">
        <v>92894</v>
      </c>
      <c r="B4213" s="799" t="s">
        <v>5980</v>
      </c>
      <c r="C4213" s="798" t="s">
        <v>24</v>
      </c>
      <c r="D4213" s="800">
        <v>75.05</v>
      </c>
    </row>
    <row r="4214" spans="1:4" ht="40.5">
      <c r="A4214" s="798">
        <v>92895</v>
      </c>
      <c r="B4214" s="799" t="s">
        <v>5981</v>
      </c>
      <c r="C4214" s="798" t="s">
        <v>24</v>
      </c>
      <c r="D4214" s="800">
        <v>102.98</v>
      </c>
    </row>
    <row r="4215" spans="1:4" ht="40.5">
      <c r="A4215" s="798">
        <v>92896</v>
      </c>
      <c r="B4215" s="799" t="s">
        <v>5982</v>
      </c>
      <c r="C4215" s="798" t="s">
        <v>24</v>
      </c>
      <c r="D4215" s="800">
        <v>158.85</v>
      </c>
    </row>
    <row r="4216" spans="1:4" ht="40.5">
      <c r="A4216" s="798">
        <v>92897</v>
      </c>
      <c r="B4216" s="799" t="s">
        <v>5983</v>
      </c>
      <c r="C4216" s="798" t="s">
        <v>24</v>
      </c>
      <c r="D4216" s="800">
        <v>235.11</v>
      </c>
    </row>
    <row r="4217" spans="1:4" ht="40.5">
      <c r="A4217" s="798">
        <v>92898</v>
      </c>
      <c r="B4217" s="799" t="s">
        <v>5984</v>
      </c>
      <c r="C4217" s="798" t="s">
        <v>24</v>
      </c>
      <c r="D4217" s="800">
        <v>36.85</v>
      </c>
    </row>
    <row r="4218" spans="1:4" ht="40.5">
      <c r="A4218" s="798">
        <v>92899</v>
      </c>
      <c r="B4218" s="799" t="s">
        <v>5985</v>
      </c>
      <c r="C4218" s="798" t="s">
        <v>24</v>
      </c>
      <c r="D4218" s="800">
        <v>55.2</v>
      </c>
    </row>
    <row r="4219" spans="1:4" ht="40.5">
      <c r="A4219" s="798">
        <v>92900</v>
      </c>
      <c r="B4219" s="799" t="s">
        <v>5986</v>
      </c>
      <c r="C4219" s="798" t="s">
        <v>24</v>
      </c>
      <c r="D4219" s="800">
        <v>66.650000000000006</v>
      </c>
    </row>
    <row r="4220" spans="1:4" ht="40.5">
      <c r="A4220" s="798">
        <v>92901</v>
      </c>
      <c r="B4220" s="799" t="s">
        <v>5987</v>
      </c>
      <c r="C4220" s="798" t="s">
        <v>24</v>
      </c>
      <c r="D4220" s="800">
        <v>93.32</v>
      </c>
    </row>
    <row r="4221" spans="1:4" ht="40.5">
      <c r="A4221" s="798">
        <v>92902</v>
      </c>
      <c r="B4221" s="799" t="s">
        <v>5988</v>
      </c>
      <c r="C4221" s="798" t="s">
        <v>24</v>
      </c>
      <c r="D4221" s="800">
        <v>147.28</v>
      </c>
    </row>
    <row r="4222" spans="1:4" ht="40.5">
      <c r="A4222" s="798">
        <v>92903</v>
      </c>
      <c r="B4222" s="799" t="s">
        <v>5989</v>
      </c>
      <c r="C4222" s="798" t="s">
        <v>24</v>
      </c>
      <c r="D4222" s="800">
        <v>221.64</v>
      </c>
    </row>
    <row r="4223" spans="1:4" ht="40.5">
      <c r="A4223" s="798">
        <v>92904</v>
      </c>
      <c r="B4223" s="799" t="s">
        <v>5990</v>
      </c>
      <c r="C4223" s="798" t="s">
        <v>24</v>
      </c>
      <c r="D4223" s="800">
        <v>25.26</v>
      </c>
    </row>
    <row r="4224" spans="1:4" ht="40.5">
      <c r="A4224" s="798">
        <v>92905</v>
      </c>
      <c r="B4224" s="799" t="s">
        <v>5991</v>
      </c>
      <c r="C4224" s="798" t="s">
        <v>24</v>
      </c>
      <c r="D4224" s="800">
        <v>35.81</v>
      </c>
    </row>
    <row r="4225" spans="1:4" ht="40.5">
      <c r="A4225" s="798">
        <v>92906</v>
      </c>
      <c r="B4225" s="799" t="s">
        <v>5992</v>
      </c>
      <c r="C4225" s="798" t="s">
        <v>24</v>
      </c>
      <c r="D4225" s="800">
        <v>43.06</v>
      </c>
    </row>
    <row r="4226" spans="1:4" ht="40.5">
      <c r="A4226" s="798">
        <v>92907</v>
      </c>
      <c r="B4226" s="799" t="s">
        <v>5993</v>
      </c>
      <c r="C4226" s="798" t="s">
        <v>24</v>
      </c>
      <c r="D4226" s="800">
        <v>53.46</v>
      </c>
    </row>
    <row r="4227" spans="1:4" ht="40.5">
      <c r="A4227" s="798">
        <v>92908</v>
      </c>
      <c r="B4227" s="799" t="s">
        <v>5994</v>
      </c>
      <c r="C4227" s="798" t="s">
        <v>24</v>
      </c>
      <c r="D4227" s="800">
        <v>53.46</v>
      </c>
    </row>
    <row r="4228" spans="1:4" ht="40.5">
      <c r="A4228" s="798">
        <v>92909</v>
      </c>
      <c r="B4228" s="799" t="s">
        <v>5995</v>
      </c>
      <c r="C4228" s="798" t="s">
        <v>24</v>
      </c>
      <c r="D4228" s="800">
        <v>53.46</v>
      </c>
    </row>
    <row r="4229" spans="1:4" ht="40.5">
      <c r="A4229" s="798">
        <v>92910</v>
      </c>
      <c r="B4229" s="799" t="s">
        <v>5996</v>
      </c>
      <c r="C4229" s="798" t="s">
        <v>24</v>
      </c>
      <c r="D4229" s="800">
        <v>78.760000000000005</v>
      </c>
    </row>
    <row r="4230" spans="1:4" ht="40.5">
      <c r="A4230" s="798">
        <v>92911</v>
      </c>
      <c r="B4230" s="799" t="s">
        <v>5997</v>
      </c>
      <c r="C4230" s="798" t="s">
        <v>24</v>
      </c>
      <c r="D4230" s="800">
        <v>78.760000000000005</v>
      </c>
    </row>
    <row r="4231" spans="1:4" ht="40.5">
      <c r="A4231" s="798">
        <v>92912</v>
      </c>
      <c r="B4231" s="799" t="s">
        <v>5998</v>
      </c>
      <c r="C4231" s="798" t="s">
        <v>24</v>
      </c>
      <c r="D4231" s="800">
        <v>107.01</v>
      </c>
    </row>
    <row r="4232" spans="1:4" ht="40.5">
      <c r="A4232" s="798">
        <v>92913</v>
      </c>
      <c r="B4232" s="799" t="s">
        <v>5999</v>
      </c>
      <c r="C4232" s="798" t="s">
        <v>24</v>
      </c>
      <c r="D4232" s="800">
        <v>109.04</v>
      </c>
    </row>
    <row r="4233" spans="1:4" ht="40.5">
      <c r="A4233" s="798">
        <v>92914</v>
      </c>
      <c r="B4233" s="799" t="s">
        <v>6000</v>
      </c>
      <c r="C4233" s="798" t="s">
        <v>24</v>
      </c>
      <c r="D4233" s="800">
        <v>109.04</v>
      </c>
    </row>
    <row r="4234" spans="1:4" ht="40.5">
      <c r="A4234" s="798">
        <v>92918</v>
      </c>
      <c r="B4234" s="799" t="s">
        <v>6001</v>
      </c>
      <c r="C4234" s="798" t="s">
        <v>24</v>
      </c>
      <c r="D4234" s="800">
        <v>27.55</v>
      </c>
    </row>
    <row r="4235" spans="1:4" ht="40.5">
      <c r="A4235" s="798">
        <v>92920</v>
      </c>
      <c r="B4235" s="799" t="s">
        <v>6002</v>
      </c>
      <c r="C4235" s="798" t="s">
        <v>24</v>
      </c>
      <c r="D4235" s="800">
        <v>27.75</v>
      </c>
    </row>
    <row r="4236" spans="1:4" ht="40.5">
      <c r="A4236" s="798">
        <v>92925</v>
      </c>
      <c r="B4236" s="799" t="s">
        <v>6003</v>
      </c>
      <c r="C4236" s="798" t="s">
        <v>24</v>
      </c>
      <c r="D4236" s="800">
        <v>34.54</v>
      </c>
    </row>
    <row r="4237" spans="1:4" ht="40.5">
      <c r="A4237" s="798">
        <v>92926</v>
      </c>
      <c r="B4237" s="799" t="s">
        <v>6004</v>
      </c>
      <c r="C4237" s="798" t="s">
        <v>24</v>
      </c>
      <c r="D4237" s="800">
        <v>34.53</v>
      </c>
    </row>
    <row r="4238" spans="1:4" ht="40.5">
      <c r="A4238" s="798">
        <v>92927</v>
      </c>
      <c r="B4238" s="799" t="s">
        <v>6005</v>
      </c>
      <c r="C4238" s="798" t="s">
        <v>24</v>
      </c>
      <c r="D4238" s="800">
        <v>34.53</v>
      </c>
    </row>
    <row r="4239" spans="1:4" ht="54">
      <c r="A4239" s="798">
        <v>92928</v>
      </c>
      <c r="B4239" s="799" t="s">
        <v>6006</v>
      </c>
      <c r="C4239" s="798" t="s">
        <v>24</v>
      </c>
      <c r="D4239" s="800">
        <v>39.64</v>
      </c>
    </row>
    <row r="4240" spans="1:4" ht="40.5">
      <c r="A4240" s="798">
        <v>92929</v>
      </c>
      <c r="B4240" s="799" t="s">
        <v>6007</v>
      </c>
      <c r="C4240" s="798" t="s">
        <v>24</v>
      </c>
      <c r="D4240" s="800">
        <v>39.64</v>
      </c>
    </row>
    <row r="4241" spans="1:4" ht="40.5">
      <c r="A4241" s="798">
        <v>92930</v>
      </c>
      <c r="B4241" s="799" t="s">
        <v>6008</v>
      </c>
      <c r="C4241" s="798" t="s">
        <v>24</v>
      </c>
      <c r="D4241" s="800">
        <v>39.64</v>
      </c>
    </row>
    <row r="4242" spans="1:4" ht="40.5">
      <c r="A4242" s="798">
        <v>92931</v>
      </c>
      <c r="B4242" s="799" t="s">
        <v>6009</v>
      </c>
      <c r="C4242" s="798" t="s">
        <v>24</v>
      </c>
      <c r="D4242" s="800">
        <v>53.42</v>
      </c>
    </row>
    <row r="4243" spans="1:4" ht="40.5">
      <c r="A4243" s="798">
        <v>92932</v>
      </c>
      <c r="B4243" s="799" t="s">
        <v>6010</v>
      </c>
      <c r="C4243" s="798" t="s">
        <v>24</v>
      </c>
      <c r="D4243" s="800">
        <v>53.42</v>
      </c>
    </row>
    <row r="4244" spans="1:4" ht="40.5">
      <c r="A4244" s="798">
        <v>92933</v>
      </c>
      <c r="B4244" s="799" t="s">
        <v>6011</v>
      </c>
      <c r="C4244" s="798" t="s">
        <v>24</v>
      </c>
      <c r="D4244" s="800">
        <v>53.42</v>
      </c>
    </row>
    <row r="4245" spans="1:4" ht="54">
      <c r="A4245" s="798">
        <v>92934</v>
      </c>
      <c r="B4245" s="799" t="s">
        <v>6012</v>
      </c>
      <c r="C4245" s="798" t="s">
        <v>24</v>
      </c>
      <c r="D4245" s="800">
        <v>79.92</v>
      </c>
    </row>
    <row r="4246" spans="1:4" ht="40.5">
      <c r="A4246" s="798">
        <v>92935</v>
      </c>
      <c r="B4246" s="799" t="s">
        <v>6013</v>
      </c>
      <c r="C4246" s="798" t="s">
        <v>24</v>
      </c>
      <c r="D4246" s="800">
        <v>79.92</v>
      </c>
    </row>
    <row r="4247" spans="1:4" ht="40.5">
      <c r="A4247" s="798">
        <v>92936</v>
      </c>
      <c r="B4247" s="799" t="s">
        <v>6014</v>
      </c>
      <c r="C4247" s="798" t="s">
        <v>24</v>
      </c>
      <c r="D4247" s="800">
        <v>111.45</v>
      </c>
    </row>
    <row r="4248" spans="1:4" ht="40.5">
      <c r="A4248" s="798">
        <v>92937</v>
      </c>
      <c r="B4248" s="799" t="s">
        <v>6015</v>
      </c>
      <c r="C4248" s="798" t="s">
        <v>24</v>
      </c>
      <c r="D4248" s="800">
        <v>111.45</v>
      </c>
    </row>
    <row r="4249" spans="1:4" ht="54">
      <c r="A4249" s="798">
        <v>92938</v>
      </c>
      <c r="B4249" s="799" t="s">
        <v>6016</v>
      </c>
      <c r="C4249" s="798" t="s">
        <v>24</v>
      </c>
      <c r="D4249" s="800">
        <v>21.07</v>
      </c>
    </row>
    <row r="4250" spans="1:4" ht="54">
      <c r="A4250" s="798">
        <v>92939</v>
      </c>
      <c r="B4250" s="799" t="s">
        <v>6017</v>
      </c>
      <c r="C4250" s="798" t="s">
        <v>24</v>
      </c>
      <c r="D4250" s="800">
        <v>21.27</v>
      </c>
    </row>
    <row r="4251" spans="1:4" ht="54">
      <c r="A4251" s="798">
        <v>92940</v>
      </c>
      <c r="B4251" s="799" t="s">
        <v>6018</v>
      </c>
      <c r="C4251" s="798" t="s">
        <v>24</v>
      </c>
      <c r="D4251" s="800">
        <v>27.18</v>
      </c>
    </row>
    <row r="4252" spans="1:4" ht="54">
      <c r="A4252" s="798">
        <v>92941</v>
      </c>
      <c r="B4252" s="799" t="s">
        <v>6019</v>
      </c>
      <c r="C4252" s="798" t="s">
        <v>24</v>
      </c>
      <c r="D4252" s="800">
        <v>27.17</v>
      </c>
    </row>
    <row r="4253" spans="1:4" ht="54">
      <c r="A4253" s="798">
        <v>92942</v>
      </c>
      <c r="B4253" s="799" t="s">
        <v>6020</v>
      </c>
      <c r="C4253" s="798" t="s">
        <v>24</v>
      </c>
      <c r="D4253" s="800">
        <v>27.17</v>
      </c>
    </row>
    <row r="4254" spans="1:4" ht="54">
      <c r="A4254" s="798">
        <v>92943</v>
      </c>
      <c r="B4254" s="799" t="s">
        <v>6021</v>
      </c>
      <c r="C4254" s="798" t="s">
        <v>24</v>
      </c>
      <c r="D4254" s="800">
        <v>31.24</v>
      </c>
    </row>
    <row r="4255" spans="1:4" ht="54">
      <c r="A4255" s="798">
        <v>92944</v>
      </c>
      <c r="B4255" s="799" t="s">
        <v>6022</v>
      </c>
      <c r="C4255" s="798" t="s">
        <v>24</v>
      </c>
      <c r="D4255" s="800">
        <v>31.24</v>
      </c>
    </row>
    <row r="4256" spans="1:4" ht="54">
      <c r="A4256" s="798">
        <v>92945</v>
      </c>
      <c r="B4256" s="799" t="s">
        <v>6023</v>
      </c>
      <c r="C4256" s="798" t="s">
        <v>24</v>
      </c>
      <c r="D4256" s="800">
        <v>31.24</v>
      </c>
    </row>
    <row r="4257" spans="1:4" ht="54">
      <c r="A4257" s="798">
        <v>92946</v>
      </c>
      <c r="B4257" s="799" t="s">
        <v>6024</v>
      </c>
      <c r="C4257" s="798" t="s">
        <v>24</v>
      </c>
      <c r="D4257" s="800">
        <v>43.76</v>
      </c>
    </row>
    <row r="4258" spans="1:4" ht="54">
      <c r="A4258" s="798">
        <v>92947</v>
      </c>
      <c r="B4258" s="799" t="s">
        <v>6025</v>
      </c>
      <c r="C4258" s="798" t="s">
        <v>24</v>
      </c>
      <c r="D4258" s="800">
        <v>43.76</v>
      </c>
    </row>
    <row r="4259" spans="1:4" ht="54">
      <c r="A4259" s="798">
        <v>92948</v>
      </c>
      <c r="B4259" s="799" t="s">
        <v>6026</v>
      </c>
      <c r="C4259" s="798" t="s">
        <v>24</v>
      </c>
      <c r="D4259" s="800">
        <v>43.76</v>
      </c>
    </row>
    <row r="4260" spans="1:4" ht="54">
      <c r="A4260" s="798">
        <v>92949</v>
      </c>
      <c r="B4260" s="799" t="s">
        <v>6027</v>
      </c>
      <c r="C4260" s="798" t="s">
        <v>24</v>
      </c>
      <c r="D4260" s="800">
        <v>68.349999999999994</v>
      </c>
    </row>
    <row r="4261" spans="1:4" ht="54">
      <c r="A4261" s="798">
        <v>92950</v>
      </c>
      <c r="B4261" s="799" t="s">
        <v>6028</v>
      </c>
      <c r="C4261" s="798" t="s">
        <v>24</v>
      </c>
      <c r="D4261" s="800">
        <v>68.349999999999994</v>
      </c>
    </row>
    <row r="4262" spans="1:4" ht="54">
      <c r="A4262" s="798">
        <v>92951</v>
      </c>
      <c r="B4262" s="799" t="s">
        <v>6029</v>
      </c>
      <c r="C4262" s="798" t="s">
        <v>24</v>
      </c>
      <c r="D4262" s="800">
        <v>97.98</v>
      </c>
    </row>
    <row r="4263" spans="1:4" ht="54">
      <c r="A4263" s="798">
        <v>92952</v>
      </c>
      <c r="B4263" s="799" t="s">
        <v>6030</v>
      </c>
      <c r="C4263" s="798" t="s">
        <v>24</v>
      </c>
      <c r="D4263" s="800">
        <v>97.98</v>
      </c>
    </row>
    <row r="4264" spans="1:4" ht="40.5">
      <c r="A4264" s="798">
        <v>92953</v>
      </c>
      <c r="B4264" s="799" t="s">
        <v>6031</v>
      </c>
      <c r="C4264" s="798" t="s">
        <v>24</v>
      </c>
      <c r="D4264" s="800">
        <v>18</v>
      </c>
    </row>
    <row r="4265" spans="1:4" ht="40.5">
      <c r="A4265" s="798">
        <v>93050</v>
      </c>
      <c r="B4265" s="799" t="s">
        <v>3484</v>
      </c>
      <c r="C4265" s="798" t="s">
        <v>24</v>
      </c>
      <c r="D4265" s="800">
        <v>12.11</v>
      </c>
    </row>
    <row r="4266" spans="1:4" ht="40.5">
      <c r="A4266" s="798">
        <v>93051</v>
      </c>
      <c r="B4266" s="799" t="s">
        <v>3485</v>
      </c>
      <c r="C4266" s="798" t="s">
        <v>24</v>
      </c>
      <c r="D4266" s="800">
        <v>11.07</v>
      </c>
    </row>
    <row r="4267" spans="1:4" ht="40.5">
      <c r="A4267" s="798">
        <v>93052</v>
      </c>
      <c r="B4267" s="799" t="s">
        <v>3486</v>
      </c>
      <c r="C4267" s="798" t="s">
        <v>24</v>
      </c>
      <c r="D4267" s="800">
        <v>597.61</v>
      </c>
    </row>
    <row r="4268" spans="1:4" ht="40.5">
      <c r="A4268" s="798">
        <v>93054</v>
      </c>
      <c r="B4268" s="799" t="s">
        <v>3487</v>
      </c>
      <c r="C4268" s="798" t="s">
        <v>24</v>
      </c>
      <c r="D4268" s="800">
        <v>24.32</v>
      </c>
    </row>
    <row r="4269" spans="1:4" ht="40.5">
      <c r="A4269" s="798">
        <v>93055</v>
      </c>
      <c r="B4269" s="799" t="s">
        <v>3488</v>
      </c>
      <c r="C4269" s="798" t="s">
        <v>24</v>
      </c>
      <c r="D4269" s="800">
        <v>50.89</v>
      </c>
    </row>
    <row r="4270" spans="1:4" ht="40.5">
      <c r="A4270" s="798">
        <v>93056</v>
      </c>
      <c r="B4270" s="799" t="s">
        <v>3489</v>
      </c>
      <c r="C4270" s="798" t="s">
        <v>24</v>
      </c>
      <c r="D4270" s="800">
        <v>18.059999999999999</v>
      </c>
    </row>
    <row r="4271" spans="1:4" ht="40.5">
      <c r="A4271" s="798">
        <v>93057</v>
      </c>
      <c r="B4271" s="799" t="s">
        <v>3490</v>
      </c>
      <c r="C4271" s="798" t="s">
        <v>24</v>
      </c>
      <c r="D4271" s="800">
        <v>15.58</v>
      </c>
    </row>
    <row r="4272" spans="1:4" ht="40.5">
      <c r="A4272" s="798">
        <v>93058</v>
      </c>
      <c r="B4272" s="799" t="s">
        <v>3491</v>
      </c>
      <c r="C4272" s="798" t="s">
        <v>24</v>
      </c>
      <c r="D4272" s="800">
        <v>657.06</v>
      </c>
    </row>
    <row r="4273" spans="1:4" ht="40.5">
      <c r="A4273" s="798">
        <v>93059</v>
      </c>
      <c r="B4273" s="799" t="s">
        <v>3492</v>
      </c>
      <c r="C4273" s="798" t="s">
        <v>24</v>
      </c>
      <c r="D4273" s="800">
        <v>33.630000000000003</v>
      </c>
    </row>
    <row r="4274" spans="1:4" ht="40.5">
      <c r="A4274" s="798">
        <v>93060</v>
      </c>
      <c r="B4274" s="799" t="s">
        <v>3493</v>
      </c>
      <c r="C4274" s="798" t="s">
        <v>24</v>
      </c>
      <c r="D4274" s="800">
        <v>89.36</v>
      </c>
    </row>
    <row r="4275" spans="1:4" ht="40.5">
      <c r="A4275" s="798">
        <v>93061</v>
      </c>
      <c r="B4275" s="799" t="s">
        <v>3494</v>
      </c>
      <c r="C4275" s="798" t="s">
        <v>24</v>
      </c>
      <c r="D4275" s="800">
        <v>34.86</v>
      </c>
    </row>
    <row r="4276" spans="1:4" ht="40.5">
      <c r="A4276" s="798">
        <v>93062</v>
      </c>
      <c r="B4276" s="799" t="s">
        <v>3495</v>
      </c>
      <c r="C4276" s="798" t="s">
        <v>24</v>
      </c>
      <c r="D4276" s="800">
        <v>30.04</v>
      </c>
    </row>
    <row r="4277" spans="1:4" ht="40.5">
      <c r="A4277" s="798">
        <v>93063</v>
      </c>
      <c r="B4277" s="799" t="s">
        <v>3496</v>
      </c>
      <c r="C4277" s="798" t="s">
        <v>24</v>
      </c>
      <c r="D4277" s="800">
        <v>752.56</v>
      </c>
    </row>
    <row r="4278" spans="1:4" ht="40.5">
      <c r="A4278" s="798">
        <v>93064</v>
      </c>
      <c r="B4278" s="799" t="s">
        <v>3497</v>
      </c>
      <c r="C4278" s="798" t="s">
        <v>24</v>
      </c>
      <c r="D4278" s="800">
        <v>54.46</v>
      </c>
    </row>
    <row r="4279" spans="1:4" ht="40.5">
      <c r="A4279" s="798">
        <v>93065</v>
      </c>
      <c r="B4279" s="799" t="s">
        <v>3498</v>
      </c>
      <c r="C4279" s="798" t="s">
        <v>24</v>
      </c>
      <c r="D4279" s="800">
        <v>50.9</v>
      </c>
    </row>
    <row r="4280" spans="1:4" ht="40.5">
      <c r="A4280" s="798">
        <v>93066</v>
      </c>
      <c r="B4280" s="799" t="s">
        <v>3499</v>
      </c>
      <c r="C4280" s="798" t="s">
        <v>24</v>
      </c>
      <c r="D4280" s="800">
        <v>944.84</v>
      </c>
    </row>
    <row r="4281" spans="1:4" ht="40.5">
      <c r="A4281" s="798">
        <v>93067</v>
      </c>
      <c r="B4281" s="799" t="s">
        <v>3500</v>
      </c>
      <c r="C4281" s="798" t="s">
        <v>24</v>
      </c>
      <c r="D4281" s="800">
        <v>81.22</v>
      </c>
    </row>
    <row r="4282" spans="1:4" ht="40.5">
      <c r="A4282" s="798">
        <v>93068</v>
      </c>
      <c r="B4282" s="799" t="s">
        <v>3501</v>
      </c>
      <c r="C4282" s="798" t="s">
        <v>24</v>
      </c>
      <c r="D4282" s="800">
        <v>70.78</v>
      </c>
    </row>
    <row r="4283" spans="1:4" ht="40.5">
      <c r="A4283" s="798">
        <v>93069</v>
      </c>
      <c r="B4283" s="799" t="s">
        <v>3502</v>
      </c>
      <c r="C4283" s="798" t="s">
        <v>24</v>
      </c>
      <c r="D4283" s="800">
        <v>1309.72</v>
      </c>
    </row>
    <row r="4284" spans="1:4" ht="40.5">
      <c r="A4284" s="798">
        <v>93070</v>
      </c>
      <c r="B4284" s="799" t="s">
        <v>3503</v>
      </c>
      <c r="C4284" s="798" t="s">
        <v>24</v>
      </c>
      <c r="D4284" s="800">
        <v>208.19</v>
      </c>
    </row>
    <row r="4285" spans="1:4" ht="40.5">
      <c r="A4285" s="798">
        <v>93071</v>
      </c>
      <c r="B4285" s="799" t="s">
        <v>3504</v>
      </c>
      <c r="C4285" s="798" t="s">
        <v>24</v>
      </c>
      <c r="D4285" s="800">
        <v>193.12</v>
      </c>
    </row>
    <row r="4286" spans="1:4" ht="40.5">
      <c r="A4286" s="798">
        <v>93072</v>
      </c>
      <c r="B4286" s="799" t="s">
        <v>3505</v>
      </c>
      <c r="C4286" s="798" t="s">
        <v>24</v>
      </c>
      <c r="D4286" s="800">
        <v>1728.37</v>
      </c>
    </row>
    <row r="4287" spans="1:4" ht="54">
      <c r="A4287" s="798">
        <v>93073</v>
      </c>
      <c r="B4287" s="799" t="s">
        <v>3506</v>
      </c>
      <c r="C4287" s="798" t="s">
        <v>24</v>
      </c>
      <c r="D4287" s="800">
        <v>92.85</v>
      </c>
    </row>
    <row r="4288" spans="1:4" ht="40.5">
      <c r="A4288" s="798">
        <v>93074</v>
      </c>
      <c r="B4288" s="799" t="s">
        <v>3507</v>
      </c>
      <c r="C4288" s="798" t="s">
        <v>24</v>
      </c>
      <c r="D4288" s="800">
        <v>11.83</v>
      </c>
    </row>
    <row r="4289" spans="1:4" ht="54">
      <c r="A4289" s="798">
        <v>93075</v>
      </c>
      <c r="B4289" s="799" t="s">
        <v>3508</v>
      </c>
      <c r="C4289" s="798" t="s">
        <v>24</v>
      </c>
      <c r="D4289" s="800">
        <v>21.78</v>
      </c>
    </row>
    <row r="4290" spans="1:4" ht="40.5">
      <c r="A4290" s="798">
        <v>93076</v>
      </c>
      <c r="B4290" s="799" t="s">
        <v>3509</v>
      </c>
      <c r="C4290" s="798" t="s">
        <v>24</v>
      </c>
      <c r="D4290" s="800">
        <v>20.55</v>
      </c>
    </row>
    <row r="4291" spans="1:4" ht="54">
      <c r="A4291" s="798">
        <v>93077</v>
      </c>
      <c r="B4291" s="799" t="s">
        <v>3510</v>
      </c>
      <c r="C4291" s="798" t="s">
        <v>24</v>
      </c>
      <c r="D4291" s="800">
        <v>31.71</v>
      </c>
    </row>
    <row r="4292" spans="1:4" ht="54">
      <c r="A4292" s="798">
        <v>93078</v>
      </c>
      <c r="B4292" s="799" t="s">
        <v>3511</v>
      </c>
      <c r="C4292" s="798" t="s">
        <v>24</v>
      </c>
      <c r="D4292" s="800">
        <v>34.65</v>
      </c>
    </row>
    <row r="4293" spans="1:4" ht="40.5">
      <c r="A4293" s="798">
        <v>93079</v>
      </c>
      <c r="B4293" s="799" t="s">
        <v>3512</v>
      </c>
      <c r="C4293" s="798" t="s">
        <v>24</v>
      </c>
      <c r="D4293" s="800">
        <v>29.73</v>
      </c>
    </row>
    <row r="4294" spans="1:4" ht="40.5">
      <c r="A4294" s="798">
        <v>93080</v>
      </c>
      <c r="B4294" s="799" t="s">
        <v>3513</v>
      </c>
      <c r="C4294" s="798" t="s">
        <v>24</v>
      </c>
      <c r="D4294" s="800">
        <v>7.7</v>
      </c>
    </row>
    <row r="4295" spans="1:4" ht="40.5">
      <c r="A4295" s="798">
        <v>93081</v>
      </c>
      <c r="B4295" s="799" t="s">
        <v>3514</v>
      </c>
      <c r="C4295" s="798" t="s">
        <v>24</v>
      </c>
      <c r="D4295" s="800">
        <v>20.32</v>
      </c>
    </row>
    <row r="4296" spans="1:4" ht="40.5">
      <c r="A4296" s="798">
        <v>93082</v>
      </c>
      <c r="B4296" s="799" t="s">
        <v>3515</v>
      </c>
      <c r="C4296" s="798" t="s">
        <v>24</v>
      </c>
      <c r="D4296" s="800">
        <v>25.35</v>
      </c>
    </row>
    <row r="4297" spans="1:4" ht="40.5">
      <c r="A4297" s="798">
        <v>93083</v>
      </c>
      <c r="B4297" s="799" t="s">
        <v>3516</v>
      </c>
      <c r="C4297" s="798" t="s">
        <v>24</v>
      </c>
      <c r="D4297" s="800">
        <v>515.91</v>
      </c>
    </row>
    <row r="4298" spans="1:4" ht="40.5">
      <c r="A4298" s="798">
        <v>93084</v>
      </c>
      <c r="B4298" s="799" t="s">
        <v>3517</v>
      </c>
      <c r="C4298" s="798" t="s">
        <v>24</v>
      </c>
      <c r="D4298" s="800">
        <v>13.57</v>
      </c>
    </row>
    <row r="4299" spans="1:4" ht="40.5">
      <c r="A4299" s="798">
        <v>93085</v>
      </c>
      <c r="B4299" s="799" t="s">
        <v>3518</v>
      </c>
      <c r="C4299" s="798" t="s">
        <v>24</v>
      </c>
      <c r="D4299" s="800">
        <v>12.53</v>
      </c>
    </row>
    <row r="4300" spans="1:4" ht="40.5">
      <c r="A4300" s="798">
        <v>93086</v>
      </c>
      <c r="B4300" s="799" t="s">
        <v>3519</v>
      </c>
      <c r="C4300" s="798" t="s">
        <v>24</v>
      </c>
      <c r="D4300" s="800">
        <v>599.07000000000005</v>
      </c>
    </row>
    <row r="4301" spans="1:4" ht="40.5">
      <c r="A4301" s="798">
        <v>93087</v>
      </c>
      <c r="B4301" s="799" t="s">
        <v>3520</v>
      </c>
      <c r="C4301" s="798" t="s">
        <v>24</v>
      </c>
      <c r="D4301" s="800">
        <v>21.88</v>
      </c>
    </row>
    <row r="4302" spans="1:4" ht="40.5">
      <c r="A4302" s="798">
        <v>93088</v>
      </c>
      <c r="B4302" s="799" t="s">
        <v>3521</v>
      </c>
      <c r="C4302" s="798" t="s">
        <v>24</v>
      </c>
      <c r="D4302" s="800">
        <v>25.98</v>
      </c>
    </row>
    <row r="4303" spans="1:4" ht="40.5">
      <c r="A4303" s="798">
        <v>93089</v>
      </c>
      <c r="B4303" s="799" t="s">
        <v>3522</v>
      </c>
      <c r="C4303" s="798" t="s">
        <v>24</v>
      </c>
      <c r="D4303" s="800">
        <v>52.35</v>
      </c>
    </row>
    <row r="4304" spans="1:4" ht="40.5">
      <c r="A4304" s="798">
        <v>93090</v>
      </c>
      <c r="B4304" s="799" t="s">
        <v>3523</v>
      </c>
      <c r="C4304" s="798" t="s">
        <v>24</v>
      </c>
      <c r="D4304" s="800">
        <v>19.5</v>
      </c>
    </row>
    <row r="4305" spans="1:4" ht="40.5">
      <c r="A4305" s="798">
        <v>93091</v>
      </c>
      <c r="B4305" s="799" t="s">
        <v>3524</v>
      </c>
      <c r="C4305" s="798" t="s">
        <v>24</v>
      </c>
      <c r="D4305" s="800">
        <v>17.02</v>
      </c>
    </row>
    <row r="4306" spans="1:4" ht="40.5">
      <c r="A4306" s="798">
        <v>93092</v>
      </c>
      <c r="B4306" s="799" t="s">
        <v>3525</v>
      </c>
      <c r="C4306" s="798" t="s">
        <v>24</v>
      </c>
      <c r="D4306" s="800">
        <v>658.5</v>
      </c>
    </row>
    <row r="4307" spans="1:4" ht="40.5">
      <c r="A4307" s="798">
        <v>93093</v>
      </c>
      <c r="B4307" s="799" t="s">
        <v>3526</v>
      </c>
      <c r="C4307" s="798" t="s">
        <v>24</v>
      </c>
      <c r="D4307" s="800">
        <v>35.07</v>
      </c>
    </row>
    <row r="4308" spans="1:4" ht="40.5">
      <c r="A4308" s="798">
        <v>93094</v>
      </c>
      <c r="B4308" s="799" t="s">
        <v>3527</v>
      </c>
      <c r="C4308" s="798" t="s">
        <v>24</v>
      </c>
      <c r="D4308" s="800">
        <v>90.8</v>
      </c>
    </row>
    <row r="4309" spans="1:4" ht="54">
      <c r="A4309" s="798">
        <v>93095</v>
      </c>
      <c r="B4309" s="799" t="s">
        <v>3528</v>
      </c>
      <c r="C4309" s="798" t="s">
        <v>24</v>
      </c>
      <c r="D4309" s="800">
        <v>66.400000000000006</v>
      </c>
    </row>
    <row r="4310" spans="1:4" ht="54">
      <c r="A4310" s="798">
        <v>93096</v>
      </c>
      <c r="B4310" s="799" t="s">
        <v>3529</v>
      </c>
      <c r="C4310" s="798" t="s">
        <v>24</v>
      </c>
      <c r="D4310" s="800">
        <v>95.72</v>
      </c>
    </row>
    <row r="4311" spans="1:4" ht="40.5">
      <c r="A4311" s="798">
        <v>93097</v>
      </c>
      <c r="B4311" s="799" t="s">
        <v>3530</v>
      </c>
      <c r="C4311" s="798" t="s">
        <v>24</v>
      </c>
      <c r="D4311" s="800">
        <v>12</v>
      </c>
    </row>
    <row r="4312" spans="1:4" ht="54">
      <c r="A4312" s="798">
        <v>93098</v>
      </c>
      <c r="B4312" s="799" t="s">
        <v>3531</v>
      </c>
      <c r="C4312" s="798" t="s">
        <v>24</v>
      </c>
      <c r="D4312" s="800">
        <v>21.95</v>
      </c>
    </row>
    <row r="4313" spans="1:4" ht="40.5">
      <c r="A4313" s="798">
        <v>93099</v>
      </c>
      <c r="B4313" s="799" t="s">
        <v>3532</v>
      </c>
      <c r="C4313" s="798" t="s">
        <v>24</v>
      </c>
      <c r="D4313" s="800">
        <v>22.55</v>
      </c>
    </row>
    <row r="4314" spans="1:4" ht="54">
      <c r="A4314" s="798">
        <v>93100</v>
      </c>
      <c r="B4314" s="799" t="s">
        <v>3533</v>
      </c>
      <c r="C4314" s="798" t="s">
        <v>24</v>
      </c>
      <c r="D4314" s="800">
        <v>33.71</v>
      </c>
    </row>
    <row r="4315" spans="1:4" ht="54">
      <c r="A4315" s="798">
        <v>93101</v>
      </c>
      <c r="B4315" s="799" t="s">
        <v>3534</v>
      </c>
      <c r="C4315" s="798" t="s">
        <v>24</v>
      </c>
      <c r="D4315" s="800">
        <v>36.65</v>
      </c>
    </row>
    <row r="4316" spans="1:4" ht="40.5">
      <c r="A4316" s="798">
        <v>93102</v>
      </c>
      <c r="B4316" s="799" t="s">
        <v>3535</v>
      </c>
      <c r="C4316" s="798" t="s">
        <v>24</v>
      </c>
      <c r="D4316" s="800">
        <v>31.55</v>
      </c>
    </row>
    <row r="4317" spans="1:4" ht="40.5">
      <c r="A4317" s="798">
        <v>93103</v>
      </c>
      <c r="B4317" s="799" t="s">
        <v>3536</v>
      </c>
      <c r="C4317" s="798" t="s">
        <v>24</v>
      </c>
      <c r="D4317" s="800">
        <v>7.83</v>
      </c>
    </row>
    <row r="4318" spans="1:4" ht="40.5">
      <c r="A4318" s="798">
        <v>93104</v>
      </c>
      <c r="B4318" s="799" t="s">
        <v>3537</v>
      </c>
      <c r="C4318" s="798" t="s">
        <v>24</v>
      </c>
      <c r="D4318" s="800">
        <v>20.45</v>
      </c>
    </row>
    <row r="4319" spans="1:4" ht="40.5">
      <c r="A4319" s="798">
        <v>93105</v>
      </c>
      <c r="B4319" s="799" t="s">
        <v>3538</v>
      </c>
      <c r="C4319" s="798" t="s">
        <v>24</v>
      </c>
      <c r="D4319" s="800">
        <v>25.48</v>
      </c>
    </row>
    <row r="4320" spans="1:4" ht="40.5">
      <c r="A4320" s="798">
        <v>93106</v>
      </c>
      <c r="B4320" s="799" t="s">
        <v>3539</v>
      </c>
      <c r="C4320" s="798" t="s">
        <v>24</v>
      </c>
      <c r="D4320" s="800">
        <v>516.04</v>
      </c>
    </row>
    <row r="4321" spans="1:4" ht="40.5">
      <c r="A4321" s="798">
        <v>93107</v>
      </c>
      <c r="B4321" s="799" t="s">
        <v>3540</v>
      </c>
      <c r="C4321" s="798" t="s">
        <v>24</v>
      </c>
      <c r="D4321" s="800">
        <v>14.88</v>
      </c>
    </row>
    <row r="4322" spans="1:4" ht="40.5">
      <c r="A4322" s="798">
        <v>93108</v>
      </c>
      <c r="B4322" s="799" t="s">
        <v>3541</v>
      </c>
      <c r="C4322" s="798" t="s">
        <v>24</v>
      </c>
      <c r="D4322" s="800">
        <v>13.84</v>
      </c>
    </row>
    <row r="4323" spans="1:4" ht="40.5">
      <c r="A4323" s="798">
        <v>93109</v>
      </c>
      <c r="B4323" s="799" t="s">
        <v>3542</v>
      </c>
      <c r="C4323" s="798" t="s">
        <v>24</v>
      </c>
      <c r="D4323" s="800">
        <v>600.38</v>
      </c>
    </row>
    <row r="4324" spans="1:4" ht="40.5">
      <c r="A4324" s="798">
        <v>93110</v>
      </c>
      <c r="B4324" s="799" t="s">
        <v>3543</v>
      </c>
      <c r="C4324" s="798" t="s">
        <v>24</v>
      </c>
      <c r="D4324" s="800">
        <v>23.19</v>
      </c>
    </row>
    <row r="4325" spans="1:4" ht="40.5">
      <c r="A4325" s="798">
        <v>93111</v>
      </c>
      <c r="B4325" s="799" t="s">
        <v>3544</v>
      </c>
      <c r="C4325" s="798" t="s">
        <v>24</v>
      </c>
      <c r="D4325" s="800">
        <v>27.09</v>
      </c>
    </row>
    <row r="4326" spans="1:4" ht="40.5">
      <c r="A4326" s="798">
        <v>93112</v>
      </c>
      <c r="B4326" s="799" t="s">
        <v>3545</v>
      </c>
      <c r="C4326" s="798" t="s">
        <v>24</v>
      </c>
      <c r="D4326" s="800">
        <v>53.66</v>
      </c>
    </row>
    <row r="4327" spans="1:4" ht="40.5">
      <c r="A4327" s="798">
        <v>93113</v>
      </c>
      <c r="B4327" s="799" t="s">
        <v>3546</v>
      </c>
      <c r="C4327" s="798" t="s">
        <v>24</v>
      </c>
      <c r="D4327" s="800">
        <v>21.88</v>
      </c>
    </row>
    <row r="4328" spans="1:4" ht="40.5">
      <c r="A4328" s="798">
        <v>93114</v>
      </c>
      <c r="B4328" s="799" t="s">
        <v>3547</v>
      </c>
      <c r="C4328" s="798" t="s">
        <v>24</v>
      </c>
      <c r="D4328" s="800">
        <v>37.450000000000003</v>
      </c>
    </row>
    <row r="4329" spans="1:4" ht="40.5">
      <c r="A4329" s="798">
        <v>93115</v>
      </c>
      <c r="B4329" s="799" t="s">
        <v>3548</v>
      </c>
      <c r="C4329" s="798" t="s">
        <v>24</v>
      </c>
      <c r="D4329" s="800">
        <v>93.18</v>
      </c>
    </row>
    <row r="4330" spans="1:4" ht="40.5">
      <c r="A4330" s="798">
        <v>93116</v>
      </c>
      <c r="B4330" s="799" t="s">
        <v>3549</v>
      </c>
      <c r="C4330" s="798" t="s">
        <v>24</v>
      </c>
      <c r="D4330" s="800">
        <v>660.88</v>
      </c>
    </row>
    <row r="4331" spans="1:4" ht="54">
      <c r="A4331" s="798">
        <v>93117</v>
      </c>
      <c r="B4331" s="799" t="s">
        <v>3550</v>
      </c>
      <c r="C4331" s="798" t="s">
        <v>24</v>
      </c>
      <c r="D4331" s="800">
        <v>66.599999999999994</v>
      </c>
    </row>
    <row r="4332" spans="1:4" ht="54">
      <c r="A4332" s="798">
        <v>93118</v>
      </c>
      <c r="B4332" s="799" t="s">
        <v>3551</v>
      </c>
      <c r="C4332" s="798" t="s">
        <v>24</v>
      </c>
      <c r="D4332" s="800">
        <v>98.36</v>
      </c>
    </row>
    <row r="4333" spans="1:4" ht="40.5">
      <c r="A4333" s="798">
        <v>93119</v>
      </c>
      <c r="B4333" s="799" t="s">
        <v>3552</v>
      </c>
      <c r="C4333" s="798" t="s">
        <v>24</v>
      </c>
      <c r="D4333" s="800">
        <v>18.41</v>
      </c>
    </row>
    <row r="4334" spans="1:4" ht="40.5">
      <c r="A4334" s="798">
        <v>93120</v>
      </c>
      <c r="B4334" s="799" t="s">
        <v>3553</v>
      </c>
      <c r="C4334" s="798" t="s">
        <v>24</v>
      </c>
      <c r="D4334" s="800">
        <v>29.57</v>
      </c>
    </row>
    <row r="4335" spans="1:4" ht="40.5">
      <c r="A4335" s="798">
        <v>93121</v>
      </c>
      <c r="B4335" s="799" t="s">
        <v>3554</v>
      </c>
      <c r="C4335" s="798" t="s">
        <v>24</v>
      </c>
      <c r="D4335" s="800">
        <v>32.51</v>
      </c>
    </row>
    <row r="4336" spans="1:4" ht="40.5">
      <c r="A4336" s="798">
        <v>93122</v>
      </c>
      <c r="B4336" s="799" t="s">
        <v>3555</v>
      </c>
      <c r="C4336" s="798" t="s">
        <v>24</v>
      </c>
      <c r="D4336" s="800">
        <v>27.6</v>
      </c>
    </row>
    <row r="4337" spans="1:4" ht="40.5">
      <c r="A4337" s="798">
        <v>93123</v>
      </c>
      <c r="B4337" s="799" t="s">
        <v>3556</v>
      </c>
      <c r="C4337" s="798" t="s">
        <v>24</v>
      </c>
      <c r="D4337" s="800">
        <v>63.38</v>
      </c>
    </row>
    <row r="4338" spans="1:4" ht="40.5">
      <c r="A4338" s="798">
        <v>93124</v>
      </c>
      <c r="B4338" s="799" t="s">
        <v>3557</v>
      </c>
      <c r="C4338" s="798" t="s">
        <v>24</v>
      </c>
      <c r="D4338" s="800">
        <v>100.88</v>
      </c>
    </row>
    <row r="4339" spans="1:4" ht="40.5">
      <c r="A4339" s="798">
        <v>93125</v>
      </c>
      <c r="B4339" s="799" t="s">
        <v>3558</v>
      </c>
      <c r="C4339" s="798" t="s">
        <v>24</v>
      </c>
      <c r="D4339" s="800">
        <v>147.54</v>
      </c>
    </row>
    <row r="4340" spans="1:4" ht="40.5">
      <c r="A4340" s="798">
        <v>93126</v>
      </c>
      <c r="B4340" s="799" t="s">
        <v>3559</v>
      </c>
      <c r="C4340" s="798" t="s">
        <v>24</v>
      </c>
      <c r="D4340" s="800">
        <v>331.27</v>
      </c>
    </row>
    <row r="4341" spans="1:4" ht="40.5">
      <c r="A4341" s="798">
        <v>93133</v>
      </c>
      <c r="B4341" s="799" t="s">
        <v>3560</v>
      </c>
      <c r="C4341" s="798" t="s">
        <v>24</v>
      </c>
      <c r="D4341" s="800">
        <v>19.399999999999999</v>
      </c>
    </row>
    <row r="4342" spans="1:4" ht="54">
      <c r="A4342" s="798">
        <v>94465</v>
      </c>
      <c r="B4342" s="799" t="s">
        <v>2318</v>
      </c>
      <c r="C4342" s="798" t="s">
        <v>24</v>
      </c>
      <c r="D4342" s="800">
        <v>40.19</v>
      </c>
    </row>
    <row r="4343" spans="1:4" ht="54">
      <c r="A4343" s="798">
        <v>94466</v>
      </c>
      <c r="B4343" s="799" t="s">
        <v>2319</v>
      </c>
      <c r="C4343" s="798" t="s">
        <v>24</v>
      </c>
      <c r="D4343" s="800">
        <v>40.21</v>
      </c>
    </row>
    <row r="4344" spans="1:4" ht="67.5">
      <c r="A4344" s="798">
        <v>94467</v>
      </c>
      <c r="B4344" s="799" t="s">
        <v>2320</v>
      </c>
      <c r="C4344" s="798" t="s">
        <v>24</v>
      </c>
      <c r="D4344" s="800">
        <v>63.02</v>
      </c>
    </row>
    <row r="4345" spans="1:4" ht="67.5">
      <c r="A4345" s="798">
        <v>94468</v>
      </c>
      <c r="B4345" s="799" t="s">
        <v>2321</v>
      </c>
      <c r="C4345" s="798" t="s">
        <v>24</v>
      </c>
      <c r="D4345" s="800">
        <v>54.91</v>
      </c>
    </row>
    <row r="4346" spans="1:4" ht="54">
      <c r="A4346" s="798">
        <v>94469</v>
      </c>
      <c r="B4346" s="799" t="s">
        <v>2322</v>
      </c>
      <c r="C4346" s="798" t="s">
        <v>24</v>
      </c>
      <c r="D4346" s="800">
        <v>91.87</v>
      </c>
    </row>
    <row r="4347" spans="1:4" ht="54">
      <c r="A4347" s="798">
        <v>94470</v>
      </c>
      <c r="B4347" s="799" t="s">
        <v>2323</v>
      </c>
      <c r="C4347" s="798" t="s">
        <v>24</v>
      </c>
      <c r="D4347" s="800">
        <v>84.66</v>
      </c>
    </row>
    <row r="4348" spans="1:4" ht="67.5">
      <c r="A4348" s="798">
        <v>94471</v>
      </c>
      <c r="B4348" s="799" t="s">
        <v>2324</v>
      </c>
      <c r="C4348" s="798" t="s">
        <v>24</v>
      </c>
      <c r="D4348" s="800">
        <v>57.8</v>
      </c>
    </row>
    <row r="4349" spans="1:4" ht="67.5">
      <c r="A4349" s="798">
        <v>94472</v>
      </c>
      <c r="B4349" s="799" t="s">
        <v>2325</v>
      </c>
      <c r="C4349" s="798" t="s">
        <v>24</v>
      </c>
      <c r="D4349" s="800">
        <v>59.61</v>
      </c>
    </row>
    <row r="4350" spans="1:4" ht="67.5">
      <c r="A4350" s="798">
        <v>94473</v>
      </c>
      <c r="B4350" s="799" t="s">
        <v>2326</v>
      </c>
      <c r="C4350" s="798" t="s">
        <v>24</v>
      </c>
      <c r="D4350" s="800">
        <v>90.06</v>
      </c>
    </row>
    <row r="4351" spans="1:4" ht="67.5">
      <c r="A4351" s="798">
        <v>94474</v>
      </c>
      <c r="B4351" s="799" t="s">
        <v>2327</v>
      </c>
      <c r="C4351" s="798" t="s">
        <v>24</v>
      </c>
      <c r="D4351" s="800">
        <v>97.99</v>
      </c>
    </row>
    <row r="4352" spans="1:4" ht="67.5">
      <c r="A4352" s="798">
        <v>94475</v>
      </c>
      <c r="B4352" s="799" t="s">
        <v>2328</v>
      </c>
      <c r="C4352" s="798" t="s">
        <v>24</v>
      </c>
      <c r="D4352" s="800">
        <v>124.09</v>
      </c>
    </row>
    <row r="4353" spans="1:4" ht="67.5">
      <c r="A4353" s="798">
        <v>94476</v>
      </c>
      <c r="B4353" s="799" t="s">
        <v>2329</v>
      </c>
      <c r="C4353" s="798" t="s">
        <v>24</v>
      </c>
      <c r="D4353" s="800">
        <v>139.37</v>
      </c>
    </row>
    <row r="4354" spans="1:4" ht="54">
      <c r="A4354" s="798">
        <v>94477</v>
      </c>
      <c r="B4354" s="799" t="s">
        <v>2330</v>
      </c>
      <c r="C4354" s="798" t="s">
        <v>24</v>
      </c>
      <c r="D4354" s="800">
        <v>76.959999999999994</v>
      </c>
    </row>
    <row r="4355" spans="1:4" ht="54">
      <c r="A4355" s="798">
        <v>94478</v>
      </c>
      <c r="B4355" s="799" t="s">
        <v>2331</v>
      </c>
      <c r="C4355" s="798" t="s">
        <v>24</v>
      </c>
      <c r="D4355" s="800">
        <v>123.97</v>
      </c>
    </row>
    <row r="4356" spans="1:4" ht="54">
      <c r="A4356" s="798">
        <v>94479</v>
      </c>
      <c r="B4356" s="799" t="s">
        <v>2332</v>
      </c>
      <c r="C4356" s="798" t="s">
        <v>24</v>
      </c>
      <c r="D4356" s="800">
        <v>163.88</v>
      </c>
    </row>
    <row r="4357" spans="1:4" ht="54">
      <c r="A4357" s="798">
        <v>94606</v>
      </c>
      <c r="B4357" s="799" t="s">
        <v>3561</v>
      </c>
      <c r="C4357" s="798" t="s">
        <v>24</v>
      </c>
      <c r="D4357" s="800">
        <v>83.3</v>
      </c>
    </row>
    <row r="4358" spans="1:4" ht="54">
      <c r="A4358" s="798">
        <v>94608</v>
      </c>
      <c r="B4358" s="799" t="s">
        <v>3562</v>
      </c>
      <c r="C4358" s="798" t="s">
        <v>24</v>
      </c>
      <c r="D4358" s="800">
        <v>215.8</v>
      </c>
    </row>
    <row r="4359" spans="1:4" ht="54">
      <c r="A4359" s="798">
        <v>94610</v>
      </c>
      <c r="B4359" s="799" t="s">
        <v>3563</v>
      </c>
      <c r="C4359" s="798" t="s">
        <v>24</v>
      </c>
      <c r="D4359" s="800">
        <v>323.56</v>
      </c>
    </row>
    <row r="4360" spans="1:4" ht="54">
      <c r="A4360" s="798">
        <v>94612</v>
      </c>
      <c r="B4360" s="799" t="s">
        <v>3564</v>
      </c>
      <c r="C4360" s="798" t="s">
        <v>24</v>
      </c>
      <c r="D4360" s="800">
        <v>457.32</v>
      </c>
    </row>
    <row r="4361" spans="1:4" ht="54">
      <c r="A4361" s="798">
        <v>94614</v>
      </c>
      <c r="B4361" s="799" t="s">
        <v>3565</v>
      </c>
      <c r="C4361" s="798" t="s">
        <v>24</v>
      </c>
      <c r="D4361" s="800">
        <v>142.33000000000001</v>
      </c>
    </row>
    <row r="4362" spans="1:4" ht="67.5">
      <c r="A4362" s="798">
        <v>94615</v>
      </c>
      <c r="B4362" s="799" t="s">
        <v>3566</v>
      </c>
      <c r="C4362" s="798" t="s">
        <v>24</v>
      </c>
      <c r="D4362" s="800">
        <v>163.13</v>
      </c>
    </row>
    <row r="4363" spans="1:4" ht="54">
      <c r="A4363" s="798">
        <v>94616</v>
      </c>
      <c r="B4363" s="799" t="s">
        <v>3567</v>
      </c>
      <c r="C4363" s="798" t="s">
        <v>24</v>
      </c>
      <c r="D4363" s="800">
        <v>415.7</v>
      </c>
    </row>
    <row r="4364" spans="1:4" ht="67.5">
      <c r="A4364" s="798">
        <v>94617</v>
      </c>
      <c r="B4364" s="799" t="s">
        <v>3568</v>
      </c>
      <c r="C4364" s="798" t="s">
        <v>24</v>
      </c>
      <c r="D4364" s="800">
        <v>343.38</v>
      </c>
    </row>
    <row r="4365" spans="1:4" ht="54">
      <c r="A4365" s="798">
        <v>94618</v>
      </c>
      <c r="B4365" s="799" t="s">
        <v>3569</v>
      </c>
      <c r="C4365" s="798" t="s">
        <v>24</v>
      </c>
      <c r="D4365" s="800">
        <v>407.04</v>
      </c>
    </row>
    <row r="4366" spans="1:4" ht="54">
      <c r="A4366" s="798">
        <v>94620</v>
      </c>
      <c r="B4366" s="799" t="s">
        <v>3570</v>
      </c>
      <c r="C4366" s="798" t="s">
        <v>24</v>
      </c>
      <c r="D4366" s="800">
        <v>948.01</v>
      </c>
    </row>
    <row r="4367" spans="1:4" ht="54">
      <c r="A4367" s="798">
        <v>94622</v>
      </c>
      <c r="B4367" s="799" t="s">
        <v>3571</v>
      </c>
      <c r="C4367" s="798" t="s">
        <v>24</v>
      </c>
      <c r="D4367" s="800">
        <v>209.71</v>
      </c>
    </row>
    <row r="4368" spans="1:4" ht="54">
      <c r="A4368" s="798">
        <v>94623</v>
      </c>
      <c r="B4368" s="799" t="s">
        <v>3572</v>
      </c>
      <c r="C4368" s="798" t="s">
        <v>24</v>
      </c>
      <c r="D4368" s="800">
        <v>513.78</v>
      </c>
    </row>
    <row r="4369" spans="1:4" ht="54">
      <c r="A4369" s="798">
        <v>94624</v>
      </c>
      <c r="B4369" s="799" t="s">
        <v>3573</v>
      </c>
      <c r="C4369" s="798" t="s">
        <v>24</v>
      </c>
      <c r="D4369" s="800">
        <v>788.39</v>
      </c>
    </row>
    <row r="4370" spans="1:4" ht="54">
      <c r="A4370" s="798">
        <v>94625</v>
      </c>
      <c r="B4370" s="799" t="s">
        <v>3574</v>
      </c>
      <c r="C4370" s="798" t="s">
        <v>24</v>
      </c>
      <c r="D4370" s="800">
        <v>1658.5</v>
      </c>
    </row>
    <row r="4371" spans="1:4" ht="67.5">
      <c r="A4371" s="798">
        <v>94656</v>
      </c>
      <c r="B4371" s="799" t="s">
        <v>2345</v>
      </c>
      <c r="C4371" s="798" t="s">
        <v>24</v>
      </c>
      <c r="D4371" s="800">
        <v>5.56</v>
      </c>
    </row>
    <row r="4372" spans="1:4" ht="54">
      <c r="A4372" s="798">
        <v>94657</v>
      </c>
      <c r="B4372" s="799" t="s">
        <v>2346</v>
      </c>
      <c r="C4372" s="798" t="s">
        <v>24</v>
      </c>
      <c r="D4372" s="800">
        <v>5.45</v>
      </c>
    </row>
    <row r="4373" spans="1:4" ht="67.5">
      <c r="A4373" s="798">
        <v>94658</v>
      </c>
      <c r="B4373" s="799" t="s">
        <v>2347</v>
      </c>
      <c r="C4373" s="798" t="s">
        <v>24</v>
      </c>
      <c r="D4373" s="800">
        <v>6.57</v>
      </c>
    </row>
    <row r="4374" spans="1:4" ht="54">
      <c r="A4374" s="798">
        <v>94659</v>
      </c>
      <c r="B4374" s="799" t="s">
        <v>2348</v>
      </c>
      <c r="C4374" s="798" t="s">
        <v>24</v>
      </c>
      <c r="D4374" s="800">
        <v>6.68</v>
      </c>
    </row>
    <row r="4375" spans="1:4" ht="67.5">
      <c r="A4375" s="798">
        <v>94660</v>
      </c>
      <c r="B4375" s="799" t="s">
        <v>2349</v>
      </c>
      <c r="C4375" s="798" t="s">
        <v>24</v>
      </c>
      <c r="D4375" s="800">
        <v>11</v>
      </c>
    </row>
    <row r="4376" spans="1:4" ht="54">
      <c r="A4376" s="798">
        <v>94661</v>
      </c>
      <c r="B4376" s="799" t="s">
        <v>2350</v>
      </c>
      <c r="C4376" s="798" t="s">
        <v>24</v>
      </c>
      <c r="D4376" s="800">
        <v>11.48</v>
      </c>
    </row>
    <row r="4377" spans="1:4" ht="67.5">
      <c r="A4377" s="798">
        <v>94662</v>
      </c>
      <c r="B4377" s="799" t="s">
        <v>2351</v>
      </c>
      <c r="C4377" s="798" t="s">
        <v>24</v>
      </c>
      <c r="D4377" s="800">
        <v>12.02</v>
      </c>
    </row>
    <row r="4378" spans="1:4" ht="54">
      <c r="A4378" s="798">
        <v>94663</v>
      </c>
      <c r="B4378" s="799" t="s">
        <v>2352</v>
      </c>
      <c r="C4378" s="798" t="s">
        <v>24</v>
      </c>
      <c r="D4378" s="800">
        <v>12.21</v>
      </c>
    </row>
    <row r="4379" spans="1:4" ht="67.5">
      <c r="A4379" s="798">
        <v>94664</v>
      </c>
      <c r="B4379" s="799" t="s">
        <v>2353</v>
      </c>
      <c r="C4379" s="798" t="s">
        <v>24</v>
      </c>
      <c r="D4379" s="800">
        <v>26.67</v>
      </c>
    </row>
    <row r="4380" spans="1:4" ht="54">
      <c r="A4380" s="798">
        <v>94665</v>
      </c>
      <c r="B4380" s="799" t="s">
        <v>2354</v>
      </c>
      <c r="C4380" s="798" t="s">
        <v>24</v>
      </c>
      <c r="D4380" s="800">
        <v>26.65</v>
      </c>
    </row>
    <row r="4381" spans="1:4" ht="67.5">
      <c r="A4381" s="798">
        <v>94666</v>
      </c>
      <c r="B4381" s="799" t="s">
        <v>2355</v>
      </c>
      <c r="C4381" s="798" t="s">
        <v>24</v>
      </c>
      <c r="D4381" s="800">
        <v>32.54</v>
      </c>
    </row>
    <row r="4382" spans="1:4" ht="54">
      <c r="A4382" s="798">
        <v>94667</v>
      </c>
      <c r="B4382" s="799" t="s">
        <v>2356</v>
      </c>
      <c r="C4382" s="798" t="s">
        <v>24</v>
      </c>
      <c r="D4382" s="800">
        <v>36.19</v>
      </c>
    </row>
    <row r="4383" spans="1:4" ht="67.5">
      <c r="A4383" s="798">
        <v>94668</v>
      </c>
      <c r="B4383" s="799" t="s">
        <v>2357</v>
      </c>
      <c r="C4383" s="798" t="s">
        <v>24</v>
      </c>
      <c r="D4383" s="800">
        <v>55.83</v>
      </c>
    </row>
    <row r="4384" spans="1:4" ht="54">
      <c r="A4384" s="798">
        <v>94669</v>
      </c>
      <c r="B4384" s="799" t="s">
        <v>2358</v>
      </c>
      <c r="C4384" s="798" t="s">
        <v>24</v>
      </c>
      <c r="D4384" s="800">
        <v>76.349999999999994</v>
      </c>
    </row>
    <row r="4385" spans="1:4" ht="67.5">
      <c r="A4385" s="798">
        <v>94670</v>
      </c>
      <c r="B4385" s="799" t="s">
        <v>2359</v>
      </c>
      <c r="C4385" s="798" t="s">
        <v>24</v>
      </c>
      <c r="D4385" s="800">
        <v>74.099999999999994</v>
      </c>
    </row>
    <row r="4386" spans="1:4" ht="54">
      <c r="A4386" s="798">
        <v>94671</v>
      </c>
      <c r="B4386" s="799" t="s">
        <v>2360</v>
      </c>
      <c r="C4386" s="798" t="s">
        <v>24</v>
      </c>
      <c r="D4386" s="800">
        <v>108.31</v>
      </c>
    </row>
    <row r="4387" spans="1:4" ht="67.5">
      <c r="A4387" s="798">
        <v>94672</v>
      </c>
      <c r="B4387" s="799" t="s">
        <v>2361</v>
      </c>
      <c r="C4387" s="798" t="s">
        <v>24</v>
      </c>
      <c r="D4387" s="800">
        <v>9.58</v>
      </c>
    </row>
    <row r="4388" spans="1:4" ht="54">
      <c r="A4388" s="798">
        <v>94673</v>
      </c>
      <c r="B4388" s="799" t="s">
        <v>2362</v>
      </c>
      <c r="C4388" s="798" t="s">
        <v>24</v>
      </c>
      <c r="D4388" s="800">
        <v>9.3000000000000007</v>
      </c>
    </row>
    <row r="4389" spans="1:4" ht="54">
      <c r="A4389" s="798">
        <v>94674</v>
      </c>
      <c r="B4389" s="799" t="s">
        <v>2363</v>
      </c>
      <c r="C4389" s="798" t="s">
        <v>24</v>
      </c>
      <c r="D4389" s="800">
        <v>8.34</v>
      </c>
    </row>
    <row r="4390" spans="1:4" ht="54">
      <c r="A4390" s="798">
        <v>94675</v>
      </c>
      <c r="B4390" s="799" t="s">
        <v>2364</v>
      </c>
      <c r="C4390" s="798" t="s">
        <v>24</v>
      </c>
      <c r="D4390" s="800">
        <v>13.52</v>
      </c>
    </row>
    <row r="4391" spans="1:4" ht="54">
      <c r="A4391" s="798">
        <v>94676</v>
      </c>
      <c r="B4391" s="799" t="s">
        <v>2365</v>
      </c>
      <c r="C4391" s="798" t="s">
        <v>24</v>
      </c>
      <c r="D4391" s="800">
        <v>14.8</v>
      </c>
    </row>
    <row r="4392" spans="1:4" ht="54">
      <c r="A4392" s="798">
        <v>94677</v>
      </c>
      <c r="B4392" s="799" t="s">
        <v>2366</v>
      </c>
      <c r="C4392" s="798" t="s">
        <v>24</v>
      </c>
      <c r="D4392" s="800">
        <v>22.58</v>
      </c>
    </row>
    <row r="4393" spans="1:4" ht="54">
      <c r="A4393" s="798">
        <v>94678</v>
      </c>
      <c r="B4393" s="799" t="s">
        <v>2367</v>
      </c>
      <c r="C4393" s="798" t="s">
        <v>24</v>
      </c>
      <c r="D4393" s="800">
        <v>15.26</v>
      </c>
    </row>
    <row r="4394" spans="1:4" ht="54">
      <c r="A4394" s="798">
        <v>94679</v>
      </c>
      <c r="B4394" s="799" t="s">
        <v>2368</v>
      </c>
      <c r="C4394" s="798" t="s">
        <v>24</v>
      </c>
      <c r="D4394" s="800">
        <v>25.51</v>
      </c>
    </row>
    <row r="4395" spans="1:4" ht="54">
      <c r="A4395" s="798">
        <v>94680</v>
      </c>
      <c r="B4395" s="799" t="s">
        <v>2369</v>
      </c>
      <c r="C4395" s="798" t="s">
        <v>24</v>
      </c>
      <c r="D4395" s="800">
        <v>43.16</v>
      </c>
    </row>
    <row r="4396" spans="1:4" ht="54">
      <c r="A4396" s="798">
        <v>94681</v>
      </c>
      <c r="B4396" s="799" t="s">
        <v>2370</v>
      </c>
      <c r="C4396" s="798" t="s">
        <v>24</v>
      </c>
      <c r="D4396" s="800">
        <v>57.2</v>
      </c>
    </row>
    <row r="4397" spans="1:4" ht="54">
      <c r="A4397" s="798">
        <v>94682</v>
      </c>
      <c r="B4397" s="799" t="s">
        <v>2371</v>
      </c>
      <c r="C4397" s="798" t="s">
        <v>24</v>
      </c>
      <c r="D4397" s="800">
        <v>115.41</v>
      </c>
    </row>
    <row r="4398" spans="1:4" ht="54">
      <c r="A4398" s="798">
        <v>94683</v>
      </c>
      <c r="B4398" s="799" t="s">
        <v>2372</v>
      </c>
      <c r="C4398" s="798" t="s">
        <v>24</v>
      </c>
      <c r="D4398" s="800">
        <v>74.19</v>
      </c>
    </row>
    <row r="4399" spans="1:4" ht="54">
      <c r="A4399" s="798">
        <v>94684</v>
      </c>
      <c r="B4399" s="799" t="s">
        <v>2373</v>
      </c>
      <c r="C4399" s="798" t="s">
        <v>24</v>
      </c>
      <c r="D4399" s="800">
        <v>147.16</v>
      </c>
    </row>
    <row r="4400" spans="1:4" ht="54">
      <c r="A4400" s="798">
        <v>94685</v>
      </c>
      <c r="B4400" s="799" t="s">
        <v>2374</v>
      </c>
      <c r="C4400" s="798" t="s">
        <v>24</v>
      </c>
      <c r="D4400" s="800">
        <v>112.84</v>
      </c>
    </row>
    <row r="4401" spans="1:4" ht="54">
      <c r="A4401" s="798">
        <v>94686</v>
      </c>
      <c r="B4401" s="799" t="s">
        <v>2375</v>
      </c>
      <c r="C4401" s="798" t="s">
        <v>24</v>
      </c>
      <c r="D4401" s="800">
        <v>276.52</v>
      </c>
    </row>
    <row r="4402" spans="1:4" ht="54">
      <c r="A4402" s="798">
        <v>94687</v>
      </c>
      <c r="B4402" s="799" t="s">
        <v>2376</v>
      </c>
      <c r="C4402" s="798" t="s">
        <v>24</v>
      </c>
      <c r="D4402" s="800">
        <v>224.8</v>
      </c>
    </row>
    <row r="4403" spans="1:4" ht="54">
      <c r="A4403" s="798">
        <v>94688</v>
      </c>
      <c r="B4403" s="799" t="s">
        <v>2377</v>
      </c>
      <c r="C4403" s="798" t="s">
        <v>24</v>
      </c>
      <c r="D4403" s="800">
        <v>9.5500000000000007</v>
      </c>
    </row>
    <row r="4404" spans="1:4" ht="67.5">
      <c r="A4404" s="798">
        <v>94689</v>
      </c>
      <c r="B4404" s="799" t="s">
        <v>2378</v>
      </c>
      <c r="C4404" s="798" t="s">
        <v>24</v>
      </c>
      <c r="D4404" s="800">
        <v>13.26</v>
      </c>
    </row>
    <row r="4405" spans="1:4" ht="54">
      <c r="A4405" s="798">
        <v>94690</v>
      </c>
      <c r="B4405" s="799" t="s">
        <v>2379</v>
      </c>
      <c r="C4405" s="798" t="s">
        <v>24</v>
      </c>
      <c r="D4405" s="800">
        <v>12.66</v>
      </c>
    </row>
    <row r="4406" spans="1:4" ht="54">
      <c r="A4406" s="798">
        <v>94691</v>
      </c>
      <c r="B4406" s="799" t="s">
        <v>2380</v>
      </c>
      <c r="C4406" s="798" t="s">
        <v>24</v>
      </c>
      <c r="D4406" s="800">
        <v>14.81</v>
      </c>
    </row>
    <row r="4407" spans="1:4" ht="54">
      <c r="A4407" s="798">
        <v>94692</v>
      </c>
      <c r="B4407" s="799" t="s">
        <v>2381</v>
      </c>
      <c r="C4407" s="798" t="s">
        <v>24</v>
      </c>
      <c r="D4407" s="800">
        <v>22.59</v>
      </c>
    </row>
    <row r="4408" spans="1:4" ht="54">
      <c r="A4408" s="798">
        <v>94693</v>
      </c>
      <c r="B4408" s="799" t="s">
        <v>2382</v>
      </c>
      <c r="C4408" s="798" t="s">
        <v>24</v>
      </c>
      <c r="D4408" s="800">
        <v>23.68</v>
      </c>
    </row>
    <row r="4409" spans="1:4" ht="54">
      <c r="A4409" s="798">
        <v>94694</v>
      </c>
      <c r="B4409" s="799" t="s">
        <v>2383</v>
      </c>
      <c r="C4409" s="798" t="s">
        <v>24</v>
      </c>
      <c r="D4409" s="800">
        <v>23.74</v>
      </c>
    </row>
    <row r="4410" spans="1:4" ht="54">
      <c r="A4410" s="798">
        <v>94695</v>
      </c>
      <c r="B4410" s="799" t="s">
        <v>2384</v>
      </c>
      <c r="C4410" s="798" t="s">
        <v>24</v>
      </c>
      <c r="D4410" s="800">
        <v>32.119999999999997</v>
      </c>
    </row>
    <row r="4411" spans="1:4" ht="54">
      <c r="A4411" s="798">
        <v>94696</v>
      </c>
      <c r="B4411" s="799" t="s">
        <v>2385</v>
      </c>
      <c r="C4411" s="798" t="s">
        <v>24</v>
      </c>
      <c r="D4411" s="800">
        <v>56.34</v>
      </c>
    </row>
    <row r="4412" spans="1:4" ht="54">
      <c r="A4412" s="798">
        <v>94697</v>
      </c>
      <c r="B4412" s="799" t="s">
        <v>2386</v>
      </c>
      <c r="C4412" s="798" t="s">
        <v>24</v>
      </c>
      <c r="D4412" s="800">
        <v>88.79</v>
      </c>
    </row>
    <row r="4413" spans="1:4" ht="54">
      <c r="A4413" s="798">
        <v>94698</v>
      </c>
      <c r="B4413" s="799" t="s">
        <v>2387</v>
      </c>
      <c r="C4413" s="798" t="s">
        <v>24</v>
      </c>
      <c r="D4413" s="800">
        <v>77.38</v>
      </c>
    </row>
    <row r="4414" spans="1:4" ht="54">
      <c r="A4414" s="798">
        <v>94699</v>
      </c>
      <c r="B4414" s="799" t="s">
        <v>2388</v>
      </c>
      <c r="C4414" s="798" t="s">
        <v>24</v>
      </c>
      <c r="D4414" s="800">
        <v>149.53</v>
      </c>
    </row>
    <row r="4415" spans="1:4" ht="54">
      <c r="A4415" s="798">
        <v>94700</v>
      </c>
      <c r="B4415" s="799" t="s">
        <v>2389</v>
      </c>
      <c r="C4415" s="798" t="s">
        <v>24</v>
      </c>
      <c r="D4415" s="800">
        <v>126.18</v>
      </c>
    </row>
    <row r="4416" spans="1:4" ht="54">
      <c r="A4416" s="798">
        <v>94701</v>
      </c>
      <c r="B4416" s="799" t="s">
        <v>2390</v>
      </c>
      <c r="C4416" s="798" t="s">
        <v>24</v>
      </c>
      <c r="D4416" s="800">
        <v>223.58</v>
      </c>
    </row>
    <row r="4417" spans="1:4" ht="54">
      <c r="A4417" s="798">
        <v>94702</v>
      </c>
      <c r="B4417" s="799" t="s">
        <v>2391</v>
      </c>
      <c r="C4417" s="798" t="s">
        <v>24</v>
      </c>
      <c r="D4417" s="800">
        <v>211.64</v>
      </c>
    </row>
    <row r="4418" spans="1:4" ht="67.5">
      <c r="A4418" s="798">
        <v>94703</v>
      </c>
      <c r="B4418" s="799" t="s">
        <v>2392</v>
      </c>
      <c r="C4418" s="798" t="s">
        <v>24</v>
      </c>
      <c r="D4418" s="800">
        <v>18.79</v>
      </c>
    </row>
    <row r="4419" spans="1:4" ht="67.5">
      <c r="A4419" s="798">
        <v>94704</v>
      </c>
      <c r="B4419" s="799" t="s">
        <v>506</v>
      </c>
      <c r="C4419" s="798" t="s">
        <v>24</v>
      </c>
      <c r="D4419" s="800">
        <v>22.37</v>
      </c>
    </row>
    <row r="4420" spans="1:4" ht="67.5">
      <c r="A4420" s="798">
        <v>94705</v>
      </c>
      <c r="B4420" s="799" t="s">
        <v>2393</v>
      </c>
      <c r="C4420" s="798" t="s">
        <v>24</v>
      </c>
      <c r="D4420" s="800">
        <v>27.79</v>
      </c>
    </row>
    <row r="4421" spans="1:4" ht="67.5">
      <c r="A4421" s="798">
        <v>94706</v>
      </c>
      <c r="B4421" s="799" t="s">
        <v>2394</v>
      </c>
      <c r="C4421" s="798" t="s">
        <v>24</v>
      </c>
      <c r="D4421" s="800">
        <v>41.11</v>
      </c>
    </row>
    <row r="4422" spans="1:4" ht="67.5">
      <c r="A4422" s="798">
        <v>94707</v>
      </c>
      <c r="B4422" s="799" t="s">
        <v>507</v>
      </c>
      <c r="C4422" s="798" t="s">
        <v>24</v>
      </c>
      <c r="D4422" s="800">
        <v>51.18</v>
      </c>
    </row>
    <row r="4423" spans="1:4" ht="67.5">
      <c r="A4423" s="798">
        <v>94708</v>
      </c>
      <c r="B4423" s="799" t="s">
        <v>2395</v>
      </c>
      <c r="C4423" s="798" t="s">
        <v>24</v>
      </c>
      <c r="D4423" s="800">
        <v>23.55</v>
      </c>
    </row>
    <row r="4424" spans="1:4" ht="54">
      <c r="A4424" s="798">
        <v>94709</v>
      </c>
      <c r="B4424" s="799" t="s">
        <v>2396</v>
      </c>
      <c r="C4424" s="798" t="s">
        <v>24</v>
      </c>
      <c r="D4424" s="800">
        <v>30.7</v>
      </c>
    </row>
    <row r="4425" spans="1:4" ht="67.5">
      <c r="A4425" s="798">
        <v>94710</v>
      </c>
      <c r="B4425" s="799" t="s">
        <v>2397</v>
      </c>
      <c r="C4425" s="798" t="s">
        <v>24</v>
      </c>
      <c r="D4425" s="800">
        <v>48.44</v>
      </c>
    </row>
    <row r="4426" spans="1:4" ht="67.5">
      <c r="A4426" s="798">
        <v>94711</v>
      </c>
      <c r="B4426" s="799" t="s">
        <v>2398</v>
      </c>
      <c r="C4426" s="798" t="s">
        <v>24</v>
      </c>
      <c r="D4426" s="800">
        <v>58.52</v>
      </c>
    </row>
    <row r="4427" spans="1:4" ht="54">
      <c r="A4427" s="798">
        <v>94712</v>
      </c>
      <c r="B4427" s="799" t="s">
        <v>2399</v>
      </c>
      <c r="C4427" s="798" t="s">
        <v>24</v>
      </c>
      <c r="D4427" s="800">
        <v>78.88</v>
      </c>
    </row>
    <row r="4428" spans="1:4" ht="67.5">
      <c r="A4428" s="798">
        <v>94713</v>
      </c>
      <c r="B4428" s="799" t="s">
        <v>2400</v>
      </c>
      <c r="C4428" s="798" t="s">
        <v>24</v>
      </c>
      <c r="D4428" s="800">
        <v>208.07</v>
      </c>
    </row>
    <row r="4429" spans="1:4" ht="54">
      <c r="A4429" s="798">
        <v>94714</v>
      </c>
      <c r="B4429" s="799" t="s">
        <v>2401</v>
      </c>
      <c r="C4429" s="798" t="s">
        <v>24</v>
      </c>
      <c r="D4429" s="800">
        <v>282.56</v>
      </c>
    </row>
    <row r="4430" spans="1:4" ht="67.5">
      <c r="A4430" s="798">
        <v>94715</v>
      </c>
      <c r="B4430" s="799" t="s">
        <v>2402</v>
      </c>
      <c r="C4430" s="798" t="s">
        <v>24</v>
      </c>
      <c r="D4430" s="800">
        <v>390.58</v>
      </c>
    </row>
    <row r="4431" spans="1:4" ht="54">
      <c r="A4431" s="798">
        <v>94724</v>
      </c>
      <c r="B4431" s="799" t="s">
        <v>2410</v>
      </c>
      <c r="C4431" s="798" t="s">
        <v>24</v>
      </c>
      <c r="D4431" s="800">
        <v>34.08</v>
      </c>
    </row>
    <row r="4432" spans="1:4" ht="54">
      <c r="A4432" s="798">
        <v>94725</v>
      </c>
      <c r="B4432" s="799" t="s">
        <v>2411</v>
      </c>
      <c r="C4432" s="798" t="s">
        <v>24</v>
      </c>
      <c r="D4432" s="800">
        <v>6.69</v>
      </c>
    </row>
    <row r="4433" spans="1:4" ht="54">
      <c r="A4433" s="798">
        <v>94726</v>
      </c>
      <c r="B4433" s="799" t="s">
        <v>2412</v>
      </c>
      <c r="C4433" s="798" t="s">
        <v>24</v>
      </c>
      <c r="D4433" s="800">
        <v>53.67</v>
      </c>
    </row>
    <row r="4434" spans="1:4" ht="54">
      <c r="A4434" s="798">
        <v>94727</v>
      </c>
      <c r="B4434" s="799" t="s">
        <v>2413</v>
      </c>
      <c r="C4434" s="798" t="s">
        <v>24</v>
      </c>
      <c r="D4434" s="800">
        <v>10.32</v>
      </c>
    </row>
    <row r="4435" spans="1:4" ht="54">
      <c r="A4435" s="798">
        <v>94728</v>
      </c>
      <c r="B4435" s="799" t="s">
        <v>2414</v>
      </c>
      <c r="C4435" s="798" t="s">
        <v>24</v>
      </c>
      <c r="D4435" s="800">
        <v>207.76</v>
      </c>
    </row>
    <row r="4436" spans="1:4" ht="54">
      <c r="A4436" s="798">
        <v>94729</v>
      </c>
      <c r="B4436" s="799" t="s">
        <v>2415</v>
      </c>
      <c r="C4436" s="798" t="s">
        <v>24</v>
      </c>
      <c r="D4436" s="800">
        <v>19.04</v>
      </c>
    </row>
    <row r="4437" spans="1:4" ht="54">
      <c r="A4437" s="798">
        <v>94730</v>
      </c>
      <c r="B4437" s="799" t="s">
        <v>2416</v>
      </c>
      <c r="C4437" s="798" t="s">
        <v>24</v>
      </c>
      <c r="D4437" s="800">
        <v>252.94</v>
      </c>
    </row>
    <row r="4438" spans="1:4" ht="54">
      <c r="A4438" s="798">
        <v>94731</v>
      </c>
      <c r="B4438" s="799" t="s">
        <v>2417</v>
      </c>
      <c r="C4438" s="798" t="s">
        <v>24</v>
      </c>
      <c r="D4438" s="800">
        <v>24.54</v>
      </c>
    </row>
    <row r="4439" spans="1:4" ht="54">
      <c r="A4439" s="798">
        <v>94733</v>
      </c>
      <c r="B4439" s="799" t="s">
        <v>2418</v>
      </c>
      <c r="C4439" s="798" t="s">
        <v>24</v>
      </c>
      <c r="D4439" s="800">
        <v>48.18</v>
      </c>
    </row>
    <row r="4440" spans="1:4" ht="54">
      <c r="A4440" s="798">
        <v>94737</v>
      </c>
      <c r="B4440" s="799" t="s">
        <v>2419</v>
      </c>
      <c r="C4440" s="798" t="s">
        <v>24</v>
      </c>
      <c r="D4440" s="800">
        <v>211.11</v>
      </c>
    </row>
    <row r="4441" spans="1:4" ht="54">
      <c r="A4441" s="798">
        <v>94740</v>
      </c>
      <c r="B4441" s="799" t="s">
        <v>2420</v>
      </c>
      <c r="C4441" s="798" t="s">
        <v>24</v>
      </c>
      <c r="D4441" s="800">
        <v>10.76</v>
      </c>
    </row>
    <row r="4442" spans="1:4" ht="54">
      <c r="A4442" s="798">
        <v>94741</v>
      </c>
      <c r="B4442" s="799" t="s">
        <v>2421</v>
      </c>
      <c r="C4442" s="798" t="s">
        <v>24</v>
      </c>
      <c r="D4442" s="800">
        <v>14.07</v>
      </c>
    </row>
    <row r="4443" spans="1:4" ht="54">
      <c r="A4443" s="798">
        <v>94742</v>
      </c>
      <c r="B4443" s="799" t="s">
        <v>2422</v>
      </c>
      <c r="C4443" s="798" t="s">
        <v>24</v>
      </c>
      <c r="D4443" s="800">
        <v>17.77</v>
      </c>
    </row>
    <row r="4444" spans="1:4" ht="54">
      <c r="A4444" s="798">
        <v>94743</v>
      </c>
      <c r="B4444" s="799" t="s">
        <v>2423</v>
      </c>
      <c r="C4444" s="798" t="s">
        <v>24</v>
      </c>
      <c r="D4444" s="800">
        <v>19.86</v>
      </c>
    </row>
    <row r="4445" spans="1:4" ht="54">
      <c r="A4445" s="798">
        <v>94744</v>
      </c>
      <c r="B4445" s="799" t="s">
        <v>2424</v>
      </c>
      <c r="C4445" s="798" t="s">
        <v>24</v>
      </c>
      <c r="D4445" s="800">
        <v>29.14</v>
      </c>
    </row>
    <row r="4446" spans="1:4" ht="54">
      <c r="A4446" s="798">
        <v>94746</v>
      </c>
      <c r="B4446" s="799" t="s">
        <v>2425</v>
      </c>
      <c r="C4446" s="798" t="s">
        <v>24</v>
      </c>
      <c r="D4446" s="800">
        <v>43.09</v>
      </c>
    </row>
    <row r="4447" spans="1:4" ht="54">
      <c r="A4447" s="798">
        <v>94748</v>
      </c>
      <c r="B4447" s="799" t="s">
        <v>2426</v>
      </c>
      <c r="C4447" s="798" t="s">
        <v>24</v>
      </c>
      <c r="D4447" s="800">
        <v>90.02</v>
      </c>
    </row>
    <row r="4448" spans="1:4" ht="54">
      <c r="A4448" s="798">
        <v>94750</v>
      </c>
      <c r="B4448" s="799" t="s">
        <v>2427</v>
      </c>
      <c r="C4448" s="798" t="s">
        <v>24</v>
      </c>
      <c r="D4448" s="800">
        <v>221.94</v>
      </c>
    </row>
    <row r="4449" spans="1:4" ht="54">
      <c r="A4449" s="798">
        <v>94752</v>
      </c>
      <c r="B4449" s="799" t="s">
        <v>2428</v>
      </c>
      <c r="C4449" s="798" t="s">
        <v>24</v>
      </c>
      <c r="D4449" s="800">
        <v>265.74</v>
      </c>
    </row>
    <row r="4450" spans="1:4" ht="54">
      <c r="A4450" s="798">
        <v>94756</v>
      </c>
      <c r="B4450" s="799" t="s">
        <v>2429</v>
      </c>
      <c r="C4450" s="798" t="s">
        <v>24</v>
      </c>
      <c r="D4450" s="800">
        <v>13.41</v>
      </c>
    </row>
    <row r="4451" spans="1:4" ht="54">
      <c r="A4451" s="798">
        <v>94757</v>
      </c>
      <c r="B4451" s="799" t="s">
        <v>2430</v>
      </c>
      <c r="C4451" s="798" t="s">
        <v>24</v>
      </c>
      <c r="D4451" s="800">
        <v>19.66</v>
      </c>
    </row>
    <row r="4452" spans="1:4" ht="54">
      <c r="A4452" s="798">
        <v>94758</v>
      </c>
      <c r="B4452" s="799" t="s">
        <v>2431</v>
      </c>
      <c r="C4452" s="798" t="s">
        <v>24</v>
      </c>
      <c r="D4452" s="800">
        <v>54.81</v>
      </c>
    </row>
    <row r="4453" spans="1:4" ht="54">
      <c r="A4453" s="798">
        <v>94759</v>
      </c>
      <c r="B4453" s="799" t="s">
        <v>2432</v>
      </c>
      <c r="C4453" s="798" t="s">
        <v>24</v>
      </c>
      <c r="D4453" s="800">
        <v>68.72</v>
      </c>
    </row>
    <row r="4454" spans="1:4" ht="54">
      <c r="A4454" s="798">
        <v>94760</v>
      </c>
      <c r="B4454" s="799" t="s">
        <v>2433</v>
      </c>
      <c r="C4454" s="798" t="s">
        <v>24</v>
      </c>
      <c r="D4454" s="800">
        <v>112.46</v>
      </c>
    </row>
    <row r="4455" spans="1:4" ht="54">
      <c r="A4455" s="798">
        <v>94761</v>
      </c>
      <c r="B4455" s="799" t="s">
        <v>2434</v>
      </c>
      <c r="C4455" s="798" t="s">
        <v>24</v>
      </c>
      <c r="D4455" s="800">
        <v>251.89</v>
      </c>
    </row>
    <row r="4456" spans="1:4" ht="54">
      <c r="A4456" s="798">
        <v>94762</v>
      </c>
      <c r="B4456" s="799" t="s">
        <v>2435</v>
      </c>
      <c r="C4456" s="798" t="s">
        <v>24</v>
      </c>
      <c r="D4456" s="800">
        <v>316.27999999999997</v>
      </c>
    </row>
    <row r="4457" spans="1:4" ht="67.5">
      <c r="A4457" s="798">
        <v>94783</v>
      </c>
      <c r="B4457" s="799" t="s">
        <v>2437</v>
      </c>
      <c r="C4457" s="798" t="s">
        <v>24</v>
      </c>
      <c r="D4457" s="800">
        <v>17.22</v>
      </c>
    </row>
    <row r="4458" spans="1:4" ht="67.5">
      <c r="A4458" s="798">
        <v>94785</v>
      </c>
      <c r="B4458" s="799" t="s">
        <v>2438</v>
      </c>
      <c r="C4458" s="798" t="s">
        <v>24</v>
      </c>
      <c r="D4458" s="800">
        <v>31.21</v>
      </c>
    </row>
    <row r="4459" spans="1:4" ht="67.5">
      <c r="A4459" s="798">
        <v>94786</v>
      </c>
      <c r="B4459" s="799" t="s">
        <v>508</v>
      </c>
      <c r="C4459" s="798" t="s">
        <v>24</v>
      </c>
      <c r="D4459" s="800">
        <v>41.34</v>
      </c>
    </row>
    <row r="4460" spans="1:4" ht="67.5">
      <c r="A4460" s="798">
        <v>94787</v>
      </c>
      <c r="B4460" s="799" t="s">
        <v>509</v>
      </c>
      <c r="C4460" s="798" t="s">
        <v>24</v>
      </c>
      <c r="D4460" s="800">
        <v>55.84</v>
      </c>
    </row>
    <row r="4461" spans="1:4" ht="67.5">
      <c r="A4461" s="798">
        <v>94788</v>
      </c>
      <c r="B4461" s="799" t="s">
        <v>2439</v>
      </c>
      <c r="C4461" s="798" t="s">
        <v>24</v>
      </c>
      <c r="D4461" s="800">
        <v>81.31</v>
      </c>
    </row>
    <row r="4462" spans="1:4" ht="67.5">
      <c r="A4462" s="798">
        <v>94789</v>
      </c>
      <c r="B4462" s="799" t="s">
        <v>510</v>
      </c>
      <c r="C4462" s="798" t="s">
        <v>24</v>
      </c>
      <c r="D4462" s="800">
        <v>258</v>
      </c>
    </row>
    <row r="4463" spans="1:4" ht="67.5">
      <c r="A4463" s="798">
        <v>94790</v>
      </c>
      <c r="B4463" s="799" t="s">
        <v>2440</v>
      </c>
      <c r="C4463" s="798" t="s">
        <v>24</v>
      </c>
      <c r="D4463" s="800">
        <v>298.64</v>
      </c>
    </row>
    <row r="4464" spans="1:4" ht="67.5">
      <c r="A4464" s="798">
        <v>94791</v>
      </c>
      <c r="B4464" s="799" t="s">
        <v>2441</v>
      </c>
      <c r="C4464" s="798" t="s">
        <v>24</v>
      </c>
      <c r="D4464" s="800">
        <v>418.88</v>
      </c>
    </row>
    <row r="4465" spans="1:4" ht="54">
      <c r="A4465" s="798">
        <v>94863</v>
      </c>
      <c r="B4465" s="799" t="s">
        <v>2442</v>
      </c>
      <c r="C4465" s="798" t="s">
        <v>24</v>
      </c>
      <c r="D4465" s="800">
        <v>182.87</v>
      </c>
    </row>
    <row r="4466" spans="1:4" ht="67.5">
      <c r="A4466" s="798">
        <v>95141</v>
      </c>
      <c r="B4466" s="799" t="s">
        <v>2471</v>
      </c>
      <c r="C4466" s="798" t="s">
        <v>24</v>
      </c>
      <c r="D4466" s="800">
        <v>29.01</v>
      </c>
    </row>
    <row r="4467" spans="1:4" ht="40.5">
      <c r="A4467" s="798">
        <v>95237</v>
      </c>
      <c r="B4467" s="799" t="s">
        <v>2479</v>
      </c>
      <c r="C4467" s="798" t="s">
        <v>24</v>
      </c>
      <c r="D4467" s="800">
        <v>23.91</v>
      </c>
    </row>
    <row r="4468" spans="1:4" ht="40.5">
      <c r="A4468" s="798">
        <v>95693</v>
      </c>
      <c r="B4468" s="799" t="s">
        <v>2647</v>
      </c>
      <c r="C4468" s="798" t="s">
        <v>24</v>
      </c>
      <c r="D4468" s="800">
        <v>62.73</v>
      </c>
    </row>
    <row r="4469" spans="1:4" ht="40.5">
      <c r="A4469" s="798">
        <v>95694</v>
      </c>
      <c r="B4469" s="799" t="s">
        <v>530</v>
      </c>
      <c r="C4469" s="798" t="s">
        <v>24</v>
      </c>
      <c r="D4469" s="800">
        <v>82.42</v>
      </c>
    </row>
    <row r="4470" spans="1:4" ht="40.5">
      <c r="A4470" s="798">
        <v>95695</v>
      </c>
      <c r="B4470" s="799" t="s">
        <v>2648</v>
      </c>
      <c r="C4470" s="798" t="s">
        <v>24</v>
      </c>
      <c r="D4470" s="800">
        <v>81.05</v>
      </c>
    </row>
    <row r="4471" spans="1:4" ht="27">
      <c r="A4471" s="798">
        <v>95696</v>
      </c>
      <c r="B4471" s="799" t="s">
        <v>6032</v>
      </c>
      <c r="C4471" s="798" t="s">
        <v>24</v>
      </c>
      <c r="D4471" s="800">
        <v>36.200000000000003</v>
      </c>
    </row>
    <row r="4472" spans="1:4" ht="40.5">
      <c r="A4472" s="798">
        <v>96637</v>
      </c>
      <c r="B4472" s="799" t="s">
        <v>2848</v>
      </c>
      <c r="C4472" s="798" t="s">
        <v>24</v>
      </c>
      <c r="D4472" s="800">
        <v>11.64</v>
      </c>
    </row>
    <row r="4473" spans="1:4" ht="40.5">
      <c r="A4473" s="798">
        <v>96638</v>
      </c>
      <c r="B4473" s="799" t="s">
        <v>2849</v>
      </c>
      <c r="C4473" s="798" t="s">
        <v>24</v>
      </c>
      <c r="D4473" s="800">
        <v>10.98</v>
      </c>
    </row>
    <row r="4474" spans="1:4" ht="40.5">
      <c r="A4474" s="798">
        <v>96639</v>
      </c>
      <c r="B4474" s="799" t="s">
        <v>2850</v>
      </c>
      <c r="C4474" s="798" t="s">
        <v>24</v>
      </c>
      <c r="D4474" s="800">
        <v>8.3000000000000007</v>
      </c>
    </row>
    <row r="4475" spans="1:4" ht="40.5">
      <c r="A4475" s="798">
        <v>96640</v>
      </c>
      <c r="B4475" s="799" t="s">
        <v>2851</v>
      </c>
      <c r="C4475" s="798" t="s">
        <v>24</v>
      </c>
      <c r="D4475" s="800">
        <v>26.62</v>
      </c>
    </row>
    <row r="4476" spans="1:4" ht="40.5">
      <c r="A4476" s="798">
        <v>96641</v>
      </c>
      <c r="B4476" s="799" t="s">
        <v>2852</v>
      </c>
      <c r="C4476" s="798" t="s">
        <v>24</v>
      </c>
      <c r="D4476" s="800">
        <v>20.07</v>
      </c>
    </row>
    <row r="4477" spans="1:4" ht="40.5">
      <c r="A4477" s="798">
        <v>96642</v>
      </c>
      <c r="B4477" s="799" t="s">
        <v>2853</v>
      </c>
      <c r="C4477" s="798" t="s">
        <v>24</v>
      </c>
      <c r="D4477" s="800">
        <v>15.35</v>
      </c>
    </row>
    <row r="4478" spans="1:4" ht="40.5">
      <c r="A4478" s="798">
        <v>96643</v>
      </c>
      <c r="B4478" s="799" t="s">
        <v>2854</v>
      </c>
      <c r="C4478" s="798" t="s">
        <v>24</v>
      </c>
      <c r="D4478" s="800">
        <v>53.7</v>
      </c>
    </row>
    <row r="4479" spans="1:4" ht="40.5">
      <c r="A4479" s="798">
        <v>96650</v>
      </c>
      <c r="B4479" s="799" t="s">
        <v>2861</v>
      </c>
      <c r="C4479" s="798" t="s">
        <v>24</v>
      </c>
      <c r="D4479" s="800">
        <v>9.0399999999999991</v>
      </c>
    </row>
    <row r="4480" spans="1:4" ht="40.5">
      <c r="A4480" s="798">
        <v>96651</v>
      </c>
      <c r="B4480" s="799" t="s">
        <v>2862</v>
      </c>
      <c r="C4480" s="798" t="s">
        <v>24</v>
      </c>
      <c r="D4480" s="800">
        <v>8.3800000000000008</v>
      </c>
    </row>
    <row r="4481" spans="1:4" ht="40.5">
      <c r="A4481" s="798">
        <v>96652</v>
      </c>
      <c r="B4481" s="799" t="s">
        <v>2863</v>
      </c>
      <c r="C4481" s="798" t="s">
        <v>24</v>
      </c>
      <c r="D4481" s="800">
        <v>16.690000000000001</v>
      </c>
    </row>
    <row r="4482" spans="1:4" ht="40.5">
      <c r="A4482" s="798">
        <v>96653</v>
      </c>
      <c r="B4482" s="799" t="s">
        <v>2864</v>
      </c>
      <c r="C4482" s="798" t="s">
        <v>24</v>
      </c>
      <c r="D4482" s="800">
        <v>16.62</v>
      </c>
    </row>
    <row r="4483" spans="1:4" ht="40.5">
      <c r="A4483" s="798">
        <v>96654</v>
      </c>
      <c r="B4483" s="799" t="s">
        <v>2865</v>
      </c>
      <c r="C4483" s="798" t="s">
        <v>24</v>
      </c>
      <c r="D4483" s="800">
        <v>28.18</v>
      </c>
    </row>
    <row r="4484" spans="1:4" ht="40.5">
      <c r="A4484" s="798">
        <v>96655</v>
      </c>
      <c r="B4484" s="799" t="s">
        <v>2866</v>
      </c>
      <c r="C4484" s="798" t="s">
        <v>24</v>
      </c>
      <c r="D4484" s="800">
        <v>27.47</v>
      </c>
    </row>
    <row r="4485" spans="1:4" ht="40.5">
      <c r="A4485" s="798">
        <v>96656</v>
      </c>
      <c r="B4485" s="799" t="s">
        <v>2867</v>
      </c>
      <c r="C4485" s="798" t="s">
        <v>24</v>
      </c>
      <c r="D4485" s="800">
        <v>6.6</v>
      </c>
    </row>
    <row r="4486" spans="1:4" ht="40.5">
      <c r="A4486" s="798">
        <v>96657</v>
      </c>
      <c r="B4486" s="799" t="s">
        <v>2868</v>
      </c>
      <c r="C4486" s="798" t="s">
        <v>24</v>
      </c>
      <c r="D4486" s="800">
        <v>24.92</v>
      </c>
    </row>
    <row r="4487" spans="1:4" ht="40.5">
      <c r="A4487" s="798">
        <v>96658</v>
      </c>
      <c r="B4487" s="799" t="s">
        <v>2869</v>
      </c>
      <c r="C4487" s="798" t="s">
        <v>24</v>
      </c>
      <c r="D4487" s="800">
        <v>18.37</v>
      </c>
    </row>
    <row r="4488" spans="1:4" ht="40.5">
      <c r="A4488" s="798">
        <v>96659</v>
      </c>
      <c r="B4488" s="799" t="s">
        <v>2870</v>
      </c>
      <c r="C4488" s="798" t="s">
        <v>24</v>
      </c>
      <c r="D4488" s="800">
        <v>11.35</v>
      </c>
    </row>
    <row r="4489" spans="1:4" ht="40.5">
      <c r="A4489" s="798">
        <v>96660</v>
      </c>
      <c r="B4489" s="799" t="s">
        <v>2871</v>
      </c>
      <c r="C4489" s="798" t="s">
        <v>24</v>
      </c>
      <c r="D4489" s="800">
        <v>41.9</v>
      </c>
    </row>
    <row r="4490" spans="1:4" ht="40.5">
      <c r="A4490" s="798">
        <v>96661</v>
      </c>
      <c r="B4490" s="799" t="s">
        <v>2872</v>
      </c>
      <c r="C4490" s="798" t="s">
        <v>24</v>
      </c>
      <c r="D4490" s="800">
        <v>31.84</v>
      </c>
    </row>
    <row r="4491" spans="1:4" ht="40.5">
      <c r="A4491" s="798">
        <v>96662</v>
      </c>
      <c r="B4491" s="799" t="s">
        <v>2873</v>
      </c>
      <c r="C4491" s="798" t="s">
        <v>24</v>
      </c>
      <c r="D4491" s="800">
        <v>11.69</v>
      </c>
    </row>
    <row r="4492" spans="1:4" ht="40.5">
      <c r="A4492" s="798">
        <v>96663</v>
      </c>
      <c r="B4492" s="799" t="s">
        <v>2874</v>
      </c>
      <c r="C4492" s="798" t="s">
        <v>24</v>
      </c>
      <c r="D4492" s="800">
        <v>21.7</v>
      </c>
    </row>
    <row r="4493" spans="1:4" ht="40.5">
      <c r="A4493" s="798">
        <v>96664</v>
      </c>
      <c r="B4493" s="799" t="s">
        <v>2875</v>
      </c>
      <c r="C4493" s="798" t="s">
        <v>24</v>
      </c>
      <c r="D4493" s="800">
        <v>23.85</v>
      </c>
    </row>
    <row r="4494" spans="1:4" ht="40.5">
      <c r="A4494" s="798">
        <v>96665</v>
      </c>
      <c r="B4494" s="799" t="s">
        <v>2876</v>
      </c>
      <c r="C4494" s="798" t="s">
        <v>24</v>
      </c>
      <c r="D4494" s="800">
        <v>11.86</v>
      </c>
    </row>
    <row r="4495" spans="1:4" ht="40.5">
      <c r="A4495" s="798">
        <v>96666</v>
      </c>
      <c r="B4495" s="799" t="s">
        <v>2877</v>
      </c>
      <c r="C4495" s="798" t="s">
        <v>24</v>
      </c>
      <c r="D4495" s="800">
        <v>22.42</v>
      </c>
    </row>
    <row r="4496" spans="1:4" ht="40.5">
      <c r="A4496" s="798">
        <v>96667</v>
      </c>
      <c r="B4496" s="799" t="s">
        <v>2878</v>
      </c>
      <c r="C4496" s="798" t="s">
        <v>24</v>
      </c>
      <c r="D4496" s="800">
        <v>40.549999999999997</v>
      </c>
    </row>
    <row r="4497" spans="1:4" ht="40.5">
      <c r="A4497" s="798">
        <v>96684</v>
      </c>
      <c r="B4497" s="799" t="s">
        <v>2895</v>
      </c>
      <c r="C4497" s="798" t="s">
        <v>24</v>
      </c>
      <c r="D4497" s="800">
        <v>5.14</v>
      </c>
    </row>
    <row r="4498" spans="1:4" ht="40.5">
      <c r="A4498" s="798">
        <v>96685</v>
      </c>
      <c r="B4498" s="799" t="s">
        <v>2896</v>
      </c>
      <c r="C4498" s="798" t="s">
        <v>24</v>
      </c>
      <c r="D4498" s="800">
        <v>4.4800000000000004</v>
      </c>
    </row>
    <row r="4499" spans="1:4" ht="40.5">
      <c r="A4499" s="798">
        <v>96686</v>
      </c>
      <c r="B4499" s="799" t="s">
        <v>2897</v>
      </c>
      <c r="C4499" s="798" t="s">
        <v>24</v>
      </c>
      <c r="D4499" s="800">
        <v>7.75</v>
      </c>
    </row>
    <row r="4500" spans="1:4" ht="40.5">
      <c r="A4500" s="798">
        <v>96687</v>
      </c>
      <c r="B4500" s="799" t="s">
        <v>2898</v>
      </c>
      <c r="C4500" s="798" t="s">
        <v>24</v>
      </c>
      <c r="D4500" s="800">
        <v>7.68</v>
      </c>
    </row>
    <row r="4501" spans="1:4" ht="40.5">
      <c r="A4501" s="798">
        <v>96688</v>
      </c>
      <c r="B4501" s="799" t="s">
        <v>2899</v>
      </c>
      <c r="C4501" s="798" t="s">
        <v>24</v>
      </c>
      <c r="D4501" s="800">
        <v>13.72</v>
      </c>
    </row>
    <row r="4502" spans="1:4" ht="40.5">
      <c r="A4502" s="798">
        <v>96689</v>
      </c>
      <c r="B4502" s="799" t="s">
        <v>2900</v>
      </c>
      <c r="C4502" s="798" t="s">
        <v>24</v>
      </c>
      <c r="D4502" s="800">
        <v>13.01</v>
      </c>
    </row>
    <row r="4503" spans="1:4" ht="40.5">
      <c r="A4503" s="798">
        <v>96690</v>
      </c>
      <c r="B4503" s="799" t="s">
        <v>2901</v>
      </c>
      <c r="C4503" s="798" t="s">
        <v>24</v>
      </c>
      <c r="D4503" s="800">
        <v>26.41</v>
      </c>
    </row>
    <row r="4504" spans="1:4" ht="40.5">
      <c r="A4504" s="798">
        <v>96691</v>
      </c>
      <c r="B4504" s="799" t="s">
        <v>2902</v>
      </c>
      <c r="C4504" s="798" t="s">
        <v>24</v>
      </c>
      <c r="D4504" s="800">
        <v>27.39</v>
      </c>
    </row>
    <row r="4505" spans="1:4" ht="40.5">
      <c r="A4505" s="798">
        <v>96692</v>
      </c>
      <c r="B4505" s="799" t="s">
        <v>2903</v>
      </c>
      <c r="C4505" s="798" t="s">
        <v>24</v>
      </c>
      <c r="D4505" s="800">
        <v>39.840000000000003</v>
      </c>
    </row>
    <row r="4506" spans="1:4" ht="40.5">
      <c r="A4506" s="798">
        <v>96693</v>
      </c>
      <c r="B4506" s="799" t="s">
        <v>2904</v>
      </c>
      <c r="C4506" s="798" t="s">
        <v>24</v>
      </c>
      <c r="D4506" s="800">
        <v>37.43</v>
      </c>
    </row>
    <row r="4507" spans="1:4" ht="40.5">
      <c r="A4507" s="798">
        <v>96694</v>
      </c>
      <c r="B4507" s="799" t="s">
        <v>2905</v>
      </c>
      <c r="C4507" s="798" t="s">
        <v>24</v>
      </c>
      <c r="D4507" s="800">
        <v>92</v>
      </c>
    </row>
    <row r="4508" spans="1:4" ht="40.5">
      <c r="A4508" s="798">
        <v>96695</v>
      </c>
      <c r="B4508" s="799" t="s">
        <v>2906</v>
      </c>
      <c r="C4508" s="798" t="s">
        <v>24</v>
      </c>
      <c r="D4508" s="800">
        <v>89.17</v>
      </c>
    </row>
    <row r="4509" spans="1:4" ht="40.5">
      <c r="A4509" s="798">
        <v>96696</v>
      </c>
      <c r="B4509" s="799" t="s">
        <v>2907</v>
      </c>
      <c r="C4509" s="798" t="s">
        <v>24</v>
      </c>
      <c r="D4509" s="800">
        <v>139.15</v>
      </c>
    </row>
    <row r="4510" spans="1:4" ht="40.5">
      <c r="A4510" s="798">
        <v>96697</v>
      </c>
      <c r="B4510" s="799" t="s">
        <v>2908</v>
      </c>
      <c r="C4510" s="798" t="s">
        <v>24</v>
      </c>
      <c r="D4510" s="800">
        <v>208.37</v>
      </c>
    </row>
    <row r="4511" spans="1:4" ht="40.5">
      <c r="A4511" s="798">
        <v>96698</v>
      </c>
      <c r="B4511" s="799" t="s">
        <v>2909</v>
      </c>
      <c r="C4511" s="798" t="s">
        <v>24</v>
      </c>
      <c r="D4511" s="800">
        <v>4</v>
      </c>
    </row>
    <row r="4512" spans="1:4" ht="40.5">
      <c r="A4512" s="798">
        <v>96699</v>
      </c>
      <c r="B4512" s="799" t="s">
        <v>2910</v>
      </c>
      <c r="C4512" s="798" t="s">
        <v>24</v>
      </c>
      <c r="D4512" s="800">
        <v>22.32</v>
      </c>
    </row>
    <row r="4513" spans="1:4" ht="40.5">
      <c r="A4513" s="798">
        <v>96700</v>
      </c>
      <c r="B4513" s="799" t="s">
        <v>2911</v>
      </c>
      <c r="C4513" s="798" t="s">
        <v>24</v>
      </c>
      <c r="D4513" s="800">
        <v>15.77</v>
      </c>
    </row>
    <row r="4514" spans="1:4" ht="40.5">
      <c r="A4514" s="798">
        <v>96701</v>
      </c>
      <c r="B4514" s="799" t="s">
        <v>2912</v>
      </c>
      <c r="C4514" s="798" t="s">
        <v>24</v>
      </c>
      <c r="D4514" s="800">
        <v>5.39</v>
      </c>
    </row>
    <row r="4515" spans="1:4" ht="40.5">
      <c r="A4515" s="798">
        <v>96702</v>
      </c>
      <c r="B4515" s="799" t="s">
        <v>2913</v>
      </c>
      <c r="C4515" s="798" t="s">
        <v>24</v>
      </c>
      <c r="D4515" s="800">
        <v>5.73</v>
      </c>
    </row>
    <row r="4516" spans="1:4" ht="40.5">
      <c r="A4516" s="798">
        <v>96703</v>
      </c>
      <c r="B4516" s="799" t="s">
        <v>2914</v>
      </c>
      <c r="C4516" s="798" t="s">
        <v>24</v>
      </c>
      <c r="D4516" s="800">
        <v>12.04</v>
      </c>
    </row>
    <row r="4517" spans="1:4" ht="40.5">
      <c r="A4517" s="798">
        <v>96704</v>
      </c>
      <c r="B4517" s="799" t="s">
        <v>2915</v>
      </c>
      <c r="C4517" s="798" t="s">
        <v>24</v>
      </c>
      <c r="D4517" s="800">
        <v>14.19</v>
      </c>
    </row>
    <row r="4518" spans="1:4" ht="40.5">
      <c r="A4518" s="798">
        <v>96705</v>
      </c>
      <c r="B4518" s="799" t="s">
        <v>2916</v>
      </c>
      <c r="C4518" s="798" t="s">
        <v>24</v>
      </c>
      <c r="D4518" s="800">
        <v>18.14</v>
      </c>
    </row>
    <row r="4519" spans="1:4" ht="40.5">
      <c r="A4519" s="798">
        <v>96706</v>
      </c>
      <c r="B4519" s="799" t="s">
        <v>2917</v>
      </c>
      <c r="C4519" s="798" t="s">
        <v>24</v>
      </c>
      <c r="D4519" s="800">
        <v>27.17</v>
      </c>
    </row>
    <row r="4520" spans="1:4" ht="40.5">
      <c r="A4520" s="798">
        <v>96707</v>
      </c>
      <c r="B4520" s="799" t="s">
        <v>2918</v>
      </c>
      <c r="C4520" s="798" t="s">
        <v>24</v>
      </c>
      <c r="D4520" s="800">
        <v>58.93</v>
      </c>
    </row>
    <row r="4521" spans="1:4" ht="40.5">
      <c r="A4521" s="798">
        <v>96708</v>
      </c>
      <c r="B4521" s="799" t="s">
        <v>2919</v>
      </c>
      <c r="C4521" s="798" t="s">
        <v>24</v>
      </c>
      <c r="D4521" s="800">
        <v>93.74</v>
      </c>
    </row>
    <row r="4522" spans="1:4" ht="40.5">
      <c r="A4522" s="798">
        <v>96709</v>
      </c>
      <c r="B4522" s="799" t="s">
        <v>2920</v>
      </c>
      <c r="C4522" s="798" t="s">
        <v>24</v>
      </c>
      <c r="D4522" s="800">
        <v>148.79</v>
      </c>
    </row>
    <row r="4523" spans="1:4" ht="40.5">
      <c r="A4523" s="798">
        <v>96710</v>
      </c>
      <c r="B4523" s="799" t="s">
        <v>2921</v>
      </c>
      <c r="C4523" s="798" t="s">
        <v>24</v>
      </c>
      <c r="D4523" s="800">
        <v>6.69</v>
      </c>
    </row>
    <row r="4524" spans="1:4" ht="40.5">
      <c r="A4524" s="798">
        <v>96711</v>
      </c>
      <c r="B4524" s="799" t="s">
        <v>2922</v>
      </c>
      <c r="C4524" s="798" t="s">
        <v>24</v>
      </c>
      <c r="D4524" s="800">
        <v>10.52</v>
      </c>
    </row>
    <row r="4525" spans="1:4" ht="40.5">
      <c r="A4525" s="798">
        <v>96712</v>
      </c>
      <c r="B4525" s="799" t="s">
        <v>2923</v>
      </c>
      <c r="C4525" s="798" t="s">
        <v>24</v>
      </c>
      <c r="D4525" s="800">
        <v>21.23</v>
      </c>
    </row>
    <row r="4526" spans="1:4" ht="40.5">
      <c r="A4526" s="798">
        <v>96713</v>
      </c>
      <c r="B4526" s="799" t="s">
        <v>2924</v>
      </c>
      <c r="C4526" s="798" t="s">
        <v>24</v>
      </c>
      <c r="D4526" s="800">
        <v>29.13</v>
      </c>
    </row>
    <row r="4527" spans="1:4" ht="40.5">
      <c r="A4527" s="798">
        <v>96714</v>
      </c>
      <c r="B4527" s="799" t="s">
        <v>2925</v>
      </c>
      <c r="C4527" s="798" t="s">
        <v>24</v>
      </c>
      <c r="D4527" s="800">
        <v>49.86</v>
      </c>
    </row>
    <row r="4528" spans="1:4" ht="40.5">
      <c r="A4528" s="798">
        <v>96715</v>
      </c>
      <c r="B4528" s="799" t="s">
        <v>2926</v>
      </c>
      <c r="C4528" s="798" t="s">
        <v>24</v>
      </c>
      <c r="D4528" s="800">
        <v>97.1</v>
      </c>
    </row>
    <row r="4529" spans="1:4" ht="40.5">
      <c r="A4529" s="798">
        <v>96716</v>
      </c>
      <c r="B4529" s="799" t="s">
        <v>2927</v>
      </c>
      <c r="C4529" s="798" t="s">
        <v>24</v>
      </c>
      <c r="D4529" s="800">
        <v>146.62</v>
      </c>
    </row>
    <row r="4530" spans="1:4" ht="40.5">
      <c r="A4530" s="798">
        <v>96717</v>
      </c>
      <c r="B4530" s="799" t="s">
        <v>2928</v>
      </c>
      <c r="C4530" s="798" t="s">
        <v>24</v>
      </c>
      <c r="D4530" s="800">
        <v>232.2</v>
      </c>
    </row>
    <row r="4531" spans="1:4" ht="54">
      <c r="A4531" s="798">
        <v>96736</v>
      </c>
      <c r="B4531" s="799" t="s">
        <v>2947</v>
      </c>
      <c r="C4531" s="798" t="s">
        <v>24</v>
      </c>
      <c r="D4531" s="800">
        <v>4.87</v>
      </c>
    </row>
    <row r="4532" spans="1:4" ht="54">
      <c r="A4532" s="798">
        <v>96737</v>
      </c>
      <c r="B4532" s="799" t="s">
        <v>2948</v>
      </c>
      <c r="C4532" s="798" t="s">
        <v>24</v>
      </c>
      <c r="D4532" s="800">
        <v>5.87</v>
      </c>
    </row>
    <row r="4533" spans="1:4" ht="54">
      <c r="A4533" s="798">
        <v>96738</v>
      </c>
      <c r="B4533" s="799" t="s">
        <v>2949</v>
      </c>
      <c r="C4533" s="798" t="s">
        <v>24</v>
      </c>
      <c r="D4533" s="800">
        <v>24.19</v>
      </c>
    </row>
    <row r="4534" spans="1:4" ht="54">
      <c r="A4534" s="798">
        <v>96739</v>
      </c>
      <c r="B4534" s="799" t="s">
        <v>2950</v>
      </c>
      <c r="C4534" s="798" t="s">
        <v>24</v>
      </c>
      <c r="D4534" s="800">
        <v>7.61</v>
      </c>
    </row>
    <row r="4535" spans="1:4" ht="54">
      <c r="A4535" s="798">
        <v>96740</v>
      </c>
      <c r="B4535" s="799" t="s">
        <v>2951</v>
      </c>
      <c r="C4535" s="798" t="s">
        <v>24</v>
      </c>
      <c r="D4535" s="800">
        <v>38.159999999999997</v>
      </c>
    </row>
    <row r="4536" spans="1:4" ht="54">
      <c r="A4536" s="798">
        <v>96741</v>
      </c>
      <c r="B4536" s="799" t="s">
        <v>2952</v>
      </c>
      <c r="C4536" s="798" t="s">
        <v>24</v>
      </c>
      <c r="D4536" s="800">
        <v>13.57</v>
      </c>
    </row>
    <row r="4537" spans="1:4" ht="54">
      <c r="A4537" s="798">
        <v>96742</v>
      </c>
      <c r="B4537" s="799" t="s">
        <v>2953</v>
      </c>
      <c r="C4537" s="798" t="s">
        <v>24</v>
      </c>
      <c r="D4537" s="800">
        <v>20.58</v>
      </c>
    </row>
    <row r="4538" spans="1:4" ht="54">
      <c r="A4538" s="798">
        <v>96743</v>
      </c>
      <c r="B4538" s="799" t="s">
        <v>2954</v>
      </c>
      <c r="C4538" s="798" t="s">
        <v>24</v>
      </c>
      <c r="D4538" s="800">
        <v>27.83</v>
      </c>
    </row>
    <row r="4539" spans="1:4" ht="54">
      <c r="A4539" s="798">
        <v>96744</v>
      </c>
      <c r="B4539" s="799" t="s">
        <v>2955</v>
      </c>
      <c r="C4539" s="798" t="s">
        <v>24</v>
      </c>
      <c r="D4539" s="800">
        <v>61.33</v>
      </c>
    </row>
    <row r="4540" spans="1:4" ht="54">
      <c r="A4540" s="798">
        <v>96745</v>
      </c>
      <c r="B4540" s="799" t="s">
        <v>2956</v>
      </c>
      <c r="C4540" s="798" t="s">
        <v>24</v>
      </c>
      <c r="D4540" s="800">
        <v>93.16</v>
      </c>
    </row>
    <row r="4541" spans="1:4" ht="54">
      <c r="A4541" s="798">
        <v>96746</v>
      </c>
      <c r="B4541" s="799" t="s">
        <v>2957</v>
      </c>
      <c r="C4541" s="798" t="s">
        <v>24</v>
      </c>
      <c r="D4541" s="800">
        <v>148.76</v>
      </c>
    </row>
    <row r="4542" spans="1:4" ht="54">
      <c r="A4542" s="798">
        <v>96747</v>
      </c>
      <c r="B4542" s="799" t="s">
        <v>2958</v>
      </c>
      <c r="C4542" s="798" t="s">
        <v>24</v>
      </c>
      <c r="D4542" s="800">
        <v>6.72</v>
      </c>
    </row>
    <row r="4543" spans="1:4" ht="54">
      <c r="A4543" s="798">
        <v>96748</v>
      </c>
      <c r="B4543" s="799" t="s">
        <v>2959</v>
      </c>
      <c r="C4543" s="798" t="s">
        <v>24</v>
      </c>
      <c r="D4543" s="800">
        <v>7.98</v>
      </c>
    </row>
    <row r="4544" spans="1:4" ht="54">
      <c r="A4544" s="798">
        <v>96749</v>
      </c>
      <c r="B4544" s="799" t="s">
        <v>2960</v>
      </c>
      <c r="C4544" s="798" t="s">
        <v>24</v>
      </c>
      <c r="D4544" s="800">
        <v>11.1</v>
      </c>
    </row>
    <row r="4545" spans="1:4" ht="54">
      <c r="A4545" s="798">
        <v>96750</v>
      </c>
      <c r="B4545" s="799" t="s">
        <v>2961</v>
      </c>
      <c r="C4545" s="798" t="s">
        <v>24</v>
      </c>
      <c r="D4545" s="800">
        <v>16.010000000000002</v>
      </c>
    </row>
    <row r="4546" spans="1:4" ht="54">
      <c r="A4546" s="798">
        <v>96751</v>
      </c>
      <c r="B4546" s="799" t="s">
        <v>2962</v>
      </c>
      <c r="C4546" s="798" t="s">
        <v>24</v>
      </c>
      <c r="D4546" s="800">
        <v>30.04</v>
      </c>
    </row>
    <row r="4547" spans="1:4" ht="54">
      <c r="A4547" s="798">
        <v>96752</v>
      </c>
      <c r="B4547" s="799" t="s">
        <v>2963</v>
      </c>
      <c r="C4547" s="798" t="s">
        <v>24</v>
      </c>
      <c r="D4547" s="800">
        <v>40.799999999999997</v>
      </c>
    </row>
    <row r="4548" spans="1:4" ht="54">
      <c r="A4548" s="798">
        <v>96753</v>
      </c>
      <c r="B4548" s="799" t="s">
        <v>2964</v>
      </c>
      <c r="C4548" s="798" t="s">
        <v>24</v>
      </c>
      <c r="D4548" s="800">
        <v>95.59</v>
      </c>
    </row>
    <row r="4549" spans="1:4" ht="54">
      <c r="A4549" s="798">
        <v>96754</v>
      </c>
      <c r="B4549" s="799" t="s">
        <v>2965</v>
      </c>
      <c r="C4549" s="798" t="s">
        <v>24</v>
      </c>
      <c r="D4549" s="800">
        <v>138.25</v>
      </c>
    </row>
    <row r="4550" spans="1:4" ht="54">
      <c r="A4550" s="798">
        <v>96755</v>
      </c>
      <c r="B4550" s="799" t="s">
        <v>2966</v>
      </c>
      <c r="C4550" s="798" t="s">
        <v>24</v>
      </c>
      <c r="D4550" s="800">
        <v>208.33</v>
      </c>
    </row>
    <row r="4551" spans="1:4" ht="54">
      <c r="A4551" s="798">
        <v>96756</v>
      </c>
      <c r="B4551" s="799" t="s">
        <v>2967</v>
      </c>
      <c r="C4551" s="798" t="s">
        <v>24</v>
      </c>
      <c r="D4551" s="800">
        <v>13.71</v>
      </c>
    </row>
    <row r="4552" spans="1:4" ht="54">
      <c r="A4552" s="798">
        <v>96757</v>
      </c>
      <c r="B4552" s="799" t="s">
        <v>2968</v>
      </c>
      <c r="C4552" s="798" t="s">
        <v>24</v>
      </c>
      <c r="D4552" s="800">
        <v>13.05</v>
      </c>
    </row>
    <row r="4553" spans="1:4" ht="54">
      <c r="A4553" s="798">
        <v>96758</v>
      </c>
      <c r="B4553" s="799" t="s">
        <v>2969</v>
      </c>
      <c r="C4553" s="798" t="s">
        <v>24</v>
      </c>
      <c r="D4553" s="800">
        <v>14.97</v>
      </c>
    </row>
    <row r="4554" spans="1:4" ht="54">
      <c r="A4554" s="798">
        <v>96759</v>
      </c>
      <c r="B4554" s="799" t="s">
        <v>2970</v>
      </c>
      <c r="C4554" s="798" t="s">
        <v>24</v>
      </c>
      <c r="D4554" s="800">
        <v>24.3</v>
      </c>
    </row>
    <row r="4555" spans="1:4" ht="54">
      <c r="A4555" s="798">
        <v>96760</v>
      </c>
      <c r="B4555" s="799" t="s">
        <v>2971</v>
      </c>
      <c r="C4555" s="798" t="s">
        <v>24</v>
      </c>
      <c r="D4555" s="800">
        <v>33.96</v>
      </c>
    </row>
    <row r="4556" spans="1:4" ht="54">
      <c r="A4556" s="798">
        <v>96761</v>
      </c>
      <c r="B4556" s="799" t="s">
        <v>2972</v>
      </c>
      <c r="C4556" s="798" t="s">
        <v>24</v>
      </c>
      <c r="D4556" s="800">
        <v>51.17</v>
      </c>
    </row>
    <row r="4557" spans="1:4" ht="54">
      <c r="A4557" s="798">
        <v>96762</v>
      </c>
      <c r="B4557" s="799" t="s">
        <v>2973</v>
      </c>
      <c r="C4557" s="798" t="s">
        <v>24</v>
      </c>
      <c r="D4557" s="800">
        <v>101.86</v>
      </c>
    </row>
    <row r="4558" spans="1:4" ht="54">
      <c r="A4558" s="798">
        <v>96763</v>
      </c>
      <c r="B4558" s="799" t="s">
        <v>2974</v>
      </c>
      <c r="C4558" s="798" t="s">
        <v>24</v>
      </c>
      <c r="D4558" s="800">
        <v>145.43</v>
      </c>
    </row>
    <row r="4559" spans="1:4" ht="54">
      <c r="A4559" s="798">
        <v>96764</v>
      </c>
      <c r="B4559" s="799" t="s">
        <v>2975</v>
      </c>
      <c r="C4559" s="798" t="s">
        <v>24</v>
      </c>
      <c r="D4559" s="800">
        <v>232.13</v>
      </c>
    </row>
    <row r="4560" spans="1:4" ht="40.5">
      <c r="A4560" s="798">
        <v>96802</v>
      </c>
      <c r="B4560" s="799" t="s">
        <v>2984</v>
      </c>
      <c r="C4560" s="798" t="s">
        <v>24</v>
      </c>
      <c r="D4560" s="800">
        <v>312.63</v>
      </c>
    </row>
    <row r="4561" spans="1:4" ht="40.5">
      <c r="A4561" s="798">
        <v>96803</v>
      </c>
      <c r="B4561" s="799" t="s">
        <v>2985</v>
      </c>
      <c r="C4561" s="798" t="s">
        <v>24</v>
      </c>
      <c r="D4561" s="800">
        <v>158.84</v>
      </c>
    </row>
    <row r="4562" spans="1:4" ht="40.5">
      <c r="A4562" s="798">
        <v>96804</v>
      </c>
      <c r="B4562" s="799" t="s">
        <v>2986</v>
      </c>
      <c r="C4562" s="798" t="s">
        <v>24</v>
      </c>
      <c r="D4562" s="800">
        <v>279.58999999999997</v>
      </c>
    </row>
    <row r="4563" spans="1:4" ht="40.5">
      <c r="A4563" s="798">
        <v>96805</v>
      </c>
      <c r="B4563" s="799" t="s">
        <v>2987</v>
      </c>
      <c r="C4563" s="798" t="s">
        <v>24</v>
      </c>
      <c r="D4563" s="800">
        <v>319.52</v>
      </c>
    </row>
    <row r="4564" spans="1:4" ht="40.5">
      <c r="A4564" s="798">
        <v>96806</v>
      </c>
      <c r="B4564" s="799" t="s">
        <v>2988</v>
      </c>
      <c r="C4564" s="798" t="s">
        <v>24</v>
      </c>
      <c r="D4564" s="800">
        <v>151.41</v>
      </c>
    </row>
    <row r="4565" spans="1:4" ht="54">
      <c r="A4565" s="798">
        <v>96807</v>
      </c>
      <c r="B4565" s="799" t="s">
        <v>2989</v>
      </c>
      <c r="C4565" s="798" t="s">
        <v>24</v>
      </c>
      <c r="D4565" s="800">
        <v>249.54</v>
      </c>
    </row>
    <row r="4566" spans="1:4" ht="40.5">
      <c r="A4566" s="798">
        <v>96808</v>
      </c>
      <c r="B4566" s="799" t="s">
        <v>2990</v>
      </c>
      <c r="C4566" s="798" t="s">
        <v>24</v>
      </c>
      <c r="D4566" s="800">
        <v>12.87</v>
      </c>
    </row>
    <row r="4567" spans="1:4" ht="40.5">
      <c r="A4567" s="798">
        <v>96809</v>
      </c>
      <c r="B4567" s="799" t="s">
        <v>2991</v>
      </c>
      <c r="C4567" s="798" t="s">
        <v>24</v>
      </c>
      <c r="D4567" s="800">
        <v>15.02</v>
      </c>
    </row>
    <row r="4568" spans="1:4" ht="40.5">
      <c r="A4568" s="798">
        <v>96810</v>
      </c>
      <c r="B4568" s="799" t="s">
        <v>2992</v>
      </c>
      <c r="C4568" s="798" t="s">
        <v>24</v>
      </c>
      <c r="D4568" s="800">
        <v>16.47</v>
      </c>
    </row>
    <row r="4569" spans="1:4" ht="40.5">
      <c r="A4569" s="798">
        <v>96811</v>
      </c>
      <c r="B4569" s="799" t="s">
        <v>2993</v>
      </c>
      <c r="C4569" s="798" t="s">
        <v>24</v>
      </c>
      <c r="D4569" s="800">
        <v>17.510000000000002</v>
      </c>
    </row>
    <row r="4570" spans="1:4" ht="40.5">
      <c r="A4570" s="798">
        <v>96812</v>
      </c>
      <c r="B4570" s="799" t="s">
        <v>2994</v>
      </c>
      <c r="C4570" s="798" t="s">
        <v>24</v>
      </c>
      <c r="D4570" s="800">
        <v>16.739999999999998</v>
      </c>
    </row>
    <row r="4571" spans="1:4" ht="40.5">
      <c r="A4571" s="798">
        <v>96813</v>
      </c>
      <c r="B4571" s="799" t="s">
        <v>2995</v>
      </c>
      <c r="C4571" s="798" t="s">
        <v>24</v>
      </c>
      <c r="D4571" s="800">
        <v>19.63</v>
      </c>
    </row>
    <row r="4572" spans="1:4" ht="40.5">
      <c r="A4572" s="798">
        <v>96814</v>
      </c>
      <c r="B4572" s="799" t="s">
        <v>2996</v>
      </c>
      <c r="C4572" s="798" t="s">
        <v>24</v>
      </c>
      <c r="D4572" s="800">
        <v>16.25</v>
      </c>
    </row>
    <row r="4573" spans="1:4" ht="40.5">
      <c r="A4573" s="798">
        <v>96815</v>
      </c>
      <c r="B4573" s="799" t="s">
        <v>2997</v>
      </c>
      <c r="C4573" s="798" t="s">
        <v>24</v>
      </c>
      <c r="D4573" s="800">
        <v>28.47</v>
      </c>
    </row>
    <row r="4574" spans="1:4" ht="40.5">
      <c r="A4574" s="798">
        <v>96816</v>
      </c>
      <c r="B4574" s="799" t="s">
        <v>2998</v>
      </c>
      <c r="C4574" s="798" t="s">
        <v>24</v>
      </c>
      <c r="D4574" s="800">
        <v>22.97</v>
      </c>
    </row>
    <row r="4575" spans="1:4" ht="40.5">
      <c r="A4575" s="798">
        <v>96817</v>
      </c>
      <c r="B4575" s="799" t="s">
        <v>2999</v>
      </c>
      <c r="C4575" s="798" t="s">
        <v>24</v>
      </c>
      <c r="D4575" s="800">
        <v>26.48</v>
      </c>
    </row>
    <row r="4576" spans="1:4" ht="40.5">
      <c r="A4576" s="798">
        <v>96818</v>
      </c>
      <c r="B4576" s="799" t="s">
        <v>3000</v>
      </c>
      <c r="C4576" s="798" t="s">
        <v>24</v>
      </c>
      <c r="D4576" s="800">
        <v>24.48</v>
      </c>
    </row>
    <row r="4577" spans="1:4" ht="40.5">
      <c r="A4577" s="798">
        <v>96819</v>
      </c>
      <c r="B4577" s="799" t="s">
        <v>3001</v>
      </c>
      <c r="C4577" s="798" t="s">
        <v>24</v>
      </c>
      <c r="D4577" s="800">
        <v>24.48</v>
      </c>
    </row>
    <row r="4578" spans="1:4" ht="40.5">
      <c r="A4578" s="798">
        <v>96820</v>
      </c>
      <c r="B4578" s="799" t="s">
        <v>3002</v>
      </c>
      <c r="C4578" s="798" t="s">
        <v>24</v>
      </c>
      <c r="D4578" s="800">
        <v>46.06</v>
      </c>
    </row>
    <row r="4579" spans="1:4" ht="40.5">
      <c r="A4579" s="798">
        <v>96821</v>
      </c>
      <c r="B4579" s="799" t="s">
        <v>3003</v>
      </c>
      <c r="C4579" s="798" t="s">
        <v>24</v>
      </c>
      <c r="D4579" s="800">
        <v>38.770000000000003</v>
      </c>
    </row>
    <row r="4580" spans="1:4" ht="40.5">
      <c r="A4580" s="798">
        <v>96822</v>
      </c>
      <c r="B4580" s="799" t="s">
        <v>3004</v>
      </c>
      <c r="C4580" s="798" t="s">
        <v>24</v>
      </c>
      <c r="D4580" s="800">
        <v>39.33</v>
      </c>
    </row>
    <row r="4581" spans="1:4" ht="27">
      <c r="A4581" s="798">
        <v>96823</v>
      </c>
      <c r="B4581" s="799" t="s">
        <v>3005</v>
      </c>
      <c r="C4581" s="798" t="s">
        <v>24</v>
      </c>
      <c r="D4581" s="800">
        <v>16.14</v>
      </c>
    </row>
    <row r="4582" spans="1:4" ht="40.5">
      <c r="A4582" s="798">
        <v>96824</v>
      </c>
      <c r="B4582" s="799" t="s">
        <v>3006</v>
      </c>
      <c r="C4582" s="798" t="s">
        <v>24</v>
      </c>
      <c r="D4582" s="800">
        <v>18.39</v>
      </c>
    </row>
    <row r="4583" spans="1:4" ht="40.5">
      <c r="A4583" s="798">
        <v>96825</v>
      </c>
      <c r="B4583" s="799" t="s">
        <v>3007</v>
      </c>
      <c r="C4583" s="798" t="s">
        <v>24</v>
      </c>
      <c r="D4583" s="800">
        <v>25.4</v>
      </c>
    </row>
    <row r="4584" spans="1:4" ht="27">
      <c r="A4584" s="798">
        <v>96826</v>
      </c>
      <c r="B4584" s="799" t="s">
        <v>3008</v>
      </c>
      <c r="C4584" s="798" t="s">
        <v>24</v>
      </c>
      <c r="D4584" s="800">
        <v>22.64</v>
      </c>
    </row>
    <row r="4585" spans="1:4" ht="40.5">
      <c r="A4585" s="798">
        <v>96827</v>
      </c>
      <c r="B4585" s="799" t="s">
        <v>3009</v>
      </c>
      <c r="C4585" s="798" t="s">
        <v>24</v>
      </c>
      <c r="D4585" s="800">
        <v>23.55</v>
      </c>
    </row>
    <row r="4586" spans="1:4" ht="40.5">
      <c r="A4586" s="798">
        <v>96828</v>
      </c>
      <c r="B4586" s="799" t="s">
        <v>3010</v>
      </c>
      <c r="C4586" s="798" t="s">
        <v>24</v>
      </c>
      <c r="D4586" s="800">
        <v>29.98</v>
      </c>
    </row>
    <row r="4587" spans="1:4" ht="40.5">
      <c r="A4587" s="798">
        <v>96829</v>
      </c>
      <c r="B4587" s="799" t="s">
        <v>3011</v>
      </c>
      <c r="C4587" s="798" t="s">
        <v>24</v>
      </c>
      <c r="D4587" s="800">
        <v>22.6</v>
      </c>
    </row>
    <row r="4588" spans="1:4" ht="27">
      <c r="A4588" s="798">
        <v>96830</v>
      </c>
      <c r="B4588" s="799" t="s">
        <v>3012</v>
      </c>
      <c r="C4588" s="798" t="s">
        <v>24</v>
      </c>
      <c r="D4588" s="800">
        <v>33.270000000000003</v>
      </c>
    </row>
    <row r="4589" spans="1:4" ht="40.5">
      <c r="A4589" s="798">
        <v>96831</v>
      </c>
      <c r="B4589" s="799" t="s">
        <v>3013</v>
      </c>
      <c r="C4589" s="798" t="s">
        <v>24</v>
      </c>
      <c r="D4589" s="800">
        <v>26.77</v>
      </c>
    </row>
    <row r="4590" spans="1:4" ht="40.5">
      <c r="A4590" s="798">
        <v>96832</v>
      </c>
      <c r="B4590" s="799" t="s">
        <v>3014</v>
      </c>
      <c r="C4590" s="798" t="s">
        <v>24</v>
      </c>
      <c r="D4590" s="800">
        <v>31.25</v>
      </c>
    </row>
    <row r="4591" spans="1:4" ht="40.5">
      <c r="A4591" s="798">
        <v>96833</v>
      </c>
      <c r="B4591" s="799" t="s">
        <v>3015</v>
      </c>
      <c r="C4591" s="798" t="s">
        <v>24</v>
      </c>
      <c r="D4591" s="800">
        <v>29.14</v>
      </c>
    </row>
    <row r="4592" spans="1:4" ht="27">
      <c r="A4592" s="798">
        <v>96834</v>
      </c>
      <c r="B4592" s="799" t="s">
        <v>3016</v>
      </c>
      <c r="C4592" s="798" t="s">
        <v>24</v>
      </c>
      <c r="D4592" s="800">
        <v>48.95</v>
      </c>
    </row>
    <row r="4593" spans="1:4" ht="40.5">
      <c r="A4593" s="798">
        <v>96835</v>
      </c>
      <c r="B4593" s="799" t="s">
        <v>3017</v>
      </c>
      <c r="C4593" s="798" t="s">
        <v>24</v>
      </c>
      <c r="D4593" s="800">
        <v>42</v>
      </c>
    </row>
    <row r="4594" spans="1:4" ht="40.5">
      <c r="A4594" s="798">
        <v>96836</v>
      </c>
      <c r="B4594" s="799" t="s">
        <v>3018</v>
      </c>
      <c r="C4594" s="798" t="s">
        <v>24</v>
      </c>
      <c r="D4594" s="800">
        <v>44.88</v>
      </c>
    </row>
    <row r="4595" spans="1:4" ht="40.5">
      <c r="A4595" s="798">
        <v>96837</v>
      </c>
      <c r="B4595" s="799" t="s">
        <v>3019</v>
      </c>
      <c r="C4595" s="798" t="s">
        <v>24</v>
      </c>
      <c r="D4595" s="800">
        <v>22.95</v>
      </c>
    </row>
    <row r="4596" spans="1:4" ht="40.5">
      <c r="A4596" s="798">
        <v>96838</v>
      </c>
      <c r="B4596" s="799" t="s">
        <v>3020</v>
      </c>
      <c r="C4596" s="798" t="s">
        <v>24</v>
      </c>
      <c r="D4596" s="800">
        <v>20.88</v>
      </c>
    </row>
    <row r="4597" spans="1:4" ht="40.5">
      <c r="A4597" s="798">
        <v>96839</v>
      </c>
      <c r="B4597" s="799" t="s">
        <v>3021</v>
      </c>
      <c r="C4597" s="798" t="s">
        <v>24</v>
      </c>
      <c r="D4597" s="800">
        <v>20.51</v>
      </c>
    </row>
    <row r="4598" spans="1:4" ht="40.5">
      <c r="A4598" s="798">
        <v>96840</v>
      </c>
      <c r="B4598" s="799" t="s">
        <v>3022</v>
      </c>
      <c r="C4598" s="798" t="s">
        <v>24</v>
      </c>
      <c r="D4598" s="800">
        <v>26.77</v>
      </c>
    </row>
    <row r="4599" spans="1:4" ht="40.5">
      <c r="A4599" s="798">
        <v>96841</v>
      </c>
      <c r="B4599" s="799" t="s">
        <v>3023</v>
      </c>
      <c r="C4599" s="798" t="s">
        <v>24</v>
      </c>
      <c r="D4599" s="800">
        <v>23.04</v>
      </c>
    </row>
    <row r="4600" spans="1:4" ht="40.5">
      <c r="A4600" s="798">
        <v>96842</v>
      </c>
      <c r="B4600" s="799" t="s">
        <v>3024</v>
      </c>
      <c r="C4600" s="798" t="s">
        <v>24</v>
      </c>
      <c r="D4600" s="800">
        <v>30.18</v>
      </c>
    </row>
    <row r="4601" spans="1:4" ht="40.5">
      <c r="A4601" s="798">
        <v>96843</v>
      </c>
      <c r="B4601" s="799" t="s">
        <v>3025</v>
      </c>
      <c r="C4601" s="798" t="s">
        <v>24</v>
      </c>
      <c r="D4601" s="800">
        <v>28.91</v>
      </c>
    </row>
    <row r="4602" spans="1:4" ht="40.5">
      <c r="A4602" s="798">
        <v>96844</v>
      </c>
      <c r="B4602" s="799" t="s">
        <v>3026</v>
      </c>
      <c r="C4602" s="798" t="s">
        <v>24</v>
      </c>
      <c r="D4602" s="800">
        <v>40.57</v>
      </c>
    </row>
    <row r="4603" spans="1:4" ht="40.5">
      <c r="A4603" s="798">
        <v>96845</v>
      </c>
      <c r="B4603" s="799" t="s">
        <v>3027</v>
      </c>
      <c r="C4603" s="798" t="s">
        <v>24</v>
      </c>
      <c r="D4603" s="800">
        <v>43.04</v>
      </c>
    </row>
    <row r="4604" spans="1:4" ht="40.5">
      <c r="A4604" s="798">
        <v>96846</v>
      </c>
      <c r="B4604" s="799" t="s">
        <v>3028</v>
      </c>
      <c r="C4604" s="798" t="s">
        <v>24</v>
      </c>
      <c r="D4604" s="800">
        <v>33.08</v>
      </c>
    </row>
    <row r="4605" spans="1:4" ht="40.5">
      <c r="A4605" s="798">
        <v>96847</v>
      </c>
      <c r="B4605" s="799" t="s">
        <v>3029</v>
      </c>
      <c r="C4605" s="798" t="s">
        <v>24</v>
      </c>
      <c r="D4605" s="800">
        <v>36.729999999999997</v>
      </c>
    </row>
    <row r="4606" spans="1:4" ht="40.5">
      <c r="A4606" s="798">
        <v>96848</v>
      </c>
      <c r="B4606" s="799" t="s">
        <v>3030</v>
      </c>
      <c r="C4606" s="798" t="s">
        <v>24</v>
      </c>
      <c r="D4606" s="800">
        <v>56.09</v>
      </c>
    </row>
    <row r="4607" spans="1:4" ht="40.5">
      <c r="A4607" s="798">
        <v>96849</v>
      </c>
      <c r="B4607" s="799" t="s">
        <v>3031</v>
      </c>
      <c r="C4607" s="798" t="s">
        <v>24</v>
      </c>
      <c r="D4607" s="800">
        <v>20</v>
      </c>
    </row>
    <row r="4608" spans="1:4" ht="40.5">
      <c r="A4608" s="798">
        <v>96850</v>
      </c>
      <c r="B4608" s="799" t="s">
        <v>3032</v>
      </c>
      <c r="C4608" s="798" t="s">
        <v>24</v>
      </c>
      <c r="D4608" s="800">
        <v>23.73</v>
      </c>
    </row>
    <row r="4609" spans="1:4" ht="40.5">
      <c r="A4609" s="798">
        <v>96851</v>
      </c>
      <c r="B4609" s="799" t="s">
        <v>3033</v>
      </c>
      <c r="C4609" s="798" t="s">
        <v>24</v>
      </c>
      <c r="D4609" s="800">
        <v>32.08</v>
      </c>
    </row>
    <row r="4610" spans="1:4" ht="40.5">
      <c r="A4610" s="798">
        <v>96852</v>
      </c>
      <c r="B4610" s="799" t="s">
        <v>3034</v>
      </c>
      <c r="C4610" s="798" t="s">
        <v>24</v>
      </c>
      <c r="D4610" s="800">
        <v>26.92</v>
      </c>
    </row>
    <row r="4611" spans="1:4" ht="40.5">
      <c r="A4611" s="798">
        <v>96853</v>
      </c>
      <c r="B4611" s="799" t="s">
        <v>3035</v>
      </c>
      <c r="C4611" s="798" t="s">
        <v>24</v>
      </c>
      <c r="D4611" s="800">
        <v>30.56</v>
      </c>
    </row>
    <row r="4612" spans="1:4" ht="40.5">
      <c r="A4612" s="798">
        <v>96854</v>
      </c>
      <c r="B4612" s="799" t="s">
        <v>3036</v>
      </c>
      <c r="C4612" s="798" t="s">
        <v>24</v>
      </c>
      <c r="D4612" s="800">
        <v>37.020000000000003</v>
      </c>
    </row>
    <row r="4613" spans="1:4" ht="40.5">
      <c r="A4613" s="798">
        <v>96855</v>
      </c>
      <c r="B4613" s="799" t="s">
        <v>3037</v>
      </c>
      <c r="C4613" s="798" t="s">
        <v>24</v>
      </c>
      <c r="D4613" s="800">
        <v>33.520000000000003</v>
      </c>
    </row>
    <row r="4614" spans="1:4" ht="40.5">
      <c r="A4614" s="798">
        <v>96856</v>
      </c>
      <c r="B4614" s="799" t="s">
        <v>3038</v>
      </c>
      <c r="C4614" s="798" t="s">
        <v>24</v>
      </c>
      <c r="D4614" s="800">
        <v>34.049999999999997</v>
      </c>
    </row>
    <row r="4615" spans="1:4" ht="40.5">
      <c r="A4615" s="798">
        <v>96857</v>
      </c>
      <c r="B4615" s="799" t="s">
        <v>3039</v>
      </c>
      <c r="C4615" s="798" t="s">
        <v>24</v>
      </c>
      <c r="D4615" s="800">
        <v>55.89</v>
      </c>
    </row>
    <row r="4616" spans="1:4" ht="40.5">
      <c r="A4616" s="798">
        <v>96858</v>
      </c>
      <c r="B4616" s="799" t="s">
        <v>3040</v>
      </c>
      <c r="C4616" s="798" t="s">
        <v>24</v>
      </c>
      <c r="D4616" s="800">
        <v>55.89</v>
      </c>
    </row>
    <row r="4617" spans="1:4" ht="40.5">
      <c r="A4617" s="798">
        <v>96859</v>
      </c>
      <c r="B4617" s="799" t="s">
        <v>3041</v>
      </c>
      <c r="C4617" s="798" t="s">
        <v>24</v>
      </c>
      <c r="D4617" s="800">
        <v>70.08</v>
      </c>
    </row>
    <row r="4618" spans="1:4" ht="40.5">
      <c r="A4618" s="798">
        <v>96860</v>
      </c>
      <c r="B4618" s="799" t="s">
        <v>3042</v>
      </c>
      <c r="C4618" s="798" t="s">
        <v>24</v>
      </c>
      <c r="D4618" s="800">
        <v>26.19</v>
      </c>
    </row>
    <row r="4619" spans="1:4" ht="40.5">
      <c r="A4619" s="798">
        <v>96861</v>
      </c>
      <c r="B4619" s="799" t="s">
        <v>3043</v>
      </c>
      <c r="C4619" s="798" t="s">
        <v>24</v>
      </c>
      <c r="D4619" s="800">
        <v>28.55</v>
      </c>
    </row>
    <row r="4620" spans="1:4" ht="40.5">
      <c r="A4620" s="798">
        <v>96862</v>
      </c>
      <c r="B4620" s="799" t="s">
        <v>3044</v>
      </c>
      <c r="C4620" s="798" t="s">
        <v>24</v>
      </c>
      <c r="D4620" s="800">
        <v>31.63</v>
      </c>
    </row>
    <row r="4621" spans="1:4" ht="40.5">
      <c r="A4621" s="798">
        <v>96863</v>
      </c>
      <c r="B4621" s="799" t="s">
        <v>3045</v>
      </c>
      <c r="C4621" s="798" t="s">
        <v>24</v>
      </c>
      <c r="D4621" s="800">
        <v>31.25</v>
      </c>
    </row>
    <row r="4622" spans="1:4" ht="40.5">
      <c r="A4622" s="798">
        <v>96864</v>
      </c>
      <c r="B4622" s="799" t="s">
        <v>3046</v>
      </c>
      <c r="C4622" s="798" t="s">
        <v>24</v>
      </c>
      <c r="D4622" s="800">
        <v>51.06</v>
      </c>
    </row>
    <row r="4623" spans="1:4" ht="40.5">
      <c r="A4623" s="798">
        <v>96865</v>
      </c>
      <c r="B4623" s="799" t="s">
        <v>3047</v>
      </c>
      <c r="C4623" s="798" t="s">
        <v>24</v>
      </c>
      <c r="D4623" s="800">
        <v>49.92</v>
      </c>
    </row>
    <row r="4624" spans="1:4" ht="40.5">
      <c r="A4624" s="798">
        <v>96866</v>
      </c>
      <c r="B4624" s="799" t="s">
        <v>3048</v>
      </c>
      <c r="C4624" s="798" t="s">
        <v>24</v>
      </c>
      <c r="D4624" s="800">
        <v>67.540000000000006</v>
      </c>
    </row>
    <row r="4625" spans="1:4" ht="40.5">
      <c r="A4625" s="798">
        <v>96867</v>
      </c>
      <c r="B4625" s="799" t="s">
        <v>3049</v>
      </c>
      <c r="C4625" s="798" t="s">
        <v>24</v>
      </c>
      <c r="D4625" s="800">
        <v>79.45</v>
      </c>
    </row>
    <row r="4626" spans="1:4" ht="27">
      <c r="A4626" s="798">
        <v>96868</v>
      </c>
      <c r="B4626" s="799" t="s">
        <v>3050</v>
      </c>
      <c r="C4626" s="798" t="s">
        <v>24</v>
      </c>
      <c r="D4626" s="800">
        <v>31.43</v>
      </c>
    </row>
    <row r="4627" spans="1:4" ht="27">
      <c r="A4627" s="798">
        <v>96869</v>
      </c>
      <c r="B4627" s="799" t="s">
        <v>3051</v>
      </c>
      <c r="C4627" s="798" t="s">
        <v>24</v>
      </c>
      <c r="D4627" s="800">
        <v>37.57</v>
      </c>
    </row>
    <row r="4628" spans="1:4" ht="27">
      <c r="A4628" s="798">
        <v>96870</v>
      </c>
      <c r="B4628" s="799" t="s">
        <v>3052</v>
      </c>
      <c r="C4628" s="798" t="s">
        <v>24</v>
      </c>
      <c r="D4628" s="800">
        <v>60.53</v>
      </c>
    </row>
    <row r="4629" spans="1:4" ht="27">
      <c r="A4629" s="798">
        <v>96871</v>
      </c>
      <c r="B4629" s="799" t="s">
        <v>3053</v>
      </c>
      <c r="C4629" s="798" t="s">
        <v>24</v>
      </c>
      <c r="D4629" s="800">
        <v>88.57</v>
      </c>
    </row>
    <row r="4630" spans="1:4" ht="54">
      <c r="A4630" s="798">
        <v>96872</v>
      </c>
      <c r="B4630" s="799" t="s">
        <v>3054</v>
      </c>
      <c r="C4630" s="798" t="s">
        <v>24</v>
      </c>
      <c r="D4630" s="800">
        <v>78.78</v>
      </c>
    </row>
    <row r="4631" spans="1:4" ht="54">
      <c r="A4631" s="798">
        <v>96873</v>
      </c>
      <c r="B4631" s="799" t="s">
        <v>3055</v>
      </c>
      <c r="C4631" s="798" t="s">
        <v>24</v>
      </c>
      <c r="D4631" s="800">
        <v>91.92</v>
      </c>
    </row>
    <row r="4632" spans="1:4" ht="54">
      <c r="A4632" s="798">
        <v>96874</v>
      </c>
      <c r="B4632" s="799" t="s">
        <v>3056</v>
      </c>
      <c r="C4632" s="798" t="s">
        <v>24</v>
      </c>
      <c r="D4632" s="800">
        <v>95.13</v>
      </c>
    </row>
    <row r="4633" spans="1:4" ht="40.5">
      <c r="A4633" s="798">
        <v>96875</v>
      </c>
      <c r="B4633" s="799" t="s">
        <v>3057</v>
      </c>
      <c r="C4633" s="798" t="s">
        <v>24</v>
      </c>
      <c r="D4633" s="800">
        <v>116.27</v>
      </c>
    </row>
    <row r="4634" spans="1:4" ht="40.5">
      <c r="A4634" s="798">
        <v>96876</v>
      </c>
      <c r="B4634" s="799" t="s">
        <v>3058</v>
      </c>
      <c r="C4634" s="798" t="s">
        <v>24</v>
      </c>
      <c r="D4634" s="800">
        <v>215.09</v>
      </c>
    </row>
    <row r="4635" spans="1:4" ht="40.5">
      <c r="A4635" s="798">
        <v>96877</v>
      </c>
      <c r="B4635" s="799" t="s">
        <v>3059</v>
      </c>
      <c r="C4635" s="798" t="s">
        <v>24</v>
      </c>
      <c r="D4635" s="800">
        <v>230.44</v>
      </c>
    </row>
    <row r="4636" spans="1:4" ht="40.5">
      <c r="A4636" s="798">
        <v>96878</v>
      </c>
      <c r="B4636" s="799" t="s">
        <v>3060</v>
      </c>
      <c r="C4636" s="798" t="s">
        <v>24</v>
      </c>
      <c r="D4636" s="800">
        <v>233.3</v>
      </c>
    </row>
    <row r="4637" spans="1:4" ht="40.5">
      <c r="A4637" s="798">
        <v>96879</v>
      </c>
      <c r="B4637" s="799" t="s">
        <v>3061</v>
      </c>
      <c r="C4637" s="798" t="s">
        <v>24</v>
      </c>
      <c r="D4637" s="800">
        <v>232.53</v>
      </c>
    </row>
    <row r="4638" spans="1:4" ht="40.5">
      <c r="A4638" s="798">
        <v>96880</v>
      </c>
      <c r="B4638" s="799" t="s">
        <v>3062</v>
      </c>
      <c r="C4638" s="798" t="s">
        <v>24</v>
      </c>
      <c r="D4638" s="800">
        <v>266.88</v>
      </c>
    </row>
    <row r="4639" spans="1:4" ht="40.5">
      <c r="A4639" s="798">
        <v>96881</v>
      </c>
      <c r="B4639" s="799" t="s">
        <v>3063</v>
      </c>
      <c r="C4639" s="798" t="s">
        <v>24</v>
      </c>
      <c r="D4639" s="800">
        <v>282.44</v>
      </c>
    </row>
    <row r="4640" spans="1:4" ht="54">
      <c r="A4640" s="798">
        <v>97425</v>
      </c>
      <c r="B4640" s="799" t="s">
        <v>3348</v>
      </c>
      <c r="C4640" s="798" t="s">
        <v>24</v>
      </c>
      <c r="D4640" s="800">
        <v>23.76</v>
      </c>
    </row>
    <row r="4641" spans="1:4" ht="54">
      <c r="A4641" s="798">
        <v>97426</v>
      </c>
      <c r="B4641" s="799" t="s">
        <v>3349</v>
      </c>
      <c r="C4641" s="798" t="s">
        <v>24</v>
      </c>
      <c r="D4641" s="800">
        <v>29.07</v>
      </c>
    </row>
    <row r="4642" spans="1:4" ht="54">
      <c r="A4642" s="798">
        <v>97427</v>
      </c>
      <c r="B4642" s="799" t="s">
        <v>3350</v>
      </c>
      <c r="C4642" s="798" t="s">
        <v>24</v>
      </c>
      <c r="D4642" s="800">
        <v>33.08</v>
      </c>
    </row>
    <row r="4643" spans="1:4" ht="54">
      <c r="A4643" s="798">
        <v>97428</v>
      </c>
      <c r="B4643" s="799" t="s">
        <v>3351</v>
      </c>
      <c r="C4643" s="798" t="s">
        <v>24</v>
      </c>
      <c r="D4643" s="800">
        <v>42.38</v>
      </c>
    </row>
    <row r="4644" spans="1:4" ht="54">
      <c r="A4644" s="798">
        <v>97429</v>
      </c>
      <c r="B4644" s="799" t="s">
        <v>3352</v>
      </c>
      <c r="C4644" s="798" t="s">
        <v>24</v>
      </c>
      <c r="D4644" s="800">
        <v>50.95</v>
      </c>
    </row>
    <row r="4645" spans="1:4" ht="40.5">
      <c r="A4645" s="798">
        <v>97430</v>
      </c>
      <c r="B4645" s="799" t="s">
        <v>6033</v>
      </c>
      <c r="C4645" s="798" t="s">
        <v>24</v>
      </c>
      <c r="D4645" s="800">
        <v>43.74</v>
      </c>
    </row>
    <row r="4646" spans="1:4" ht="40.5">
      <c r="A4646" s="798">
        <v>97431</v>
      </c>
      <c r="B4646" s="799" t="s">
        <v>6034</v>
      </c>
      <c r="C4646" s="798" t="s">
        <v>24</v>
      </c>
      <c r="D4646" s="800">
        <v>48.35</v>
      </c>
    </row>
    <row r="4647" spans="1:4" ht="40.5">
      <c r="A4647" s="798">
        <v>97432</v>
      </c>
      <c r="B4647" s="799" t="s">
        <v>6035</v>
      </c>
      <c r="C4647" s="798" t="s">
        <v>24</v>
      </c>
      <c r="D4647" s="800">
        <v>54.5</v>
      </c>
    </row>
    <row r="4648" spans="1:4" ht="40.5">
      <c r="A4648" s="798">
        <v>97433</v>
      </c>
      <c r="B4648" s="799" t="s">
        <v>6036</v>
      </c>
      <c r="C4648" s="798" t="s">
        <v>24</v>
      </c>
      <c r="D4648" s="800">
        <v>108.72</v>
      </c>
    </row>
    <row r="4649" spans="1:4" ht="40.5">
      <c r="A4649" s="798">
        <v>97434</v>
      </c>
      <c r="B4649" s="799" t="s">
        <v>6037</v>
      </c>
      <c r="C4649" s="798" t="s">
        <v>24</v>
      </c>
      <c r="D4649" s="800">
        <v>111.09</v>
      </c>
    </row>
    <row r="4650" spans="1:4" ht="40.5">
      <c r="A4650" s="798">
        <v>97435</v>
      </c>
      <c r="B4650" s="799" t="s">
        <v>6038</v>
      </c>
      <c r="C4650" s="798" t="s">
        <v>24</v>
      </c>
      <c r="D4650" s="800">
        <v>127.46</v>
      </c>
    </row>
    <row r="4651" spans="1:4" ht="40.5">
      <c r="A4651" s="798">
        <v>97436</v>
      </c>
      <c r="B4651" s="799" t="s">
        <v>6039</v>
      </c>
      <c r="C4651" s="798" t="s">
        <v>24</v>
      </c>
      <c r="D4651" s="800">
        <v>132</v>
      </c>
    </row>
    <row r="4652" spans="1:4" ht="40.5">
      <c r="A4652" s="798">
        <v>97437</v>
      </c>
      <c r="B4652" s="799" t="s">
        <v>6040</v>
      </c>
      <c r="C4652" s="798" t="s">
        <v>24</v>
      </c>
      <c r="D4652" s="800">
        <v>146.1</v>
      </c>
    </row>
    <row r="4653" spans="1:4" ht="40.5">
      <c r="A4653" s="798">
        <v>97438</v>
      </c>
      <c r="B4653" s="799" t="s">
        <v>6041</v>
      </c>
      <c r="C4653" s="798" t="s">
        <v>24</v>
      </c>
      <c r="D4653" s="800">
        <v>150.96</v>
      </c>
    </row>
    <row r="4654" spans="1:4" ht="27">
      <c r="A4654" s="798">
        <v>97439</v>
      </c>
      <c r="B4654" s="799" t="s">
        <v>6042</v>
      </c>
      <c r="C4654" s="798" t="s">
        <v>24</v>
      </c>
      <c r="D4654" s="800">
        <v>167.61</v>
      </c>
    </row>
    <row r="4655" spans="1:4" ht="40.5">
      <c r="A4655" s="798">
        <v>97440</v>
      </c>
      <c r="B4655" s="799" t="s">
        <v>6043</v>
      </c>
      <c r="C4655" s="798" t="s">
        <v>24</v>
      </c>
      <c r="D4655" s="800">
        <v>201.97</v>
      </c>
    </row>
    <row r="4656" spans="1:4" ht="27">
      <c r="A4656" s="798">
        <v>97442</v>
      </c>
      <c r="B4656" s="799" t="s">
        <v>6044</v>
      </c>
      <c r="C4656" s="798" t="s">
        <v>24</v>
      </c>
      <c r="D4656" s="800">
        <v>222.44</v>
      </c>
    </row>
    <row r="4657" spans="1:4" ht="27">
      <c r="A4657" s="798">
        <v>97443</v>
      </c>
      <c r="B4657" s="799" t="s">
        <v>6045</v>
      </c>
      <c r="C4657" s="798" t="s">
        <v>24</v>
      </c>
      <c r="D4657" s="800">
        <v>102.48</v>
      </c>
    </row>
    <row r="4658" spans="1:4" ht="40.5">
      <c r="A4658" s="798">
        <v>97444</v>
      </c>
      <c r="B4658" s="799" t="s">
        <v>6046</v>
      </c>
      <c r="C4658" s="798" t="s">
        <v>24</v>
      </c>
      <c r="D4658" s="800">
        <v>123.39</v>
      </c>
    </row>
    <row r="4659" spans="1:4" ht="40.5">
      <c r="A4659" s="798">
        <v>97446</v>
      </c>
      <c r="B4659" s="799" t="s">
        <v>6047</v>
      </c>
      <c r="C4659" s="798" t="s">
        <v>24</v>
      </c>
      <c r="D4659" s="800">
        <v>223.02</v>
      </c>
    </row>
    <row r="4660" spans="1:4" ht="40.5">
      <c r="A4660" s="798">
        <v>97447</v>
      </c>
      <c r="B4660" s="799" t="s">
        <v>6048</v>
      </c>
      <c r="C4660" s="798" t="s">
        <v>24</v>
      </c>
      <c r="D4660" s="800">
        <v>223.02</v>
      </c>
    </row>
    <row r="4661" spans="1:4" ht="27">
      <c r="A4661" s="798">
        <v>97449</v>
      </c>
      <c r="B4661" s="799" t="s">
        <v>6049</v>
      </c>
      <c r="C4661" s="798" t="s">
        <v>24</v>
      </c>
      <c r="D4661" s="800">
        <v>236.84</v>
      </c>
    </row>
    <row r="4662" spans="1:4" ht="40.5">
      <c r="A4662" s="798">
        <v>97450</v>
      </c>
      <c r="B4662" s="799" t="s">
        <v>6050</v>
      </c>
      <c r="C4662" s="798" t="s">
        <v>24</v>
      </c>
      <c r="D4662" s="800">
        <v>293.77999999999997</v>
      </c>
    </row>
    <row r="4663" spans="1:4" ht="40.5">
      <c r="A4663" s="798">
        <v>97452</v>
      </c>
      <c r="B4663" s="799" t="s">
        <v>6051</v>
      </c>
      <c r="C4663" s="798" t="s">
        <v>24</v>
      </c>
      <c r="D4663" s="800">
        <v>170.99</v>
      </c>
    </row>
    <row r="4664" spans="1:4" ht="40.5">
      <c r="A4664" s="798">
        <v>97453</v>
      </c>
      <c r="B4664" s="799" t="s">
        <v>6052</v>
      </c>
      <c r="C4664" s="798" t="s">
        <v>24</v>
      </c>
      <c r="D4664" s="800">
        <v>182.93</v>
      </c>
    </row>
    <row r="4665" spans="1:4" ht="40.5">
      <c r="A4665" s="798">
        <v>97454</v>
      </c>
      <c r="B4665" s="799" t="s">
        <v>6053</v>
      </c>
      <c r="C4665" s="798" t="s">
        <v>24</v>
      </c>
      <c r="D4665" s="800">
        <v>304.60000000000002</v>
      </c>
    </row>
    <row r="4666" spans="1:4" ht="40.5">
      <c r="A4666" s="798">
        <v>97455</v>
      </c>
      <c r="B4666" s="799" t="s">
        <v>6054</v>
      </c>
      <c r="C4666" s="798" t="s">
        <v>24</v>
      </c>
      <c r="D4666" s="800">
        <v>323.69</v>
      </c>
    </row>
    <row r="4667" spans="1:4" ht="40.5">
      <c r="A4667" s="798">
        <v>97456</v>
      </c>
      <c r="B4667" s="799" t="s">
        <v>6055</v>
      </c>
      <c r="C4667" s="798" t="s">
        <v>24</v>
      </c>
      <c r="D4667" s="800">
        <v>719.88</v>
      </c>
    </row>
    <row r="4668" spans="1:4" ht="40.5">
      <c r="A4668" s="798">
        <v>97457</v>
      </c>
      <c r="B4668" s="799" t="s">
        <v>6056</v>
      </c>
      <c r="C4668" s="798" t="s">
        <v>24</v>
      </c>
      <c r="D4668" s="800">
        <v>634.24</v>
      </c>
    </row>
    <row r="4669" spans="1:4" ht="27">
      <c r="A4669" s="798">
        <v>97458</v>
      </c>
      <c r="B4669" s="799" t="s">
        <v>6057</v>
      </c>
      <c r="C4669" s="798" t="s">
        <v>24</v>
      </c>
      <c r="D4669" s="800">
        <v>275.89</v>
      </c>
    </row>
    <row r="4670" spans="1:4" ht="40.5">
      <c r="A4670" s="798">
        <v>97459</v>
      </c>
      <c r="B4670" s="799" t="s">
        <v>6058</v>
      </c>
      <c r="C4670" s="798" t="s">
        <v>24</v>
      </c>
      <c r="D4670" s="800">
        <v>491.78</v>
      </c>
    </row>
    <row r="4671" spans="1:4" ht="27">
      <c r="A4671" s="798">
        <v>97460</v>
      </c>
      <c r="B4671" s="799" t="s">
        <v>6059</v>
      </c>
      <c r="C4671" s="798" t="s">
        <v>24</v>
      </c>
      <c r="D4671" s="800">
        <v>770.82</v>
      </c>
    </row>
    <row r="4672" spans="1:4" ht="40.5">
      <c r="A4672" s="798">
        <v>97461</v>
      </c>
      <c r="B4672" s="799" t="s">
        <v>6060</v>
      </c>
      <c r="C4672" s="798" t="s">
        <v>24</v>
      </c>
      <c r="D4672" s="800">
        <v>32.6</v>
      </c>
    </row>
    <row r="4673" spans="1:4" ht="40.5">
      <c r="A4673" s="798">
        <v>97462</v>
      </c>
      <c r="B4673" s="799" t="s">
        <v>6061</v>
      </c>
      <c r="C4673" s="798" t="s">
        <v>24</v>
      </c>
      <c r="D4673" s="800">
        <v>26.47</v>
      </c>
    </row>
    <row r="4674" spans="1:4" ht="40.5">
      <c r="A4674" s="798">
        <v>97464</v>
      </c>
      <c r="B4674" s="799" t="s">
        <v>6062</v>
      </c>
      <c r="C4674" s="798" t="s">
        <v>24</v>
      </c>
      <c r="D4674" s="800">
        <v>47.66</v>
      </c>
    </row>
    <row r="4675" spans="1:4" ht="40.5">
      <c r="A4675" s="798">
        <v>97465</v>
      </c>
      <c r="B4675" s="799" t="s">
        <v>6063</v>
      </c>
      <c r="C4675" s="798" t="s">
        <v>24</v>
      </c>
      <c r="D4675" s="800">
        <v>57.99</v>
      </c>
    </row>
    <row r="4676" spans="1:4" ht="40.5">
      <c r="A4676" s="798">
        <v>97467</v>
      </c>
      <c r="B4676" s="799" t="s">
        <v>6064</v>
      </c>
      <c r="C4676" s="798" t="s">
        <v>24</v>
      </c>
      <c r="D4676" s="800">
        <v>60.59</v>
      </c>
    </row>
    <row r="4677" spans="1:4" ht="54">
      <c r="A4677" s="798">
        <v>97468</v>
      </c>
      <c r="B4677" s="799" t="s">
        <v>6065</v>
      </c>
      <c r="C4677" s="798" t="s">
        <v>24</v>
      </c>
      <c r="D4677" s="800">
        <v>73.81</v>
      </c>
    </row>
    <row r="4678" spans="1:4" ht="40.5">
      <c r="A4678" s="798">
        <v>97470</v>
      </c>
      <c r="B4678" s="799" t="s">
        <v>6066</v>
      </c>
      <c r="C4678" s="798" t="s">
        <v>24</v>
      </c>
      <c r="D4678" s="800">
        <v>91.12</v>
      </c>
    </row>
    <row r="4679" spans="1:4" ht="40.5">
      <c r="A4679" s="798">
        <v>97471</v>
      </c>
      <c r="B4679" s="799" t="s">
        <v>6067</v>
      </c>
      <c r="C4679" s="798" t="s">
        <v>24</v>
      </c>
      <c r="D4679" s="800">
        <v>112.03</v>
      </c>
    </row>
    <row r="4680" spans="1:4" ht="40.5">
      <c r="A4680" s="798">
        <v>97474</v>
      </c>
      <c r="B4680" s="799" t="s">
        <v>6068</v>
      </c>
      <c r="C4680" s="798" t="s">
        <v>24</v>
      </c>
      <c r="D4680" s="800">
        <v>171.34</v>
      </c>
    </row>
    <row r="4681" spans="1:4" ht="40.5">
      <c r="A4681" s="798">
        <v>97475</v>
      </c>
      <c r="B4681" s="799" t="s">
        <v>6069</v>
      </c>
      <c r="C4681" s="798" t="s">
        <v>24</v>
      </c>
      <c r="D4681" s="800">
        <v>213.61</v>
      </c>
    </row>
    <row r="4682" spans="1:4" ht="40.5">
      <c r="A4682" s="798">
        <v>97477</v>
      </c>
      <c r="B4682" s="799" t="s">
        <v>6070</v>
      </c>
      <c r="C4682" s="798" t="s">
        <v>24</v>
      </c>
      <c r="D4682" s="800">
        <v>229.36</v>
      </c>
    </row>
    <row r="4683" spans="1:4" ht="40.5">
      <c r="A4683" s="798">
        <v>97478</v>
      </c>
      <c r="B4683" s="799" t="s">
        <v>6071</v>
      </c>
      <c r="C4683" s="798" t="s">
        <v>24</v>
      </c>
      <c r="D4683" s="800">
        <v>286.3</v>
      </c>
    </row>
    <row r="4684" spans="1:4" ht="40.5">
      <c r="A4684" s="798">
        <v>97479</v>
      </c>
      <c r="B4684" s="799" t="s">
        <v>6072</v>
      </c>
      <c r="C4684" s="798" t="s">
        <v>24</v>
      </c>
      <c r="D4684" s="800">
        <v>53.14</v>
      </c>
    </row>
    <row r="4685" spans="1:4" ht="40.5">
      <c r="A4685" s="798">
        <v>97480</v>
      </c>
      <c r="B4685" s="799" t="s">
        <v>6073</v>
      </c>
      <c r="C4685" s="798" t="s">
        <v>24</v>
      </c>
      <c r="D4685" s="800">
        <v>53.14</v>
      </c>
    </row>
    <row r="4686" spans="1:4" ht="40.5">
      <c r="A4686" s="798">
        <v>97481</v>
      </c>
      <c r="B4686" s="799" t="s">
        <v>6074</v>
      </c>
      <c r="C4686" s="798" t="s">
        <v>24</v>
      </c>
      <c r="D4686" s="800">
        <v>78.13</v>
      </c>
    </row>
    <row r="4687" spans="1:4" ht="40.5">
      <c r="A4687" s="798">
        <v>97482</v>
      </c>
      <c r="B4687" s="799" t="s">
        <v>6075</v>
      </c>
      <c r="C4687" s="798" t="s">
        <v>24</v>
      </c>
      <c r="D4687" s="800">
        <v>78.13</v>
      </c>
    </row>
    <row r="4688" spans="1:4" ht="40.5">
      <c r="A4688" s="798">
        <v>97483</v>
      </c>
      <c r="B4688" s="799" t="s">
        <v>6076</v>
      </c>
      <c r="C4688" s="798" t="s">
        <v>24</v>
      </c>
      <c r="D4688" s="800">
        <v>110.68</v>
      </c>
    </row>
    <row r="4689" spans="1:4" ht="40.5">
      <c r="A4689" s="798">
        <v>97484</v>
      </c>
      <c r="B4689" s="799" t="s">
        <v>6077</v>
      </c>
      <c r="C4689" s="798" t="s">
        <v>24</v>
      </c>
      <c r="D4689" s="800">
        <v>110.68</v>
      </c>
    </row>
    <row r="4690" spans="1:4" ht="40.5">
      <c r="A4690" s="798">
        <v>97485</v>
      </c>
      <c r="B4690" s="799" t="s">
        <v>6078</v>
      </c>
      <c r="C4690" s="798" t="s">
        <v>24</v>
      </c>
      <c r="D4690" s="800">
        <v>153.97999999999999</v>
      </c>
    </row>
    <row r="4691" spans="1:4" ht="40.5">
      <c r="A4691" s="798">
        <v>97486</v>
      </c>
      <c r="B4691" s="799" t="s">
        <v>6079</v>
      </c>
      <c r="C4691" s="798" t="s">
        <v>24</v>
      </c>
      <c r="D4691" s="800">
        <v>165.92</v>
      </c>
    </row>
    <row r="4692" spans="1:4" ht="40.5">
      <c r="A4692" s="798">
        <v>97487</v>
      </c>
      <c r="B4692" s="799" t="s">
        <v>6080</v>
      </c>
      <c r="C4692" s="798" t="s">
        <v>24</v>
      </c>
      <c r="D4692" s="800">
        <v>290.49</v>
      </c>
    </row>
    <row r="4693" spans="1:4" ht="40.5">
      <c r="A4693" s="798">
        <v>97488</v>
      </c>
      <c r="B4693" s="799" t="s">
        <v>6081</v>
      </c>
      <c r="C4693" s="798" t="s">
        <v>24</v>
      </c>
      <c r="D4693" s="800">
        <v>309.58</v>
      </c>
    </row>
    <row r="4694" spans="1:4" ht="40.5">
      <c r="A4694" s="798">
        <v>97489</v>
      </c>
      <c r="B4694" s="799" t="s">
        <v>6082</v>
      </c>
      <c r="C4694" s="798" t="s">
        <v>24</v>
      </c>
      <c r="D4694" s="800">
        <v>708.62</v>
      </c>
    </row>
    <row r="4695" spans="1:4" ht="40.5">
      <c r="A4695" s="798">
        <v>97490</v>
      </c>
      <c r="B4695" s="799" t="s">
        <v>6083</v>
      </c>
      <c r="C4695" s="798" t="s">
        <v>24</v>
      </c>
      <c r="D4695" s="800">
        <v>622.98</v>
      </c>
    </row>
    <row r="4696" spans="1:4" ht="40.5">
      <c r="A4696" s="798">
        <v>97491</v>
      </c>
      <c r="B4696" s="799" t="s">
        <v>6084</v>
      </c>
      <c r="C4696" s="798" t="s">
        <v>24</v>
      </c>
      <c r="D4696" s="800">
        <v>83.5</v>
      </c>
    </row>
    <row r="4697" spans="1:4" ht="40.5">
      <c r="A4697" s="798">
        <v>97492</v>
      </c>
      <c r="B4697" s="799" t="s">
        <v>6085</v>
      </c>
      <c r="C4697" s="798" t="s">
        <v>24</v>
      </c>
      <c r="D4697" s="800">
        <v>124.08</v>
      </c>
    </row>
    <row r="4698" spans="1:4" ht="40.5">
      <c r="A4698" s="798">
        <v>97493</v>
      </c>
      <c r="B4698" s="799" t="s">
        <v>6086</v>
      </c>
      <c r="C4698" s="798" t="s">
        <v>24</v>
      </c>
      <c r="D4698" s="800">
        <v>160.47999999999999</v>
      </c>
    </row>
    <row r="4699" spans="1:4" ht="40.5">
      <c r="A4699" s="798">
        <v>97494</v>
      </c>
      <c r="B4699" s="799" t="s">
        <v>6087</v>
      </c>
      <c r="C4699" s="798" t="s">
        <v>24</v>
      </c>
      <c r="D4699" s="800">
        <v>253.17</v>
      </c>
    </row>
    <row r="4700" spans="1:4" ht="40.5">
      <c r="A4700" s="798">
        <v>97495</v>
      </c>
      <c r="B4700" s="799" t="s">
        <v>6088</v>
      </c>
      <c r="C4700" s="798" t="s">
        <v>24</v>
      </c>
      <c r="D4700" s="800">
        <v>472.94</v>
      </c>
    </row>
    <row r="4701" spans="1:4" ht="40.5">
      <c r="A4701" s="798">
        <v>97496</v>
      </c>
      <c r="B4701" s="799" t="s">
        <v>6089</v>
      </c>
      <c r="C4701" s="798" t="s">
        <v>24</v>
      </c>
      <c r="D4701" s="800">
        <v>755.85</v>
      </c>
    </row>
    <row r="4702" spans="1:4" ht="40.5">
      <c r="A4702" s="798">
        <v>97499</v>
      </c>
      <c r="B4702" s="799" t="s">
        <v>6090</v>
      </c>
      <c r="C4702" s="798" t="s">
        <v>24</v>
      </c>
      <c r="D4702" s="800">
        <v>30.78</v>
      </c>
    </row>
    <row r="4703" spans="1:4" ht="40.5">
      <c r="A4703" s="798">
        <v>97500</v>
      </c>
      <c r="B4703" s="799" t="s">
        <v>6091</v>
      </c>
      <c r="C4703" s="798" t="s">
        <v>24</v>
      </c>
      <c r="D4703" s="800">
        <v>24.65</v>
      </c>
    </row>
    <row r="4704" spans="1:4" ht="40.5">
      <c r="A4704" s="798">
        <v>97502</v>
      </c>
      <c r="B4704" s="799" t="s">
        <v>6092</v>
      </c>
      <c r="C4704" s="798" t="s">
        <v>24</v>
      </c>
      <c r="D4704" s="800">
        <v>44.27</v>
      </c>
    </row>
    <row r="4705" spans="1:4" ht="54">
      <c r="A4705" s="798">
        <v>97503</v>
      </c>
      <c r="B4705" s="799" t="s">
        <v>6093</v>
      </c>
      <c r="C4705" s="798" t="s">
        <v>24</v>
      </c>
      <c r="D4705" s="800">
        <v>54.77</v>
      </c>
    </row>
    <row r="4706" spans="1:4" ht="40.5">
      <c r="A4706" s="798">
        <v>97505</v>
      </c>
      <c r="B4706" s="799" t="s">
        <v>6094</v>
      </c>
      <c r="C4706" s="798" t="s">
        <v>24</v>
      </c>
      <c r="D4706" s="800">
        <v>55.8</v>
      </c>
    </row>
    <row r="4707" spans="1:4" ht="54">
      <c r="A4707" s="798">
        <v>97506</v>
      </c>
      <c r="B4707" s="799" t="s">
        <v>6095</v>
      </c>
      <c r="C4707" s="798" t="s">
        <v>24</v>
      </c>
      <c r="D4707" s="800">
        <v>69.02</v>
      </c>
    </row>
    <row r="4708" spans="1:4" ht="40.5">
      <c r="A4708" s="798">
        <v>97508</v>
      </c>
      <c r="B4708" s="799" t="s">
        <v>6096</v>
      </c>
      <c r="C4708" s="798" t="s">
        <v>24</v>
      </c>
      <c r="D4708" s="800">
        <v>84.33</v>
      </c>
    </row>
    <row r="4709" spans="1:4" ht="54">
      <c r="A4709" s="798">
        <v>97509</v>
      </c>
      <c r="B4709" s="799" t="s">
        <v>6097</v>
      </c>
      <c r="C4709" s="798" t="s">
        <v>24</v>
      </c>
      <c r="D4709" s="800">
        <v>105.24</v>
      </c>
    </row>
    <row r="4710" spans="1:4" ht="40.5">
      <c r="A4710" s="798">
        <v>97511</v>
      </c>
      <c r="B4710" s="799" t="s">
        <v>6098</v>
      </c>
      <c r="C4710" s="798" t="s">
        <v>24</v>
      </c>
      <c r="D4710" s="800">
        <v>161.59</v>
      </c>
    </row>
    <row r="4711" spans="1:4" ht="54">
      <c r="A4711" s="798">
        <v>97512</v>
      </c>
      <c r="B4711" s="799" t="s">
        <v>6099</v>
      </c>
      <c r="C4711" s="798" t="s">
        <v>24</v>
      </c>
      <c r="D4711" s="800">
        <v>203.86</v>
      </c>
    </row>
    <row r="4712" spans="1:4" ht="40.5">
      <c r="A4712" s="798">
        <v>97514</v>
      </c>
      <c r="B4712" s="799" t="s">
        <v>6100</v>
      </c>
      <c r="C4712" s="798" t="s">
        <v>24</v>
      </c>
      <c r="D4712" s="800">
        <v>216.54</v>
      </c>
    </row>
    <row r="4713" spans="1:4" ht="54">
      <c r="A4713" s="798">
        <v>97515</v>
      </c>
      <c r="B4713" s="799" t="s">
        <v>6101</v>
      </c>
      <c r="C4713" s="798" t="s">
        <v>24</v>
      </c>
      <c r="D4713" s="800">
        <v>273.48</v>
      </c>
    </row>
    <row r="4714" spans="1:4" ht="40.5">
      <c r="A4714" s="798">
        <v>97517</v>
      </c>
      <c r="B4714" s="799" t="s">
        <v>6102</v>
      </c>
      <c r="C4714" s="798" t="s">
        <v>24</v>
      </c>
      <c r="D4714" s="800">
        <v>50.39</v>
      </c>
    </row>
    <row r="4715" spans="1:4" ht="40.5">
      <c r="A4715" s="798">
        <v>97518</v>
      </c>
      <c r="B4715" s="799" t="s">
        <v>6103</v>
      </c>
      <c r="C4715" s="798" t="s">
        <v>24</v>
      </c>
      <c r="D4715" s="800">
        <v>50.39</v>
      </c>
    </row>
    <row r="4716" spans="1:4" ht="40.5">
      <c r="A4716" s="798">
        <v>97519</v>
      </c>
      <c r="B4716" s="799" t="s">
        <v>6104</v>
      </c>
      <c r="C4716" s="798" t="s">
        <v>24</v>
      </c>
      <c r="D4716" s="800">
        <v>73.28</v>
      </c>
    </row>
    <row r="4717" spans="1:4" ht="40.5">
      <c r="A4717" s="798">
        <v>97520</v>
      </c>
      <c r="B4717" s="799" t="s">
        <v>6105</v>
      </c>
      <c r="C4717" s="798" t="s">
        <v>24</v>
      </c>
      <c r="D4717" s="800">
        <v>73.28</v>
      </c>
    </row>
    <row r="4718" spans="1:4" ht="40.5">
      <c r="A4718" s="798">
        <v>97521</v>
      </c>
      <c r="B4718" s="799" t="s">
        <v>6106</v>
      </c>
      <c r="C4718" s="798" t="s">
        <v>24</v>
      </c>
      <c r="D4718" s="800">
        <v>103.48</v>
      </c>
    </row>
    <row r="4719" spans="1:4" ht="40.5">
      <c r="A4719" s="798">
        <v>97522</v>
      </c>
      <c r="B4719" s="799" t="s">
        <v>6107</v>
      </c>
      <c r="C4719" s="798" t="s">
        <v>24</v>
      </c>
      <c r="D4719" s="800">
        <v>103.48</v>
      </c>
    </row>
    <row r="4720" spans="1:4" ht="40.5">
      <c r="A4720" s="798">
        <v>97523</v>
      </c>
      <c r="B4720" s="799" t="s">
        <v>6108</v>
      </c>
      <c r="C4720" s="798" t="s">
        <v>24</v>
      </c>
      <c r="D4720" s="800">
        <v>143.80000000000001</v>
      </c>
    </row>
    <row r="4721" spans="1:4" ht="40.5">
      <c r="A4721" s="798">
        <v>97524</v>
      </c>
      <c r="B4721" s="799" t="s">
        <v>6109</v>
      </c>
      <c r="C4721" s="798" t="s">
        <v>24</v>
      </c>
      <c r="D4721" s="800">
        <v>155.74</v>
      </c>
    </row>
    <row r="4722" spans="1:4" ht="40.5">
      <c r="A4722" s="798">
        <v>97525</v>
      </c>
      <c r="B4722" s="799" t="s">
        <v>6110</v>
      </c>
      <c r="C4722" s="798" t="s">
        <v>24</v>
      </c>
      <c r="D4722" s="800">
        <v>275.8</v>
      </c>
    </row>
    <row r="4723" spans="1:4" ht="40.5">
      <c r="A4723" s="798">
        <v>97526</v>
      </c>
      <c r="B4723" s="799" t="s">
        <v>6111</v>
      </c>
      <c r="C4723" s="798" t="s">
        <v>24</v>
      </c>
      <c r="D4723" s="800">
        <v>294.89</v>
      </c>
    </row>
    <row r="4724" spans="1:4" ht="40.5">
      <c r="A4724" s="798">
        <v>97527</v>
      </c>
      <c r="B4724" s="799" t="s">
        <v>6112</v>
      </c>
      <c r="C4724" s="798" t="s">
        <v>24</v>
      </c>
      <c r="D4724" s="800">
        <v>689.47</v>
      </c>
    </row>
    <row r="4725" spans="1:4" ht="40.5">
      <c r="A4725" s="798">
        <v>97528</v>
      </c>
      <c r="B4725" s="799" t="s">
        <v>6113</v>
      </c>
      <c r="C4725" s="798" t="s">
        <v>24</v>
      </c>
      <c r="D4725" s="800">
        <v>603.83000000000004</v>
      </c>
    </row>
    <row r="4726" spans="1:4" ht="40.5">
      <c r="A4726" s="798">
        <v>97529</v>
      </c>
      <c r="B4726" s="799" t="s">
        <v>6114</v>
      </c>
      <c r="C4726" s="798" t="s">
        <v>24</v>
      </c>
      <c r="D4726" s="800">
        <v>79.900000000000006</v>
      </c>
    </row>
    <row r="4727" spans="1:4" ht="40.5">
      <c r="A4727" s="798">
        <v>97530</v>
      </c>
      <c r="B4727" s="799" t="s">
        <v>6115</v>
      </c>
      <c r="C4727" s="798" t="s">
        <v>24</v>
      </c>
      <c r="D4727" s="800">
        <v>117.63</v>
      </c>
    </row>
    <row r="4728" spans="1:4" ht="40.5">
      <c r="A4728" s="798">
        <v>97531</v>
      </c>
      <c r="B4728" s="799" t="s">
        <v>6116</v>
      </c>
      <c r="C4728" s="798" t="s">
        <v>24</v>
      </c>
      <c r="D4728" s="800">
        <v>150.85</v>
      </c>
    </row>
    <row r="4729" spans="1:4" ht="40.5">
      <c r="A4729" s="798">
        <v>97532</v>
      </c>
      <c r="B4729" s="799" t="s">
        <v>6117</v>
      </c>
      <c r="C4729" s="798" t="s">
        <v>24</v>
      </c>
      <c r="D4729" s="800">
        <v>239.6</v>
      </c>
    </row>
    <row r="4730" spans="1:4" ht="40.5">
      <c r="A4730" s="798">
        <v>97533</v>
      </c>
      <c r="B4730" s="799" t="s">
        <v>6118</v>
      </c>
      <c r="C4730" s="798" t="s">
        <v>24</v>
      </c>
      <c r="D4730" s="800">
        <v>456.24</v>
      </c>
    </row>
    <row r="4731" spans="1:4" ht="40.5">
      <c r="A4731" s="798">
        <v>97534</v>
      </c>
      <c r="B4731" s="799" t="s">
        <v>6119</v>
      </c>
      <c r="C4731" s="798" t="s">
        <v>24</v>
      </c>
      <c r="D4731" s="800">
        <v>730.29</v>
      </c>
    </row>
    <row r="4732" spans="1:4" ht="40.5">
      <c r="A4732" s="798">
        <v>97537</v>
      </c>
      <c r="B4732" s="799" t="s">
        <v>6120</v>
      </c>
      <c r="C4732" s="798" t="s">
        <v>24</v>
      </c>
      <c r="D4732" s="800">
        <v>22.34</v>
      </c>
    </row>
    <row r="4733" spans="1:4" ht="40.5">
      <c r="A4733" s="798">
        <v>97540</v>
      </c>
      <c r="B4733" s="799" t="s">
        <v>6121</v>
      </c>
      <c r="C4733" s="798" t="s">
        <v>24</v>
      </c>
      <c r="D4733" s="800">
        <v>28.78</v>
      </c>
    </row>
    <row r="4734" spans="1:4" ht="40.5">
      <c r="A4734" s="798">
        <v>97541</v>
      </c>
      <c r="B4734" s="799" t="s">
        <v>6122</v>
      </c>
      <c r="C4734" s="798" t="s">
        <v>24</v>
      </c>
      <c r="D4734" s="800">
        <v>23.69</v>
      </c>
    </row>
    <row r="4735" spans="1:4" ht="40.5">
      <c r="A4735" s="798">
        <v>97543</v>
      </c>
      <c r="B4735" s="799" t="s">
        <v>6123</v>
      </c>
      <c r="C4735" s="798" t="s">
        <v>24</v>
      </c>
      <c r="D4735" s="800">
        <v>45.04</v>
      </c>
    </row>
    <row r="4736" spans="1:4" ht="40.5">
      <c r="A4736" s="798">
        <v>97544</v>
      </c>
      <c r="B4736" s="799" t="s">
        <v>6124</v>
      </c>
      <c r="C4736" s="798" t="s">
        <v>24</v>
      </c>
      <c r="D4736" s="800">
        <v>38.909999999999997</v>
      </c>
    </row>
    <row r="4737" spans="1:4" ht="40.5">
      <c r="A4737" s="798">
        <v>97546</v>
      </c>
      <c r="B4737" s="799" t="s">
        <v>6125</v>
      </c>
      <c r="C4737" s="798" t="s">
        <v>24</v>
      </c>
      <c r="D4737" s="800">
        <v>30.9</v>
      </c>
    </row>
    <row r="4738" spans="1:4" ht="40.5">
      <c r="A4738" s="798">
        <v>97547</v>
      </c>
      <c r="B4738" s="799" t="s">
        <v>6126</v>
      </c>
      <c r="C4738" s="798" t="s">
        <v>24</v>
      </c>
      <c r="D4738" s="800">
        <v>30.9</v>
      </c>
    </row>
    <row r="4739" spans="1:4" ht="40.5">
      <c r="A4739" s="798">
        <v>97548</v>
      </c>
      <c r="B4739" s="799" t="s">
        <v>6127</v>
      </c>
      <c r="C4739" s="798" t="s">
        <v>24</v>
      </c>
      <c r="D4739" s="800">
        <v>44.71</v>
      </c>
    </row>
    <row r="4740" spans="1:4" ht="40.5">
      <c r="A4740" s="798">
        <v>97549</v>
      </c>
      <c r="B4740" s="799" t="s">
        <v>6128</v>
      </c>
      <c r="C4740" s="798" t="s">
        <v>24</v>
      </c>
      <c r="D4740" s="800">
        <v>44.71</v>
      </c>
    </row>
    <row r="4741" spans="1:4" ht="40.5">
      <c r="A4741" s="798">
        <v>97550</v>
      </c>
      <c r="B4741" s="799" t="s">
        <v>6129</v>
      </c>
      <c r="C4741" s="798" t="s">
        <v>24</v>
      </c>
      <c r="D4741" s="800">
        <v>71.81</v>
      </c>
    </row>
    <row r="4742" spans="1:4" ht="40.5">
      <c r="A4742" s="798">
        <v>97551</v>
      </c>
      <c r="B4742" s="799" t="s">
        <v>6130</v>
      </c>
      <c r="C4742" s="798" t="s">
        <v>24</v>
      </c>
      <c r="D4742" s="800">
        <v>71.81</v>
      </c>
    </row>
    <row r="4743" spans="1:4" ht="40.5">
      <c r="A4743" s="798">
        <v>97552</v>
      </c>
      <c r="B4743" s="799" t="s">
        <v>6131</v>
      </c>
      <c r="C4743" s="798" t="s">
        <v>24</v>
      </c>
      <c r="D4743" s="800">
        <v>45.64</v>
      </c>
    </row>
    <row r="4744" spans="1:4" ht="40.5">
      <c r="A4744" s="798">
        <v>97553</v>
      </c>
      <c r="B4744" s="799" t="s">
        <v>6132</v>
      </c>
      <c r="C4744" s="798" t="s">
        <v>24</v>
      </c>
      <c r="D4744" s="800">
        <v>64.03</v>
      </c>
    </row>
    <row r="4745" spans="1:4" ht="40.5">
      <c r="A4745" s="798">
        <v>97554</v>
      </c>
      <c r="B4745" s="799" t="s">
        <v>6133</v>
      </c>
      <c r="C4745" s="798" t="s">
        <v>24</v>
      </c>
      <c r="D4745" s="800">
        <v>108.48</v>
      </c>
    </row>
    <row r="4746" spans="1:4" ht="40.5">
      <c r="A4746" s="798">
        <v>98602</v>
      </c>
      <c r="B4746" s="799" t="s">
        <v>3575</v>
      </c>
      <c r="C4746" s="798" t="s">
        <v>24</v>
      </c>
      <c r="D4746" s="800">
        <v>20.420000000000002</v>
      </c>
    </row>
    <row r="4747" spans="1:4" ht="40.5">
      <c r="A4747" s="798">
        <v>97895</v>
      </c>
      <c r="B4747" s="799" t="s">
        <v>6650</v>
      </c>
      <c r="C4747" s="798" t="s">
        <v>24</v>
      </c>
      <c r="D4747" s="800">
        <v>157.71</v>
      </c>
    </row>
    <row r="4748" spans="1:4" ht="40.5">
      <c r="A4748" s="798">
        <v>97896</v>
      </c>
      <c r="B4748" s="799" t="s">
        <v>6651</v>
      </c>
      <c r="C4748" s="798" t="s">
        <v>24</v>
      </c>
      <c r="D4748" s="800">
        <v>291.01</v>
      </c>
    </row>
    <row r="4749" spans="1:4" ht="40.5">
      <c r="A4749" s="798">
        <v>97897</v>
      </c>
      <c r="B4749" s="799" t="s">
        <v>6652</v>
      </c>
      <c r="C4749" s="798" t="s">
        <v>24</v>
      </c>
      <c r="D4749" s="800">
        <v>376.64</v>
      </c>
    </row>
    <row r="4750" spans="1:4" ht="40.5">
      <c r="A4750" s="798">
        <v>97898</v>
      </c>
      <c r="B4750" s="799" t="s">
        <v>6653</v>
      </c>
      <c r="C4750" s="798" t="s">
        <v>24</v>
      </c>
      <c r="D4750" s="800">
        <v>722.14</v>
      </c>
    </row>
    <row r="4751" spans="1:4" ht="40.5">
      <c r="A4751" s="798">
        <v>97900</v>
      </c>
      <c r="B4751" s="799" t="s">
        <v>6654</v>
      </c>
      <c r="C4751" s="798" t="s">
        <v>24</v>
      </c>
      <c r="D4751" s="800">
        <v>167.68</v>
      </c>
    </row>
    <row r="4752" spans="1:4" ht="40.5">
      <c r="A4752" s="798">
        <v>97901</v>
      </c>
      <c r="B4752" s="799" t="s">
        <v>6655</v>
      </c>
      <c r="C4752" s="798" t="s">
        <v>24</v>
      </c>
      <c r="D4752" s="800">
        <v>266.8</v>
      </c>
    </row>
    <row r="4753" spans="1:4" ht="40.5">
      <c r="A4753" s="798">
        <v>97902</v>
      </c>
      <c r="B4753" s="799" t="s">
        <v>6656</v>
      </c>
      <c r="C4753" s="798" t="s">
        <v>24</v>
      </c>
      <c r="D4753" s="800">
        <v>531.26</v>
      </c>
    </row>
    <row r="4754" spans="1:4" ht="40.5">
      <c r="A4754" s="798">
        <v>97903</v>
      </c>
      <c r="B4754" s="799" t="s">
        <v>6657</v>
      </c>
      <c r="C4754" s="798" t="s">
        <v>24</v>
      </c>
      <c r="D4754" s="800">
        <v>730.08</v>
      </c>
    </row>
    <row r="4755" spans="1:4" ht="40.5">
      <c r="A4755" s="798">
        <v>97904</v>
      </c>
      <c r="B4755" s="799" t="s">
        <v>6658</v>
      </c>
      <c r="C4755" s="798" t="s">
        <v>24</v>
      </c>
      <c r="D4755" s="800">
        <v>874.5</v>
      </c>
    </row>
    <row r="4756" spans="1:4" ht="40.5">
      <c r="A4756" s="798">
        <v>97905</v>
      </c>
      <c r="B4756" s="799" t="s">
        <v>6659</v>
      </c>
      <c r="C4756" s="798" t="s">
        <v>24</v>
      </c>
      <c r="D4756" s="800">
        <v>199.97</v>
      </c>
    </row>
    <row r="4757" spans="1:4" ht="40.5">
      <c r="A4757" s="798">
        <v>97906</v>
      </c>
      <c r="B4757" s="799" t="s">
        <v>6660</v>
      </c>
      <c r="C4757" s="798" t="s">
        <v>24</v>
      </c>
      <c r="D4757" s="800">
        <v>374.7</v>
      </c>
    </row>
    <row r="4758" spans="1:4" ht="40.5">
      <c r="A4758" s="798">
        <v>97907</v>
      </c>
      <c r="B4758" s="799" t="s">
        <v>6661</v>
      </c>
      <c r="C4758" s="798" t="s">
        <v>24</v>
      </c>
      <c r="D4758" s="800">
        <v>530.29999999999995</v>
      </c>
    </row>
    <row r="4759" spans="1:4" ht="40.5">
      <c r="A4759" s="798">
        <v>97908</v>
      </c>
      <c r="B4759" s="799" t="s">
        <v>6662</v>
      </c>
      <c r="C4759" s="798" t="s">
        <v>24</v>
      </c>
      <c r="D4759" s="800">
        <v>638.11</v>
      </c>
    </row>
    <row r="4760" spans="1:4" ht="40.5">
      <c r="A4760" s="798">
        <v>98102</v>
      </c>
      <c r="B4760" s="799" t="s">
        <v>6663</v>
      </c>
      <c r="C4760" s="798" t="s">
        <v>24</v>
      </c>
      <c r="D4760" s="800">
        <v>149.07</v>
      </c>
    </row>
    <row r="4761" spans="1:4" ht="54">
      <c r="A4761" s="798">
        <v>98104</v>
      </c>
      <c r="B4761" s="799" t="s">
        <v>6664</v>
      </c>
      <c r="C4761" s="798" t="s">
        <v>24</v>
      </c>
      <c r="D4761" s="800">
        <v>360.38</v>
      </c>
    </row>
    <row r="4762" spans="1:4" ht="54">
      <c r="A4762" s="798">
        <v>98105</v>
      </c>
      <c r="B4762" s="799" t="s">
        <v>6665</v>
      </c>
      <c r="C4762" s="798" t="s">
        <v>24</v>
      </c>
      <c r="D4762" s="800">
        <v>618.41</v>
      </c>
    </row>
    <row r="4763" spans="1:4" ht="67.5">
      <c r="A4763" s="798">
        <v>98106</v>
      </c>
      <c r="B4763" s="799" t="s">
        <v>6666</v>
      </c>
      <c r="C4763" s="798" t="s">
        <v>24</v>
      </c>
      <c r="D4763" s="800">
        <v>1025.68</v>
      </c>
    </row>
    <row r="4764" spans="1:4" ht="54">
      <c r="A4764" s="798">
        <v>98107</v>
      </c>
      <c r="B4764" s="799" t="s">
        <v>6667</v>
      </c>
      <c r="C4764" s="798" t="s">
        <v>24</v>
      </c>
      <c r="D4764" s="800">
        <v>238.52</v>
      </c>
    </row>
    <row r="4765" spans="1:4" ht="54">
      <c r="A4765" s="798">
        <v>98108</v>
      </c>
      <c r="B4765" s="799" t="s">
        <v>6668</v>
      </c>
      <c r="C4765" s="798" t="s">
        <v>24</v>
      </c>
      <c r="D4765" s="800">
        <v>422</v>
      </c>
    </row>
    <row r="4766" spans="1:4" ht="40.5">
      <c r="A4766" s="798">
        <v>99250</v>
      </c>
      <c r="B4766" s="799" t="s">
        <v>6669</v>
      </c>
      <c r="C4766" s="798" t="s">
        <v>24</v>
      </c>
      <c r="D4766" s="800">
        <v>164.28</v>
      </c>
    </row>
    <row r="4767" spans="1:4" ht="40.5">
      <c r="A4767" s="798">
        <v>99251</v>
      </c>
      <c r="B4767" s="799" t="s">
        <v>6670</v>
      </c>
      <c r="C4767" s="798" t="s">
        <v>24</v>
      </c>
      <c r="D4767" s="800">
        <v>260.95999999999998</v>
      </c>
    </row>
    <row r="4768" spans="1:4" ht="40.5">
      <c r="A4768" s="798">
        <v>99253</v>
      </c>
      <c r="B4768" s="799" t="s">
        <v>6671</v>
      </c>
      <c r="C4768" s="798" t="s">
        <v>24</v>
      </c>
      <c r="D4768" s="800">
        <v>518.15</v>
      </c>
    </row>
    <row r="4769" spans="1:4" ht="40.5">
      <c r="A4769" s="798">
        <v>99255</v>
      </c>
      <c r="B4769" s="799" t="s">
        <v>6672</v>
      </c>
      <c r="C4769" s="798" t="s">
        <v>24</v>
      </c>
      <c r="D4769" s="800">
        <v>712.1</v>
      </c>
    </row>
    <row r="4770" spans="1:4" ht="40.5">
      <c r="A4770" s="798">
        <v>99257</v>
      </c>
      <c r="B4770" s="799" t="s">
        <v>6673</v>
      </c>
      <c r="C4770" s="798" t="s">
        <v>24</v>
      </c>
      <c r="D4770" s="800">
        <v>851.26</v>
      </c>
    </row>
    <row r="4771" spans="1:4" ht="40.5">
      <c r="A4771" s="798">
        <v>99258</v>
      </c>
      <c r="B4771" s="799" t="s">
        <v>6674</v>
      </c>
      <c r="C4771" s="798" t="s">
        <v>24</v>
      </c>
      <c r="D4771" s="800">
        <v>195.15</v>
      </c>
    </row>
    <row r="4772" spans="1:4" ht="40.5">
      <c r="A4772" s="798">
        <v>99260</v>
      </c>
      <c r="B4772" s="799" t="s">
        <v>6675</v>
      </c>
      <c r="C4772" s="798" t="s">
        <v>24</v>
      </c>
      <c r="D4772" s="800">
        <v>366.44</v>
      </c>
    </row>
    <row r="4773" spans="1:4" ht="40.5">
      <c r="A4773" s="798">
        <v>99262</v>
      </c>
      <c r="B4773" s="799" t="s">
        <v>6676</v>
      </c>
      <c r="C4773" s="798" t="s">
        <v>24</v>
      </c>
      <c r="D4773" s="800">
        <v>518.52</v>
      </c>
    </row>
    <row r="4774" spans="1:4" ht="40.5">
      <c r="A4774" s="798">
        <v>99264</v>
      </c>
      <c r="B4774" s="799" t="s">
        <v>6677</v>
      </c>
      <c r="C4774" s="798" t="s">
        <v>24</v>
      </c>
      <c r="D4774" s="800">
        <v>622.19000000000005</v>
      </c>
    </row>
    <row r="4775" spans="1:4" ht="27">
      <c r="A4775" s="798">
        <v>102587</v>
      </c>
      <c r="B4775" s="799" t="s">
        <v>6678</v>
      </c>
      <c r="C4775" s="798" t="s">
        <v>24</v>
      </c>
      <c r="D4775" s="800">
        <v>2.39</v>
      </c>
    </row>
    <row r="4776" spans="1:4" ht="27">
      <c r="A4776" s="798">
        <v>102588</v>
      </c>
      <c r="B4776" s="799" t="s">
        <v>6679</v>
      </c>
      <c r="C4776" s="798" t="s">
        <v>24</v>
      </c>
      <c r="D4776" s="800">
        <v>3.46</v>
      </c>
    </row>
    <row r="4777" spans="1:4" ht="27">
      <c r="A4777" s="798">
        <v>102589</v>
      </c>
      <c r="B4777" s="799" t="s">
        <v>6680</v>
      </c>
      <c r="C4777" s="798" t="s">
        <v>24</v>
      </c>
      <c r="D4777" s="800">
        <v>2.65</v>
      </c>
    </row>
    <row r="4778" spans="1:4" ht="27">
      <c r="A4778" s="798">
        <v>102590</v>
      </c>
      <c r="B4778" s="799" t="s">
        <v>6681</v>
      </c>
      <c r="C4778" s="798" t="s">
        <v>24</v>
      </c>
      <c r="D4778" s="800">
        <v>3.73</v>
      </c>
    </row>
    <row r="4779" spans="1:4" ht="27">
      <c r="A4779" s="798">
        <v>102591</v>
      </c>
      <c r="B4779" s="799" t="s">
        <v>6682</v>
      </c>
      <c r="C4779" s="798" t="s">
        <v>24</v>
      </c>
      <c r="D4779" s="800">
        <v>2.93</v>
      </c>
    </row>
    <row r="4780" spans="1:4" ht="27">
      <c r="A4780" s="798">
        <v>102592</v>
      </c>
      <c r="B4780" s="799" t="s">
        <v>6683</v>
      </c>
      <c r="C4780" s="798" t="s">
        <v>24</v>
      </c>
      <c r="D4780" s="800">
        <v>3.99</v>
      </c>
    </row>
    <row r="4781" spans="1:4" ht="27">
      <c r="A4781" s="798">
        <v>102593</v>
      </c>
      <c r="B4781" s="799" t="s">
        <v>6684</v>
      </c>
      <c r="C4781" s="798" t="s">
        <v>24</v>
      </c>
      <c r="D4781" s="800">
        <v>3.31</v>
      </c>
    </row>
    <row r="4782" spans="1:4" ht="27">
      <c r="A4782" s="798">
        <v>102594</v>
      </c>
      <c r="B4782" s="799" t="s">
        <v>6685</v>
      </c>
      <c r="C4782" s="798" t="s">
        <v>24</v>
      </c>
      <c r="D4782" s="800">
        <v>4.37</v>
      </c>
    </row>
    <row r="4783" spans="1:4" ht="27">
      <c r="A4783" s="798">
        <v>102595</v>
      </c>
      <c r="B4783" s="799" t="s">
        <v>6686</v>
      </c>
      <c r="C4783" s="798" t="s">
        <v>24</v>
      </c>
      <c r="D4783" s="800">
        <v>3.73</v>
      </c>
    </row>
    <row r="4784" spans="1:4" ht="27">
      <c r="A4784" s="798">
        <v>102596</v>
      </c>
      <c r="B4784" s="799" t="s">
        <v>6687</v>
      </c>
      <c r="C4784" s="798" t="s">
        <v>24</v>
      </c>
      <c r="D4784" s="800">
        <v>4.8099999999999996</v>
      </c>
    </row>
    <row r="4785" spans="1:4" ht="27">
      <c r="A4785" s="798">
        <v>102597</v>
      </c>
      <c r="B4785" s="799" t="s">
        <v>6688</v>
      </c>
      <c r="C4785" s="798" t="s">
        <v>24</v>
      </c>
      <c r="D4785" s="800">
        <v>4.28</v>
      </c>
    </row>
    <row r="4786" spans="1:4" ht="27">
      <c r="A4786" s="798">
        <v>102598</v>
      </c>
      <c r="B4786" s="799" t="s">
        <v>6689</v>
      </c>
      <c r="C4786" s="798" t="s">
        <v>24</v>
      </c>
      <c r="D4786" s="800">
        <v>5.34</v>
      </c>
    </row>
    <row r="4787" spans="1:4" ht="27">
      <c r="A4787" s="798">
        <v>102599</v>
      </c>
      <c r="B4787" s="799" t="s">
        <v>6690</v>
      </c>
      <c r="C4787" s="798" t="s">
        <v>24</v>
      </c>
      <c r="D4787" s="800">
        <v>4.8099999999999996</v>
      </c>
    </row>
    <row r="4788" spans="1:4" ht="27">
      <c r="A4788" s="798">
        <v>102600</v>
      </c>
      <c r="B4788" s="799" t="s">
        <v>6691</v>
      </c>
      <c r="C4788" s="798" t="s">
        <v>24</v>
      </c>
      <c r="D4788" s="800">
        <v>5.89</v>
      </c>
    </row>
    <row r="4789" spans="1:4" ht="27">
      <c r="A4789" s="798">
        <v>102601</v>
      </c>
      <c r="B4789" s="799" t="s">
        <v>6692</v>
      </c>
      <c r="C4789" s="798" t="s">
        <v>24</v>
      </c>
      <c r="D4789" s="800">
        <v>5.62</v>
      </c>
    </row>
    <row r="4790" spans="1:4" ht="27">
      <c r="A4790" s="798">
        <v>102602</v>
      </c>
      <c r="B4790" s="799" t="s">
        <v>6693</v>
      </c>
      <c r="C4790" s="798" t="s">
        <v>24</v>
      </c>
      <c r="D4790" s="800">
        <v>6.7</v>
      </c>
    </row>
    <row r="4791" spans="1:4" ht="27">
      <c r="A4791" s="798">
        <v>102603</v>
      </c>
      <c r="B4791" s="799" t="s">
        <v>6694</v>
      </c>
      <c r="C4791" s="798" t="s">
        <v>24</v>
      </c>
      <c r="D4791" s="800">
        <v>6.97</v>
      </c>
    </row>
    <row r="4792" spans="1:4" ht="27">
      <c r="A4792" s="798">
        <v>102604</v>
      </c>
      <c r="B4792" s="799" t="s">
        <v>6695</v>
      </c>
      <c r="C4792" s="798" t="s">
        <v>24</v>
      </c>
      <c r="D4792" s="800">
        <v>8.0500000000000007</v>
      </c>
    </row>
    <row r="4793" spans="1:4" ht="27">
      <c r="A4793" s="798">
        <v>102605</v>
      </c>
      <c r="B4793" s="799" t="s">
        <v>6696</v>
      </c>
      <c r="C4793" s="798" t="s">
        <v>24</v>
      </c>
      <c r="D4793" s="800">
        <v>251.62</v>
      </c>
    </row>
    <row r="4794" spans="1:4" ht="27">
      <c r="A4794" s="798">
        <v>102606</v>
      </c>
      <c r="B4794" s="799" t="s">
        <v>6697</v>
      </c>
      <c r="C4794" s="798" t="s">
        <v>24</v>
      </c>
      <c r="D4794" s="800">
        <v>429.77</v>
      </c>
    </row>
    <row r="4795" spans="1:4" ht="27">
      <c r="A4795" s="798">
        <v>102607</v>
      </c>
      <c r="B4795" s="799" t="s">
        <v>6698</v>
      </c>
      <c r="C4795" s="798" t="s">
        <v>24</v>
      </c>
      <c r="D4795" s="800">
        <v>437.16</v>
      </c>
    </row>
    <row r="4796" spans="1:4" ht="27">
      <c r="A4796" s="798">
        <v>102608</v>
      </c>
      <c r="B4796" s="799" t="s">
        <v>6699</v>
      </c>
      <c r="C4796" s="798" t="s">
        <v>24</v>
      </c>
      <c r="D4796" s="800">
        <v>884.26</v>
      </c>
    </row>
    <row r="4797" spans="1:4" ht="27">
      <c r="A4797" s="798">
        <v>102609</v>
      </c>
      <c r="B4797" s="799" t="s">
        <v>6700</v>
      </c>
      <c r="C4797" s="798" t="s">
        <v>24</v>
      </c>
      <c r="D4797" s="800">
        <v>994.72</v>
      </c>
    </row>
    <row r="4798" spans="1:4" ht="40.5">
      <c r="A4798" s="798">
        <v>102611</v>
      </c>
      <c r="B4798" s="799" t="s">
        <v>6701</v>
      </c>
      <c r="C4798" s="798" t="s">
        <v>24</v>
      </c>
      <c r="D4798" s="800">
        <v>396.93</v>
      </c>
    </row>
    <row r="4799" spans="1:4" ht="40.5">
      <c r="A4799" s="798">
        <v>102613</v>
      </c>
      <c r="B4799" s="799" t="s">
        <v>6702</v>
      </c>
      <c r="C4799" s="798" t="s">
        <v>24</v>
      </c>
      <c r="D4799" s="800">
        <v>545.38</v>
      </c>
    </row>
    <row r="4800" spans="1:4" ht="40.5">
      <c r="A4800" s="798">
        <v>102614</v>
      </c>
      <c r="B4800" s="799" t="s">
        <v>6703</v>
      </c>
      <c r="C4800" s="798" t="s">
        <v>24</v>
      </c>
      <c r="D4800" s="800">
        <v>883.09</v>
      </c>
    </row>
    <row r="4801" spans="1:4" ht="40.5">
      <c r="A4801" s="798">
        <v>102615</v>
      </c>
      <c r="B4801" s="799" t="s">
        <v>6704</v>
      </c>
      <c r="C4801" s="798" t="s">
        <v>24</v>
      </c>
      <c r="D4801" s="800">
        <v>1138.1199999999999</v>
      </c>
    </row>
    <row r="4802" spans="1:4" ht="40.5">
      <c r="A4802" s="798">
        <v>102617</v>
      </c>
      <c r="B4802" s="799" t="s">
        <v>6705</v>
      </c>
      <c r="C4802" s="798" t="s">
        <v>24</v>
      </c>
      <c r="D4802" s="800">
        <v>2947.7</v>
      </c>
    </row>
    <row r="4803" spans="1:4" ht="40.5">
      <c r="A4803" s="798">
        <v>102619</v>
      </c>
      <c r="B4803" s="799" t="s">
        <v>6706</v>
      </c>
      <c r="C4803" s="798" t="s">
        <v>24</v>
      </c>
      <c r="D4803" s="800">
        <v>5648.76</v>
      </c>
    </row>
    <row r="4804" spans="1:4" ht="40.5">
      <c r="A4804" s="798">
        <v>102622</v>
      </c>
      <c r="B4804" s="799" t="s">
        <v>6707</v>
      </c>
      <c r="C4804" s="798" t="s">
        <v>24</v>
      </c>
      <c r="D4804" s="800">
        <v>537.82000000000005</v>
      </c>
    </row>
    <row r="4805" spans="1:4" ht="40.5">
      <c r="A4805" s="798">
        <v>102623</v>
      </c>
      <c r="B4805" s="799" t="s">
        <v>6708</v>
      </c>
      <c r="C4805" s="798" t="s">
        <v>24</v>
      </c>
      <c r="D4805" s="800">
        <v>768.33</v>
      </c>
    </row>
    <row r="4806" spans="1:4" ht="40.5">
      <c r="A4806" s="798">
        <v>89482</v>
      </c>
      <c r="B4806" s="799" t="s">
        <v>1275</v>
      </c>
      <c r="C4806" s="798" t="s">
        <v>24</v>
      </c>
      <c r="D4806" s="800">
        <v>35.99</v>
      </c>
    </row>
    <row r="4807" spans="1:4" ht="40.5">
      <c r="A4807" s="798">
        <v>89491</v>
      </c>
      <c r="B4807" s="799" t="s">
        <v>1281</v>
      </c>
      <c r="C4807" s="798" t="s">
        <v>24</v>
      </c>
      <c r="D4807" s="800">
        <v>84.43</v>
      </c>
    </row>
    <row r="4808" spans="1:4" ht="40.5">
      <c r="A4808" s="798">
        <v>89495</v>
      </c>
      <c r="B4808" s="799" t="s">
        <v>1282</v>
      </c>
      <c r="C4808" s="798" t="s">
        <v>24</v>
      </c>
      <c r="D4808" s="800">
        <v>14.26</v>
      </c>
    </row>
    <row r="4809" spans="1:4" ht="40.5">
      <c r="A4809" s="798">
        <v>89707</v>
      </c>
      <c r="B4809" s="799" t="s">
        <v>1422</v>
      </c>
      <c r="C4809" s="798" t="s">
        <v>24</v>
      </c>
      <c r="D4809" s="800">
        <v>39.14</v>
      </c>
    </row>
    <row r="4810" spans="1:4" ht="40.5">
      <c r="A4810" s="798">
        <v>89708</v>
      </c>
      <c r="B4810" s="799" t="s">
        <v>1423</v>
      </c>
      <c r="C4810" s="798" t="s">
        <v>24</v>
      </c>
      <c r="D4810" s="800">
        <v>89.95</v>
      </c>
    </row>
    <row r="4811" spans="1:4" ht="40.5">
      <c r="A4811" s="798">
        <v>89709</v>
      </c>
      <c r="B4811" s="799" t="s">
        <v>1424</v>
      </c>
      <c r="C4811" s="798" t="s">
        <v>24</v>
      </c>
      <c r="D4811" s="800">
        <v>15.47</v>
      </c>
    </row>
    <row r="4812" spans="1:4" ht="40.5">
      <c r="A4812" s="798">
        <v>89710</v>
      </c>
      <c r="B4812" s="799" t="s">
        <v>293</v>
      </c>
      <c r="C4812" s="798" t="s">
        <v>24</v>
      </c>
      <c r="D4812" s="800">
        <v>12.89</v>
      </c>
    </row>
    <row r="4813" spans="1:4" ht="27">
      <c r="A4813" s="798">
        <v>86872</v>
      </c>
      <c r="B4813" s="799" t="s">
        <v>4411</v>
      </c>
      <c r="C4813" s="798" t="s">
        <v>24</v>
      </c>
      <c r="D4813" s="800">
        <v>656.58</v>
      </c>
    </row>
    <row r="4814" spans="1:4" ht="27">
      <c r="A4814" s="798">
        <v>86874</v>
      </c>
      <c r="B4814" s="799" t="s">
        <v>4412</v>
      </c>
      <c r="C4814" s="798" t="s">
        <v>24</v>
      </c>
      <c r="D4814" s="800">
        <v>461.48</v>
      </c>
    </row>
    <row r="4815" spans="1:4" ht="27">
      <c r="A4815" s="798">
        <v>86875</v>
      </c>
      <c r="B4815" s="799" t="s">
        <v>4413</v>
      </c>
      <c r="C4815" s="798" t="s">
        <v>24</v>
      </c>
      <c r="D4815" s="800">
        <v>457.57</v>
      </c>
    </row>
    <row r="4816" spans="1:4" ht="27">
      <c r="A4816" s="798">
        <v>86876</v>
      </c>
      <c r="B4816" s="799" t="s">
        <v>4414</v>
      </c>
      <c r="C4816" s="798" t="s">
        <v>24</v>
      </c>
      <c r="D4816" s="800">
        <v>264.02</v>
      </c>
    </row>
    <row r="4817" spans="1:4" ht="40.5">
      <c r="A4817" s="798">
        <v>86877</v>
      </c>
      <c r="B4817" s="799" t="s">
        <v>4415</v>
      </c>
      <c r="C4817" s="798" t="s">
        <v>24</v>
      </c>
      <c r="D4817" s="800">
        <v>51.1</v>
      </c>
    </row>
    <row r="4818" spans="1:4" ht="27">
      <c r="A4818" s="798">
        <v>86878</v>
      </c>
      <c r="B4818" s="799" t="s">
        <v>4416</v>
      </c>
      <c r="C4818" s="798" t="s">
        <v>24</v>
      </c>
      <c r="D4818" s="800">
        <v>55.1</v>
      </c>
    </row>
    <row r="4819" spans="1:4" ht="40.5">
      <c r="A4819" s="798">
        <v>86879</v>
      </c>
      <c r="B4819" s="799" t="s">
        <v>4417</v>
      </c>
      <c r="C4819" s="798" t="s">
        <v>24</v>
      </c>
      <c r="D4819" s="800">
        <v>7</v>
      </c>
    </row>
    <row r="4820" spans="1:4" ht="40.5">
      <c r="A4820" s="798">
        <v>86880</v>
      </c>
      <c r="B4820" s="799" t="s">
        <v>4418</v>
      </c>
      <c r="C4820" s="798" t="s">
        <v>24</v>
      </c>
      <c r="D4820" s="800">
        <v>22.65</v>
      </c>
    </row>
    <row r="4821" spans="1:4" ht="27">
      <c r="A4821" s="798">
        <v>86881</v>
      </c>
      <c r="B4821" s="799" t="s">
        <v>4419</v>
      </c>
      <c r="C4821" s="798" t="s">
        <v>24</v>
      </c>
      <c r="D4821" s="800">
        <v>155.27000000000001</v>
      </c>
    </row>
    <row r="4822" spans="1:4" ht="27">
      <c r="A4822" s="798">
        <v>86882</v>
      </c>
      <c r="B4822" s="799" t="s">
        <v>4420</v>
      </c>
      <c r="C4822" s="798" t="s">
        <v>24</v>
      </c>
      <c r="D4822" s="800">
        <v>23.1</v>
      </c>
    </row>
    <row r="4823" spans="1:4" ht="27">
      <c r="A4823" s="798">
        <v>86883</v>
      </c>
      <c r="B4823" s="799" t="s">
        <v>4421</v>
      </c>
      <c r="C4823" s="798" t="s">
        <v>24</v>
      </c>
      <c r="D4823" s="800">
        <v>13.13</v>
      </c>
    </row>
    <row r="4824" spans="1:4" ht="27">
      <c r="A4824" s="798">
        <v>86884</v>
      </c>
      <c r="B4824" s="799" t="s">
        <v>4422</v>
      </c>
      <c r="C4824" s="798" t="s">
        <v>24</v>
      </c>
      <c r="D4824" s="800">
        <v>8.61</v>
      </c>
    </row>
    <row r="4825" spans="1:4" ht="27">
      <c r="A4825" s="798">
        <v>86885</v>
      </c>
      <c r="B4825" s="799" t="s">
        <v>4423</v>
      </c>
      <c r="C4825" s="798" t="s">
        <v>24</v>
      </c>
      <c r="D4825" s="800">
        <v>11.94</v>
      </c>
    </row>
    <row r="4826" spans="1:4" ht="27">
      <c r="A4826" s="798">
        <v>86886</v>
      </c>
      <c r="B4826" s="799" t="s">
        <v>4424</v>
      </c>
      <c r="C4826" s="798" t="s">
        <v>24</v>
      </c>
      <c r="D4826" s="800">
        <v>37.770000000000003</v>
      </c>
    </row>
    <row r="4827" spans="1:4" ht="27">
      <c r="A4827" s="798">
        <v>86887</v>
      </c>
      <c r="B4827" s="799" t="s">
        <v>4425</v>
      </c>
      <c r="C4827" s="798" t="s">
        <v>24</v>
      </c>
      <c r="D4827" s="800">
        <v>40.99</v>
      </c>
    </row>
    <row r="4828" spans="1:4" ht="27">
      <c r="A4828" s="798">
        <v>86888</v>
      </c>
      <c r="B4828" s="799" t="s">
        <v>4426</v>
      </c>
      <c r="C4828" s="798" t="s">
        <v>24</v>
      </c>
      <c r="D4828" s="800">
        <v>445.18</v>
      </c>
    </row>
    <row r="4829" spans="1:4" ht="40.5">
      <c r="A4829" s="798">
        <v>86889</v>
      </c>
      <c r="B4829" s="799" t="s">
        <v>4870</v>
      </c>
      <c r="C4829" s="798" t="s">
        <v>24</v>
      </c>
      <c r="D4829" s="800">
        <v>686.89</v>
      </c>
    </row>
    <row r="4830" spans="1:4" ht="40.5">
      <c r="A4830" s="798">
        <v>86893</v>
      </c>
      <c r="B4830" s="799" t="s">
        <v>4871</v>
      </c>
      <c r="C4830" s="798" t="s">
        <v>24</v>
      </c>
      <c r="D4830" s="800">
        <v>587.22</v>
      </c>
    </row>
    <row r="4831" spans="1:4" ht="27">
      <c r="A4831" s="798">
        <v>86894</v>
      </c>
      <c r="B4831" s="799" t="s">
        <v>4872</v>
      </c>
      <c r="C4831" s="798" t="s">
        <v>24</v>
      </c>
      <c r="D4831" s="800">
        <v>260.2</v>
      </c>
    </row>
    <row r="4832" spans="1:4" ht="40.5">
      <c r="A4832" s="798">
        <v>86895</v>
      </c>
      <c r="B4832" s="799" t="s">
        <v>4873</v>
      </c>
      <c r="C4832" s="798" t="s">
        <v>24</v>
      </c>
      <c r="D4832" s="800">
        <v>326.88</v>
      </c>
    </row>
    <row r="4833" spans="1:4" ht="40.5">
      <c r="A4833" s="798">
        <v>86899</v>
      </c>
      <c r="B4833" s="799" t="s">
        <v>4874</v>
      </c>
      <c r="C4833" s="798" t="s">
        <v>24</v>
      </c>
      <c r="D4833" s="800">
        <v>289.49</v>
      </c>
    </row>
    <row r="4834" spans="1:4" ht="27">
      <c r="A4834" s="798">
        <v>86900</v>
      </c>
      <c r="B4834" s="799" t="s">
        <v>4427</v>
      </c>
      <c r="C4834" s="798" t="s">
        <v>24</v>
      </c>
      <c r="D4834" s="800">
        <v>230.81</v>
      </c>
    </row>
    <row r="4835" spans="1:4" ht="27">
      <c r="A4835" s="798">
        <v>86901</v>
      </c>
      <c r="B4835" s="799" t="s">
        <v>4428</v>
      </c>
      <c r="C4835" s="798" t="s">
        <v>24</v>
      </c>
      <c r="D4835" s="800">
        <v>129.91999999999999</v>
      </c>
    </row>
    <row r="4836" spans="1:4" ht="40.5">
      <c r="A4836" s="798">
        <v>86902</v>
      </c>
      <c r="B4836" s="799" t="s">
        <v>4429</v>
      </c>
      <c r="C4836" s="798" t="s">
        <v>24</v>
      </c>
      <c r="D4836" s="800">
        <v>295.19</v>
      </c>
    </row>
    <row r="4837" spans="1:4" ht="40.5">
      <c r="A4837" s="798">
        <v>86903</v>
      </c>
      <c r="B4837" s="799" t="s">
        <v>4430</v>
      </c>
      <c r="C4837" s="798" t="s">
        <v>24</v>
      </c>
      <c r="D4837" s="800">
        <v>328.35</v>
      </c>
    </row>
    <row r="4838" spans="1:4" ht="40.5">
      <c r="A4838" s="798">
        <v>86904</v>
      </c>
      <c r="B4838" s="799" t="s">
        <v>4431</v>
      </c>
      <c r="C4838" s="798" t="s">
        <v>24</v>
      </c>
      <c r="D4838" s="800">
        <v>136.5</v>
      </c>
    </row>
    <row r="4839" spans="1:4" ht="27">
      <c r="A4839" s="798">
        <v>86905</v>
      </c>
      <c r="B4839" s="799" t="s">
        <v>4432</v>
      </c>
      <c r="C4839" s="798" t="s">
        <v>24</v>
      </c>
      <c r="D4839" s="800">
        <v>351.24</v>
      </c>
    </row>
    <row r="4840" spans="1:4" ht="40.5">
      <c r="A4840" s="798">
        <v>86906</v>
      </c>
      <c r="B4840" s="799" t="s">
        <v>4433</v>
      </c>
      <c r="C4840" s="798" t="s">
        <v>24</v>
      </c>
      <c r="D4840" s="800">
        <v>64.94</v>
      </c>
    </row>
    <row r="4841" spans="1:4" ht="27">
      <c r="A4841" s="798">
        <v>86908</v>
      </c>
      <c r="B4841" s="799" t="s">
        <v>4434</v>
      </c>
      <c r="C4841" s="798" t="s">
        <v>24</v>
      </c>
      <c r="D4841" s="800">
        <v>422.17</v>
      </c>
    </row>
    <row r="4842" spans="1:4" ht="40.5">
      <c r="A4842" s="798">
        <v>86909</v>
      </c>
      <c r="B4842" s="799" t="s">
        <v>4435</v>
      </c>
      <c r="C4842" s="798" t="s">
        <v>24</v>
      </c>
      <c r="D4842" s="800">
        <v>112.76</v>
      </c>
    </row>
    <row r="4843" spans="1:4" ht="40.5">
      <c r="A4843" s="798">
        <v>86910</v>
      </c>
      <c r="B4843" s="799" t="s">
        <v>4436</v>
      </c>
      <c r="C4843" s="798" t="s">
        <v>24</v>
      </c>
      <c r="D4843" s="800">
        <v>111.23</v>
      </c>
    </row>
    <row r="4844" spans="1:4" ht="40.5">
      <c r="A4844" s="798">
        <v>86911</v>
      </c>
      <c r="B4844" s="799" t="s">
        <v>4437</v>
      </c>
      <c r="C4844" s="798" t="s">
        <v>24</v>
      </c>
      <c r="D4844" s="800">
        <v>75.97</v>
      </c>
    </row>
    <row r="4845" spans="1:4" ht="27">
      <c r="A4845" s="798">
        <v>86913</v>
      </c>
      <c r="B4845" s="799" t="s">
        <v>4438</v>
      </c>
      <c r="C4845" s="798" t="s">
        <v>24</v>
      </c>
      <c r="D4845" s="800">
        <v>47.21</v>
      </c>
    </row>
    <row r="4846" spans="1:4" ht="27">
      <c r="A4846" s="798">
        <v>86914</v>
      </c>
      <c r="B4846" s="799" t="s">
        <v>4439</v>
      </c>
      <c r="C4846" s="798" t="s">
        <v>24</v>
      </c>
      <c r="D4846" s="800">
        <v>85.2</v>
      </c>
    </row>
    <row r="4847" spans="1:4" ht="27">
      <c r="A4847" s="798">
        <v>86915</v>
      </c>
      <c r="B4847" s="799" t="s">
        <v>4440</v>
      </c>
      <c r="C4847" s="798" t="s">
        <v>24</v>
      </c>
      <c r="D4847" s="800">
        <v>124.7</v>
      </c>
    </row>
    <row r="4848" spans="1:4" ht="27">
      <c r="A4848" s="798">
        <v>86916</v>
      </c>
      <c r="B4848" s="799" t="s">
        <v>4441</v>
      </c>
      <c r="C4848" s="798" t="s">
        <v>24</v>
      </c>
      <c r="D4848" s="800">
        <v>40.340000000000003</v>
      </c>
    </row>
    <row r="4849" spans="1:4" ht="54">
      <c r="A4849" s="798">
        <v>86919</v>
      </c>
      <c r="B4849" s="799" t="s">
        <v>4442</v>
      </c>
      <c r="C4849" s="798" t="s">
        <v>24</v>
      </c>
      <c r="D4849" s="800">
        <v>806.01</v>
      </c>
    </row>
    <row r="4850" spans="1:4" ht="54">
      <c r="A4850" s="798">
        <v>86920</v>
      </c>
      <c r="B4850" s="799" t="s">
        <v>4443</v>
      </c>
      <c r="C4850" s="798" t="s">
        <v>24</v>
      </c>
      <c r="D4850" s="800">
        <v>723.92</v>
      </c>
    </row>
    <row r="4851" spans="1:4" ht="54">
      <c r="A4851" s="798">
        <v>86921</v>
      </c>
      <c r="B4851" s="799" t="s">
        <v>4444</v>
      </c>
      <c r="C4851" s="798" t="s">
        <v>24</v>
      </c>
      <c r="D4851" s="800">
        <v>717.05</v>
      </c>
    </row>
    <row r="4852" spans="1:4" ht="54">
      <c r="A4852" s="798">
        <v>86922</v>
      </c>
      <c r="B4852" s="799" t="s">
        <v>4445</v>
      </c>
      <c r="C4852" s="798" t="s">
        <v>24</v>
      </c>
      <c r="D4852" s="800">
        <v>753.05</v>
      </c>
    </row>
    <row r="4853" spans="1:4" ht="54">
      <c r="A4853" s="798">
        <v>86923</v>
      </c>
      <c r="B4853" s="799" t="s">
        <v>4446</v>
      </c>
      <c r="C4853" s="798" t="s">
        <v>24</v>
      </c>
      <c r="D4853" s="800">
        <v>538.79</v>
      </c>
    </row>
    <row r="4854" spans="1:4" ht="54">
      <c r="A4854" s="798">
        <v>86924</v>
      </c>
      <c r="B4854" s="799" t="s">
        <v>4447</v>
      </c>
      <c r="C4854" s="798" t="s">
        <v>24</v>
      </c>
      <c r="D4854" s="800">
        <v>531.91999999999996</v>
      </c>
    </row>
    <row r="4855" spans="1:4" ht="54">
      <c r="A4855" s="798">
        <v>86925</v>
      </c>
      <c r="B4855" s="799" t="s">
        <v>4448</v>
      </c>
      <c r="C4855" s="798" t="s">
        <v>24</v>
      </c>
      <c r="D4855" s="800">
        <v>524.91</v>
      </c>
    </row>
    <row r="4856" spans="1:4" ht="54">
      <c r="A4856" s="798">
        <v>86926</v>
      </c>
      <c r="B4856" s="799" t="s">
        <v>4449</v>
      </c>
      <c r="C4856" s="798" t="s">
        <v>24</v>
      </c>
      <c r="D4856" s="800">
        <v>518.04</v>
      </c>
    </row>
    <row r="4857" spans="1:4" ht="54">
      <c r="A4857" s="798">
        <v>86927</v>
      </c>
      <c r="B4857" s="799" t="s">
        <v>4450</v>
      </c>
      <c r="C4857" s="798" t="s">
        <v>24</v>
      </c>
      <c r="D4857" s="800">
        <v>341.33</v>
      </c>
    </row>
    <row r="4858" spans="1:4" ht="54">
      <c r="A4858" s="798">
        <v>86928</v>
      </c>
      <c r="B4858" s="799" t="s">
        <v>4451</v>
      </c>
      <c r="C4858" s="798" t="s">
        <v>24</v>
      </c>
      <c r="D4858" s="800">
        <v>334.46</v>
      </c>
    </row>
    <row r="4859" spans="1:4" ht="54">
      <c r="A4859" s="798">
        <v>86929</v>
      </c>
      <c r="B4859" s="799" t="s">
        <v>4452</v>
      </c>
      <c r="C4859" s="798" t="s">
        <v>24</v>
      </c>
      <c r="D4859" s="800">
        <v>331.36</v>
      </c>
    </row>
    <row r="4860" spans="1:4" ht="54">
      <c r="A4860" s="798">
        <v>86930</v>
      </c>
      <c r="B4860" s="799" t="s">
        <v>4453</v>
      </c>
      <c r="C4860" s="798" t="s">
        <v>24</v>
      </c>
      <c r="D4860" s="800">
        <v>324.49</v>
      </c>
    </row>
    <row r="4861" spans="1:4" ht="40.5">
      <c r="A4861" s="798">
        <v>86931</v>
      </c>
      <c r="B4861" s="799" t="s">
        <v>4454</v>
      </c>
      <c r="C4861" s="798" t="s">
        <v>24</v>
      </c>
      <c r="D4861" s="800">
        <v>457.12</v>
      </c>
    </row>
    <row r="4862" spans="1:4" ht="54">
      <c r="A4862" s="798">
        <v>86932</v>
      </c>
      <c r="B4862" s="799" t="s">
        <v>4455</v>
      </c>
      <c r="C4862" s="798" t="s">
        <v>24</v>
      </c>
      <c r="D4862" s="800">
        <v>486.17</v>
      </c>
    </row>
    <row r="4863" spans="1:4" ht="67.5">
      <c r="A4863" s="798">
        <v>86933</v>
      </c>
      <c r="B4863" s="799" t="s">
        <v>4456</v>
      </c>
      <c r="C4863" s="798" t="s">
        <v>24</v>
      </c>
      <c r="D4863" s="800">
        <v>381.92</v>
      </c>
    </row>
    <row r="4864" spans="1:4" ht="67.5">
      <c r="A4864" s="798">
        <v>86934</v>
      </c>
      <c r="B4864" s="799" t="s">
        <v>4457</v>
      </c>
      <c r="C4864" s="798" t="s">
        <v>24</v>
      </c>
      <c r="D4864" s="800">
        <v>371.95</v>
      </c>
    </row>
    <row r="4865" spans="1:4" ht="54">
      <c r="A4865" s="798">
        <v>86935</v>
      </c>
      <c r="B4865" s="799" t="s">
        <v>4458</v>
      </c>
      <c r="C4865" s="798" t="s">
        <v>24</v>
      </c>
      <c r="D4865" s="800">
        <v>299.04000000000002</v>
      </c>
    </row>
    <row r="4866" spans="1:4" ht="40.5">
      <c r="A4866" s="798">
        <v>86936</v>
      </c>
      <c r="B4866" s="799" t="s">
        <v>4459</v>
      </c>
      <c r="C4866" s="798" t="s">
        <v>24</v>
      </c>
      <c r="D4866" s="800">
        <v>441.18</v>
      </c>
    </row>
    <row r="4867" spans="1:4" ht="54">
      <c r="A4867" s="798">
        <v>86937</v>
      </c>
      <c r="B4867" s="799" t="s">
        <v>4460</v>
      </c>
      <c r="C4867" s="798" t="s">
        <v>24</v>
      </c>
      <c r="D4867" s="800">
        <v>194.15</v>
      </c>
    </row>
    <row r="4868" spans="1:4" ht="40.5">
      <c r="A4868" s="798">
        <v>86938</v>
      </c>
      <c r="B4868" s="799" t="s">
        <v>4461</v>
      </c>
      <c r="C4868" s="798" t="s">
        <v>24</v>
      </c>
      <c r="D4868" s="800">
        <v>336.29</v>
      </c>
    </row>
    <row r="4869" spans="1:4" ht="67.5">
      <c r="A4869" s="798">
        <v>86939</v>
      </c>
      <c r="B4869" s="799" t="s">
        <v>4462</v>
      </c>
      <c r="C4869" s="798" t="s">
        <v>24</v>
      </c>
      <c r="D4869" s="800">
        <v>388.87</v>
      </c>
    </row>
    <row r="4870" spans="1:4" ht="67.5">
      <c r="A4870" s="798">
        <v>86940</v>
      </c>
      <c r="B4870" s="799" t="s">
        <v>4463</v>
      </c>
      <c r="C4870" s="798" t="s">
        <v>24</v>
      </c>
      <c r="D4870" s="800">
        <v>967.94</v>
      </c>
    </row>
    <row r="4871" spans="1:4" ht="67.5">
      <c r="A4871" s="798">
        <v>86941</v>
      </c>
      <c r="B4871" s="799" t="s">
        <v>4464</v>
      </c>
      <c r="C4871" s="798" t="s">
        <v>24</v>
      </c>
      <c r="D4871" s="800">
        <v>700.41</v>
      </c>
    </row>
    <row r="4872" spans="1:4" ht="67.5">
      <c r="A4872" s="798">
        <v>86942</v>
      </c>
      <c r="B4872" s="799" t="s">
        <v>4465</v>
      </c>
      <c r="C4872" s="798" t="s">
        <v>24</v>
      </c>
      <c r="D4872" s="800">
        <v>240.15</v>
      </c>
    </row>
    <row r="4873" spans="1:4" ht="67.5">
      <c r="A4873" s="798">
        <v>86943</v>
      </c>
      <c r="B4873" s="799" t="s">
        <v>4466</v>
      </c>
      <c r="C4873" s="798" t="s">
        <v>24</v>
      </c>
      <c r="D4873" s="800">
        <v>230.18</v>
      </c>
    </row>
    <row r="4874" spans="1:4" ht="67.5">
      <c r="A4874" s="798">
        <v>86947</v>
      </c>
      <c r="B4874" s="799" t="s">
        <v>4467</v>
      </c>
      <c r="C4874" s="798" t="s">
        <v>24</v>
      </c>
      <c r="D4874" s="800">
        <v>1059</v>
      </c>
    </row>
    <row r="4875" spans="1:4" ht="67.5">
      <c r="A4875" s="798">
        <v>93396</v>
      </c>
      <c r="B4875" s="799" t="s">
        <v>4468</v>
      </c>
      <c r="C4875" s="798" t="s">
        <v>24</v>
      </c>
      <c r="D4875" s="800">
        <v>594.58000000000004</v>
      </c>
    </row>
    <row r="4876" spans="1:4" ht="67.5">
      <c r="A4876" s="798">
        <v>93441</v>
      </c>
      <c r="B4876" s="799" t="s">
        <v>4469</v>
      </c>
      <c r="C4876" s="798" t="s">
        <v>24</v>
      </c>
      <c r="D4876" s="800">
        <v>1070.51</v>
      </c>
    </row>
    <row r="4877" spans="1:4" ht="67.5">
      <c r="A4877" s="798">
        <v>93442</v>
      </c>
      <c r="B4877" s="799" t="s">
        <v>4470</v>
      </c>
      <c r="C4877" s="798" t="s">
        <v>24</v>
      </c>
      <c r="D4877" s="800">
        <v>1149.77</v>
      </c>
    </row>
    <row r="4878" spans="1:4" ht="27">
      <c r="A4878" s="798">
        <v>95469</v>
      </c>
      <c r="B4878" s="799" t="s">
        <v>4471</v>
      </c>
      <c r="C4878" s="798" t="s">
        <v>24</v>
      </c>
      <c r="D4878" s="800">
        <v>274.79000000000002</v>
      </c>
    </row>
    <row r="4879" spans="1:4" ht="54">
      <c r="A4879" s="798">
        <v>95470</v>
      </c>
      <c r="B4879" s="799" t="s">
        <v>2610</v>
      </c>
      <c r="C4879" s="798" t="s">
        <v>24</v>
      </c>
      <c r="D4879" s="800">
        <v>283.87</v>
      </c>
    </row>
    <row r="4880" spans="1:4" ht="40.5">
      <c r="A4880" s="798">
        <v>95471</v>
      </c>
      <c r="B4880" s="799" t="s">
        <v>4472</v>
      </c>
      <c r="C4880" s="798" t="s">
        <v>24</v>
      </c>
      <c r="D4880" s="800">
        <v>694.54</v>
      </c>
    </row>
    <row r="4881" spans="1:4" ht="54">
      <c r="A4881" s="798">
        <v>95472</v>
      </c>
      <c r="B4881" s="799" t="s">
        <v>4473</v>
      </c>
      <c r="C4881" s="798" t="s">
        <v>24</v>
      </c>
      <c r="D4881" s="800">
        <v>703.62</v>
      </c>
    </row>
    <row r="4882" spans="1:4" ht="27">
      <c r="A4882" s="798">
        <v>95542</v>
      </c>
      <c r="B4882" s="799" t="s">
        <v>4474</v>
      </c>
      <c r="C4882" s="798" t="s">
        <v>24</v>
      </c>
      <c r="D4882" s="800">
        <v>31.77</v>
      </c>
    </row>
    <row r="4883" spans="1:4" ht="27">
      <c r="A4883" s="798">
        <v>95543</v>
      </c>
      <c r="B4883" s="799" t="s">
        <v>4475</v>
      </c>
      <c r="C4883" s="798" t="s">
        <v>24</v>
      </c>
      <c r="D4883" s="800">
        <v>52.78</v>
      </c>
    </row>
    <row r="4884" spans="1:4" ht="27">
      <c r="A4884" s="798">
        <v>95544</v>
      </c>
      <c r="B4884" s="799" t="s">
        <v>4476</v>
      </c>
      <c r="C4884" s="798" t="s">
        <v>24</v>
      </c>
      <c r="D4884" s="800">
        <v>39.299999999999997</v>
      </c>
    </row>
    <row r="4885" spans="1:4" ht="27">
      <c r="A4885" s="798">
        <v>95545</v>
      </c>
      <c r="B4885" s="799" t="s">
        <v>4477</v>
      </c>
      <c r="C4885" s="798" t="s">
        <v>24</v>
      </c>
      <c r="D4885" s="800">
        <v>38.5</v>
      </c>
    </row>
    <row r="4886" spans="1:4" ht="27">
      <c r="A4886" s="798">
        <v>95546</v>
      </c>
      <c r="B4886" s="799" t="s">
        <v>4478</v>
      </c>
      <c r="C4886" s="798" t="s">
        <v>24</v>
      </c>
      <c r="D4886" s="800">
        <v>126.53</v>
      </c>
    </row>
    <row r="4887" spans="1:4" ht="40.5">
      <c r="A4887" s="798">
        <v>95547</v>
      </c>
      <c r="B4887" s="799" t="s">
        <v>4479</v>
      </c>
      <c r="C4887" s="798" t="s">
        <v>24</v>
      </c>
      <c r="D4887" s="800">
        <v>83.31</v>
      </c>
    </row>
    <row r="4888" spans="1:4" ht="27">
      <c r="A4888" s="798">
        <v>100848</v>
      </c>
      <c r="B4888" s="799" t="s">
        <v>4480</v>
      </c>
      <c r="C4888" s="798" t="s">
        <v>24</v>
      </c>
      <c r="D4888" s="800">
        <v>503.84</v>
      </c>
    </row>
    <row r="4889" spans="1:4" ht="27">
      <c r="A4889" s="798">
        <v>100849</v>
      </c>
      <c r="B4889" s="799" t="s">
        <v>4481</v>
      </c>
      <c r="C4889" s="798" t="s">
        <v>24</v>
      </c>
      <c r="D4889" s="800">
        <v>47.71</v>
      </c>
    </row>
    <row r="4890" spans="1:4" ht="27">
      <c r="A4890" s="798">
        <v>100851</v>
      </c>
      <c r="B4890" s="799" t="s">
        <v>4482</v>
      </c>
      <c r="C4890" s="798" t="s">
        <v>24</v>
      </c>
      <c r="D4890" s="800">
        <v>97.47</v>
      </c>
    </row>
    <row r="4891" spans="1:4" ht="27">
      <c r="A4891" s="798">
        <v>100852</v>
      </c>
      <c r="B4891" s="799" t="s">
        <v>4483</v>
      </c>
      <c r="C4891" s="798" t="s">
        <v>24</v>
      </c>
      <c r="D4891" s="800">
        <v>253.4</v>
      </c>
    </row>
    <row r="4892" spans="1:4" ht="27">
      <c r="A4892" s="798">
        <v>100853</v>
      </c>
      <c r="B4892" s="799" t="s">
        <v>7571</v>
      </c>
      <c r="C4892" s="798" t="s">
        <v>24</v>
      </c>
      <c r="D4892" s="800">
        <v>298.18</v>
      </c>
    </row>
    <row r="4893" spans="1:4" ht="27">
      <c r="A4893" s="798">
        <v>100854</v>
      </c>
      <c r="B4893" s="799" t="s">
        <v>4484</v>
      </c>
      <c r="C4893" s="798" t="s">
        <v>24</v>
      </c>
      <c r="D4893" s="800">
        <v>1562.41</v>
      </c>
    </row>
    <row r="4894" spans="1:4" ht="27">
      <c r="A4894" s="798">
        <v>100855</v>
      </c>
      <c r="B4894" s="799" t="s">
        <v>4485</v>
      </c>
      <c r="C4894" s="798" t="s">
        <v>24</v>
      </c>
      <c r="D4894" s="800">
        <v>38.5</v>
      </c>
    </row>
    <row r="4895" spans="1:4" ht="27">
      <c r="A4895" s="798">
        <v>100856</v>
      </c>
      <c r="B4895" s="799" t="s">
        <v>4486</v>
      </c>
      <c r="C4895" s="798" t="s">
        <v>24</v>
      </c>
      <c r="D4895" s="800">
        <v>32.700000000000003</v>
      </c>
    </row>
    <row r="4896" spans="1:4" ht="27">
      <c r="A4896" s="798">
        <v>100857</v>
      </c>
      <c r="B4896" s="799" t="s">
        <v>4487</v>
      </c>
      <c r="C4896" s="798" t="s">
        <v>24</v>
      </c>
      <c r="D4896" s="800">
        <v>457.13</v>
      </c>
    </row>
    <row r="4897" spans="1:4" ht="27">
      <c r="A4897" s="798">
        <v>100858</v>
      </c>
      <c r="B4897" s="799" t="s">
        <v>4488</v>
      </c>
      <c r="C4897" s="798" t="s">
        <v>24</v>
      </c>
      <c r="D4897" s="800">
        <v>532.85</v>
      </c>
    </row>
    <row r="4898" spans="1:4" ht="40.5">
      <c r="A4898" s="798">
        <v>100859</v>
      </c>
      <c r="B4898" s="799" t="s">
        <v>7210</v>
      </c>
      <c r="C4898" s="798" t="s">
        <v>24</v>
      </c>
      <c r="D4898" s="800">
        <v>906.07</v>
      </c>
    </row>
    <row r="4899" spans="1:4" ht="27">
      <c r="A4899" s="798">
        <v>100860</v>
      </c>
      <c r="B4899" s="799" t="s">
        <v>4489</v>
      </c>
      <c r="C4899" s="798" t="s">
        <v>24</v>
      </c>
      <c r="D4899" s="800">
        <v>85.29</v>
      </c>
    </row>
    <row r="4900" spans="1:4" ht="40.5">
      <c r="A4900" s="798">
        <v>100861</v>
      </c>
      <c r="B4900" s="799" t="s">
        <v>4490</v>
      </c>
      <c r="C4900" s="798" t="s">
        <v>24</v>
      </c>
      <c r="D4900" s="800">
        <v>34.54</v>
      </c>
    </row>
    <row r="4901" spans="1:4" ht="40.5">
      <c r="A4901" s="798">
        <v>100862</v>
      </c>
      <c r="B4901" s="799" t="s">
        <v>4491</v>
      </c>
      <c r="C4901" s="798" t="s">
        <v>24</v>
      </c>
      <c r="D4901" s="800">
        <v>38.9</v>
      </c>
    </row>
    <row r="4902" spans="1:4" ht="40.5">
      <c r="A4902" s="798">
        <v>100863</v>
      </c>
      <c r="B4902" s="799" t="s">
        <v>4492</v>
      </c>
      <c r="C4902" s="798" t="s">
        <v>24</v>
      </c>
      <c r="D4902" s="800">
        <v>666.86</v>
      </c>
    </row>
    <row r="4903" spans="1:4" ht="40.5">
      <c r="A4903" s="798">
        <v>100864</v>
      </c>
      <c r="B4903" s="799" t="s">
        <v>4493</v>
      </c>
      <c r="C4903" s="798" t="s">
        <v>24</v>
      </c>
      <c r="D4903" s="800">
        <v>735.11</v>
      </c>
    </row>
    <row r="4904" spans="1:4" ht="40.5">
      <c r="A4904" s="798">
        <v>100865</v>
      </c>
      <c r="B4904" s="799" t="s">
        <v>4494</v>
      </c>
      <c r="C4904" s="798" t="s">
        <v>24</v>
      </c>
      <c r="D4904" s="800">
        <v>664.92</v>
      </c>
    </row>
    <row r="4905" spans="1:4" ht="40.5">
      <c r="A4905" s="798">
        <v>100866</v>
      </c>
      <c r="B4905" s="799" t="s">
        <v>4495</v>
      </c>
      <c r="C4905" s="798" t="s">
        <v>24</v>
      </c>
      <c r="D4905" s="800">
        <v>339.91</v>
      </c>
    </row>
    <row r="4906" spans="1:4" ht="40.5">
      <c r="A4906" s="798">
        <v>100867</v>
      </c>
      <c r="B4906" s="799" t="s">
        <v>4496</v>
      </c>
      <c r="C4906" s="798" t="s">
        <v>24</v>
      </c>
      <c r="D4906" s="800">
        <v>362.41</v>
      </c>
    </row>
    <row r="4907" spans="1:4" ht="40.5">
      <c r="A4907" s="798">
        <v>100868</v>
      </c>
      <c r="B4907" s="799" t="s">
        <v>4497</v>
      </c>
      <c r="C4907" s="798" t="s">
        <v>24</v>
      </c>
      <c r="D4907" s="800">
        <v>377.39</v>
      </c>
    </row>
    <row r="4908" spans="1:4" ht="40.5">
      <c r="A4908" s="798">
        <v>100869</v>
      </c>
      <c r="B4908" s="799" t="s">
        <v>4498</v>
      </c>
      <c r="C4908" s="798" t="s">
        <v>24</v>
      </c>
      <c r="D4908" s="800">
        <v>388.88</v>
      </c>
    </row>
    <row r="4909" spans="1:4" ht="40.5">
      <c r="A4909" s="798">
        <v>100870</v>
      </c>
      <c r="B4909" s="799" t="s">
        <v>4499</v>
      </c>
      <c r="C4909" s="798" t="s">
        <v>24</v>
      </c>
      <c r="D4909" s="800">
        <v>272.64999999999998</v>
      </c>
    </row>
    <row r="4910" spans="1:4" ht="40.5">
      <c r="A4910" s="798">
        <v>100871</v>
      </c>
      <c r="B4910" s="799" t="s">
        <v>4500</v>
      </c>
      <c r="C4910" s="798" t="s">
        <v>24</v>
      </c>
      <c r="D4910" s="800">
        <v>292.63</v>
      </c>
    </row>
    <row r="4911" spans="1:4" ht="40.5">
      <c r="A4911" s="798">
        <v>100872</v>
      </c>
      <c r="B4911" s="799" t="s">
        <v>4501</v>
      </c>
      <c r="C4911" s="798" t="s">
        <v>24</v>
      </c>
      <c r="D4911" s="800">
        <v>305.39</v>
      </c>
    </row>
    <row r="4912" spans="1:4" ht="40.5">
      <c r="A4912" s="798">
        <v>100873</v>
      </c>
      <c r="B4912" s="799" t="s">
        <v>4502</v>
      </c>
      <c r="C4912" s="798" t="s">
        <v>24</v>
      </c>
      <c r="D4912" s="800">
        <v>313.36</v>
      </c>
    </row>
    <row r="4913" spans="1:4" ht="27">
      <c r="A4913" s="798">
        <v>100874</v>
      </c>
      <c r="B4913" s="799" t="s">
        <v>4503</v>
      </c>
      <c r="C4913" s="798" t="s">
        <v>24</v>
      </c>
      <c r="D4913" s="800">
        <v>339.91</v>
      </c>
    </row>
    <row r="4914" spans="1:4" ht="27">
      <c r="A4914" s="798">
        <v>100875</v>
      </c>
      <c r="B4914" s="799" t="s">
        <v>4504</v>
      </c>
      <c r="C4914" s="798" t="s">
        <v>24</v>
      </c>
      <c r="D4914" s="800">
        <v>1225.51</v>
      </c>
    </row>
    <row r="4915" spans="1:4" ht="40.5">
      <c r="A4915" s="798">
        <v>100878</v>
      </c>
      <c r="B4915" s="799" t="s">
        <v>7211</v>
      </c>
      <c r="C4915" s="798" t="s">
        <v>24</v>
      </c>
      <c r="D4915" s="800">
        <v>593.02</v>
      </c>
    </row>
    <row r="4916" spans="1:4" ht="54">
      <c r="A4916" s="798">
        <v>98052</v>
      </c>
      <c r="B4916" s="799" t="s">
        <v>6709</v>
      </c>
      <c r="C4916" s="798" t="s">
        <v>24</v>
      </c>
      <c r="D4916" s="800">
        <v>1878.49</v>
      </c>
    </row>
    <row r="4917" spans="1:4" ht="54">
      <c r="A4917" s="798">
        <v>98053</v>
      </c>
      <c r="B4917" s="799" t="s">
        <v>6710</v>
      </c>
      <c r="C4917" s="798" t="s">
        <v>24</v>
      </c>
      <c r="D4917" s="800">
        <v>2571.42</v>
      </c>
    </row>
    <row r="4918" spans="1:4" ht="54">
      <c r="A4918" s="798">
        <v>98054</v>
      </c>
      <c r="B4918" s="799" t="s">
        <v>6711</v>
      </c>
      <c r="C4918" s="798" t="s">
        <v>24</v>
      </c>
      <c r="D4918" s="800">
        <v>4163.57</v>
      </c>
    </row>
    <row r="4919" spans="1:4" ht="54">
      <c r="A4919" s="798">
        <v>98055</v>
      </c>
      <c r="B4919" s="799" t="s">
        <v>6712</v>
      </c>
      <c r="C4919" s="798" t="s">
        <v>24</v>
      </c>
      <c r="D4919" s="800">
        <v>5638.93</v>
      </c>
    </row>
    <row r="4920" spans="1:4" ht="54">
      <c r="A4920" s="798">
        <v>98056</v>
      </c>
      <c r="B4920" s="799" t="s">
        <v>6713</v>
      </c>
      <c r="C4920" s="798" t="s">
        <v>24</v>
      </c>
      <c r="D4920" s="800">
        <v>6573.81</v>
      </c>
    </row>
    <row r="4921" spans="1:4" ht="54">
      <c r="A4921" s="798">
        <v>98057</v>
      </c>
      <c r="B4921" s="799" t="s">
        <v>6714</v>
      </c>
      <c r="C4921" s="798" t="s">
        <v>24</v>
      </c>
      <c r="D4921" s="800">
        <v>7779.22</v>
      </c>
    </row>
    <row r="4922" spans="1:4" ht="54">
      <c r="A4922" s="798">
        <v>98058</v>
      </c>
      <c r="B4922" s="799" t="s">
        <v>6715</v>
      </c>
      <c r="C4922" s="798" t="s">
        <v>24</v>
      </c>
      <c r="D4922" s="800">
        <v>1601.09</v>
      </c>
    </row>
    <row r="4923" spans="1:4" ht="54">
      <c r="A4923" s="798">
        <v>98059</v>
      </c>
      <c r="B4923" s="799" t="s">
        <v>6716</v>
      </c>
      <c r="C4923" s="798" t="s">
        <v>24</v>
      </c>
      <c r="D4923" s="800">
        <v>3445.65</v>
      </c>
    </row>
    <row r="4924" spans="1:4" ht="54">
      <c r="A4924" s="798">
        <v>98060</v>
      </c>
      <c r="B4924" s="799" t="s">
        <v>6717</v>
      </c>
      <c r="C4924" s="798" t="s">
        <v>24</v>
      </c>
      <c r="D4924" s="800">
        <v>4791.22</v>
      </c>
    </row>
    <row r="4925" spans="1:4" ht="54">
      <c r="A4925" s="798">
        <v>98061</v>
      </c>
      <c r="B4925" s="799" t="s">
        <v>6718</v>
      </c>
      <c r="C4925" s="798" t="s">
        <v>24</v>
      </c>
      <c r="D4925" s="800">
        <v>6640.52</v>
      </c>
    </row>
    <row r="4926" spans="1:4" ht="54">
      <c r="A4926" s="798">
        <v>98062</v>
      </c>
      <c r="B4926" s="799" t="s">
        <v>6719</v>
      </c>
      <c r="C4926" s="798" t="s">
        <v>24</v>
      </c>
      <c r="D4926" s="800">
        <v>2653.39</v>
      </c>
    </row>
    <row r="4927" spans="1:4" ht="54">
      <c r="A4927" s="798">
        <v>98063</v>
      </c>
      <c r="B4927" s="799" t="s">
        <v>6720</v>
      </c>
      <c r="C4927" s="798" t="s">
        <v>24</v>
      </c>
      <c r="D4927" s="800">
        <v>4038.48</v>
      </c>
    </row>
    <row r="4928" spans="1:4" ht="54">
      <c r="A4928" s="798">
        <v>98064</v>
      </c>
      <c r="B4928" s="799" t="s">
        <v>6721</v>
      </c>
      <c r="C4928" s="798" t="s">
        <v>24</v>
      </c>
      <c r="D4928" s="800">
        <v>4656.6899999999996</v>
      </c>
    </row>
    <row r="4929" spans="1:4" ht="54">
      <c r="A4929" s="798">
        <v>98065</v>
      </c>
      <c r="B4929" s="799" t="s">
        <v>6722</v>
      </c>
      <c r="C4929" s="798" t="s">
        <v>24</v>
      </c>
      <c r="D4929" s="800">
        <v>6458.52</v>
      </c>
    </row>
    <row r="4930" spans="1:4" ht="54">
      <c r="A4930" s="798">
        <v>98066</v>
      </c>
      <c r="B4930" s="799" t="s">
        <v>6723</v>
      </c>
      <c r="C4930" s="798" t="s">
        <v>24</v>
      </c>
      <c r="D4930" s="800">
        <v>4949.58</v>
      </c>
    </row>
    <row r="4931" spans="1:4" ht="54">
      <c r="A4931" s="798">
        <v>98067</v>
      </c>
      <c r="B4931" s="799" t="s">
        <v>6724</v>
      </c>
      <c r="C4931" s="798" t="s">
        <v>24</v>
      </c>
      <c r="D4931" s="800">
        <v>6614.6</v>
      </c>
    </row>
    <row r="4932" spans="1:4" ht="54">
      <c r="A4932" s="798">
        <v>98068</v>
      </c>
      <c r="B4932" s="799" t="s">
        <v>6725</v>
      </c>
      <c r="C4932" s="798" t="s">
        <v>24</v>
      </c>
      <c r="D4932" s="800">
        <v>9343.0400000000009</v>
      </c>
    </row>
    <row r="4933" spans="1:4" ht="54">
      <c r="A4933" s="798">
        <v>98069</v>
      </c>
      <c r="B4933" s="799" t="s">
        <v>6726</v>
      </c>
      <c r="C4933" s="798" t="s">
        <v>24</v>
      </c>
      <c r="D4933" s="800">
        <v>12455.98</v>
      </c>
    </row>
    <row r="4934" spans="1:4" ht="54">
      <c r="A4934" s="798">
        <v>98070</v>
      </c>
      <c r="B4934" s="799" t="s">
        <v>6727</v>
      </c>
      <c r="C4934" s="798" t="s">
        <v>24</v>
      </c>
      <c r="D4934" s="800">
        <v>14320.35</v>
      </c>
    </row>
    <row r="4935" spans="1:4" ht="54">
      <c r="A4935" s="798">
        <v>98071</v>
      </c>
      <c r="B4935" s="799" t="s">
        <v>6728</v>
      </c>
      <c r="C4935" s="798" t="s">
        <v>24</v>
      </c>
      <c r="D4935" s="800">
        <v>15825.07</v>
      </c>
    </row>
    <row r="4936" spans="1:4" ht="54">
      <c r="A4936" s="798">
        <v>98072</v>
      </c>
      <c r="B4936" s="799" t="s">
        <v>6729</v>
      </c>
      <c r="C4936" s="798" t="s">
        <v>24</v>
      </c>
      <c r="D4936" s="800">
        <v>4091.03</v>
      </c>
    </row>
    <row r="4937" spans="1:4" ht="54">
      <c r="A4937" s="798">
        <v>98073</v>
      </c>
      <c r="B4937" s="799" t="s">
        <v>6730</v>
      </c>
      <c r="C4937" s="798" t="s">
        <v>24</v>
      </c>
      <c r="D4937" s="800">
        <v>6307.48</v>
      </c>
    </row>
    <row r="4938" spans="1:4" ht="54">
      <c r="A4938" s="798">
        <v>98074</v>
      </c>
      <c r="B4938" s="799" t="s">
        <v>6731</v>
      </c>
      <c r="C4938" s="798" t="s">
        <v>24</v>
      </c>
      <c r="D4938" s="800">
        <v>9673.74</v>
      </c>
    </row>
    <row r="4939" spans="1:4" ht="54">
      <c r="A4939" s="798">
        <v>98075</v>
      </c>
      <c r="B4939" s="799" t="s">
        <v>6732</v>
      </c>
      <c r="C4939" s="798" t="s">
        <v>24</v>
      </c>
      <c r="D4939" s="800">
        <v>12518.03</v>
      </c>
    </row>
    <row r="4940" spans="1:4" ht="54">
      <c r="A4940" s="798">
        <v>98076</v>
      </c>
      <c r="B4940" s="799" t="s">
        <v>6733</v>
      </c>
      <c r="C4940" s="798" t="s">
        <v>24</v>
      </c>
      <c r="D4940" s="800">
        <v>14350.47</v>
      </c>
    </row>
    <row r="4941" spans="1:4" ht="54">
      <c r="A4941" s="798">
        <v>98077</v>
      </c>
      <c r="B4941" s="799" t="s">
        <v>6734</v>
      </c>
      <c r="C4941" s="798" t="s">
        <v>24</v>
      </c>
      <c r="D4941" s="800">
        <v>16852.330000000002</v>
      </c>
    </row>
    <row r="4942" spans="1:4" ht="54">
      <c r="A4942" s="798">
        <v>98078</v>
      </c>
      <c r="B4942" s="799" t="s">
        <v>6735</v>
      </c>
      <c r="C4942" s="798" t="s">
        <v>24</v>
      </c>
      <c r="D4942" s="800">
        <v>4420.3100000000004</v>
      </c>
    </row>
    <row r="4943" spans="1:4" ht="54">
      <c r="A4943" s="798">
        <v>98079</v>
      </c>
      <c r="B4943" s="799" t="s">
        <v>6736</v>
      </c>
      <c r="C4943" s="798" t="s">
        <v>24</v>
      </c>
      <c r="D4943" s="800">
        <v>7700.51</v>
      </c>
    </row>
    <row r="4944" spans="1:4" ht="54">
      <c r="A4944" s="798">
        <v>98080</v>
      </c>
      <c r="B4944" s="799" t="s">
        <v>6737</v>
      </c>
      <c r="C4944" s="798" t="s">
        <v>24</v>
      </c>
      <c r="D4944" s="800">
        <v>9824.2099999999991</v>
      </c>
    </row>
    <row r="4945" spans="1:4" ht="54">
      <c r="A4945" s="798">
        <v>98081</v>
      </c>
      <c r="B4945" s="799" t="s">
        <v>6738</v>
      </c>
      <c r="C4945" s="798" t="s">
        <v>24</v>
      </c>
      <c r="D4945" s="800">
        <v>14493.71</v>
      </c>
    </row>
    <row r="4946" spans="1:4" ht="54">
      <c r="A4946" s="798">
        <v>98082</v>
      </c>
      <c r="B4946" s="799" t="s">
        <v>6739</v>
      </c>
      <c r="C4946" s="798" t="s">
        <v>24</v>
      </c>
      <c r="D4946" s="800">
        <v>3484.88</v>
      </c>
    </row>
    <row r="4947" spans="1:4" ht="54">
      <c r="A4947" s="798">
        <v>98083</v>
      </c>
      <c r="B4947" s="799" t="s">
        <v>6740</v>
      </c>
      <c r="C4947" s="798" t="s">
        <v>24</v>
      </c>
      <c r="D4947" s="800">
        <v>4597.08</v>
      </c>
    </row>
    <row r="4948" spans="1:4" ht="54">
      <c r="A4948" s="798">
        <v>98084</v>
      </c>
      <c r="B4948" s="799" t="s">
        <v>6741</v>
      </c>
      <c r="C4948" s="798" t="s">
        <v>24</v>
      </c>
      <c r="D4948" s="800">
        <v>6442</v>
      </c>
    </row>
    <row r="4949" spans="1:4" ht="54">
      <c r="A4949" s="798">
        <v>98085</v>
      </c>
      <c r="B4949" s="799" t="s">
        <v>6742</v>
      </c>
      <c r="C4949" s="798" t="s">
        <v>24</v>
      </c>
      <c r="D4949" s="800">
        <v>8707.7900000000009</v>
      </c>
    </row>
    <row r="4950" spans="1:4" ht="54">
      <c r="A4950" s="798">
        <v>98086</v>
      </c>
      <c r="B4950" s="799" t="s">
        <v>6743</v>
      </c>
      <c r="C4950" s="798" t="s">
        <v>24</v>
      </c>
      <c r="D4950" s="800">
        <v>9846.85</v>
      </c>
    </row>
    <row r="4951" spans="1:4" ht="54">
      <c r="A4951" s="798">
        <v>98087</v>
      </c>
      <c r="B4951" s="799" t="s">
        <v>6744</v>
      </c>
      <c r="C4951" s="798" t="s">
        <v>24</v>
      </c>
      <c r="D4951" s="800">
        <v>10552.04</v>
      </c>
    </row>
    <row r="4952" spans="1:4" ht="54">
      <c r="A4952" s="798">
        <v>98088</v>
      </c>
      <c r="B4952" s="799" t="s">
        <v>6745</v>
      </c>
      <c r="C4952" s="798" t="s">
        <v>24</v>
      </c>
      <c r="D4952" s="800">
        <v>2980.43</v>
      </c>
    </row>
    <row r="4953" spans="1:4" ht="54">
      <c r="A4953" s="798">
        <v>98089</v>
      </c>
      <c r="B4953" s="799" t="s">
        <v>6746</v>
      </c>
      <c r="C4953" s="798" t="s">
        <v>24</v>
      </c>
      <c r="D4953" s="800">
        <v>4676.71</v>
      </c>
    </row>
    <row r="4954" spans="1:4" ht="54">
      <c r="A4954" s="798">
        <v>98090</v>
      </c>
      <c r="B4954" s="799" t="s">
        <v>6747</v>
      </c>
      <c r="C4954" s="798" t="s">
        <v>24</v>
      </c>
      <c r="D4954" s="800">
        <v>7303.13</v>
      </c>
    </row>
    <row r="4955" spans="1:4" ht="54">
      <c r="A4955" s="798">
        <v>98091</v>
      </c>
      <c r="B4955" s="799" t="s">
        <v>6748</v>
      </c>
      <c r="C4955" s="798" t="s">
        <v>24</v>
      </c>
      <c r="D4955" s="800">
        <v>9423.0400000000009</v>
      </c>
    </row>
    <row r="4956" spans="1:4" ht="54">
      <c r="A4956" s="798">
        <v>98092</v>
      </c>
      <c r="B4956" s="799" t="s">
        <v>6749</v>
      </c>
      <c r="C4956" s="798" t="s">
        <v>24</v>
      </c>
      <c r="D4956" s="800">
        <v>11029.44</v>
      </c>
    </row>
    <row r="4957" spans="1:4" ht="54">
      <c r="A4957" s="798">
        <v>98093</v>
      </c>
      <c r="B4957" s="799" t="s">
        <v>6750</v>
      </c>
      <c r="C4957" s="798" t="s">
        <v>24</v>
      </c>
      <c r="D4957" s="800">
        <v>13004.46</v>
      </c>
    </row>
    <row r="4958" spans="1:4" ht="54">
      <c r="A4958" s="798">
        <v>98094</v>
      </c>
      <c r="B4958" s="799" t="s">
        <v>6751</v>
      </c>
      <c r="C4958" s="798" t="s">
        <v>24</v>
      </c>
      <c r="D4958" s="800">
        <v>2513.77</v>
      </c>
    </row>
    <row r="4959" spans="1:4" ht="54">
      <c r="A4959" s="798">
        <v>98099</v>
      </c>
      <c r="B4959" s="799" t="s">
        <v>6752</v>
      </c>
      <c r="C4959" s="798" t="s">
        <v>24</v>
      </c>
      <c r="D4959" s="800">
        <v>4282.6000000000004</v>
      </c>
    </row>
    <row r="4960" spans="1:4" ht="54">
      <c r="A4960" s="798">
        <v>98100</v>
      </c>
      <c r="B4960" s="799" t="s">
        <v>6753</v>
      </c>
      <c r="C4960" s="798" t="s">
        <v>24</v>
      </c>
      <c r="D4960" s="800">
        <v>5566.62</v>
      </c>
    </row>
    <row r="4961" spans="1:4" ht="54">
      <c r="A4961" s="798">
        <v>98101</v>
      </c>
      <c r="B4961" s="799" t="s">
        <v>6754</v>
      </c>
      <c r="C4961" s="798" t="s">
        <v>24</v>
      </c>
      <c r="D4961" s="800">
        <v>8202.17</v>
      </c>
    </row>
    <row r="4962" spans="1:4" ht="54">
      <c r="A4962" s="798">
        <v>98109</v>
      </c>
      <c r="B4962" s="799" t="s">
        <v>6755</v>
      </c>
      <c r="C4962" s="798" t="s">
        <v>24</v>
      </c>
      <c r="D4962" s="800">
        <v>686.79</v>
      </c>
    </row>
    <row r="4963" spans="1:4" ht="27">
      <c r="A4963" s="798">
        <v>98110</v>
      </c>
      <c r="B4963" s="799" t="s">
        <v>6756</v>
      </c>
      <c r="C4963" s="798" t="s">
        <v>24</v>
      </c>
      <c r="D4963" s="800">
        <v>393.38</v>
      </c>
    </row>
    <row r="4964" spans="1:4" ht="27">
      <c r="A4964" s="798">
        <v>98111</v>
      </c>
      <c r="B4964" s="799" t="s">
        <v>6757</v>
      </c>
      <c r="C4964" s="798" t="s">
        <v>24</v>
      </c>
      <c r="D4964" s="800">
        <v>51.91</v>
      </c>
    </row>
    <row r="4965" spans="1:4" ht="27">
      <c r="A4965" s="798">
        <v>98112</v>
      </c>
      <c r="B4965" s="799" t="s">
        <v>6758</v>
      </c>
      <c r="C4965" s="798" t="s">
        <v>24</v>
      </c>
      <c r="D4965" s="800">
        <v>120.87</v>
      </c>
    </row>
    <row r="4966" spans="1:4" ht="27">
      <c r="A4966" s="798">
        <v>98114</v>
      </c>
      <c r="B4966" s="799" t="s">
        <v>6759</v>
      </c>
      <c r="C4966" s="798" t="s">
        <v>24</v>
      </c>
      <c r="D4966" s="800">
        <v>719.47</v>
      </c>
    </row>
    <row r="4967" spans="1:4" ht="27">
      <c r="A4967" s="798">
        <v>98115</v>
      </c>
      <c r="B4967" s="799" t="s">
        <v>6760</v>
      </c>
      <c r="C4967" s="798" t="s">
        <v>24</v>
      </c>
      <c r="D4967" s="800">
        <v>131.16</v>
      </c>
    </row>
    <row r="4968" spans="1:4" ht="54">
      <c r="A4968" s="798">
        <v>89957</v>
      </c>
      <c r="B4968" s="799" t="s">
        <v>1568</v>
      </c>
      <c r="C4968" s="798" t="s">
        <v>24</v>
      </c>
      <c r="D4968" s="800">
        <v>109.96</v>
      </c>
    </row>
    <row r="4969" spans="1:4" ht="54">
      <c r="A4969" s="798">
        <v>89959</v>
      </c>
      <c r="B4969" s="799" t="s">
        <v>1569</v>
      </c>
      <c r="C4969" s="798" t="s">
        <v>24</v>
      </c>
      <c r="D4969" s="800">
        <v>204.03</v>
      </c>
    </row>
    <row r="4970" spans="1:4" ht="27">
      <c r="A4970" s="798">
        <v>89349</v>
      </c>
      <c r="B4970" s="799" t="s">
        <v>7572</v>
      </c>
      <c r="C4970" s="798" t="s">
        <v>24</v>
      </c>
      <c r="D4970" s="800">
        <v>20.88</v>
      </c>
    </row>
    <row r="4971" spans="1:4" ht="27">
      <c r="A4971" s="798">
        <v>89351</v>
      </c>
      <c r="B4971" s="799" t="s">
        <v>7573</v>
      </c>
      <c r="C4971" s="798" t="s">
        <v>24</v>
      </c>
      <c r="D4971" s="800">
        <v>25.79</v>
      </c>
    </row>
    <row r="4972" spans="1:4" ht="27">
      <c r="A4972" s="798">
        <v>89352</v>
      </c>
      <c r="B4972" s="799" t="s">
        <v>7574</v>
      </c>
      <c r="C4972" s="798" t="s">
        <v>24</v>
      </c>
      <c r="D4972" s="800">
        <v>28.4</v>
      </c>
    </row>
    <row r="4973" spans="1:4" ht="27">
      <c r="A4973" s="798">
        <v>89353</v>
      </c>
      <c r="B4973" s="799" t="s">
        <v>7575</v>
      </c>
      <c r="C4973" s="798" t="s">
        <v>24</v>
      </c>
      <c r="D4973" s="800">
        <v>31.17</v>
      </c>
    </row>
    <row r="4974" spans="1:4" ht="40.5">
      <c r="A4974" s="798">
        <v>89354</v>
      </c>
      <c r="B4974" s="799" t="s">
        <v>7576</v>
      </c>
      <c r="C4974" s="798" t="s">
        <v>24</v>
      </c>
      <c r="D4974" s="800">
        <v>470.62</v>
      </c>
    </row>
    <row r="4975" spans="1:4" ht="40.5">
      <c r="A4975" s="798">
        <v>89969</v>
      </c>
      <c r="B4975" s="799" t="s">
        <v>1570</v>
      </c>
      <c r="C4975" s="798" t="s">
        <v>24</v>
      </c>
      <c r="D4975" s="800">
        <v>33.96</v>
      </c>
    </row>
    <row r="4976" spans="1:4" ht="40.5">
      <c r="A4976" s="798">
        <v>89970</v>
      </c>
      <c r="B4976" s="799" t="s">
        <v>1571</v>
      </c>
      <c r="C4976" s="798" t="s">
        <v>24</v>
      </c>
      <c r="D4976" s="800">
        <v>37.99</v>
      </c>
    </row>
    <row r="4977" spans="1:4" ht="40.5">
      <c r="A4977" s="798">
        <v>89971</v>
      </c>
      <c r="B4977" s="799" t="s">
        <v>1572</v>
      </c>
      <c r="C4977" s="798" t="s">
        <v>24</v>
      </c>
      <c r="D4977" s="800">
        <v>37.94</v>
      </c>
    </row>
    <row r="4978" spans="1:4" ht="40.5">
      <c r="A4978" s="798">
        <v>89972</v>
      </c>
      <c r="B4978" s="799" t="s">
        <v>1573</v>
      </c>
      <c r="C4978" s="798" t="s">
        <v>24</v>
      </c>
      <c r="D4978" s="800">
        <v>42.57</v>
      </c>
    </row>
    <row r="4979" spans="1:4" ht="40.5">
      <c r="A4979" s="798">
        <v>89973</v>
      </c>
      <c r="B4979" s="799" t="s">
        <v>1574</v>
      </c>
      <c r="C4979" s="798" t="s">
        <v>24</v>
      </c>
      <c r="D4979" s="800">
        <v>699.38</v>
      </c>
    </row>
    <row r="4980" spans="1:4" ht="40.5">
      <c r="A4980" s="798">
        <v>89974</v>
      </c>
      <c r="B4980" s="799" t="s">
        <v>1575</v>
      </c>
      <c r="C4980" s="798" t="s">
        <v>24</v>
      </c>
      <c r="D4980" s="800">
        <v>299.47000000000003</v>
      </c>
    </row>
    <row r="4981" spans="1:4" ht="40.5">
      <c r="A4981" s="798">
        <v>89984</v>
      </c>
      <c r="B4981" s="799" t="s">
        <v>7577</v>
      </c>
      <c r="C4981" s="798" t="s">
        <v>24</v>
      </c>
      <c r="D4981" s="800">
        <v>66.989999999999995</v>
      </c>
    </row>
    <row r="4982" spans="1:4" ht="40.5">
      <c r="A4982" s="798">
        <v>89985</v>
      </c>
      <c r="B4982" s="799" t="s">
        <v>7578</v>
      </c>
      <c r="C4982" s="798" t="s">
        <v>24</v>
      </c>
      <c r="D4982" s="800">
        <v>70.38</v>
      </c>
    </row>
    <row r="4983" spans="1:4" ht="40.5">
      <c r="A4983" s="798">
        <v>89986</v>
      </c>
      <c r="B4983" s="799" t="s">
        <v>7579</v>
      </c>
      <c r="C4983" s="798" t="s">
        <v>24</v>
      </c>
      <c r="D4983" s="800">
        <v>65.27</v>
      </c>
    </row>
    <row r="4984" spans="1:4" ht="40.5">
      <c r="A4984" s="798">
        <v>89987</v>
      </c>
      <c r="B4984" s="799" t="s">
        <v>7580</v>
      </c>
      <c r="C4984" s="798" t="s">
        <v>24</v>
      </c>
      <c r="D4984" s="800">
        <v>74.16</v>
      </c>
    </row>
    <row r="4985" spans="1:4" ht="27">
      <c r="A4985" s="798">
        <v>90371</v>
      </c>
      <c r="B4985" s="799" t="s">
        <v>7581</v>
      </c>
      <c r="C4985" s="798" t="s">
        <v>24</v>
      </c>
      <c r="D4985" s="800">
        <v>21.38</v>
      </c>
    </row>
    <row r="4986" spans="1:4" ht="27">
      <c r="A4986" s="798">
        <v>94489</v>
      </c>
      <c r="B4986" s="799" t="s">
        <v>7582</v>
      </c>
      <c r="C4986" s="798" t="s">
        <v>24</v>
      </c>
      <c r="D4986" s="800">
        <v>22.21</v>
      </c>
    </row>
    <row r="4987" spans="1:4" ht="27">
      <c r="A4987" s="798">
        <v>94490</v>
      </c>
      <c r="B4987" s="799" t="s">
        <v>7583</v>
      </c>
      <c r="C4987" s="798" t="s">
        <v>24</v>
      </c>
      <c r="D4987" s="800">
        <v>32.6</v>
      </c>
    </row>
    <row r="4988" spans="1:4" ht="27">
      <c r="A4988" s="798">
        <v>94491</v>
      </c>
      <c r="B4988" s="799" t="s">
        <v>7584</v>
      </c>
      <c r="C4988" s="798" t="s">
        <v>24</v>
      </c>
      <c r="D4988" s="800">
        <v>44.77</v>
      </c>
    </row>
    <row r="4989" spans="1:4" ht="27">
      <c r="A4989" s="798">
        <v>94492</v>
      </c>
      <c r="B4989" s="799" t="s">
        <v>7585</v>
      </c>
      <c r="C4989" s="798" t="s">
        <v>24</v>
      </c>
      <c r="D4989" s="800">
        <v>46</v>
      </c>
    </row>
    <row r="4990" spans="1:4" ht="27">
      <c r="A4990" s="798">
        <v>94493</v>
      </c>
      <c r="B4990" s="799" t="s">
        <v>7586</v>
      </c>
      <c r="C4990" s="798" t="s">
        <v>24</v>
      </c>
      <c r="D4990" s="800">
        <v>84.74</v>
      </c>
    </row>
    <row r="4991" spans="1:4" ht="27">
      <c r="A4991" s="798">
        <v>94495</v>
      </c>
      <c r="B4991" s="799" t="s">
        <v>7587</v>
      </c>
      <c r="C4991" s="798" t="s">
        <v>24</v>
      </c>
      <c r="D4991" s="800">
        <v>48.27</v>
      </c>
    </row>
    <row r="4992" spans="1:4" ht="27">
      <c r="A4992" s="798">
        <v>94496</v>
      </c>
      <c r="B4992" s="799" t="s">
        <v>7588</v>
      </c>
      <c r="C4992" s="798" t="s">
        <v>24</v>
      </c>
      <c r="D4992" s="800">
        <v>65.77</v>
      </c>
    </row>
    <row r="4993" spans="1:4" ht="27">
      <c r="A4993" s="798">
        <v>94497</v>
      </c>
      <c r="B4993" s="799" t="s">
        <v>7589</v>
      </c>
      <c r="C4993" s="798" t="s">
        <v>24</v>
      </c>
      <c r="D4993" s="800">
        <v>83.28</v>
      </c>
    </row>
    <row r="4994" spans="1:4" ht="27">
      <c r="A4994" s="798">
        <v>94498</v>
      </c>
      <c r="B4994" s="799" t="s">
        <v>7590</v>
      </c>
      <c r="C4994" s="798" t="s">
        <v>24</v>
      </c>
      <c r="D4994" s="800">
        <v>115.04</v>
      </c>
    </row>
    <row r="4995" spans="1:4" ht="27">
      <c r="A4995" s="798">
        <v>94499</v>
      </c>
      <c r="B4995" s="799" t="s">
        <v>7591</v>
      </c>
      <c r="C4995" s="798" t="s">
        <v>24</v>
      </c>
      <c r="D4995" s="800">
        <v>229.65</v>
      </c>
    </row>
    <row r="4996" spans="1:4" ht="27">
      <c r="A4996" s="798">
        <v>94500</v>
      </c>
      <c r="B4996" s="799" t="s">
        <v>7592</v>
      </c>
      <c r="C4996" s="798" t="s">
        <v>24</v>
      </c>
      <c r="D4996" s="800">
        <v>278.68</v>
      </c>
    </row>
    <row r="4997" spans="1:4" ht="27">
      <c r="A4997" s="798">
        <v>94501</v>
      </c>
      <c r="B4997" s="799" t="s">
        <v>7593</v>
      </c>
      <c r="C4997" s="798" t="s">
        <v>24</v>
      </c>
      <c r="D4997" s="800">
        <v>564.23</v>
      </c>
    </row>
    <row r="4998" spans="1:4" ht="40.5">
      <c r="A4998" s="798">
        <v>94792</v>
      </c>
      <c r="B4998" s="799" t="s">
        <v>7594</v>
      </c>
      <c r="C4998" s="798" t="s">
        <v>24</v>
      </c>
      <c r="D4998" s="800">
        <v>90.4</v>
      </c>
    </row>
    <row r="4999" spans="1:4" ht="40.5">
      <c r="A4999" s="798">
        <v>94793</v>
      </c>
      <c r="B4999" s="799" t="s">
        <v>7595</v>
      </c>
      <c r="C4999" s="798" t="s">
        <v>24</v>
      </c>
      <c r="D4999" s="800">
        <v>124.03</v>
      </c>
    </row>
    <row r="5000" spans="1:4" ht="40.5">
      <c r="A5000" s="798">
        <v>94794</v>
      </c>
      <c r="B5000" s="799" t="s">
        <v>7596</v>
      </c>
      <c r="C5000" s="798" t="s">
        <v>24</v>
      </c>
      <c r="D5000" s="800">
        <v>131.36000000000001</v>
      </c>
    </row>
    <row r="5001" spans="1:4" ht="27">
      <c r="A5001" s="798">
        <v>94795</v>
      </c>
      <c r="B5001" s="799" t="s">
        <v>7597</v>
      </c>
      <c r="C5001" s="798" t="s">
        <v>24</v>
      </c>
      <c r="D5001" s="800">
        <v>39.54</v>
      </c>
    </row>
    <row r="5002" spans="1:4" ht="27">
      <c r="A5002" s="798">
        <v>94796</v>
      </c>
      <c r="B5002" s="799" t="s">
        <v>7598</v>
      </c>
      <c r="C5002" s="798" t="s">
        <v>24</v>
      </c>
      <c r="D5002" s="800">
        <v>44.63</v>
      </c>
    </row>
    <row r="5003" spans="1:4" ht="27">
      <c r="A5003" s="798">
        <v>94797</v>
      </c>
      <c r="B5003" s="799" t="s">
        <v>7599</v>
      </c>
      <c r="C5003" s="798" t="s">
        <v>24</v>
      </c>
      <c r="D5003" s="800">
        <v>94.46</v>
      </c>
    </row>
    <row r="5004" spans="1:4" ht="27">
      <c r="A5004" s="798">
        <v>94798</v>
      </c>
      <c r="B5004" s="799" t="s">
        <v>7600</v>
      </c>
      <c r="C5004" s="798" t="s">
        <v>24</v>
      </c>
      <c r="D5004" s="800">
        <v>157.82</v>
      </c>
    </row>
    <row r="5005" spans="1:4" ht="27">
      <c r="A5005" s="798">
        <v>94799</v>
      </c>
      <c r="B5005" s="799" t="s">
        <v>7601</v>
      </c>
      <c r="C5005" s="798" t="s">
        <v>24</v>
      </c>
      <c r="D5005" s="800">
        <v>193.35</v>
      </c>
    </row>
    <row r="5006" spans="1:4" ht="27">
      <c r="A5006" s="798">
        <v>94800</v>
      </c>
      <c r="B5006" s="799" t="s">
        <v>7602</v>
      </c>
      <c r="C5006" s="798" t="s">
        <v>24</v>
      </c>
      <c r="D5006" s="800">
        <v>248.2</v>
      </c>
    </row>
    <row r="5007" spans="1:4" ht="27">
      <c r="A5007" s="798">
        <v>95248</v>
      </c>
      <c r="B5007" s="799" t="s">
        <v>7603</v>
      </c>
      <c r="C5007" s="798" t="s">
        <v>24</v>
      </c>
      <c r="D5007" s="800">
        <v>41.28</v>
      </c>
    </row>
    <row r="5008" spans="1:4" ht="27">
      <c r="A5008" s="798">
        <v>95249</v>
      </c>
      <c r="B5008" s="799" t="s">
        <v>7604</v>
      </c>
      <c r="C5008" s="798" t="s">
        <v>24</v>
      </c>
      <c r="D5008" s="800">
        <v>48.6</v>
      </c>
    </row>
    <row r="5009" spans="1:4" ht="27">
      <c r="A5009" s="798">
        <v>95250</v>
      </c>
      <c r="B5009" s="799" t="s">
        <v>7605</v>
      </c>
      <c r="C5009" s="798" t="s">
        <v>24</v>
      </c>
      <c r="D5009" s="800">
        <v>65.58</v>
      </c>
    </row>
    <row r="5010" spans="1:4" ht="27">
      <c r="A5010" s="798">
        <v>95251</v>
      </c>
      <c r="B5010" s="799" t="s">
        <v>7606</v>
      </c>
      <c r="C5010" s="798" t="s">
        <v>24</v>
      </c>
      <c r="D5010" s="800">
        <v>97.06</v>
      </c>
    </row>
    <row r="5011" spans="1:4" ht="27">
      <c r="A5011" s="798">
        <v>95252</v>
      </c>
      <c r="B5011" s="799" t="s">
        <v>7607</v>
      </c>
      <c r="C5011" s="798" t="s">
        <v>24</v>
      </c>
      <c r="D5011" s="800">
        <v>117.62</v>
      </c>
    </row>
    <row r="5012" spans="1:4" ht="27">
      <c r="A5012" s="798">
        <v>95253</v>
      </c>
      <c r="B5012" s="799" t="s">
        <v>7608</v>
      </c>
      <c r="C5012" s="798" t="s">
        <v>24</v>
      </c>
      <c r="D5012" s="800">
        <v>179.01</v>
      </c>
    </row>
    <row r="5013" spans="1:4" ht="27">
      <c r="A5013" s="798">
        <v>99619</v>
      </c>
      <c r="B5013" s="799" t="s">
        <v>7609</v>
      </c>
      <c r="C5013" s="798" t="s">
        <v>24</v>
      </c>
      <c r="D5013" s="800">
        <v>93.51</v>
      </c>
    </row>
    <row r="5014" spans="1:4" ht="27">
      <c r="A5014" s="798">
        <v>99620</v>
      </c>
      <c r="B5014" s="799" t="s">
        <v>7610</v>
      </c>
      <c r="C5014" s="798" t="s">
        <v>24</v>
      </c>
      <c r="D5014" s="800">
        <v>127.03</v>
      </c>
    </row>
    <row r="5015" spans="1:4" ht="27">
      <c r="A5015" s="798">
        <v>99621</v>
      </c>
      <c r="B5015" s="799" t="s">
        <v>7611</v>
      </c>
      <c r="C5015" s="798" t="s">
        <v>24</v>
      </c>
      <c r="D5015" s="800">
        <v>189.43</v>
      </c>
    </row>
    <row r="5016" spans="1:4" ht="27">
      <c r="A5016" s="798">
        <v>99622</v>
      </c>
      <c r="B5016" s="799" t="s">
        <v>7612</v>
      </c>
      <c r="C5016" s="798" t="s">
        <v>24</v>
      </c>
      <c r="D5016" s="800">
        <v>213</v>
      </c>
    </row>
    <row r="5017" spans="1:4" ht="27">
      <c r="A5017" s="798">
        <v>99623</v>
      </c>
      <c r="B5017" s="799" t="s">
        <v>7613</v>
      </c>
      <c r="C5017" s="798" t="s">
        <v>24</v>
      </c>
      <c r="D5017" s="800">
        <v>297.38</v>
      </c>
    </row>
    <row r="5018" spans="1:4" ht="27">
      <c r="A5018" s="798">
        <v>99624</v>
      </c>
      <c r="B5018" s="799" t="s">
        <v>7614</v>
      </c>
      <c r="C5018" s="798" t="s">
        <v>24</v>
      </c>
      <c r="D5018" s="800">
        <v>424.1</v>
      </c>
    </row>
    <row r="5019" spans="1:4" ht="27">
      <c r="A5019" s="798">
        <v>99625</v>
      </c>
      <c r="B5019" s="799" t="s">
        <v>7615</v>
      </c>
      <c r="C5019" s="798" t="s">
        <v>24</v>
      </c>
      <c r="D5019" s="800">
        <v>583.66999999999996</v>
      </c>
    </row>
    <row r="5020" spans="1:4" ht="27">
      <c r="A5020" s="798">
        <v>99626</v>
      </c>
      <c r="B5020" s="799" t="s">
        <v>7616</v>
      </c>
      <c r="C5020" s="798" t="s">
        <v>24</v>
      </c>
      <c r="D5020" s="800">
        <v>899.58</v>
      </c>
    </row>
    <row r="5021" spans="1:4" ht="27">
      <c r="A5021" s="798">
        <v>99627</v>
      </c>
      <c r="B5021" s="799" t="s">
        <v>7617</v>
      </c>
      <c r="C5021" s="798" t="s">
        <v>24</v>
      </c>
      <c r="D5021" s="800">
        <v>56.4</v>
      </c>
    </row>
    <row r="5022" spans="1:4" ht="27">
      <c r="A5022" s="798">
        <v>99628</v>
      </c>
      <c r="B5022" s="799" t="s">
        <v>7618</v>
      </c>
      <c r="C5022" s="798" t="s">
        <v>24</v>
      </c>
      <c r="D5022" s="800">
        <v>61.37</v>
      </c>
    </row>
    <row r="5023" spans="1:4" ht="27">
      <c r="A5023" s="798">
        <v>99629</v>
      </c>
      <c r="B5023" s="799" t="s">
        <v>7619</v>
      </c>
      <c r="C5023" s="798" t="s">
        <v>24</v>
      </c>
      <c r="D5023" s="800">
        <v>68.03</v>
      </c>
    </row>
    <row r="5024" spans="1:4" ht="27">
      <c r="A5024" s="798">
        <v>99630</v>
      </c>
      <c r="B5024" s="799" t="s">
        <v>7620</v>
      </c>
      <c r="C5024" s="798" t="s">
        <v>24</v>
      </c>
      <c r="D5024" s="800">
        <v>101.32</v>
      </c>
    </row>
    <row r="5025" spans="1:4" ht="27">
      <c r="A5025" s="798">
        <v>99631</v>
      </c>
      <c r="B5025" s="799" t="s">
        <v>7621</v>
      </c>
      <c r="C5025" s="798" t="s">
        <v>24</v>
      </c>
      <c r="D5025" s="800">
        <v>117.77</v>
      </c>
    </row>
    <row r="5026" spans="1:4" ht="27">
      <c r="A5026" s="798">
        <v>99632</v>
      </c>
      <c r="B5026" s="799" t="s">
        <v>7622</v>
      </c>
      <c r="C5026" s="798" t="s">
        <v>24</v>
      </c>
      <c r="D5026" s="800">
        <v>170.04</v>
      </c>
    </row>
    <row r="5027" spans="1:4" ht="27">
      <c r="A5027" s="798">
        <v>99633</v>
      </c>
      <c r="B5027" s="799" t="s">
        <v>7623</v>
      </c>
      <c r="C5027" s="798" t="s">
        <v>24</v>
      </c>
      <c r="D5027" s="800">
        <v>365.81</v>
      </c>
    </row>
    <row r="5028" spans="1:4" ht="27">
      <c r="A5028" s="798">
        <v>99634</v>
      </c>
      <c r="B5028" s="799" t="s">
        <v>7624</v>
      </c>
      <c r="C5028" s="798" t="s">
        <v>24</v>
      </c>
      <c r="D5028" s="800">
        <v>625.46</v>
      </c>
    </row>
    <row r="5029" spans="1:4" ht="40.5">
      <c r="A5029" s="798">
        <v>99635</v>
      </c>
      <c r="B5029" s="799" t="s">
        <v>7625</v>
      </c>
      <c r="C5029" s="798" t="s">
        <v>24</v>
      </c>
      <c r="D5029" s="800">
        <v>187.52</v>
      </c>
    </row>
    <row r="5030" spans="1:4" ht="27">
      <c r="A5030" s="798">
        <v>103008</v>
      </c>
      <c r="B5030" s="799" t="s">
        <v>7626</v>
      </c>
      <c r="C5030" s="798" t="s">
        <v>24</v>
      </c>
      <c r="D5030" s="800">
        <v>76.5</v>
      </c>
    </row>
    <row r="5031" spans="1:4" ht="27">
      <c r="A5031" s="798">
        <v>103009</v>
      </c>
      <c r="B5031" s="799" t="s">
        <v>7627</v>
      </c>
      <c r="C5031" s="798" t="s">
        <v>24</v>
      </c>
      <c r="D5031" s="800">
        <v>269.24</v>
      </c>
    </row>
    <row r="5032" spans="1:4" ht="40.5">
      <c r="A5032" s="798">
        <v>103010</v>
      </c>
      <c r="B5032" s="799" t="s">
        <v>7628</v>
      </c>
      <c r="C5032" s="798" t="s">
        <v>24</v>
      </c>
      <c r="D5032" s="800">
        <v>58</v>
      </c>
    </row>
    <row r="5033" spans="1:4" ht="27">
      <c r="A5033" s="798">
        <v>103011</v>
      </c>
      <c r="B5033" s="799" t="s">
        <v>7629</v>
      </c>
      <c r="C5033" s="798" t="s">
        <v>24</v>
      </c>
      <c r="D5033" s="800">
        <v>64.599999999999994</v>
      </c>
    </row>
    <row r="5034" spans="1:4" ht="40.5">
      <c r="A5034" s="798">
        <v>103012</v>
      </c>
      <c r="B5034" s="799" t="s">
        <v>7630</v>
      </c>
      <c r="C5034" s="798" t="s">
        <v>24</v>
      </c>
      <c r="D5034" s="800">
        <v>101.95</v>
      </c>
    </row>
    <row r="5035" spans="1:4" ht="40.5">
      <c r="A5035" s="798">
        <v>103013</v>
      </c>
      <c r="B5035" s="799" t="s">
        <v>7631</v>
      </c>
      <c r="C5035" s="798" t="s">
        <v>24</v>
      </c>
      <c r="D5035" s="800">
        <v>109.62</v>
      </c>
    </row>
    <row r="5036" spans="1:4" ht="27">
      <c r="A5036" s="798">
        <v>103014</v>
      </c>
      <c r="B5036" s="799" t="s">
        <v>7632</v>
      </c>
      <c r="C5036" s="798" t="s">
        <v>24</v>
      </c>
      <c r="D5036" s="800">
        <v>165.02</v>
      </c>
    </row>
    <row r="5037" spans="1:4" ht="40.5">
      <c r="A5037" s="798">
        <v>103015</v>
      </c>
      <c r="B5037" s="799" t="s">
        <v>7633</v>
      </c>
      <c r="C5037" s="798" t="s">
        <v>24</v>
      </c>
      <c r="D5037" s="800">
        <v>292.14999999999998</v>
      </c>
    </row>
    <row r="5038" spans="1:4" ht="27">
      <c r="A5038" s="798">
        <v>103016</v>
      </c>
      <c r="B5038" s="799" t="s">
        <v>7634</v>
      </c>
      <c r="C5038" s="798" t="s">
        <v>24</v>
      </c>
      <c r="D5038" s="800">
        <v>399.53</v>
      </c>
    </row>
    <row r="5039" spans="1:4" ht="27">
      <c r="A5039" s="798">
        <v>103017</v>
      </c>
      <c r="B5039" s="799" t="s">
        <v>7635</v>
      </c>
      <c r="C5039" s="798" t="s">
        <v>24</v>
      </c>
      <c r="D5039" s="800">
        <v>698.22</v>
      </c>
    </row>
    <row r="5040" spans="1:4" ht="40.5">
      <c r="A5040" s="798">
        <v>103018</v>
      </c>
      <c r="B5040" s="799" t="s">
        <v>7636</v>
      </c>
      <c r="C5040" s="798" t="s">
        <v>24</v>
      </c>
      <c r="D5040" s="800">
        <v>153.74</v>
      </c>
    </row>
    <row r="5041" spans="1:4" ht="40.5">
      <c r="A5041" s="798">
        <v>103019</v>
      </c>
      <c r="B5041" s="799" t="s">
        <v>7637</v>
      </c>
      <c r="C5041" s="798" t="s">
        <v>24</v>
      </c>
      <c r="D5041" s="800">
        <v>171.62</v>
      </c>
    </row>
    <row r="5042" spans="1:4" ht="27">
      <c r="A5042" s="798">
        <v>103029</v>
      </c>
      <c r="B5042" s="799" t="s">
        <v>7638</v>
      </c>
      <c r="C5042" s="798" t="s">
        <v>24</v>
      </c>
      <c r="D5042" s="800">
        <v>35.67</v>
      </c>
    </row>
    <row r="5043" spans="1:4" ht="27">
      <c r="A5043" s="798">
        <v>103036</v>
      </c>
      <c r="B5043" s="799" t="s">
        <v>7639</v>
      </c>
      <c r="C5043" s="798" t="s">
        <v>24</v>
      </c>
      <c r="D5043" s="800">
        <v>17.14</v>
      </c>
    </row>
    <row r="5044" spans="1:4" ht="27">
      <c r="A5044" s="798">
        <v>103037</v>
      </c>
      <c r="B5044" s="799" t="s">
        <v>7640</v>
      </c>
      <c r="C5044" s="798" t="s">
        <v>24</v>
      </c>
      <c r="D5044" s="800">
        <v>33.74</v>
      </c>
    </row>
    <row r="5045" spans="1:4" ht="27">
      <c r="A5045" s="798">
        <v>103038</v>
      </c>
      <c r="B5045" s="799" t="s">
        <v>7641</v>
      </c>
      <c r="C5045" s="798" t="s">
        <v>24</v>
      </c>
      <c r="D5045" s="800">
        <v>45.19</v>
      </c>
    </row>
    <row r="5046" spans="1:4" ht="27">
      <c r="A5046" s="798">
        <v>103039</v>
      </c>
      <c r="B5046" s="799" t="s">
        <v>7642</v>
      </c>
      <c r="C5046" s="798" t="s">
        <v>24</v>
      </c>
      <c r="D5046" s="800">
        <v>49.23</v>
      </c>
    </row>
    <row r="5047" spans="1:4" ht="27">
      <c r="A5047" s="798">
        <v>103040</v>
      </c>
      <c r="B5047" s="799" t="s">
        <v>7643</v>
      </c>
      <c r="C5047" s="798" t="s">
        <v>24</v>
      </c>
      <c r="D5047" s="800">
        <v>73.09</v>
      </c>
    </row>
    <row r="5048" spans="1:4" ht="27">
      <c r="A5048" s="798">
        <v>103041</v>
      </c>
      <c r="B5048" s="799" t="s">
        <v>7644</v>
      </c>
      <c r="C5048" s="798" t="s">
        <v>24</v>
      </c>
      <c r="D5048" s="800">
        <v>14.31</v>
      </c>
    </row>
    <row r="5049" spans="1:4" ht="27">
      <c r="A5049" s="798">
        <v>103042</v>
      </c>
      <c r="B5049" s="799" t="s">
        <v>7645</v>
      </c>
      <c r="C5049" s="798" t="s">
        <v>24</v>
      </c>
      <c r="D5049" s="800">
        <v>17.72</v>
      </c>
    </row>
    <row r="5050" spans="1:4" ht="40.5">
      <c r="A5050" s="798">
        <v>103043</v>
      </c>
      <c r="B5050" s="799" t="s">
        <v>7646</v>
      </c>
      <c r="C5050" s="798" t="s">
        <v>24</v>
      </c>
      <c r="D5050" s="800">
        <v>16.5</v>
      </c>
    </row>
    <row r="5051" spans="1:4" ht="40.5">
      <c r="A5051" s="798">
        <v>103044</v>
      </c>
      <c r="B5051" s="799" t="s">
        <v>7647</v>
      </c>
      <c r="C5051" s="798" t="s">
        <v>24</v>
      </c>
      <c r="D5051" s="800">
        <v>22.29</v>
      </c>
    </row>
    <row r="5052" spans="1:4" ht="27">
      <c r="A5052" s="798">
        <v>103045</v>
      </c>
      <c r="B5052" s="799" t="s">
        <v>7648</v>
      </c>
      <c r="C5052" s="798" t="s">
        <v>24</v>
      </c>
      <c r="D5052" s="800">
        <v>7.1</v>
      </c>
    </row>
    <row r="5053" spans="1:4" ht="27">
      <c r="A5053" s="798">
        <v>103046</v>
      </c>
      <c r="B5053" s="799" t="s">
        <v>7649</v>
      </c>
      <c r="C5053" s="798" t="s">
        <v>24</v>
      </c>
      <c r="D5053" s="800">
        <v>16.8</v>
      </c>
    </row>
    <row r="5054" spans="1:4" ht="27">
      <c r="A5054" s="798">
        <v>103047</v>
      </c>
      <c r="B5054" s="799" t="s">
        <v>7650</v>
      </c>
      <c r="C5054" s="798" t="s">
        <v>24</v>
      </c>
      <c r="D5054" s="800">
        <v>17.97</v>
      </c>
    </row>
    <row r="5055" spans="1:4" ht="27">
      <c r="A5055" s="798">
        <v>103048</v>
      </c>
      <c r="B5055" s="799" t="s">
        <v>7651</v>
      </c>
      <c r="C5055" s="798" t="s">
        <v>24</v>
      </c>
      <c r="D5055" s="800">
        <v>13.61</v>
      </c>
    </row>
    <row r="5056" spans="1:4" ht="27">
      <c r="A5056" s="798">
        <v>103049</v>
      </c>
      <c r="B5056" s="799" t="s">
        <v>7652</v>
      </c>
      <c r="C5056" s="798" t="s">
        <v>24</v>
      </c>
      <c r="D5056" s="800">
        <v>14.95</v>
      </c>
    </row>
    <row r="5057" spans="1:4" ht="27">
      <c r="A5057" s="798">
        <v>103050</v>
      </c>
      <c r="B5057" s="799" t="s">
        <v>7653</v>
      </c>
      <c r="C5057" s="798" t="s">
        <v>24</v>
      </c>
      <c r="D5057" s="800">
        <v>19.63</v>
      </c>
    </row>
    <row r="5058" spans="1:4" ht="27">
      <c r="A5058" s="798">
        <v>103051</v>
      </c>
      <c r="B5058" s="799" t="s">
        <v>7654</v>
      </c>
      <c r="C5058" s="798" t="s">
        <v>24</v>
      </c>
      <c r="D5058" s="800">
        <v>24.01</v>
      </c>
    </row>
    <row r="5059" spans="1:4" ht="27">
      <c r="A5059" s="798">
        <v>103052</v>
      </c>
      <c r="B5059" s="799" t="s">
        <v>7655</v>
      </c>
      <c r="C5059" s="798" t="s">
        <v>24</v>
      </c>
      <c r="D5059" s="800">
        <v>33.19</v>
      </c>
    </row>
    <row r="5060" spans="1:4" ht="40.5">
      <c r="A5060" s="798">
        <v>95634</v>
      </c>
      <c r="B5060" s="799" t="s">
        <v>3805</v>
      </c>
      <c r="C5060" s="798" t="s">
        <v>24</v>
      </c>
      <c r="D5060" s="800">
        <v>145.9</v>
      </c>
    </row>
    <row r="5061" spans="1:4" ht="40.5">
      <c r="A5061" s="798">
        <v>95635</v>
      </c>
      <c r="B5061" s="799" t="s">
        <v>3806</v>
      </c>
      <c r="C5061" s="798" t="s">
        <v>24</v>
      </c>
      <c r="D5061" s="800">
        <v>156.65</v>
      </c>
    </row>
    <row r="5062" spans="1:4" ht="54">
      <c r="A5062" s="798">
        <v>95636</v>
      </c>
      <c r="B5062" s="799" t="s">
        <v>6761</v>
      </c>
      <c r="C5062" s="798" t="s">
        <v>24</v>
      </c>
      <c r="D5062" s="800">
        <v>292.13</v>
      </c>
    </row>
    <row r="5063" spans="1:4" ht="54">
      <c r="A5063" s="798">
        <v>95637</v>
      </c>
      <c r="B5063" s="799" t="s">
        <v>2634</v>
      </c>
      <c r="C5063" s="798" t="s">
        <v>24</v>
      </c>
      <c r="D5063" s="800">
        <v>447</v>
      </c>
    </row>
    <row r="5064" spans="1:4" ht="54">
      <c r="A5064" s="798">
        <v>95638</v>
      </c>
      <c r="B5064" s="799" t="s">
        <v>2635</v>
      </c>
      <c r="C5064" s="798" t="s">
        <v>24</v>
      </c>
      <c r="D5064" s="800">
        <v>543.73</v>
      </c>
    </row>
    <row r="5065" spans="1:4" ht="40.5">
      <c r="A5065" s="798">
        <v>95639</v>
      </c>
      <c r="B5065" s="799" t="s">
        <v>2636</v>
      </c>
      <c r="C5065" s="798" t="s">
        <v>24</v>
      </c>
      <c r="D5065" s="800">
        <v>706.26</v>
      </c>
    </row>
    <row r="5066" spans="1:4" ht="54">
      <c r="A5066" s="798">
        <v>95641</v>
      </c>
      <c r="B5066" s="799" t="s">
        <v>2637</v>
      </c>
      <c r="C5066" s="798" t="s">
        <v>24</v>
      </c>
      <c r="D5066" s="800">
        <v>259.77</v>
      </c>
    </row>
    <row r="5067" spans="1:4" ht="54">
      <c r="A5067" s="798">
        <v>95642</v>
      </c>
      <c r="B5067" s="799" t="s">
        <v>2638</v>
      </c>
      <c r="C5067" s="798" t="s">
        <v>24</v>
      </c>
      <c r="D5067" s="800">
        <v>383.76</v>
      </c>
    </row>
    <row r="5068" spans="1:4" ht="54">
      <c r="A5068" s="798">
        <v>95643</v>
      </c>
      <c r="B5068" s="799" t="s">
        <v>2639</v>
      </c>
      <c r="C5068" s="798" t="s">
        <v>24</v>
      </c>
      <c r="D5068" s="800">
        <v>502.49</v>
      </c>
    </row>
    <row r="5069" spans="1:4" ht="54">
      <c r="A5069" s="798">
        <v>95644</v>
      </c>
      <c r="B5069" s="799" t="s">
        <v>2640</v>
      </c>
      <c r="C5069" s="798" t="s">
        <v>24</v>
      </c>
      <c r="D5069" s="800">
        <v>190.98</v>
      </c>
    </row>
    <row r="5070" spans="1:4" ht="54">
      <c r="A5070" s="798">
        <v>95645</v>
      </c>
      <c r="B5070" s="799" t="s">
        <v>2641</v>
      </c>
      <c r="C5070" s="798" t="s">
        <v>24</v>
      </c>
      <c r="D5070" s="800">
        <v>350.6</v>
      </c>
    </row>
    <row r="5071" spans="1:4" ht="54">
      <c r="A5071" s="798">
        <v>95646</v>
      </c>
      <c r="B5071" s="799" t="s">
        <v>2642</v>
      </c>
      <c r="C5071" s="798" t="s">
        <v>24</v>
      </c>
      <c r="D5071" s="800">
        <v>522.37</v>
      </c>
    </row>
    <row r="5072" spans="1:4" ht="54">
      <c r="A5072" s="798">
        <v>95647</v>
      </c>
      <c r="B5072" s="799" t="s">
        <v>2643</v>
      </c>
      <c r="C5072" s="798" t="s">
        <v>24</v>
      </c>
      <c r="D5072" s="800">
        <v>685.39</v>
      </c>
    </row>
    <row r="5073" spans="1:4" ht="27">
      <c r="A5073" s="798">
        <v>95673</v>
      </c>
      <c r="B5073" s="799" t="s">
        <v>2644</v>
      </c>
      <c r="C5073" s="798" t="s">
        <v>24</v>
      </c>
      <c r="D5073" s="800">
        <v>115.76</v>
      </c>
    </row>
    <row r="5074" spans="1:4" ht="27">
      <c r="A5074" s="798">
        <v>95674</v>
      </c>
      <c r="B5074" s="799" t="s">
        <v>2645</v>
      </c>
      <c r="C5074" s="798" t="s">
        <v>24</v>
      </c>
      <c r="D5074" s="800">
        <v>123.1</v>
      </c>
    </row>
    <row r="5075" spans="1:4" ht="27">
      <c r="A5075" s="798">
        <v>95675</v>
      </c>
      <c r="B5075" s="799" t="s">
        <v>529</v>
      </c>
      <c r="C5075" s="798" t="s">
        <v>24</v>
      </c>
      <c r="D5075" s="800">
        <v>150.59</v>
      </c>
    </row>
    <row r="5076" spans="1:4" ht="40.5">
      <c r="A5076" s="798">
        <v>95676</v>
      </c>
      <c r="B5076" s="799" t="s">
        <v>2646</v>
      </c>
      <c r="C5076" s="798" t="s">
        <v>24</v>
      </c>
      <c r="D5076" s="800">
        <v>107.9</v>
      </c>
    </row>
    <row r="5077" spans="1:4" ht="54">
      <c r="A5077" s="798">
        <v>97741</v>
      </c>
      <c r="B5077" s="799" t="s">
        <v>3249</v>
      </c>
      <c r="C5077" s="798" t="s">
        <v>24</v>
      </c>
      <c r="D5077" s="800">
        <v>145.1</v>
      </c>
    </row>
    <row r="5078" spans="1:4" ht="27">
      <c r="A5078" s="798">
        <v>90436</v>
      </c>
      <c r="B5078" s="799" t="s">
        <v>321</v>
      </c>
      <c r="C5078" s="798" t="s">
        <v>24</v>
      </c>
      <c r="D5078" s="800">
        <v>10.43</v>
      </c>
    </row>
    <row r="5079" spans="1:4" ht="27">
      <c r="A5079" s="798">
        <v>90437</v>
      </c>
      <c r="B5079" s="799" t="s">
        <v>322</v>
      </c>
      <c r="C5079" s="798" t="s">
        <v>24</v>
      </c>
      <c r="D5079" s="800">
        <v>25.36</v>
      </c>
    </row>
    <row r="5080" spans="1:4" ht="27">
      <c r="A5080" s="798">
        <v>90438</v>
      </c>
      <c r="B5080" s="799" t="s">
        <v>323</v>
      </c>
      <c r="C5080" s="798" t="s">
        <v>24</v>
      </c>
      <c r="D5080" s="800">
        <v>36.35</v>
      </c>
    </row>
    <row r="5081" spans="1:4" ht="27">
      <c r="A5081" s="798">
        <v>90439</v>
      </c>
      <c r="B5081" s="799" t="s">
        <v>324</v>
      </c>
      <c r="C5081" s="798" t="s">
        <v>24</v>
      </c>
      <c r="D5081" s="800">
        <v>41.83</v>
      </c>
    </row>
    <row r="5082" spans="1:4" ht="27">
      <c r="A5082" s="798">
        <v>90440</v>
      </c>
      <c r="B5082" s="799" t="s">
        <v>325</v>
      </c>
      <c r="C5082" s="798" t="s">
        <v>24</v>
      </c>
      <c r="D5082" s="800">
        <v>67</v>
      </c>
    </row>
    <row r="5083" spans="1:4" ht="27">
      <c r="A5083" s="798">
        <v>90441</v>
      </c>
      <c r="B5083" s="799" t="s">
        <v>326</v>
      </c>
      <c r="C5083" s="798" t="s">
        <v>24</v>
      </c>
      <c r="D5083" s="800">
        <v>85.59</v>
      </c>
    </row>
    <row r="5084" spans="1:4" ht="27">
      <c r="A5084" s="798">
        <v>90443</v>
      </c>
      <c r="B5084" s="799" t="s">
        <v>327</v>
      </c>
      <c r="C5084" s="798" t="s">
        <v>14</v>
      </c>
      <c r="D5084" s="800">
        <v>9.48</v>
      </c>
    </row>
    <row r="5085" spans="1:4" ht="27">
      <c r="A5085" s="798">
        <v>90444</v>
      </c>
      <c r="B5085" s="799" t="s">
        <v>328</v>
      </c>
      <c r="C5085" s="798" t="s">
        <v>14</v>
      </c>
      <c r="D5085" s="800">
        <v>17.940000000000001</v>
      </c>
    </row>
    <row r="5086" spans="1:4" ht="40.5">
      <c r="A5086" s="798">
        <v>90445</v>
      </c>
      <c r="B5086" s="799" t="s">
        <v>1585</v>
      </c>
      <c r="C5086" s="798" t="s">
        <v>14</v>
      </c>
      <c r="D5086" s="800">
        <v>19.16</v>
      </c>
    </row>
    <row r="5087" spans="1:4" ht="27">
      <c r="A5087" s="798">
        <v>90446</v>
      </c>
      <c r="B5087" s="799" t="s">
        <v>1586</v>
      </c>
      <c r="C5087" s="798" t="s">
        <v>14</v>
      </c>
      <c r="D5087" s="800">
        <v>20.81</v>
      </c>
    </row>
    <row r="5088" spans="1:4" ht="27">
      <c r="A5088" s="798">
        <v>90447</v>
      </c>
      <c r="B5088" s="799" t="s">
        <v>329</v>
      </c>
      <c r="C5088" s="798" t="s">
        <v>14</v>
      </c>
      <c r="D5088" s="800">
        <v>4.72</v>
      </c>
    </row>
    <row r="5089" spans="1:4" ht="27">
      <c r="A5089" s="798">
        <v>90451</v>
      </c>
      <c r="B5089" s="799" t="s">
        <v>1587</v>
      </c>
      <c r="C5089" s="798" t="s">
        <v>24</v>
      </c>
      <c r="D5089" s="800">
        <v>3.37</v>
      </c>
    </row>
    <row r="5090" spans="1:4" ht="40.5">
      <c r="A5090" s="798">
        <v>90452</v>
      </c>
      <c r="B5090" s="799" t="s">
        <v>330</v>
      </c>
      <c r="C5090" s="798" t="s">
        <v>24</v>
      </c>
      <c r="D5090" s="800">
        <v>15.72</v>
      </c>
    </row>
    <row r="5091" spans="1:4" ht="27">
      <c r="A5091" s="798">
        <v>90453</v>
      </c>
      <c r="B5091" s="799" t="s">
        <v>331</v>
      </c>
      <c r="C5091" s="798" t="s">
        <v>24</v>
      </c>
      <c r="D5091" s="800">
        <v>2.46</v>
      </c>
    </row>
    <row r="5092" spans="1:4" ht="27">
      <c r="A5092" s="798">
        <v>90454</v>
      </c>
      <c r="B5092" s="799" t="s">
        <v>332</v>
      </c>
      <c r="C5092" s="798" t="s">
        <v>24</v>
      </c>
      <c r="D5092" s="800">
        <v>4.6399999999999997</v>
      </c>
    </row>
    <row r="5093" spans="1:4" ht="27">
      <c r="A5093" s="798">
        <v>90455</v>
      </c>
      <c r="B5093" s="799" t="s">
        <v>1588</v>
      </c>
      <c r="C5093" s="798" t="s">
        <v>24</v>
      </c>
      <c r="D5093" s="800">
        <v>5.92</v>
      </c>
    </row>
    <row r="5094" spans="1:4" ht="27">
      <c r="A5094" s="798">
        <v>90456</v>
      </c>
      <c r="B5094" s="799" t="s">
        <v>1589</v>
      </c>
      <c r="C5094" s="798" t="s">
        <v>24</v>
      </c>
      <c r="D5094" s="800">
        <v>3.04</v>
      </c>
    </row>
    <row r="5095" spans="1:4" ht="27">
      <c r="A5095" s="798">
        <v>90457</v>
      </c>
      <c r="B5095" s="799" t="s">
        <v>1590</v>
      </c>
      <c r="C5095" s="798" t="s">
        <v>24</v>
      </c>
      <c r="D5095" s="800">
        <v>6.94</v>
      </c>
    </row>
    <row r="5096" spans="1:4" ht="27">
      <c r="A5096" s="798">
        <v>90458</v>
      </c>
      <c r="B5096" s="799" t="s">
        <v>1591</v>
      </c>
      <c r="C5096" s="798" t="s">
        <v>24</v>
      </c>
      <c r="D5096" s="800">
        <v>19.7</v>
      </c>
    </row>
    <row r="5097" spans="1:4" ht="27">
      <c r="A5097" s="798">
        <v>90459</v>
      </c>
      <c r="B5097" s="799" t="s">
        <v>1592</v>
      </c>
      <c r="C5097" s="798" t="s">
        <v>24</v>
      </c>
      <c r="D5097" s="800">
        <v>27.79</v>
      </c>
    </row>
    <row r="5098" spans="1:4" ht="40.5">
      <c r="A5098" s="798">
        <v>90460</v>
      </c>
      <c r="B5098" s="799" t="s">
        <v>4914</v>
      </c>
      <c r="C5098" s="798" t="s">
        <v>14</v>
      </c>
      <c r="D5098" s="800">
        <v>10.85</v>
      </c>
    </row>
    <row r="5099" spans="1:4" ht="40.5">
      <c r="A5099" s="798">
        <v>90461</v>
      </c>
      <c r="B5099" s="799" t="s">
        <v>4915</v>
      </c>
      <c r="C5099" s="798" t="s">
        <v>14</v>
      </c>
      <c r="D5099" s="800">
        <v>6.9</v>
      </c>
    </row>
    <row r="5100" spans="1:4" ht="40.5">
      <c r="A5100" s="798">
        <v>90462</v>
      </c>
      <c r="B5100" s="799" t="s">
        <v>4916</v>
      </c>
      <c r="C5100" s="798" t="s">
        <v>14</v>
      </c>
      <c r="D5100" s="800">
        <v>1.44</v>
      </c>
    </row>
    <row r="5101" spans="1:4" ht="40.5">
      <c r="A5101" s="798">
        <v>90463</v>
      </c>
      <c r="B5101" s="799" t="s">
        <v>4917</v>
      </c>
      <c r="C5101" s="798" t="s">
        <v>14</v>
      </c>
      <c r="D5101" s="800">
        <v>1.21</v>
      </c>
    </row>
    <row r="5102" spans="1:4" ht="40.5">
      <c r="A5102" s="798">
        <v>90466</v>
      </c>
      <c r="B5102" s="799" t="s">
        <v>333</v>
      </c>
      <c r="C5102" s="798" t="s">
        <v>14</v>
      </c>
      <c r="D5102" s="800">
        <v>9.86</v>
      </c>
    </row>
    <row r="5103" spans="1:4" ht="40.5">
      <c r="A5103" s="798">
        <v>90467</v>
      </c>
      <c r="B5103" s="799" t="s">
        <v>334</v>
      </c>
      <c r="C5103" s="798" t="s">
        <v>14</v>
      </c>
      <c r="D5103" s="800">
        <v>15.63</v>
      </c>
    </row>
    <row r="5104" spans="1:4" ht="40.5">
      <c r="A5104" s="798">
        <v>90468</v>
      </c>
      <c r="B5104" s="799" t="s">
        <v>1593</v>
      </c>
      <c r="C5104" s="798" t="s">
        <v>14</v>
      </c>
      <c r="D5104" s="800">
        <v>4.55</v>
      </c>
    </row>
    <row r="5105" spans="1:4" ht="40.5">
      <c r="A5105" s="798">
        <v>90469</v>
      </c>
      <c r="B5105" s="799" t="s">
        <v>1594</v>
      </c>
      <c r="C5105" s="798" t="s">
        <v>14</v>
      </c>
      <c r="D5105" s="800">
        <v>7.31</v>
      </c>
    </row>
    <row r="5106" spans="1:4" ht="40.5">
      <c r="A5106" s="798">
        <v>90470</v>
      </c>
      <c r="B5106" s="799" t="s">
        <v>1595</v>
      </c>
      <c r="C5106" s="798" t="s">
        <v>14</v>
      </c>
      <c r="D5106" s="800">
        <v>10.210000000000001</v>
      </c>
    </row>
    <row r="5107" spans="1:4" ht="40.5">
      <c r="A5107" s="798">
        <v>91166</v>
      </c>
      <c r="B5107" s="799" t="s">
        <v>1697</v>
      </c>
      <c r="C5107" s="798" t="s">
        <v>14</v>
      </c>
      <c r="D5107" s="800">
        <v>3.47</v>
      </c>
    </row>
    <row r="5108" spans="1:4" ht="40.5">
      <c r="A5108" s="798">
        <v>91167</v>
      </c>
      <c r="B5108" s="799" t="s">
        <v>1698</v>
      </c>
      <c r="C5108" s="798" t="s">
        <v>14</v>
      </c>
      <c r="D5108" s="800">
        <v>10.91</v>
      </c>
    </row>
    <row r="5109" spans="1:4" ht="54">
      <c r="A5109" s="798">
        <v>91168</v>
      </c>
      <c r="B5109" s="799" t="s">
        <v>1699</v>
      </c>
      <c r="C5109" s="798" t="s">
        <v>14</v>
      </c>
      <c r="D5109" s="800">
        <v>8.35</v>
      </c>
    </row>
    <row r="5110" spans="1:4" ht="40.5">
      <c r="A5110" s="798">
        <v>91169</v>
      </c>
      <c r="B5110" s="799" t="s">
        <v>1700</v>
      </c>
      <c r="C5110" s="798" t="s">
        <v>14</v>
      </c>
      <c r="D5110" s="800">
        <v>9.86</v>
      </c>
    </row>
    <row r="5111" spans="1:4" ht="54">
      <c r="A5111" s="798">
        <v>91170</v>
      </c>
      <c r="B5111" s="799" t="s">
        <v>1701</v>
      </c>
      <c r="C5111" s="798" t="s">
        <v>14</v>
      </c>
      <c r="D5111" s="800">
        <v>2.81</v>
      </c>
    </row>
    <row r="5112" spans="1:4" ht="54">
      <c r="A5112" s="798">
        <v>91171</v>
      </c>
      <c r="B5112" s="799" t="s">
        <v>1702</v>
      </c>
      <c r="C5112" s="798" t="s">
        <v>14</v>
      </c>
      <c r="D5112" s="800">
        <v>3.56</v>
      </c>
    </row>
    <row r="5113" spans="1:4" ht="54">
      <c r="A5113" s="798">
        <v>91172</v>
      </c>
      <c r="B5113" s="799" t="s">
        <v>1703</v>
      </c>
      <c r="C5113" s="798" t="s">
        <v>14</v>
      </c>
      <c r="D5113" s="800">
        <v>5.21</v>
      </c>
    </row>
    <row r="5114" spans="1:4" ht="54">
      <c r="A5114" s="798">
        <v>91173</v>
      </c>
      <c r="B5114" s="799" t="s">
        <v>1704</v>
      </c>
      <c r="C5114" s="798" t="s">
        <v>14</v>
      </c>
      <c r="D5114" s="800">
        <v>1.42</v>
      </c>
    </row>
    <row r="5115" spans="1:4" ht="54">
      <c r="A5115" s="798">
        <v>91174</v>
      </c>
      <c r="B5115" s="799" t="s">
        <v>1705</v>
      </c>
      <c r="C5115" s="798" t="s">
        <v>14</v>
      </c>
      <c r="D5115" s="800">
        <v>2.82</v>
      </c>
    </row>
    <row r="5116" spans="1:4" ht="40.5">
      <c r="A5116" s="798">
        <v>91175</v>
      </c>
      <c r="B5116" s="799" t="s">
        <v>1706</v>
      </c>
      <c r="C5116" s="798" t="s">
        <v>14</v>
      </c>
      <c r="D5116" s="800">
        <v>4.58</v>
      </c>
    </row>
    <row r="5117" spans="1:4" ht="54">
      <c r="A5117" s="798">
        <v>91176</v>
      </c>
      <c r="B5117" s="799" t="s">
        <v>1707</v>
      </c>
      <c r="C5117" s="798" t="s">
        <v>14</v>
      </c>
      <c r="D5117" s="800">
        <v>24.34</v>
      </c>
    </row>
    <row r="5118" spans="1:4" ht="54">
      <c r="A5118" s="798">
        <v>91177</v>
      </c>
      <c r="B5118" s="799" t="s">
        <v>1708</v>
      </c>
      <c r="C5118" s="798" t="s">
        <v>14</v>
      </c>
      <c r="D5118" s="800">
        <v>11.37</v>
      </c>
    </row>
    <row r="5119" spans="1:4" ht="40.5">
      <c r="A5119" s="798">
        <v>91178</v>
      </c>
      <c r="B5119" s="799" t="s">
        <v>1709</v>
      </c>
      <c r="C5119" s="798" t="s">
        <v>14</v>
      </c>
      <c r="D5119" s="800">
        <v>13.65</v>
      </c>
    </row>
    <row r="5120" spans="1:4" ht="54">
      <c r="A5120" s="798">
        <v>91179</v>
      </c>
      <c r="B5120" s="799" t="s">
        <v>1710</v>
      </c>
      <c r="C5120" s="798" t="s">
        <v>14</v>
      </c>
      <c r="D5120" s="800">
        <v>6.26</v>
      </c>
    </row>
    <row r="5121" spans="1:4" ht="54">
      <c r="A5121" s="798">
        <v>91180</v>
      </c>
      <c r="B5121" s="799" t="s">
        <v>1711</v>
      </c>
      <c r="C5121" s="798" t="s">
        <v>14</v>
      </c>
      <c r="D5121" s="800">
        <v>5.76</v>
      </c>
    </row>
    <row r="5122" spans="1:4" ht="54">
      <c r="A5122" s="798">
        <v>91181</v>
      </c>
      <c r="B5122" s="799" t="s">
        <v>1712</v>
      </c>
      <c r="C5122" s="798" t="s">
        <v>14</v>
      </c>
      <c r="D5122" s="800">
        <v>6.23</v>
      </c>
    </row>
    <row r="5123" spans="1:4" ht="40.5">
      <c r="A5123" s="798">
        <v>91182</v>
      </c>
      <c r="B5123" s="799" t="s">
        <v>1713</v>
      </c>
      <c r="C5123" s="798" t="s">
        <v>14</v>
      </c>
      <c r="D5123" s="800">
        <v>21.88</v>
      </c>
    </row>
    <row r="5124" spans="1:4" ht="54">
      <c r="A5124" s="798">
        <v>91183</v>
      </c>
      <c r="B5124" s="799" t="s">
        <v>1714</v>
      </c>
      <c r="C5124" s="798" t="s">
        <v>14</v>
      </c>
      <c r="D5124" s="800">
        <v>10.63</v>
      </c>
    </row>
    <row r="5125" spans="1:4" ht="40.5">
      <c r="A5125" s="798">
        <v>91184</v>
      </c>
      <c r="B5125" s="799" t="s">
        <v>1715</v>
      </c>
      <c r="C5125" s="798" t="s">
        <v>14</v>
      </c>
      <c r="D5125" s="800">
        <v>9.7799999999999994</v>
      </c>
    </row>
    <row r="5126" spans="1:4" ht="54">
      <c r="A5126" s="798">
        <v>91185</v>
      </c>
      <c r="B5126" s="799" t="s">
        <v>1716</v>
      </c>
      <c r="C5126" s="798" t="s">
        <v>14</v>
      </c>
      <c r="D5126" s="800">
        <v>5.61</v>
      </c>
    </row>
    <row r="5127" spans="1:4" ht="54">
      <c r="A5127" s="798">
        <v>91186</v>
      </c>
      <c r="B5127" s="799" t="s">
        <v>1717</v>
      </c>
      <c r="C5127" s="798" t="s">
        <v>14</v>
      </c>
      <c r="D5127" s="800">
        <v>4.54</v>
      </c>
    </row>
    <row r="5128" spans="1:4" ht="54">
      <c r="A5128" s="798">
        <v>91187</v>
      </c>
      <c r="B5128" s="799" t="s">
        <v>1718</v>
      </c>
      <c r="C5128" s="798" t="s">
        <v>14</v>
      </c>
      <c r="D5128" s="800">
        <v>5.17</v>
      </c>
    </row>
    <row r="5129" spans="1:4" ht="40.5">
      <c r="A5129" s="798">
        <v>91188</v>
      </c>
      <c r="B5129" s="799" t="s">
        <v>1719</v>
      </c>
      <c r="C5129" s="798" t="s">
        <v>24</v>
      </c>
      <c r="D5129" s="800">
        <v>5.92</v>
      </c>
    </row>
    <row r="5130" spans="1:4" ht="40.5">
      <c r="A5130" s="798">
        <v>91189</v>
      </c>
      <c r="B5130" s="799" t="s">
        <v>394</v>
      </c>
      <c r="C5130" s="798" t="s">
        <v>24</v>
      </c>
      <c r="D5130" s="800">
        <v>47.76</v>
      </c>
    </row>
    <row r="5131" spans="1:4" ht="27">
      <c r="A5131" s="798">
        <v>91190</v>
      </c>
      <c r="B5131" s="799" t="s">
        <v>395</v>
      </c>
      <c r="C5131" s="798" t="s">
        <v>24</v>
      </c>
      <c r="D5131" s="800">
        <v>3.8</v>
      </c>
    </row>
    <row r="5132" spans="1:4" ht="27">
      <c r="A5132" s="798">
        <v>91191</v>
      </c>
      <c r="B5132" s="799" t="s">
        <v>396</v>
      </c>
      <c r="C5132" s="798" t="s">
        <v>24</v>
      </c>
      <c r="D5132" s="800">
        <v>4.01</v>
      </c>
    </row>
    <row r="5133" spans="1:4" ht="27">
      <c r="A5133" s="798">
        <v>91192</v>
      </c>
      <c r="B5133" s="799" t="s">
        <v>397</v>
      </c>
      <c r="C5133" s="798" t="s">
        <v>24</v>
      </c>
      <c r="D5133" s="800">
        <v>4.4400000000000004</v>
      </c>
    </row>
    <row r="5134" spans="1:4" ht="40.5">
      <c r="A5134" s="798">
        <v>91222</v>
      </c>
      <c r="B5134" s="799" t="s">
        <v>398</v>
      </c>
      <c r="C5134" s="798" t="s">
        <v>14</v>
      </c>
      <c r="D5134" s="800">
        <v>10.220000000000001</v>
      </c>
    </row>
    <row r="5135" spans="1:4" ht="54">
      <c r="A5135" s="798">
        <v>94480</v>
      </c>
      <c r="B5135" s="799" t="s">
        <v>2333</v>
      </c>
      <c r="C5135" s="798" t="s">
        <v>24</v>
      </c>
      <c r="D5135" s="800">
        <v>2180.73</v>
      </c>
    </row>
    <row r="5136" spans="1:4" ht="54">
      <c r="A5136" s="798">
        <v>94481</v>
      </c>
      <c r="B5136" s="799" t="s">
        <v>2334</v>
      </c>
      <c r="C5136" s="798" t="s">
        <v>24</v>
      </c>
      <c r="D5136" s="800">
        <v>1516.17</v>
      </c>
    </row>
    <row r="5137" spans="1:4" ht="54">
      <c r="A5137" s="798">
        <v>94482</v>
      </c>
      <c r="B5137" s="799" t="s">
        <v>2335</v>
      </c>
      <c r="C5137" s="798" t="s">
        <v>24</v>
      </c>
      <c r="D5137" s="800">
        <v>1189</v>
      </c>
    </row>
    <row r="5138" spans="1:4" ht="54">
      <c r="A5138" s="798">
        <v>94483</v>
      </c>
      <c r="B5138" s="799" t="s">
        <v>2336</v>
      </c>
      <c r="C5138" s="798" t="s">
        <v>24</v>
      </c>
      <c r="D5138" s="800">
        <v>995.55</v>
      </c>
    </row>
    <row r="5139" spans="1:4" ht="27">
      <c r="A5139" s="798">
        <v>95541</v>
      </c>
      <c r="B5139" s="799" t="s">
        <v>2611</v>
      </c>
      <c r="C5139" s="798" t="s">
        <v>24</v>
      </c>
      <c r="D5139" s="800">
        <v>3.38</v>
      </c>
    </row>
    <row r="5140" spans="1:4" ht="40.5">
      <c r="A5140" s="798">
        <v>96559</v>
      </c>
      <c r="B5140" s="799" t="s">
        <v>4918</v>
      </c>
      <c r="C5140" s="798" t="s">
        <v>32</v>
      </c>
      <c r="D5140" s="800">
        <v>30.01</v>
      </c>
    </row>
    <row r="5141" spans="1:4" ht="40.5">
      <c r="A5141" s="798">
        <v>96560</v>
      </c>
      <c r="B5141" s="799" t="s">
        <v>4919</v>
      </c>
      <c r="C5141" s="798" t="s">
        <v>32</v>
      </c>
      <c r="D5141" s="800">
        <v>20.59</v>
      </c>
    </row>
    <row r="5142" spans="1:4" ht="40.5">
      <c r="A5142" s="798">
        <v>96561</v>
      </c>
      <c r="B5142" s="799" t="s">
        <v>4920</v>
      </c>
      <c r="C5142" s="798" t="s">
        <v>32</v>
      </c>
      <c r="D5142" s="800">
        <v>15.85</v>
      </c>
    </row>
    <row r="5143" spans="1:4" ht="54">
      <c r="A5143" s="798">
        <v>96562</v>
      </c>
      <c r="B5143" s="799" t="s">
        <v>4921</v>
      </c>
      <c r="C5143" s="798" t="s">
        <v>14</v>
      </c>
      <c r="D5143" s="800">
        <v>18.63</v>
      </c>
    </row>
    <row r="5144" spans="1:4" ht="54">
      <c r="A5144" s="798">
        <v>96563</v>
      </c>
      <c r="B5144" s="799" t="s">
        <v>7656</v>
      </c>
      <c r="C5144" s="798" t="s">
        <v>14</v>
      </c>
      <c r="D5144" s="800">
        <v>24.6</v>
      </c>
    </row>
    <row r="5145" spans="1:4" ht="40.5">
      <c r="A5145" s="798">
        <v>101802</v>
      </c>
      <c r="B5145" s="799" t="s">
        <v>6762</v>
      </c>
      <c r="C5145" s="798" t="s">
        <v>24</v>
      </c>
      <c r="D5145" s="800">
        <v>1362.11</v>
      </c>
    </row>
    <row r="5146" spans="1:4" ht="40.5">
      <c r="A5146" s="798">
        <v>101803</v>
      </c>
      <c r="B5146" s="799" t="s">
        <v>6763</v>
      </c>
      <c r="C5146" s="798" t="s">
        <v>24</v>
      </c>
      <c r="D5146" s="800">
        <v>829.88</v>
      </c>
    </row>
    <row r="5147" spans="1:4" ht="40.5">
      <c r="A5147" s="798">
        <v>101804</v>
      </c>
      <c r="B5147" s="799" t="s">
        <v>6764</v>
      </c>
      <c r="C5147" s="798" t="s">
        <v>24</v>
      </c>
      <c r="D5147" s="800">
        <v>1052.6600000000001</v>
      </c>
    </row>
    <row r="5148" spans="1:4" ht="40.5">
      <c r="A5148" s="798">
        <v>101805</v>
      </c>
      <c r="B5148" s="799" t="s">
        <v>6765</v>
      </c>
      <c r="C5148" s="798" t="s">
        <v>24</v>
      </c>
      <c r="D5148" s="800">
        <v>1342.35</v>
      </c>
    </row>
    <row r="5149" spans="1:4" ht="40.5">
      <c r="A5149" s="798">
        <v>102111</v>
      </c>
      <c r="B5149" s="799" t="s">
        <v>6766</v>
      </c>
      <c r="C5149" s="798" t="s">
        <v>24</v>
      </c>
      <c r="D5149" s="800">
        <v>778.77</v>
      </c>
    </row>
    <row r="5150" spans="1:4" ht="40.5">
      <c r="A5150" s="798">
        <v>102112</v>
      </c>
      <c r="B5150" s="799" t="s">
        <v>6767</v>
      </c>
      <c r="C5150" s="798" t="s">
        <v>24</v>
      </c>
      <c r="D5150" s="800">
        <v>97.5</v>
      </c>
    </row>
    <row r="5151" spans="1:4" ht="40.5">
      <c r="A5151" s="798">
        <v>102113</v>
      </c>
      <c r="B5151" s="799" t="s">
        <v>6768</v>
      </c>
      <c r="C5151" s="798" t="s">
        <v>24</v>
      </c>
      <c r="D5151" s="800">
        <v>1248.3699999999999</v>
      </c>
    </row>
    <row r="5152" spans="1:4" ht="40.5">
      <c r="A5152" s="798">
        <v>102114</v>
      </c>
      <c r="B5152" s="799" t="s">
        <v>6769</v>
      </c>
      <c r="C5152" s="798" t="s">
        <v>24</v>
      </c>
      <c r="D5152" s="800">
        <v>99.97</v>
      </c>
    </row>
    <row r="5153" spans="1:4" ht="40.5">
      <c r="A5153" s="798">
        <v>102115</v>
      </c>
      <c r="B5153" s="799" t="s">
        <v>6770</v>
      </c>
      <c r="C5153" s="798" t="s">
        <v>24</v>
      </c>
      <c r="D5153" s="800">
        <v>2183.15</v>
      </c>
    </row>
    <row r="5154" spans="1:4" ht="40.5">
      <c r="A5154" s="798">
        <v>102116</v>
      </c>
      <c r="B5154" s="799" t="s">
        <v>6771</v>
      </c>
      <c r="C5154" s="798" t="s">
        <v>24</v>
      </c>
      <c r="D5154" s="800">
        <v>1334.04</v>
      </c>
    </row>
    <row r="5155" spans="1:4" ht="27">
      <c r="A5155" s="798">
        <v>102117</v>
      </c>
      <c r="B5155" s="799" t="s">
        <v>6772</v>
      </c>
      <c r="C5155" s="798" t="s">
        <v>24</v>
      </c>
      <c r="D5155" s="800">
        <v>102.96</v>
      </c>
    </row>
    <row r="5156" spans="1:4" ht="40.5">
      <c r="A5156" s="798">
        <v>102118</v>
      </c>
      <c r="B5156" s="799" t="s">
        <v>6773</v>
      </c>
      <c r="C5156" s="798" t="s">
        <v>24</v>
      </c>
      <c r="D5156" s="800">
        <v>1823.29</v>
      </c>
    </row>
    <row r="5157" spans="1:4" ht="40.5">
      <c r="A5157" s="798">
        <v>102119</v>
      </c>
      <c r="B5157" s="799" t="s">
        <v>6774</v>
      </c>
      <c r="C5157" s="798" t="s">
        <v>24</v>
      </c>
      <c r="D5157" s="800">
        <v>105.55</v>
      </c>
    </row>
    <row r="5158" spans="1:4" ht="27">
      <c r="A5158" s="798">
        <v>102121</v>
      </c>
      <c r="B5158" s="799" t="s">
        <v>6775</v>
      </c>
      <c r="C5158" s="798" t="s">
        <v>24</v>
      </c>
      <c r="D5158" s="800">
        <v>132.52000000000001</v>
      </c>
    </row>
    <row r="5159" spans="1:4" ht="40.5">
      <c r="A5159" s="798">
        <v>102122</v>
      </c>
      <c r="B5159" s="799" t="s">
        <v>6776</v>
      </c>
      <c r="C5159" s="798" t="s">
        <v>24</v>
      </c>
      <c r="D5159" s="800">
        <v>6198.45</v>
      </c>
    </row>
    <row r="5160" spans="1:4" ht="40.5">
      <c r="A5160" s="798">
        <v>102123</v>
      </c>
      <c r="B5160" s="799" t="s">
        <v>6777</v>
      </c>
      <c r="C5160" s="798" t="s">
        <v>24</v>
      </c>
      <c r="D5160" s="800">
        <v>140.21</v>
      </c>
    </row>
    <row r="5161" spans="1:4" ht="40.5">
      <c r="A5161" s="798">
        <v>102136</v>
      </c>
      <c r="B5161" s="799" t="s">
        <v>6778</v>
      </c>
      <c r="C5161" s="798" t="s">
        <v>24</v>
      </c>
      <c r="D5161" s="800">
        <v>49.53</v>
      </c>
    </row>
    <row r="5162" spans="1:4" ht="27">
      <c r="A5162" s="798">
        <v>102137</v>
      </c>
      <c r="B5162" s="799" t="s">
        <v>6779</v>
      </c>
      <c r="C5162" s="798" t="s">
        <v>24</v>
      </c>
      <c r="D5162" s="800">
        <v>67.680000000000007</v>
      </c>
    </row>
    <row r="5163" spans="1:4" ht="27">
      <c r="A5163" s="798">
        <v>102138</v>
      </c>
      <c r="B5163" s="799" t="s">
        <v>6780</v>
      </c>
      <c r="C5163" s="798" t="s">
        <v>24</v>
      </c>
      <c r="D5163" s="800">
        <v>152.71</v>
      </c>
    </row>
    <row r="5164" spans="1:4" ht="54">
      <c r="A5164" s="798">
        <v>103517</v>
      </c>
      <c r="B5164" s="799" t="s">
        <v>8248</v>
      </c>
      <c r="C5164" s="798" t="s">
        <v>24</v>
      </c>
      <c r="D5164" s="800">
        <v>3203.84</v>
      </c>
    </row>
    <row r="5165" spans="1:4" ht="40.5">
      <c r="A5165" s="798">
        <v>103519</v>
      </c>
      <c r="B5165" s="799" t="s">
        <v>8249</v>
      </c>
      <c r="C5165" s="798" t="s">
        <v>24</v>
      </c>
      <c r="D5165" s="800">
        <v>9.2100000000000009</v>
      </c>
    </row>
    <row r="5166" spans="1:4" ht="54">
      <c r="A5166" s="798">
        <v>103520</v>
      </c>
      <c r="B5166" s="799" t="s">
        <v>8250</v>
      </c>
      <c r="C5166" s="798" t="s">
        <v>24</v>
      </c>
      <c r="D5166" s="800">
        <v>5321.11</v>
      </c>
    </row>
    <row r="5167" spans="1:4" ht="54">
      <c r="A5167" s="798">
        <v>103521</v>
      </c>
      <c r="B5167" s="799" t="s">
        <v>8251</v>
      </c>
      <c r="C5167" s="798" t="s">
        <v>24</v>
      </c>
      <c r="D5167" s="800">
        <v>7064.49</v>
      </c>
    </row>
    <row r="5168" spans="1:4" ht="54">
      <c r="A5168" s="798">
        <v>103522</v>
      </c>
      <c r="B5168" s="799" t="s">
        <v>8252</v>
      </c>
      <c r="C5168" s="798" t="s">
        <v>24</v>
      </c>
      <c r="D5168" s="800">
        <v>7034.72</v>
      </c>
    </row>
    <row r="5169" spans="1:4" ht="54">
      <c r="A5169" s="798">
        <v>103523</v>
      </c>
      <c r="B5169" s="799" t="s">
        <v>8253</v>
      </c>
      <c r="C5169" s="798" t="s">
        <v>24</v>
      </c>
      <c r="D5169" s="800">
        <v>10633.22</v>
      </c>
    </row>
    <row r="5170" spans="1:4" ht="81">
      <c r="A5170" s="798">
        <v>93350</v>
      </c>
      <c r="B5170" s="799" t="s">
        <v>2206</v>
      </c>
      <c r="C5170" s="798" t="s">
        <v>24</v>
      </c>
      <c r="D5170" s="800">
        <v>1039.31</v>
      </c>
    </row>
    <row r="5171" spans="1:4" ht="81">
      <c r="A5171" s="798">
        <v>93351</v>
      </c>
      <c r="B5171" s="799" t="s">
        <v>2207</v>
      </c>
      <c r="C5171" s="798" t="s">
        <v>24</v>
      </c>
      <c r="D5171" s="800">
        <v>855.27</v>
      </c>
    </row>
    <row r="5172" spans="1:4" ht="81">
      <c r="A5172" s="798">
        <v>93352</v>
      </c>
      <c r="B5172" s="799" t="s">
        <v>2208</v>
      </c>
      <c r="C5172" s="798" t="s">
        <v>24</v>
      </c>
      <c r="D5172" s="800">
        <v>671.39</v>
      </c>
    </row>
    <row r="5173" spans="1:4" ht="81">
      <c r="A5173" s="798">
        <v>93353</v>
      </c>
      <c r="B5173" s="799" t="s">
        <v>2209</v>
      </c>
      <c r="C5173" s="798" t="s">
        <v>24</v>
      </c>
      <c r="D5173" s="800">
        <v>491.61</v>
      </c>
    </row>
    <row r="5174" spans="1:4" ht="81">
      <c r="A5174" s="798">
        <v>93354</v>
      </c>
      <c r="B5174" s="799" t="s">
        <v>2210</v>
      </c>
      <c r="C5174" s="798" t="s">
        <v>24</v>
      </c>
      <c r="D5174" s="800">
        <v>782.27</v>
      </c>
    </row>
    <row r="5175" spans="1:4" ht="81">
      <c r="A5175" s="798">
        <v>93355</v>
      </c>
      <c r="B5175" s="799" t="s">
        <v>2211</v>
      </c>
      <c r="C5175" s="798" t="s">
        <v>24</v>
      </c>
      <c r="D5175" s="800">
        <v>652.67999999999995</v>
      </c>
    </row>
    <row r="5176" spans="1:4" ht="81">
      <c r="A5176" s="798">
        <v>93356</v>
      </c>
      <c r="B5176" s="799" t="s">
        <v>2212</v>
      </c>
      <c r="C5176" s="798" t="s">
        <v>24</v>
      </c>
      <c r="D5176" s="800">
        <v>521.72</v>
      </c>
    </row>
    <row r="5177" spans="1:4" ht="81">
      <c r="A5177" s="798">
        <v>93357</v>
      </c>
      <c r="B5177" s="799" t="s">
        <v>2213</v>
      </c>
      <c r="C5177" s="798" t="s">
        <v>24</v>
      </c>
      <c r="D5177" s="800">
        <v>393.35</v>
      </c>
    </row>
    <row r="5178" spans="1:4" ht="40.5">
      <c r="A5178" s="798">
        <v>96520</v>
      </c>
      <c r="B5178" s="799" t="s">
        <v>7657</v>
      </c>
      <c r="C5178" s="798" t="s">
        <v>22</v>
      </c>
      <c r="D5178" s="800">
        <v>75.5</v>
      </c>
    </row>
    <row r="5179" spans="1:4" ht="40.5">
      <c r="A5179" s="798">
        <v>96521</v>
      </c>
      <c r="B5179" s="799" t="s">
        <v>7658</v>
      </c>
      <c r="C5179" s="798" t="s">
        <v>22</v>
      </c>
      <c r="D5179" s="800">
        <v>34.07</v>
      </c>
    </row>
    <row r="5180" spans="1:4" ht="27">
      <c r="A5180" s="798">
        <v>96522</v>
      </c>
      <c r="B5180" s="799" t="s">
        <v>7659</v>
      </c>
      <c r="C5180" s="798" t="s">
        <v>22</v>
      </c>
      <c r="D5180" s="800">
        <v>107.38</v>
      </c>
    </row>
    <row r="5181" spans="1:4" ht="40.5">
      <c r="A5181" s="798">
        <v>96523</v>
      </c>
      <c r="B5181" s="799" t="s">
        <v>7660</v>
      </c>
      <c r="C5181" s="798" t="s">
        <v>22</v>
      </c>
      <c r="D5181" s="800">
        <v>68.7</v>
      </c>
    </row>
    <row r="5182" spans="1:4" ht="40.5">
      <c r="A5182" s="798">
        <v>96524</v>
      </c>
      <c r="B5182" s="799" t="s">
        <v>7661</v>
      </c>
      <c r="C5182" s="798" t="s">
        <v>22</v>
      </c>
      <c r="D5182" s="800">
        <v>130.59</v>
      </c>
    </row>
    <row r="5183" spans="1:4" ht="40.5">
      <c r="A5183" s="798">
        <v>96525</v>
      </c>
      <c r="B5183" s="799" t="s">
        <v>7662</v>
      </c>
      <c r="C5183" s="798" t="s">
        <v>22</v>
      </c>
      <c r="D5183" s="800">
        <v>29.87</v>
      </c>
    </row>
    <row r="5184" spans="1:4" ht="27">
      <c r="A5184" s="798">
        <v>96526</v>
      </c>
      <c r="B5184" s="799" t="s">
        <v>7663</v>
      </c>
      <c r="C5184" s="798" t="s">
        <v>22</v>
      </c>
      <c r="D5184" s="800">
        <v>216.67</v>
      </c>
    </row>
    <row r="5185" spans="1:4" ht="40.5">
      <c r="A5185" s="798">
        <v>96527</v>
      </c>
      <c r="B5185" s="799" t="s">
        <v>7664</v>
      </c>
      <c r="C5185" s="798" t="s">
        <v>22</v>
      </c>
      <c r="D5185" s="800">
        <v>90.24</v>
      </c>
    </row>
    <row r="5186" spans="1:4" ht="40.5">
      <c r="A5186" s="798">
        <v>96528</v>
      </c>
      <c r="B5186" s="799" t="s">
        <v>2814</v>
      </c>
      <c r="C5186" s="798" t="s">
        <v>32</v>
      </c>
      <c r="D5186" s="800">
        <v>165.32</v>
      </c>
    </row>
    <row r="5187" spans="1:4" ht="27">
      <c r="A5187" s="798">
        <v>101114</v>
      </c>
      <c r="B5187" s="799" t="s">
        <v>5404</v>
      </c>
      <c r="C5187" s="798" t="s">
        <v>22</v>
      </c>
      <c r="D5187" s="800">
        <v>3.16</v>
      </c>
    </row>
    <row r="5188" spans="1:4" ht="27">
      <c r="A5188" s="798">
        <v>101115</v>
      </c>
      <c r="B5188" s="799" t="s">
        <v>5405</v>
      </c>
      <c r="C5188" s="798" t="s">
        <v>22</v>
      </c>
      <c r="D5188" s="800">
        <v>2.73</v>
      </c>
    </row>
    <row r="5189" spans="1:4" ht="27">
      <c r="A5189" s="798">
        <v>101116</v>
      </c>
      <c r="B5189" s="799" t="s">
        <v>5406</v>
      </c>
      <c r="C5189" s="798" t="s">
        <v>22</v>
      </c>
      <c r="D5189" s="800">
        <v>1.71</v>
      </c>
    </row>
    <row r="5190" spans="1:4" ht="27">
      <c r="A5190" s="798">
        <v>101117</v>
      </c>
      <c r="B5190" s="799" t="s">
        <v>5407</v>
      </c>
      <c r="C5190" s="798" t="s">
        <v>22</v>
      </c>
      <c r="D5190" s="800">
        <v>2.4900000000000002</v>
      </c>
    </row>
    <row r="5191" spans="1:4" ht="27">
      <c r="A5191" s="798">
        <v>101118</v>
      </c>
      <c r="B5191" s="799" t="s">
        <v>5408</v>
      </c>
      <c r="C5191" s="798" t="s">
        <v>22</v>
      </c>
      <c r="D5191" s="800">
        <v>2.77</v>
      </c>
    </row>
    <row r="5192" spans="1:4" ht="40.5">
      <c r="A5192" s="798">
        <v>101119</v>
      </c>
      <c r="B5192" s="799" t="s">
        <v>5409</v>
      </c>
      <c r="C5192" s="798" t="s">
        <v>22</v>
      </c>
      <c r="D5192" s="800">
        <v>6.04</v>
      </c>
    </row>
    <row r="5193" spans="1:4" ht="40.5">
      <c r="A5193" s="798">
        <v>101120</v>
      </c>
      <c r="B5193" s="799" t="s">
        <v>5410</v>
      </c>
      <c r="C5193" s="798" t="s">
        <v>22</v>
      </c>
      <c r="D5193" s="800">
        <v>5.23</v>
      </c>
    </row>
    <row r="5194" spans="1:4" ht="40.5">
      <c r="A5194" s="798">
        <v>101121</v>
      </c>
      <c r="B5194" s="799" t="s">
        <v>5411</v>
      </c>
      <c r="C5194" s="798" t="s">
        <v>22</v>
      </c>
      <c r="D5194" s="800">
        <v>3.29</v>
      </c>
    </row>
    <row r="5195" spans="1:4" ht="40.5">
      <c r="A5195" s="798">
        <v>101122</v>
      </c>
      <c r="B5195" s="799" t="s">
        <v>5412</v>
      </c>
      <c r="C5195" s="798" t="s">
        <v>22</v>
      </c>
      <c r="D5195" s="800">
        <v>4.7699999999999996</v>
      </c>
    </row>
    <row r="5196" spans="1:4" ht="40.5">
      <c r="A5196" s="798">
        <v>101123</v>
      </c>
      <c r="B5196" s="799" t="s">
        <v>5413</v>
      </c>
      <c r="C5196" s="798" t="s">
        <v>22</v>
      </c>
      <c r="D5196" s="800">
        <v>5.28</v>
      </c>
    </row>
    <row r="5197" spans="1:4" ht="40.5">
      <c r="A5197" s="798">
        <v>101124</v>
      </c>
      <c r="B5197" s="799" t="s">
        <v>5414</v>
      </c>
      <c r="C5197" s="798" t="s">
        <v>22</v>
      </c>
      <c r="D5197" s="800">
        <v>10.74</v>
      </c>
    </row>
    <row r="5198" spans="1:4" ht="40.5">
      <c r="A5198" s="798">
        <v>101125</v>
      </c>
      <c r="B5198" s="799" t="s">
        <v>5415</v>
      </c>
      <c r="C5198" s="798" t="s">
        <v>22</v>
      </c>
      <c r="D5198" s="800">
        <v>10.31</v>
      </c>
    </row>
    <row r="5199" spans="1:4" ht="40.5">
      <c r="A5199" s="798">
        <v>101126</v>
      </c>
      <c r="B5199" s="799" t="s">
        <v>5416</v>
      </c>
      <c r="C5199" s="798" t="s">
        <v>22</v>
      </c>
      <c r="D5199" s="800">
        <v>9.2899999999999991</v>
      </c>
    </row>
    <row r="5200" spans="1:4" ht="40.5">
      <c r="A5200" s="798">
        <v>101127</v>
      </c>
      <c r="B5200" s="799" t="s">
        <v>5417</v>
      </c>
      <c r="C5200" s="798" t="s">
        <v>22</v>
      </c>
      <c r="D5200" s="800">
        <v>10.07</v>
      </c>
    </row>
    <row r="5201" spans="1:4" ht="40.5">
      <c r="A5201" s="798">
        <v>101128</v>
      </c>
      <c r="B5201" s="799" t="s">
        <v>5418</v>
      </c>
      <c r="C5201" s="798" t="s">
        <v>22</v>
      </c>
      <c r="D5201" s="800">
        <v>10.35</v>
      </c>
    </row>
    <row r="5202" spans="1:4" ht="40.5">
      <c r="A5202" s="798">
        <v>101129</v>
      </c>
      <c r="B5202" s="799" t="s">
        <v>5419</v>
      </c>
      <c r="C5202" s="798" t="s">
        <v>22</v>
      </c>
      <c r="D5202" s="800">
        <v>13.93</v>
      </c>
    </row>
    <row r="5203" spans="1:4" ht="40.5">
      <c r="A5203" s="798">
        <v>101130</v>
      </c>
      <c r="B5203" s="799" t="s">
        <v>5420</v>
      </c>
      <c r="C5203" s="798" t="s">
        <v>22</v>
      </c>
      <c r="D5203" s="800">
        <v>13.12</v>
      </c>
    </row>
    <row r="5204" spans="1:4" ht="40.5">
      <c r="A5204" s="798">
        <v>101131</v>
      </c>
      <c r="B5204" s="799" t="s">
        <v>5421</v>
      </c>
      <c r="C5204" s="798" t="s">
        <v>22</v>
      </c>
      <c r="D5204" s="800">
        <v>11.18</v>
      </c>
    </row>
    <row r="5205" spans="1:4" ht="40.5">
      <c r="A5205" s="798">
        <v>101132</v>
      </c>
      <c r="B5205" s="799" t="s">
        <v>5422</v>
      </c>
      <c r="C5205" s="798" t="s">
        <v>22</v>
      </c>
      <c r="D5205" s="800">
        <v>12.66</v>
      </c>
    </row>
    <row r="5206" spans="1:4" ht="40.5">
      <c r="A5206" s="798">
        <v>101133</v>
      </c>
      <c r="B5206" s="799" t="s">
        <v>5423</v>
      </c>
      <c r="C5206" s="798" t="s">
        <v>22</v>
      </c>
      <c r="D5206" s="800">
        <v>13.17</v>
      </c>
    </row>
    <row r="5207" spans="1:4" ht="54">
      <c r="A5207" s="798">
        <v>101134</v>
      </c>
      <c r="B5207" s="799" t="s">
        <v>5424</v>
      </c>
      <c r="C5207" s="798" t="s">
        <v>22</v>
      </c>
      <c r="D5207" s="800">
        <v>11.19</v>
      </c>
    </row>
    <row r="5208" spans="1:4" ht="54">
      <c r="A5208" s="798">
        <v>101135</v>
      </c>
      <c r="B5208" s="799" t="s">
        <v>5425</v>
      </c>
      <c r="C5208" s="798" t="s">
        <v>22</v>
      </c>
      <c r="D5208" s="800">
        <v>10.76</v>
      </c>
    </row>
    <row r="5209" spans="1:4" ht="54">
      <c r="A5209" s="798">
        <v>101136</v>
      </c>
      <c r="B5209" s="799" t="s">
        <v>5426</v>
      </c>
      <c r="C5209" s="798" t="s">
        <v>22</v>
      </c>
      <c r="D5209" s="800">
        <v>9.74</v>
      </c>
    </row>
    <row r="5210" spans="1:4" ht="54">
      <c r="A5210" s="798">
        <v>101137</v>
      </c>
      <c r="B5210" s="799" t="s">
        <v>5427</v>
      </c>
      <c r="C5210" s="798" t="s">
        <v>22</v>
      </c>
      <c r="D5210" s="800">
        <v>10.52</v>
      </c>
    </row>
    <row r="5211" spans="1:4" ht="54">
      <c r="A5211" s="798">
        <v>101138</v>
      </c>
      <c r="B5211" s="799" t="s">
        <v>5428</v>
      </c>
      <c r="C5211" s="798" t="s">
        <v>22</v>
      </c>
      <c r="D5211" s="800">
        <v>10.8</v>
      </c>
    </row>
    <row r="5212" spans="1:4" ht="54">
      <c r="A5212" s="798">
        <v>101139</v>
      </c>
      <c r="B5212" s="799" t="s">
        <v>5429</v>
      </c>
      <c r="C5212" s="798" t="s">
        <v>22</v>
      </c>
      <c r="D5212" s="800">
        <v>14.4</v>
      </c>
    </row>
    <row r="5213" spans="1:4" ht="54">
      <c r="A5213" s="798">
        <v>101140</v>
      </c>
      <c r="B5213" s="799" t="s">
        <v>5430</v>
      </c>
      <c r="C5213" s="798" t="s">
        <v>22</v>
      </c>
      <c r="D5213" s="800">
        <v>13.59</v>
      </c>
    </row>
    <row r="5214" spans="1:4" ht="54">
      <c r="A5214" s="798">
        <v>101141</v>
      </c>
      <c r="B5214" s="799" t="s">
        <v>5431</v>
      </c>
      <c r="C5214" s="798" t="s">
        <v>22</v>
      </c>
      <c r="D5214" s="800">
        <v>11.65</v>
      </c>
    </row>
    <row r="5215" spans="1:4" ht="54">
      <c r="A5215" s="798">
        <v>101142</v>
      </c>
      <c r="B5215" s="799" t="s">
        <v>5432</v>
      </c>
      <c r="C5215" s="798" t="s">
        <v>22</v>
      </c>
      <c r="D5215" s="800">
        <v>13.13</v>
      </c>
    </row>
    <row r="5216" spans="1:4" ht="54">
      <c r="A5216" s="798">
        <v>101143</v>
      </c>
      <c r="B5216" s="799" t="s">
        <v>5433</v>
      </c>
      <c r="C5216" s="798" t="s">
        <v>22</v>
      </c>
      <c r="D5216" s="800">
        <v>13.64</v>
      </c>
    </row>
    <row r="5217" spans="1:4" ht="54">
      <c r="A5217" s="798">
        <v>101144</v>
      </c>
      <c r="B5217" s="799" t="s">
        <v>5434</v>
      </c>
      <c r="C5217" s="798" t="s">
        <v>22</v>
      </c>
      <c r="D5217" s="800">
        <v>12.64</v>
      </c>
    </row>
    <row r="5218" spans="1:4" ht="54">
      <c r="A5218" s="798">
        <v>101145</v>
      </c>
      <c r="B5218" s="799" t="s">
        <v>5435</v>
      </c>
      <c r="C5218" s="798" t="s">
        <v>22</v>
      </c>
      <c r="D5218" s="800">
        <v>12.21</v>
      </c>
    </row>
    <row r="5219" spans="1:4" ht="54">
      <c r="A5219" s="798">
        <v>101146</v>
      </c>
      <c r="B5219" s="799" t="s">
        <v>5436</v>
      </c>
      <c r="C5219" s="798" t="s">
        <v>22</v>
      </c>
      <c r="D5219" s="800">
        <v>11.19</v>
      </c>
    </row>
    <row r="5220" spans="1:4" ht="54">
      <c r="A5220" s="798">
        <v>101147</v>
      </c>
      <c r="B5220" s="799" t="s">
        <v>5437</v>
      </c>
      <c r="C5220" s="798" t="s">
        <v>22</v>
      </c>
      <c r="D5220" s="800">
        <v>11.97</v>
      </c>
    </row>
    <row r="5221" spans="1:4" ht="54">
      <c r="A5221" s="798">
        <v>101148</v>
      </c>
      <c r="B5221" s="799" t="s">
        <v>5438</v>
      </c>
      <c r="C5221" s="798" t="s">
        <v>22</v>
      </c>
      <c r="D5221" s="800">
        <v>12.25</v>
      </c>
    </row>
    <row r="5222" spans="1:4" ht="54">
      <c r="A5222" s="798">
        <v>101149</v>
      </c>
      <c r="B5222" s="799" t="s">
        <v>5439</v>
      </c>
      <c r="C5222" s="798" t="s">
        <v>22</v>
      </c>
      <c r="D5222" s="800">
        <v>15.9</v>
      </c>
    </row>
    <row r="5223" spans="1:4" ht="54">
      <c r="A5223" s="798">
        <v>101150</v>
      </c>
      <c r="B5223" s="799" t="s">
        <v>5440</v>
      </c>
      <c r="C5223" s="798" t="s">
        <v>22</v>
      </c>
      <c r="D5223" s="800">
        <v>15.09</v>
      </c>
    </row>
    <row r="5224" spans="1:4" ht="54">
      <c r="A5224" s="798">
        <v>101151</v>
      </c>
      <c r="B5224" s="799" t="s">
        <v>5441</v>
      </c>
      <c r="C5224" s="798" t="s">
        <v>22</v>
      </c>
      <c r="D5224" s="800">
        <v>13.15</v>
      </c>
    </row>
    <row r="5225" spans="1:4" ht="54">
      <c r="A5225" s="798">
        <v>101152</v>
      </c>
      <c r="B5225" s="799" t="s">
        <v>5442</v>
      </c>
      <c r="C5225" s="798" t="s">
        <v>22</v>
      </c>
      <c r="D5225" s="800">
        <v>14.63</v>
      </c>
    </row>
    <row r="5226" spans="1:4" ht="54">
      <c r="A5226" s="798">
        <v>101153</v>
      </c>
      <c r="B5226" s="799" t="s">
        <v>5443</v>
      </c>
      <c r="C5226" s="798" t="s">
        <v>22</v>
      </c>
      <c r="D5226" s="800">
        <v>15.14</v>
      </c>
    </row>
    <row r="5227" spans="1:4" ht="81">
      <c r="A5227" s="798">
        <v>101206</v>
      </c>
      <c r="B5227" s="799" t="s">
        <v>4922</v>
      </c>
      <c r="C5227" s="798" t="s">
        <v>22</v>
      </c>
      <c r="D5227" s="800">
        <v>10.63</v>
      </c>
    </row>
    <row r="5228" spans="1:4" ht="81">
      <c r="A5228" s="798">
        <v>101207</v>
      </c>
      <c r="B5228" s="799" t="s">
        <v>4923</v>
      </c>
      <c r="C5228" s="798" t="s">
        <v>22</v>
      </c>
      <c r="D5228" s="800">
        <v>9.43</v>
      </c>
    </row>
    <row r="5229" spans="1:4" ht="81">
      <c r="A5229" s="798">
        <v>101208</v>
      </c>
      <c r="B5229" s="799" t="s">
        <v>4924</v>
      </c>
      <c r="C5229" s="798" t="s">
        <v>22</v>
      </c>
      <c r="D5229" s="800">
        <v>9.09</v>
      </c>
    </row>
    <row r="5230" spans="1:4" ht="81">
      <c r="A5230" s="798">
        <v>101209</v>
      </c>
      <c r="B5230" s="799" t="s">
        <v>4925</v>
      </c>
      <c r="C5230" s="798" t="s">
        <v>22</v>
      </c>
      <c r="D5230" s="800">
        <v>8.4600000000000009</v>
      </c>
    </row>
    <row r="5231" spans="1:4" ht="81">
      <c r="A5231" s="798">
        <v>101210</v>
      </c>
      <c r="B5231" s="799" t="s">
        <v>4926</v>
      </c>
      <c r="C5231" s="798" t="s">
        <v>22</v>
      </c>
      <c r="D5231" s="800">
        <v>15.11</v>
      </c>
    </row>
    <row r="5232" spans="1:4" ht="81">
      <c r="A5232" s="798">
        <v>101211</v>
      </c>
      <c r="B5232" s="799" t="s">
        <v>4927</v>
      </c>
      <c r="C5232" s="798" t="s">
        <v>22</v>
      </c>
      <c r="D5232" s="800">
        <v>16.239999999999998</v>
      </c>
    </row>
    <row r="5233" spans="1:4" ht="81">
      <c r="A5233" s="798">
        <v>101212</v>
      </c>
      <c r="B5233" s="799" t="s">
        <v>4928</v>
      </c>
      <c r="C5233" s="798" t="s">
        <v>22</v>
      </c>
      <c r="D5233" s="800">
        <v>18.89</v>
      </c>
    </row>
    <row r="5234" spans="1:4" ht="81">
      <c r="A5234" s="798">
        <v>101213</v>
      </c>
      <c r="B5234" s="799" t="s">
        <v>4929</v>
      </c>
      <c r="C5234" s="798" t="s">
        <v>22</v>
      </c>
      <c r="D5234" s="800">
        <v>21.01</v>
      </c>
    </row>
    <row r="5235" spans="1:4" ht="81">
      <c r="A5235" s="798">
        <v>101214</v>
      </c>
      <c r="B5235" s="799" t="s">
        <v>4930</v>
      </c>
      <c r="C5235" s="798" t="s">
        <v>22</v>
      </c>
      <c r="D5235" s="800">
        <v>25.54</v>
      </c>
    </row>
    <row r="5236" spans="1:4" ht="81">
      <c r="A5236" s="798">
        <v>101215</v>
      </c>
      <c r="B5236" s="799" t="s">
        <v>4931</v>
      </c>
      <c r="C5236" s="798" t="s">
        <v>22</v>
      </c>
      <c r="D5236" s="800">
        <v>14.5</v>
      </c>
    </row>
    <row r="5237" spans="1:4" ht="81">
      <c r="A5237" s="798">
        <v>101216</v>
      </c>
      <c r="B5237" s="799" t="s">
        <v>4932</v>
      </c>
      <c r="C5237" s="798" t="s">
        <v>22</v>
      </c>
      <c r="D5237" s="800">
        <v>15.28</v>
      </c>
    </row>
    <row r="5238" spans="1:4" ht="81">
      <c r="A5238" s="798">
        <v>101217</v>
      </c>
      <c r="B5238" s="799" t="s">
        <v>4933</v>
      </c>
      <c r="C5238" s="798" t="s">
        <v>22</v>
      </c>
      <c r="D5238" s="800">
        <v>17.72</v>
      </c>
    </row>
    <row r="5239" spans="1:4" ht="81">
      <c r="A5239" s="798">
        <v>101218</v>
      </c>
      <c r="B5239" s="799" t="s">
        <v>4934</v>
      </c>
      <c r="C5239" s="798" t="s">
        <v>22</v>
      </c>
      <c r="D5239" s="800">
        <v>18.86</v>
      </c>
    </row>
    <row r="5240" spans="1:4" ht="81">
      <c r="A5240" s="798">
        <v>101219</v>
      </c>
      <c r="B5240" s="799" t="s">
        <v>4935</v>
      </c>
      <c r="C5240" s="798" t="s">
        <v>22</v>
      </c>
      <c r="D5240" s="800">
        <v>22.95</v>
      </c>
    </row>
    <row r="5241" spans="1:4" ht="81">
      <c r="A5241" s="798">
        <v>101220</v>
      </c>
      <c r="B5241" s="799" t="s">
        <v>4936</v>
      </c>
      <c r="C5241" s="798" t="s">
        <v>22</v>
      </c>
      <c r="D5241" s="800">
        <v>14.23</v>
      </c>
    </row>
    <row r="5242" spans="1:4" ht="81">
      <c r="A5242" s="798">
        <v>101221</v>
      </c>
      <c r="B5242" s="799" t="s">
        <v>4937</v>
      </c>
      <c r="C5242" s="798" t="s">
        <v>22</v>
      </c>
      <c r="D5242" s="800">
        <v>15.11</v>
      </c>
    </row>
    <row r="5243" spans="1:4" ht="81">
      <c r="A5243" s="798">
        <v>101222</v>
      </c>
      <c r="B5243" s="799" t="s">
        <v>4938</v>
      </c>
      <c r="C5243" s="798" t="s">
        <v>22</v>
      </c>
      <c r="D5243" s="800">
        <v>17.57</v>
      </c>
    </row>
    <row r="5244" spans="1:4" ht="81">
      <c r="A5244" s="798">
        <v>101223</v>
      </c>
      <c r="B5244" s="799" t="s">
        <v>4939</v>
      </c>
      <c r="C5244" s="798" t="s">
        <v>22</v>
      </c>
      <c r="D5244" s="800">
        <v>19.489999999999998</v>
      </c>
    </row>
    <row r="5245" spans="1:4" ht="81">
      <c r="A5245" s="798">
        <v>101224</v>
      </c>
      <c r="B5245" s="799" t="s">
        <v>4940</v>
      </c>
      <c r="C5245" s="798" t="s">
        <v>22</v>
      </c>
      <c r="D5245" s="800">
        <v>24.43</v>
      </c>
    </row>
    <row r="5246" spans="1:4" ht="81">
      <c r="A5246" s="798">
        <v>101225</v>
      </c>
      <c r="B5246" s="799" t="s">
        <v>4941</v>
      </c>
      <c r="C5246" s="798" t="s">
        <v>22</v>
      </c>
      <c r="D5246" s="800">
        <v>13.1</v>
      </c>
    </row>
    <row r="5247" spans="1:4" ht="81">
      <c r="A5247" s="798">
        <v>101226</v>
      </c>
      <c r="B5247" s="799" t="s">
        <v>4942</v>
      </c>
      <c r="C5247" s="798" t="s">
        <v>22</v>
      </c>
      <c r="D5247" s="800">
        <v>13.87</v>
      </c>
    </row>
    <row r="5248" spans="1:4" ht="81">
      <c r="A5248" s="798">
        <v>101227</v>
      </c>
      <c r="B5248" s="799" t="s">
        <v>4943</v>
      </c>
      <c r="C5248" s="798" t="s">
        <v>22</v>
      </c>
      <c r="D5248" s="800">
        <v>16.059999999999999</v>
      </c>
    </row>
    <row r="5249" spans="1:4" ht="81">
      <c r="A5249" s="798">
        <v>101228</v>
      </c>
      <c r="B5249" s="799" t="s">
        <v>4944</v>
      </c>
      <c r="C5249" s="798" t="s">
        <v>22</v>
      </c>
      <c r="D5249" s="800">
        <v>17.239999999999998</v>
      </c>
    </row>
    <row r="5250" spans="1:4" ht="81">
      <c r="A5250" s="798">
        <v>101229</v>
      </c>
      <c r="B5250" s="799" t="s">
        <v>4945</v>
      </c>
      <c r="C5250" s="798" t="s">
        <v>22</v>
      </c>
      <c r="D5250" s="800">
        <v>21.69</v>
      </c>
    </row>
    <row r="5251" spans="1:4" ht="81">
      <c r="A5251" s="798">
        <v>101230</v>
      </c>
      <c r="B5251" s="799" t="s">
        <v>4946</v>
      </c>
      <c r="C5251" s="798" t="s">
        <v>22</v>
      </c>
      <c r="D5251" s="800">
        <v>9.42</v>
      </c>
    </row>
    <row r="5252" spans="1:4" ht="81">
      <c r="A5252" s="798">
        <v>101231</v>
      </c>
      <c r="B5252" s="799" t="s">
        <v>4947</v>
      </c>
      <c r="C5252" s="798" t="s">
        <v>22</v>
      </c>
      <c r="D5252" s="800">
        <v>8.99</v>
      </c>
    </row>
    <row r="5253" spans="1:4" ht="81">
      <c r="A5253" s="798">
        <v>101232</v>
      </c>
      <c r="B5253" s="799" t="s">
        <v>4948</v>
      </c>
      <c r="C5253" s="798" t="s">
        <v>22</v>
      </c>
      <c r="D5253" s="800">
        <v>8.16</v>
      </c>
    </row>
    <row r="5254" spans="1:4" ht="81">
      <c r="A5254" s="798">
        <v>101233</v>
      </c>
      <c r="B5254" s="799" t="s">
        <v>4949</v>
      </c>
      <c r="C5254" s="798" t="s">
        <v>22</v>
      </c>
      <c r="D5254" s="800">
        <v>7.55</v>
      </c>
    </row>
    <row r="5255" spans="1:4" ht="81">
      <c r="A5255" s="798">
        <v>101234</v>
      </c>
      <c r="B5255" s="799" t="s">
        <v>4950</v>
      </c>
      <c r="C5255" s="798" t="s">
        <v>22</v>
      </c>
      <c r="D5255" s="800">
        <v>14.69</v>
      </c>
    </row>
    <row r="5256" spans="1:4" ht="81">
      <c r="A5256" s="798">
        <v>101235</v>
      </c>
      <c r="B5256" s="799" t="s">
        <v>4951</v>
      </c>
      <c r="C5256" s="798" t="s">
        <v>22</v>
      </c>
      <c r="D5256" s="800">
        <v>15.56</v>
      </c>
    </row>
    <row r="5257" spans="1:4" ht="81">
      <c r="A5257" s="798">
        <v>101236</v>
      </c>
      <c r="B5257" s="799" t="s">
        <v>4952</v>
      </c>
      <c r="C5257" s="798" t="s">
        <v>22</v>
      </c>
      <c r="D5257" s="800">
        <v>18.100000000000001</v>
      </c>
    </row>
    <row r="5258" spans="1:4" ht="81">
      <c r="A5258" s="798">
        <v>101237</v>
      </c>
      <c r="B5258" s="799" t="s">
        <v>4953</v>
      </c>
      <c r="C5258" s="798" t="s">
        <v>22</v>
      </c>
      <c r="D5258" s="800">
        <v>19.420000000000002</v>
      </c>
    </row>
    <row r="5259" spans="1:4" ht="81">
      <c r="A5259" s="798">
        <v>101238</v>
      </c>
      <c r="B5259" s="799" t="s">
        <v>4954</v>
      </c>
      <c r="C5259" s="798" t="s">
        <v>22</v>
      </c>
      <c r="D5259" s="800">
        <v>24.5</v>
      </c>
    </row>
    <row r="5260" spans="1:4" ht="81">
      <c r="A5260" s="798">
        <v>101239</v>
      </c>
      <c r="B5260" s="799" t="s">
        <v>4955</v>
      </c>
      <c r="C5260" s="798" t="s">
        <v>22</v>
      </c>
      <c r="D5260" s="800">
        <v>13.09</v>
      </c>
    </row>
    <row r="5261" spans="1:4" ht="81">
      <c r="A5261" s="798">
        <v>101240</v>
      </c>
      <c r="B5261" s="799" t="s">
        <v>4956</v>
      </c>
      <c r="C5261" s="798" t="s">
        <v>22</v>
      </c>
      <c r="D5261" s="800">
        <v>13.89</v>
      </c>
    </row>
    <row r="5262" spans="1:4" ht="81">
      <c r="A5262" s="798">
        <v>101241</v>
      </c>
      <c r="B5262" s="799" t="s">
        <v>4957</v>
      </c>
      <c r="C5262" s="798" t="s">
        <v>22</v>
      </c>
      <c r="D5262" s="800">
        <v>16.18</v>
      </c>
    </row>
    <row r="5263" spans="1:4" ht="81">
      <c r="A5263" s="798">
        <v>101242</v>
      </c>
      <c r="B5263" s="799" t="s">
        <v>4958</v>
      </c>
      <c r="C5263" s="798" t="s">
        <v>22</v>
      </c>
      <c r="D5263" s="800">
        <v>18.010000000000002</v>
      </c>
    </row>
    <row r="5264" spans="1:4" ht="81">
      <c r="A5264" s="798">
        <v>101243</v>
      </c>
      <c r="B5264" s="799" t="s">
        <v>4959</v>
      </c>
      <c r="C5264" s="798" t="s">
        <v>22</v>
      </c>
      <c r="D5264" s="800">
        <v>21.94</v>
      </c>
    </row>
    <row r="5265" spans="1:4" ht="81">
      <c r="A5265" s="798">
        <v>101244</v>
      </c>
      <c r="B5265" s="799" t="s">
        <v>4960</v>
      </c>
      <c r="C5265" s="798" t="s">
        <v>22</v>
      </c>
      <c r="D5265" s="800">
        <v>13.62</v>
      </c>
    </row>
    <row r="5266" spans="1:4" ht="81">
      <c r="A5266" s="798">
        <v>101245</v>
      </c>
      <c r="B5266" s="799" t="s">
        <v>4961</v>
      </c>
      <c r="C5266" s="798" t="s">
        <v>22</v>
      </c>
      <c r="D5266" s="800">
        <v>14.51</v>
      </c>
    </row>
    <row r="5267" spans="1:4" ht="81">
      <c r="A5267" s="798">
        <v>101246</v>
      </c>
      <c r="B5267" s="799" t="s">
        <v>4962</v>
      </c>
      <c r="C5267" s="798" t="s">
        <v>22</v>
      </c>
      <c r="D5267" s="800">
        <v>16.87</v>
      </c>
    </row>
    <row r="5268" spans="1:4" ht="81">
      <c r="A5268" s="798">
        <v>101247</v>
      </c>
      <c r="B5268" s="799" t="s">
        <v>4963</v>
      </c>
      <c r="C5268" s="798" t="s">
        <v>22</v>
      </c>
      <c r="D5268" s="800">
        <v>18.71</v>
      </c>
    </row>
    <row r="5269" spans="1:4" ht="81">
      <c r="A5269" s="798">
        <v>101248</v>
      </c>
      <c r="B5269" s="799" t="s">
        <v>4964</v>
      </c>
      <c r="C5269" s="798" t="s">
        <v>22</v>
      </c>
      <c r="D5269" s="800">
        <v>23.46</v>
      </c>
    </row>
    <row r="5270" spans="1:4" ht="81">
      <c r="A5270" s="798">
        <v>101249</v>
      </c>
      <c r="B5270" s="799" t="s">
        <v>4965</v>
      </c>
      <c r="C5270" s="798" t="s">
        <v>22</v>
      </c>
      <c r="D5270" s="800">
        <v>12</v>
      </c>
    </row>
    <row r="5271" spans="1:4" ht="81">
      <c r="A5271" s="798">
        <v>101250</v>
      </c>
      <c r="B5271" s="799" t="s">
        <v>4966</v>
      </c>
      <c r="C5271" s="798" t="s">
        <v>22</v>
      </c>
      <c r="D5271" s="800">
        <v>13.26</v>
      </c>
    </row>
    <row r="5272" spans="1:4" ht="81">
      <c r="A5272" s="798">
        <v>101251</v>
      </c>
      <c r="B5272" s="799" t="s">
        <v>4967</v>
      </c>
      <c r="C5272" s="798" t="s">
        <v>22</v>
      </c>
      <c r="D5272" s="800">
        <v>15.21</v>
      </c>
    </row>
    <row r="5273" spans="1:4" ht="81">
      <c r="A5273" s="798">
        <v>101252</v>
      </c>
      <c r="B5273" s="799" t="s">
        <v>4968</v>
      </c>
      <c r="C5273" s="798" t="s">
        <v>22</v>
      </c>
      <c r="D5273" s="800">
        <v>16.52</v>
      </c>
    </row>
    <row r="5274" spans="1:4" ht="81">
      <c r="A5274" s="798">
        <v>101253</v>
      </c>
      <c r="B5274" s="799" t="s">
        <v>4969</v>
      </c>
      <c r="C5274" s="798" t="s">
        <v>22</v>
      </c>
      <c r="D5274" s="800">
        <v>20.81</v>
      </c>
    </row>
    <row r="5275" spans="1:4" ht="81">
      <c r="A5275" s="798">
        <v>101254</v>
      </c>
      <c r="B5275" s="799" t="s">
        <v>4970</v>
      </c>
      <c r="C5275" s="798" t="s">
        <v>22</v>
      </c>
      <c r="D5275" s="800">
        <v>9.2899999999999991</v>
      </c>
    </row>
    <row r="5276" spans="1:4" ht="81">
      <c r="A5276" s="798">
        <v>101255</v>
      </c>
      <c r="B5276" s="799" t="s">
        <v>4971</v>
      </c>
      <c r="C5276" s="798" t="s">
        <v>22</v>
      </c>
      <c r="D5276" s="800">
        <v>8.2899999999999991</v>
      </c>
    </row>
    <row r="5277" spans="1:4" ht="81">
      <c r="A5277" s="798">
        <v>101256</v>
      </c>
      <c r="B5277" s="799" t="s">
        <v>4972</v>
      </c>
      <c r="C5277" s="798" t="s">
        <v>22</v>
      </c>
      <c r="D5277" s="800">
        <v>14.03</v>
      </c>
    </row>
    <row r="5278" spans="1:4" ht="81">
      <c r="A5278" s="798">
        <v>101257</v>
      </c>
      <c r="B5278" s="799" t="s">
        <v>4973</v>
      </c>
      <c r="C5278" s="798" t="s">
        <v>22</v>
      </c>
      <c r="D5278" s="800">
        <v>14.79</v>
      </c>
    </row>
    <row r="5279" spans="1:4" ht="81">
      <c r="A5279" s="798">
        <v>101258</v>
      </c>
      <c r="B5279" s="799" t="s">
        <v>4974</v>
      </c>
      <c r="C5279" s="798" t="s">
        <v>22</v>
      </c>
      <c r="D5279" s="800">
        <v>17.059999999999999</v>
      </c>
    </row>
    <row r="5280" spans="1:4" ht="81">
      <c r="A5280" s="798">
        <v>101259</v>
      </c>
      <c r="B5280" s="799" t="s">
        <v>4975</v>
      </c>
      <c r="C5280" s="798" t="s">
        <v>22</v>
      </c>
      <c r="D5280" s="800">
        <v>18.87</v>
      </c>
    </row>
    <row r="5281" spans="1:4" ht="81">
      <c r="A5281" s="798">
        <v>101260</v>
      </c>
      <c r="B5281" s="799" t="s">
        <v>4976</v>
      </c>
      <c r="C5281" s="798" t="s">
        <v>22</v>
      </c>
      <c r="D5281" s="800">
        <v>23.44</v>
      </c>
    </row>
    <row r="5282" spans="1:4" ht="81">
      <c r="A5282" s="798">
        <v>101261</v>
      </c>
      <c r="B5282" s="799" t="s">
        <v>4977</v>
      </c>
      <c r="C5282" s="798" t="s">
        <v>22</v>
      </c>
      <c r="D5282" s="800">
        <v>13.29</v>
      </c>
    </row>
    <row r="5283" spans="1:4" ht="81">
      <c r="A5283" s="798">
        <v>101262</v>
      </c>
      <c r="B5283" s="799" t="s">
        <v>4978</v>
      </c>
      <c r="C5283" s="798" t="s">
        <v>22</v>
      </c>
      <c r="D5283" s="800">
        <v>14.05</v>
      </c>
    </row>
    <row r="5284" spans="1:4" ht="81">
      <c r="A5284" s="798">
        <v>101263</v>
      </c>
      <c r="B5284" s="799" t="s">
        <v>4979</v>
      </c>
      <c r="C5284" s="798" t="s">
        <v>22</v>
      </c>
      <c r="D5284" s="800">
        <v>16.170000000000002</v>
      </c>
    </row>
    <row r="5285" spans="1:4" ht="81">
      <c r="A5285" s="798">
        <v>101264</v>
      </c>
      <c r="B5285" s="799" t="s">
        <v>4980</v>
      </c>
      <c r="C5285" s="798" t="s">
        <v>22</v>
      </c>
      <c r="D5285" s="800">
        <v>17.850000000000001</v>
      </c>
    </row>
    <row r="5286" spans="1:4" ht="81">
      <c r="A5286" s="798">
        <v>101265</v>
      </c>
      <c r="B5286" s="799" t="s">
        <v>4981</v>
      </c>
      <c r="C5286" s="798" t="s">
        <v>22</v>
      </c>
      <c r="D5286" s="800">
        <v>22.13</v>
      </c>
    </row>
    <row r="5287" spans="1:4" ht="81">
      <c r="A5287" s="798">
        <v>101266</v>
      </c>
      <c r="B5287" s="799" t="s">
        <v>4982</v>
      </c>
      <c r="C5287" s="798" t="s">
        <v>22</v>
      </c>
      <c r="D5287" s="800">
        <v>8.25</v>
      </c>
    </row>
    <row r="5288" spans="1:4" ht="81">
      <c r="A5288" s="798">
        <v>101267</v>
      </c>
      <c r="B5288" s="799" t="s">
        <v>4983</v>
      </c>
      <c r="C5288" s="798" t="s">
        <v>22</v>
      </c>
      <c r="D5288" s="800">
        <v>7.91</v>
      </c>
    </row>
    <row r="5289" spans="1:4" ht="81">
      <c r="A5289" s="798">
        <v>101268</v>
      </c>
      <c r="B5289" s="799" t="s">
        <v>4984</v>
      </c>
      <c r="C5289" s="798" t="s">
        <v>22</v>
      </c>
      <c r="D5289" s="800">
        <v>12.75</v>
      </c>
    </row>
    <row r="5290" spans="1:4" ht="81">
      <c r="A5290" s="798">
        <v>101269</v>
      </c>
      <c r="B5290" s="799" t="s">
        <v>4985</v>
      </c>
      <c r="C5290" s="798" t="s">
        <v>22</v>
      </c>
      <c r="D5290" s="800">
        <v>14.12</v>
      </c>
    </row>
    <row r="5291" spans="1:4" ht="81">
      <c r="A5291" s="798">
        <v>101270</v>
      </c>
      <c r="B5291" s="799" t="s">
        <v>4986</v>
      </c>
      <c r="C5291" s="798" t="s">
        <v>22</v>
      </c>
      <c r="D5291" s="800">
        <v>16.28</v>
      </c>
    </row>
    <row r="5292" spans="1:4" ht="81">
      <c r="A5292" s="798">
        <v>101271</v>
      </c>
      <c r="B5292" s="799" t="s">
        <v>4987</v>
      </c>
      <c r="C5292" s="798" t="s">
        <v>22</v>
      </c>
      <c r="D5292" s="800">
        <v>17.989999999999998</v>
      </c>
    </row>
    <row r="5293" spans="1:4" ht="81">
      <c r="A5293" s="798">
        <v>101272</v>
      </c>
      <c r="B5293" s="799" t="s">
        <v>4988</v>
      </c>
      <c r="C5293" s="798" t="s">
        <v>22</v>
      </c>
      <c r="D5293" s="800">
        <v>22.35</v>
      </c>
    </row>
    <row r="5294" spans="1:4" ht="81">
      <c r="A5294" s="798">
        <v>101273</v>
      </c>
      <c r="B5294" s="799" t="s">
        <v>4989</v>
      </c>
      <c r="C5294" s="798" t="s">
        <v>22</v>
      </c>
      <c r="D5294" s="800">
        <v>12.21</v>
      </c>
    </row>
    <row r="5295" spans="1:4" ht="81">
      <c r="A5295" s="798">
        <v>101274</v>
      </c>
      <c r="B5295" s="799" t="s">
        <v>4990</v>
      </c>
      <c r="C5295" s="798" t="s">
        <v>22</v>
      </c>
      <c r="D5295" s="800">
        <v>13.42</v>
      </c>
    </row>
    <row r="5296" spans="1:4" ht="81">
      <c r="A5296" s="798">
        <v>101275</v>
      </c>
      <c r="B5296" s="799" t="s">
        <v>4991</v>
      </c>
      <c r="C5296" s="798" t="s">
        <v>22</v>
      </c>
      <c r="D5296" s="800">
        <v>15.49</v>
      </c>
    </row>
    <row r="5297" spans="1:4" ht="81">
      <c r="A5297" s="798">
        <v>101276</v>
      </c>
      <c r="B5297" s="799" t="s">
        <v>4992</v>
      </c>
      <c r="C5297" s="798" t="s">
        <v>22</v>
      </c>
      <c r="D5297" s="800">
        <v>17.07</v>
      </c>
    </row>
    <row r="5298" spans="1:4" ht="81">
      <c r="A5298" s="798">
        <v>101277</v>
      </c>
      <c r="B5298" s="799" t="s">
        <v>4993</v>
      </c>
      <c r="C5298" s="798" t="s">
        <v>22</v>
      </c>
      <c r="D5298" s="800">
        <v>21.67</v>
      </c>
    </row>
    <row r="5299" spans="1:4" ht="40.5">
      <c r="A5299" s="798">
        <v>102354</v>
      </c>
      <c r="B5299" s="799" t="s">
        <v>6781</v>
      </c>
      <c r="C5299" s="798" t="s">
        <v>22</v>
      </c>
      <c r="D5299" s="800">
        <v>119.01</v>
      </c>
    </row>
    <row r="5300" spans="1:4" ht="54">
      <c r="A5300" s="798">
        <v>102355</v>
      </c>
      <c r="B5300" s="799" t="s">
        <v>6782</v>
      </c>
      <c r="C5300" s="798" t="s">
        <v>22</v>
      </c>
      <c r="D5300" s="800">
        <v>134.69999999999999</v>
      </c>
    </row>
    <row r="5301" spans="1:4" ht="40.5">
      <c r="A5301" s="798">
        <v>102360</v>
      </c>
      <c r="B5301" s="799" t="s">
        <v>6783</v>
      </c>
      <c r="C5301" s="798" t="s">
        <v>22</v>
      </c>
      <c r="D5301" s="800">
        <v>19.38</v>
      </c>
    </row>
    <row r="5302" spans="1:4" ht="40.5">
      <c r="A5302" s="798">
        <v>102361</v>
      </c>
      <c r="B5302" s="799" t="s">
        <v>6784</v>
      </c>
      <c r="C5302" s="798" t="s">
        <v>22</v>
      </c>
      <c r="D5302" s="800">
        <v>24.43</v>
      </c>
    </row>
    <row r="5303" spans="1:4" ht="67.5">
      <c r="A5303" s="798">
        <v>90082</v>
      </c>
      <c r="B5303" s="799" t="s">
        <v>7775</v>
      </c>
      <c r="C5303" s="798" t="s">
        <v>22</v>
      </c>
      <c r="D5303" s="800">
        <v>9.4600000000000009</v>
      </c>
    </row>
    <row r="5304" spans="1:4" ht="67.5">
      <c r="A5304" s="798">
        <v>90084</v>
      </c>
      <c r="B5304" s="799" t="s">
        <v>7776</v>
      </c>
      <c r="C5304" s="798" t="s">
        <v>22</v>
      </c>
      <c r="D5304" s="800">
        <v>9.17</v>
      </c>
    </row>
    <row r="5305" spans="1:4" ht="67.5">
      <c r="A5305" s="798">
        <v>90086</v>
      </c>
      <c r="B5305" s="799" t="s">
        <v>7777</v>
      </c>
      <c r="C5305" s="798" t="s">
        <v>22</v>
      </c>
      <c r="D5305" s="800">
        <v>8.67</v>
      </c>
    </row>
    <row r="5306" spans="1:4" ht="67.5">
      <c r="A5306" s="798">
        <v>90087</v>
      </c>
      <c r="B5306" s="799" t="s">
        <v>7778</v>
      </c>
      <c r="C5306" s="798" t="s">
        <v>22</v>
      </c>
      <c r="D5306" s="800">
        <v>8.0299999999999994</v>
      </c>
    </row>
    <row r="5307" spans="1:4" ht="67.5">
      <c r="A5307" s="798">
        <v>90090</v>
      </c>
      <c r="B5307" s="799" t="s">
        <v>7779</v>
      </c>
      <c r="C5307" s="798" t="s">
        <v>22</v>
      </c>
      <c r="D5307" s="800">
        <v>7.85</v>
      </c>
    </row>
    <row r="5308" spans="1:4" ht="67.5">
      <c r="A5308" s="798">
        <v>90091</v>
      </c>
      <c r="B5308" s="799" t="s">
        <v>7780</v>
      </c>
      <c r="C5308" s="798" t="s">
        <v>22</v>
      </c>
      <c r="D5308" s="800">
        <v>5.1100000000000003</v>
      </c>
    </row>
    <row r="5309" spans="1:4" ht="67.5">
      <c r="A5309" s="798">
        <v>90092</v>
      </c>
      <c r="B5309" s="799" t="s">
        <v>7781</v>
      </c>
      <c r="C5309" s="798" t="s">
        <v>22</v>
      </c>
      <c r="D5309" s="800">
        <v>5.05</v>
      </c>
    </row>
    <row r="5310" spans="1:4" ht="67.5">
      <c r="A5310" s="798">
        <v>90094</v>
      </c>
      <c r="B5310" s="799" t="s">
        <v>7782</v>
      </c>
      <c r="C5310" s="798" t="s">
        <v>22</v>
      </c>
      <c r="D5310" s="800">
        <v>4.78</v>
      </c>
    </row>
    <row r="5311" spans="1:4" ht="67.5">
      <c r="A5311" s="798">
        <v>90095</v>
      </c>
      <c r="B5311" s="799" t="s">
        <v>7783</v>
      </c>
      <c r="C5311" s="798" t="s">
        <v>22</v>
      </c>
      <c r="D5311" s="800">
        <v>4.42</v>
      </c>
    </row>
    <row r="5312" spans="1:4" ht="67.5">
      <c r="A5312" s="798">
        <v>90098</v>
      </c>
      <c r="B5312" s="799" t="s">
        <v>7784</v>
      </c>
      <c r="C5312" s="798" t="s">
        <v>22</v>
      </c>
      <c r="D5312" s="800">
        <v>4.34</v>
      </c>
    </row>
    <row r="5313" spans="1:4" ht="67.5">
      <c r="A5313" s="798">
        <v>90099</v>
      </c>
      <c r="B5313" s="799" t="s">
        <v>7785</v>
      </c>
      <c r="C5313" s="798" t="s">
        <v>22</v>
      </c>
      <c r="D5313" s="800">
        <v>11.58</v>
      </c>
    </row>
    <row r="5314" spans="1:4" ht="67.5">
      <c r="A5314" s="798">
        <v>90100</v>
      </c>
      <c r="B5314" s="799" t="s">
        <v>7786</v>
      </c>
      <c r="C5314" s="798" t="s">
        <v>22</v>
      </c>
      <c r="D5314" s="800">
        <v>9.84</v>
      </c>
    </row>
    <row r="5315" spans="1:4" ht="67.5">
      <c r="A5315" s="798">
        <v>90101</v>
      </c>
      <c r="B5315" s="799" t="s">
        <v>7787</v>
      </c>
      <c r="C5315" s="798" t="s">
        <v>22</v>
      </c>
      <c r="D5315" s="800">
        <v>9.7200000000000006</v>
      </c>
    </row>
    <row r="5316" spans="1:4" ht="67.5">
      <c r="A5316" s="798">
        <v>90102</v>
      </c>
      <c r="B5316" s="799" t="s">
        <v>7788</v>
      </c>
      <c r="C5316" s="798" t="s">
        <v>22</v>
      </c>
      <c r="D5316" s="800">
        <v>8.84</v>
      </c>
    </row>
    <row r="5317" spans="1:4" ht="67.5">
      <c r="A5317" s="798">
        <v>90105</v>
      </c>
      <c r="B5317" s="799" t="s">
        <v>7789</v>
      </c>
      <c r="C5317" s="798" t="s">
        <v>22</v>
      </c>
      <c r="D5317" s="800">
        <v>6.38</v>
      </c>
    </row>
    <row r="5318" spans="1:4" ht="67.5">
      <c r="A5318" s="798">
        <v>90106</v>
      </c>
      <c r="B5318" s="799" t="s">
        <v>7790</v>
      </c>
      <c r="C5318" s="798" t="s">
        <v>22</v>
      </c>
      <c r="D5318" s="800">
        <v>5.43</v>
      </c>
    </row>
    <row r="5319" spans="1:4" ht="67.5">
      <c r="A5319" s="798">
        <v>90107</v>
      </c>
      <c r="B5319" s="799" t="s">
        <v>7791</v>
      </c>
      <c r="C5319" s="798" t="s">
        <v>22</v>
      </c>
      <c r="D5319" s="800">
        <v>5.36</v>
      </c>
    </row>
    <row r="5320" spans="1:4" ht="67.5">
      <c r="A5320" s="798">
        <v>90108</v>
      </c>
      <c r="B5320" s="799" t="s">
        <v>7792</v>
      </c>
      <c r="C5320" s="798" t="s">
        <v>22</v>
      </c>
      <c r="D5320" s="800">
        <v>4.87</v>
      </c>
    </row>
    <row r="5321" spans="1:4" ht="27">
      <c r="A5321" s="798">
        <v>93358</v>
      </c>
      <c r="B5321" s="799" t="s">
        <v>6785</v>
      </c>
      <c r="C5321" s="798" t="s">
        <v>22</v>
      </c>
      <c r="D5321" s="800">
        <v>59.97</v>
      </c>
    </row>
    <row r="5322" spans="1:4" ht="67.5">
      <c r="A5322" s="798">
        <v>102276</v>
      </c>
      <c r="B5322" s="799" t="s">
        <v>7793</v>
      </c>
      <c r="C5322" s="798" t="s">
        <v>22</v>
      </c>
      <c r="D5322" s="800">
        <v>10.65</v>
      </c>
    </row>
    <row r="5323" spans="1:4" ht="67.5">
      <c r="A5323" s="798">
        <v>102277</v>
      </c>
      <c r="B5323" s="799" t="s">
        <v>7794</v>
      </c>
      <c r="C5323" s="798" t="s">
        <v>22</v>
      </c>
      <c r="D5323" s="800">
        <v>8.41</v>
      </c>
    </row>
    <row r="5324" spans="1:4" ht="67.5">
      <c r="A5324" s="798">
        <v>102278</v>
      </c>
      <c r="B5324" s="799" t="s">
        <v>7795</v>
      </c>
      <c r="C5324" s="798" t="s">
        <v>22</v>
      </c>
      <c r="D5324" s="800">
        <v>8.3699999999999992</v>
      </c>
    </row>
    <row r="5325" spans="1:4" ht="67.5">
      <c r="A5325" s="798">
        <v>102279</v>
      </c>
      <c r="B5325" s="799" t="s">
        <v>7796</v>
      </c>
      <c r="C5325" s="798" t="s">
        <v>22</v>
      </c>
      <c r="D5325" s="800">
        <v>5.87</v>
      </c>
    </row>
    <row r="5326" spans="1:4" ht="67.5">
      <c r="A5326" s="798">
        <v>102280</v>
      </c>
      <c r="B5326" s="799" t="s">
        <v>7797</v>
      </c>
      <c r="C5326" s="798" t="s">
        <v>22</v>
      </c>
      <c r="D5326" s="800">
        <v>4.6399999999999997</v>
      </c>
    </row>
    <row r="5327" spans="1:4" ht="67.5">
      <c r="A5327" s="798">
        <v>102281</v>
      </c>
      <c r="B5327" s="799" t="s">
        <v>7798</v>
      </c>
      <c r="C5327" s="798" t="s">
        <v>22</v>
      </c>
      <c r="D5327" s="800">
        <v>4.6100000000000003</v>
      </c>
    </row>
    <row r="5328" spans="1:4" ht="67.5">
      <c r="A5328" s="798">
        <v>102282</v>
      </c>
      <c r="B5328" s="799" t="s">
        <v>7799</v>
      </c>
      <c r="C5328" s="798" t="s">
        <v>22</v>
      </c>
      <c r="D5328" s="800">
        <v>11.82</v>
      </c>
    </row>
    <row r="5329" spans="1:4" ht="67.5">
      <c r="A5329" s="798">
        <v>102283</v>
      </c>
      <c r="B5329" s="799" t="s">
        <v>7800</v>
      </c>
      <c r="C5329" s="798" t="s">
        <v>22</v>
      </c>
      <c r="D5329" s="800">
        <v>10.5</v>
      </c>
    </row>
    <row r="5330" spans="1:4" ht="67.5">
      <c r="A5330" s="798">
        <v>102284</v>
      </c>
      <c r="B5330" s="799" t="s">
        <v>7801</v>
      </c>
      <c r="C5330" s="798" t="s">
        <v>22</v>
      </c>
      <c r="D5330" s="800">
        <v>10.17</v>
      </c>
    </row>
    <row r="5331" spans="1:4" ht="67.5">
      <c r="A5331" s="798">
        <v>102285</v>
      </c>
      <c r="B5331" s="799" t="s">
        <v>7802</v>
      </c>
      <c r="C5331" s="798" t="s">
        <v>22</v>
      </c>
      <c r="D5331" s="800">
        <v>9.6199999999999992</v>
      </c>
    </row>
    <row r="5332" spans="1:4" ht="67.5">
      <c r="A5332" s="798">
        <v>102286</v>
      </c>
      <c r="B5332" s="799" t="s">
        <v>7803</v>
      </c>
      <c r="C5332" s="798" t="s">
        <v>22</v>
      </c>
      <c r="D5332" s="800">
        <v>9.35</v>
      </c>
    </row>
    <row r="5333" spans="1:4" ht="67.5">
      <c r="A5333" s="798">
        <v>102287</v>
      </c>
      <c r="B5333" s="799" t="s">
        <v>7804</v>
      </c>
      <c r="C5333" s="798" t="s">
        <v>22</v>
      </c>
      <c r="D5333" s="800">
        <v>9.31</v>
      </c>
    </row>
    <row r="5334" spans="1:4" ht="67.5">
      <c r="A5334" s="798">
        <v>102288</v>
      </c>
      <c r="B5334" s="799" t="s">
        <v>7805</v>
      </c>
      <c r="C5334" s="798" t="s">
        <v>22</v>
      </c>
      <c r="D5334" s="800">
        <v>8.93</v>
      </c>
    </row>
    <row r="5335" spans="1:4" ht="67.5">
      <c r="A5335" s="798">
        <v>102289</v>
      </c>
      <c r="B5335" s="799" t="s">
        <v>7806</v>
      </c>
      <c r="C5335" s="798" t="s">
        <v>22</v>
      </c>
      <c r="D5335" s="800">
        <v>8.7200000000000006</v>
      </c>
    </row>
    <row r="5336" spans="1:4" ht="67.5">
      <c r="A5336" s="798">
        <v>102290</v>
      </c>
      <c r="B5336" s="799" t="s">
        <v>7807</v>
      </c>
      <c r="C5336" s="798" t="s">
        <v>22</v>
      </c>
      <c r="D5336" s="800">
        <v>6.52</v>
      </c>
    </row>
    <row r="5337" spans="1:4" ht="67.5">
      <c r="A5337" s="798">
        <v>102291</v>
      </c>
      <c r="B5337" s="799" t="s">
        <v>7808</v>
      </c>
      <c r="C5337" s="798" t="s">
        <v>22</v>
      </c>
      <c r="D5337" s="800">
        <v>5.79</v>
      </c>
    </row>
    <row r="5338" spans="1:4" ht="67.5">
      <c r="A5338" s="798">
        <v>102292</v>
      </c>
      <c r="B5338" s="799" t="s">
        <v>7809</v>
      </c>
      <c r="C5338" s="798" t="s">
        <v>22</v>
      </c>
      <c r="D5338" s="800">
        <v>5.61</v>
      </c>
    </row>
    <row r="5339" spans="1:4" ht="67.5">
      <c r="A5339" s="798">
        <v>102293</v>
      </c>
      <c r="B5339" s="799" t="s">
        <v>7810</v>
      </c>
      <c r="C5339" s="798" t="s">
        <v>22</v>
      </c>
      <c r="D5339" s="800">
        <v>5.32</v>
      </c>
    </row>
    <row r="5340" spans="1:4" ht="67.5">
      <c r="A5340" s="798">
        <v>102294</v>
      </c>
      <c r="B5340" s="799" t="s">
        <v>7811</v>
      </c>
      <c r="C5340" s="798" t="s">
        <v>22</v>
      </c>
      <c r="D5340" s="800">
        <v>5.16</v>
      </c>
    </row>
    <row r="5341" spans="1:4" ht="67.5">
      <c r="A5341" s="798">
        <v>102295</v>
      </c>
      <c r="B5341" s="799" t="s">
        <v>7812</v>
      </c>
      <c r="C5341" s="798" t="s">
        <v>22</v>
      </c>
      <c r="D5341" s="800">
        <v>5.13</v>
      </c>
    </row>
    <row r="5342" spans="1:4" ht="67.5">
      <c r="A5342" s="798">
        <v>102296</v>
      </c>
      <c r="B5342" s="799" t="s">
        <v>7813</v>
      </c>
      <c r="C5342" s="798" t="s">
        <v>22</v>
      </c>
      <c r="D5342" s="800">
        <v>4.93</v>
      </c>
    </row>
    <row r="5343" spans="1:4" ht="67.5">
      <c r="A5343" s="798">
        <v>102297</v>
      </c>
      <c r="B5343" s="799" t="s">
        <v>7814</v>
      </c>
      <c r="C5343" s="798" t="s">
        <v>22</v>
      </c>
      <c r="D5343" s="800">
        <v>4.82</v>
      </c>
    </row>
    <row r="5344" spans="1:4" ht="67.5">
      <c r="A5344" s="798">
        <v>102298</v>
      </c>
      <c r="B5344" s="799" t="s">
        <v>7815</v>
      </c>
      <c r="C5344" s="798" t="s">
        <v>22</v>
      </c>
      <c r="D5344" s="800">
        <v>12.86</v>
      </c>
    </row>
    <row r="5345" spans="1:4" ht="67.5">
      <c r="A5345" s="798">
        <v>102299</v>
      </c>
      <c r="B5345" s="799" t="s">
        <v>7816</v>
      </c>
      <c r="C5345" s="798" t="s">
        <v>22</v>
      </c>
      <c r="D5345" s="800">
        <v>10.93</v>
      </c>
    </row>
    <row r="5346" spans="1:4" ht="67.5">
      <c r="A5346" s="798">
        <v>102300</v>
      </c>
      <c r="B5346" s="799" t="s">
        <v>7817</v>
      </c>
      <c r="C5346" s="798" t="s">
        <v>22</v>
      </c>
      <c r="D5346" s="800">
        <v>10.79</v>
      </c>
    </row>
    <row r="5347" spans="1:4" ht="67.5">
      <c r="A5347" s="798">
        <v>102301</v>
      </c>
      <c r="B5347" s="799" t="s">
        <v>7818</v>
      </c>
      <c r="C5347" s="798" t="s">
        <v>22</v>
      </c>
      <c r="D5347" s="800">
        <v>9.81</v>
      </c>
    </row>
    <row r="5348" spans="1:4" ht="67.5">
      <c r="A5348" s="798">
        <v>102302</v>
      </c>
      <c r="B5348" s="799" t="s">
        <v>7819</v>
      </c>
      <c r="C5348" s="798" t="s">
        <v>22</v>
      </c>
      <c r="D5348" s="800">
        <v>7.1</v>
      </c>
    </row>
    <row r="5349" spans="1:4" ht="67.5">
      <c r="A5349" s="798">
        <v>102303</v>
      </c>
      <c r="B5349" s="799" t="s">
        <v>7820</v>
      </c>
      <c r="C5349" s="798" t="s">
        <v>22</v>
      </c>
      <c r="D5349" s="800">
        <v>6.02</v>
      </c>
    </row>
    <row r="5350" spans="1:4" ht="67.5">
      <c r="A5350" s="798">
        <v>102304</v>
      </c>
      <c r="B5350" s="799" t="s">
        <v>7821</v>
      </c>
      <c r="C5350" s="798" t="s">
        <v>22</v>
      </c>
      <c r="D5350" s="800">
        <v>5.95</v>
      </c>
    </row>
    <row r="5351" spans="1:4" ht="67.5">
      <c r="A5351" s="798">
        <v>102305</v>
      </c>
      <c r="B5351" s="799" t="s">
        <v>7822</v>
      </c>
      <c r="C5351" s="798" t="s">
        <v>22</v>
      </c>
      <c r="D5351" s="800">
        <v>5.42</v>
      </c>
    </row>
    <row r="5352" spans="1:4" ht="67.5">
      <c r="A5352" s="798">
        <v>102306</v>
      </c>
      <c r="B5352" s="799" t="s">
        <v>7823</v>
      </c>
      <c r="C5352" s="798" t="s">
        <v>22</v>
      </c>
      <c r="D5352" s="800">
        <v>13.32</v>
      </c>
    </row>
    <row r="5353" spans="1:4" ht="67.5">
      <c r="A5353" s="798">
        <v>102307</v>
      </c>
      <c r="B5353" s="799" t="s">
        <v>7824</v>
      </c>
      <c r="C5353" s="798" t="s">
        <v>22</v>
      </c>
      <c r="D5353" s="800">
        <v>11.82</v>
      </c>
    </row>
    <row r="5354" spans="1:4" ht="67.5">
      <c r="A5354" s="798">
        <v>102308</v>
      </c>
      <c r="B5354" s="799" t="s">
        <v>7825</v>
      </c>
      <c r="C5354" s="798" t="s">
        <v>22</v>
      </c>
      <c r="D5354" s="800">
        <v>11.47</v>
      </c>
    </row>
    <row r="5355" spans="1:4" ht="67.5">
      <c r="A5355" s="798">
        <v>102309</v>
      </c>
      <c r="B5355" s="799" t="s">
        <v>7826</v>
      </c>
      <c r="C5355" s="798" t="s">
        <v>22</v>
      </c>
      <c r="D5355" s="800">
        <v>10.84</v>
      </c>
    </row>
    <row r="5356" spans="1:4" ht="67.5">
      <c r="A5356" s="798">
        <v>102310</v>
      </c>
      <c r="B5356" s="799" t="s">
        <v>7827</v>
      </c>
      <c r="C5356" s="798" t="s">
        <v>22</v>
      </c>
      <c r="D5356" s="800">
        <v>10.52</v>
      </c>
    </row>
    <row r="5357" spans="1:4" ht="67.5">
      <c r="A5357" s="798">
        <v>102311</v>
      </c>
      <c r="B5357" s="799" t="s">
        <v>7828</v>
      </c>
      <c r="C5357" s="798" t="s">
        <v>22</v>
      </c>
      <c r="D5357" s="800">
        <v>10.46</v>
      </c>
    </row>
    <row r="5358" spans="1:4" ht="67.5">
      <c r="A5358" s="798">
        <v>102312</v>
      </c>
      <c r="B5358" s="799" t="s">
        <v>7829</v>
      </c>
      <c r="C5358" s="798" t="s">
        <v>22</v>
      </c>
      <c r="D5358" s="800">
        <v>10.050000000000001</v>
      </c>
    </row>
    <row r="5359" spans="1:4" ht="67.5">
      <c r="A5359" s="798">
        <v>102313</v>
      </c>
      <c r="B5359" s="799" t="s">
        <v>7830</v>
      </c>
      <c r="C5359" s="798" t="s">
        <v>22</v>
      </c>
      <c r="D5359" s="800">
        <v>9.82</v>
      </c>
    </row>
    <row r="5360" spans="1:4" ht="67.5">
      <c r="A5360" s="798">
        <v>102314</v>
      </c>
      <c r="B5360" s="799" t="s">
        <v>7831</v>
      </c>
      <c r="C5360" s="798" t="s">
        <v>22</v>
      </c>
      <c r="D5360" s="800">
        <v>7.35</v>
      </c>
    </row>
    <row r="5361" spans="1:4" ht="67.5">
      <c r="A5361" s="798">
        <v>102315</v>
      </c>
      <c r="B5361" s="799" t="s">
        <v>7832</v>
      </c>
      <c r="C5361" s="798" t="s">
        <v>22</v>
      </c>
      <c r="D5361" s="800">
        <v>6.52</v>
      </c>
    </row>
    <row r="5362" spans="1:4" ht="67.5">
      <c r="A5362" s="798">
        <v>102316</v>
      </c>
      <c r="B5362" s="799" t="s">
        <v>7833</v>
      </c>
      <c r="C5362" s="798" t="s">
        <v>22</v>
      </c>
      <c r="D5362" s="800">
        <v>6.32</v>
      </c>
    </row>
    <row r="5363" spans="1:4" ht="67.5">
      <c r="A5363" s="798">
        <v>102317</v>
      </c>
      <c r="B5363" s="799" t="s">
        <v>7834</v>
      </c>
      <c r="C5363" s="798" t="s">
        <v>22</v>
      </c>
      <c r="D5363" s="800">
        <v>5.97</v>
      </c>
    </row>
    <row r="5364" spans="1:4" ht="67.5">
      <c r="A5364" s="798">
        <v>102318</v>
      </c>
      <c r="B5364" s="799" t="s">
        <v>7835</v>
      </c>
      <c r="C5364" s="798" t="s">
        <v>22</v>
      </c>
      <c r="D5364" s="800">
        <v>5.81</v>
      </c>
    </row>
    <row r="5365" spans="1:4" ht="67.5">
      <c r="A5365" s="798">
        <v>102319</v>
      </c>
      <c r="B5365" s="799" t="s">
        <v>7836</v>
      </c>
      <c r="C5365" s="798" t="s">
        <v>22</v>
      </c>
      <c r="D5365" s="800">
        <v>5.77</v>
      </c>
    </row>
    <row r="5366" spans="1:4" ht="67.5">
      <c r="A5366" s="798">
        <v>102320</v>
      </c>
      <c r="B5366" s="799" t="s">
        <v>7837</v>
      </c>
      <c r="C5366" s="798" t="s">
        <v>22</v>
      </c>
      <c r="D5366" s="800">
        <v>5.52</v>
      </c>
    </row>
    <row r="5367" spans="1:4" ht="67.5">
      <c r="A5367" s="798">
        <v>102321</v>
      </c>
      <c r="B5367" s="799" t="s">
        <v>7838</v>
      </c>
      <c r="C5367" s="798" t="s">
        <v>22</v>
      </c>
      <c r="D5367" s="800">
        <v>5.42</v>
      </c>
    </row>
    <row r="5368" spans="1:4" ht="67.5">
      <c r="A5368" s="798">
        <v>102322</v>
      </c>
      <c r="B5368" s="799" t="s">
        <v>7839</v>
      </c>
      <c r="C5368" s="798" t="s">
        <v>22</v>
      </c>
      <c r="D5368" s="800">
        <v>14.48</v>
      </c>
    </row>
    <row r="5369" spans="1:4" ht="67.5">
      <c r="A5369" s="798">
        <v>102323</v>
      </c>
      <c r="B5369" s="799" t="s">
        <v>7840</v>
      </c>
      <c r="C5369" s="798" t="s">
        <v>22</v>
      </c>
      <c r="D5369" s="800">
        <v>12.29</v>
      </c>
    </row>
    <row r="5370" spans="1:4" ht="67.5">
      <c r="A5370" s="798">
        <v>102324</v>
      </c>
      <c r="B5370" s="799" t="s">
        <v>7841</v>
      </c>
      <c r="C5370" s="798" t="s">
        <v>22</v>
      </c>
      <c r="D5370" s="800">
        <v>12.15</v>
      </c>
    </row>
    <row r="5371" spans="1:4" ht="67.5">
      <c r="A5371" s="798">
        <v>102325</v>
      </c>
      <c r="B5371" s="799" t="s">
        <v>7842</v>
      </c>
      <c r="C5371" s="798" t="s">
        <v>22</v>
      </c>
      <c r="D5371" s="800">
        <v>11.05</v>
      </c>
    </row>
    <row r="5372" spans="1:4" ht="67.5">
      <c r="A5372" s="798">
        <v>102326</v>
      </c>
      <c r="B5372" s="799" t="s">
        <v>7843</v>
      </c>
      <c r="C5372" s="798" t="s">
        <v>22</v>
      </c>
      <c r="D5372" s="800">
        <v>7.99</v>
      </c>
    </row>
    <row r="5373" spans="1:4" ht="67.5">
      <c r="A5373" s="798">
        <v>102327</v>
      </c>
      <c r="B5373" s="799" t="s">
        <v>7844</v>
      </c>
      <c r="C5373" s="798" t="s">
        <v>22</v>
      </c>
      <c r="D5373" s="800">
        <v>6.79</v>
      </c>
    </row>
    <row r="5374" spans="1:4" ht="67.5">
      <c r="A5374" s="798">
        <v>102328</v>
      </c>
      <c r="B5374" s="799" t="s">
        <v>7845</v>
      </c>
      <c r="C5374" s="798" t="s">
        <v>22</v>
      </c>
      <c r="D5374" s="800">
        <v>6.69</v>
      </c>
    </row>
    <row r="5375" spans="1:4" ht="67.5">
      <c r="A5375" s="798">
        <v>102329</v>
      </c>
      <c r="B5375" s="799" t="s">
        <v>7846</v>
      </c>
      <c r="C5375" s="798" t="s">
        <v>22</v>
      </c>
      <c r="D5375" s="800">
        <v>6.1</v>
      </c>
    </row>
    <row r="5376" spans="1:4" ht="54">
      <c r="A5376" s="798">
        <v>94304</v>
      </c>
      <c r="B5376" s="799" t="s">
        <v>2295</v>
      </c>
      <c r="C5376" s="798" t="s">
        <v>22</v>
      </c>
      <c r="D5376" s="800">
        <v>63.39</v>
      </c>
    </row>
    <row r="5377" spans="1:4" ht="54">
      <c r="A5377" s="798">
        <v>94305</v>
      </c>
      <c r="B5377" s="799" t="s">
        <v>2296</v>
      </c>
      <c r="C5377" s="798" t="s">
        <v>22</v>
      </c>
      <c r="D5377" s="800">
        <v>60.46</v>
      </c>
    </row>
    <row r="5378" spans="1:4" ht="54">
      <c r="A5378" s="798">
        <v>94306</v>
      </c>
      <c r="B5378" s="799" t="s">
        <v>2297</v>
      </c>
      <c r="C5378" s="798" t="s">
        <v>22</v>
      </c>
      <c r="D5378" s="800">
        <v>56.79</v>
      </c>
    </row>
    <row r="5379" spans="1:4" ht="54">
      <c r="A5379" s="798">
        <v>94307</v>
      </c>
      <c r="B5379" s="799" t="s">
        <v>2298</v>
      </c>
      <c r="C5379" s="798" t="s">
        <v>22</v>
      </c>
      <c r="D5379" s="800">
        <v>57.65</v>
      </c>
    </row>
    <row r="5380" spans="1:4" ht="54">
      <c r="A5380" s="798">
        <v>94308</v>
      </c>
      <c r="B5380" s="799" t="s">
        <v>2299</v>
      </c>
      <c r="C5380" s="798" t="s">
        <v>22</v>
      </c>
      <c r="D5380" s="800">
        <v>55.26</v>
      </c>
    </row>
    <row r="5381" spans="1:4" ht="54">
      <c r="A5381" s="798">
        <v>94309</v>
      </c>
      <c r="B5381" s="799" t="s">
        <v>2300</v>
      </c>
      <c r="C5381" s="798" t="s">
        <v>22</v>
      </c>
      <c r="D5381" s="800">
        <v>56.37</v>
      </c>
    </row>
    <row r="5382" spans="1:4" ht="54">
      <c r="A5382" s="798">
        <v>94310</v>
      </c>
      <c r="B5382" s="799" t="s">
        <v>2301</v>
      </c>
      <c r="C5382" s="798" t="s">
        <v>22</v>
      </c>
      <c r="D5382" s="800">
        <v>54.49</v>
      </c>
    </row>
    <row r="5383" spans="1:4" ht="54">
      <c r="A5383" s="798">
        <v>94315</v>
      </c>
      <c r="B5383" s="799" t="s">
        <v>501</v>
      </c>
      <c r="C5383" s="798" t="s">
        <v>22</v>
      </c>
      <c r="D5383" s="800">
        <v>66.12</v>
      </c>
    </row>
    <row r="5384" spans="1:4" ht="54">
      <c r="A5384" s="798">
        <v>94316</v>
      </c>
      <c r="B5384" s="799" t="s">
        <v>2302</v>
      </c>
      <c r="C5384" s="798" t="s">
        <v>22</v>
      </c>
      <c r="D5384" s="800">
        <v>60.16</v>
      </c>
    </row>
    <row r="5385" spans="1:4" ht="54">
      <c r="A5385" s="798">
        <v>94317</v>
      </c>
      <c r="B5385" s="799" t="s">
        <v>502</v>
      </c>
      <c r="C5385" s="798" t="s">
        <v>22</v>
      </c>
      <c r="D5385" s="800">
        <v>57.53</v>
      </c>
    </row>
    <row r="5386" spans="1:4" ht="54">
      <c r="A5386" s="798">
        <v>94318</v>
      </c>
      <c r="B5386" s="799" t="s">
        <v>2303</v>
      </c>
      <c r="C5386" s="798" t="s">
        <v>22</v>
      </c>
      <c r="D5386" s="800">
        <v>54.14</v>
      </c>
    </row>
    <row r="5387" spans="1:4" ht="27">
      <c r="A5387" s="798">
        <v>94319</v>
      </c>
      <c r="B5387" s="799" t="s">
        <v>2304</v>
      </c>
      <c r="C5387" s="798" t="s">
        <v>22</v>
      </c>
      <c r="D5387" s="800">
        <v>68.45</v>
      </c>
    </row>
    <row r="5388" spans="1:4" ht="54">
      <c r="A5388" s="798">
        <v>94327</v>
      </c>
      <c r="B5388" s="799" t="s">
        <v>2305</v>
      </c>
      <c r="C5388" s="798" t="s">
        <v>22</v>
      </c>
      <c r="D5388" s="800">
        <v>68.97</v>
      </c>
    </row>
    <row r="5389" spans="1:4" ht="54">
      <c r="A5389" s="798">
        <v>94328</v>
      </c>
      <c r="B5389" s="799" t="s">
        <v>2306</v>
      </c>
      <c r="C5389" s="798" t="s">
        <v>22</v>
      </c>
      <c r="D5389" s="800">
        <v>66.040000000000006</v>
      </c>
    </row>
    <row r="5390" spans="1:4" ht="54">
      <c r="A5390" s="798">
        <v>94329</v>
      </c>
      <c r="B5390" s="799" t="s">
        <v>2307</v>
      </c>
      <c r="C5390" s="798" t="s">
        <v>22</v>
      </c>
      <c r="D5390" s="800">
        <v>62.37</v>
      </c>
    </row>
    <row r="5391" spans="1:4" ht="54">
      <c r="A5391" s="798">
        <v>94330</v>
      </c>
      <c r="B5391" s="799" t="s">
        <v>2308</v>
      </c>
      <c r="C5391" s="798" t="s">
        <v>22</v>
      </c>
      <c r="D5391" s="800">
        <v>63.23</v>
      </c>
    </row>
    <row r="5392" spans="1:4" ht="54">
      <c r="A5392" s="798">
        <v>94331</v>
      </c>
      <c r="B5392" s="799" t="s">
        <v>2309</v>
      </c>
      <c r="C5392" s="798" t="s">
        <v>22</v>
      </c>
      <c r="D5392" s="800">
        <v>60.84</v>
      </c>
    </row>
    <row r="5393" spans="1:4" ht="54">
      <c r="A5393" s="798">
        <v>94332</v>
      </c>
      <c r="B5393" s="799" t="s">
        <v>2310</v>
      </c>
      <c r="C5393" s="798" t="s">
        <v>22</v>
      </c>
      <c r="D5393" s="800">
        <v>61.95</v>
      </c>
    </row>
    <row r="5394" spans="1:4" ht="54">
      <c r="A5394" s="798">
        <v>94333</v>
      </c>
      <c r="B5394" s="799" t="s">
        <v>2311</v>
      </c>
      <c r="C5394" s="798" t="s">
        <v>22</v>
      </c>
      <c r="D5394" s="800">
        <v>60.07</v>
      </c>
    </row>
    <row r="5395" spans="1:4" ht="54">
      <c r="A5395" s="798">
        <v>94338</v>
      </c>
      <c r="B5395" s="799" t="s">
        <v>503</v>
      </c>
      <c r="C5395" s="798" t="s">
        <v>22</v>
      </c>
      <c r="D5395" s="800">
        <v>71.7</v>
      </c>
    </row>
    <row r="5396" spans="1:4" ht="54">
      <c r="A5396" s="798">
        <v>94339</v>
      </c>
      <c r="B5396" s="799" t="s">
        <v>2312</v>
      </c>
      <c r="C5396" s="798" t="s">
        <v>22</v>
      </c>
      <c r="D5396" s="800">
        <v>65.739999999999995</v>
      </c>
    </row>
    <row r="5397" spans="1:4" ht="54">
      <c r="A5397" s="798">
        <v>94340</v>
      </c>
      <c r="B5397" s="799" t="s">
        <v>504</v>
      </c>
      <c r="C5397" s="798" t="s">
        <v>22</v>
      </c>
      <c r="D5397" s="800">
        <v>63.11</v>
      </c>
    </row>
    <row r="5398" spans="1:4" ht="54">
      <c r="A5398" s="798">
        <v>94341</v>
      </c>
      <c r="B5398" s="799" t="s">
        <v>2313</v>
      </c>
      <c r="C5398" s="798" t="s">
        <v>22</v>
      </c>
      <c r="D5398" s="800">
        <v>59.72</v>
      </c>
    </row>
    <row r="5399" spans="1:4" ht="27">
      <c r="A5399" s="798">
        <v>94342</v>
      </c>
      <c r="B5399" s="799" t="s">
        <v>505</v>
      </c>
      <c r="C5399" s="798" t="s">
        <v>22</v>
      </c>
      <c r="D5399" s="800">
        <v>74.03</v>
      </c>
    </row>
    <row r="5400" spans="1:4" ht="40.5">
      <c r="A5400" s="798">
        <v>96385</v>
      </c>
      <c r="B5400" s="799" t="s">
        <v>4505</v>
      </c>
      <c r="C5400" s="798" t="s">
        <v>22</v>
      </c>
      <c r="D5400" s="800">
        <v>8.85</v>
      </c>
    </row>
    <row r="5401" spans="1:4" ht="40.5">
      <c r="A5401" s="798">
        <v>96386</v>
      </c>
      <c r="B5401" s="799" t="s">
        <v>4506</v>
      </c>
      <c r="C5401" s="798" t="s">
        <v>22</v>
      </c>
      <c r="D5401" s="800">
        <v>6.62</v>
      </c>
    </row>
    <row r="5402" spans="1:4" ht="67.5">
      <c r="A5402" s="798">
        <v>93360</v>
      </c>
      <c r="B5402" s="799" t="s">
        <v>3807</v>
      </c>
      <c r="C5402" s="798" t="s">
        <v>22</v>
      </c>
      <c r="D5402" s="800">
        <v>18.02</v>
      </c>
    </row>
    <row r="5403" spans="1:4" ht="67.5">
      <c r="A5403" s="798">
        <v>93361</v>
      </c>
      <c r="B5403" s="799" t="s">
        <v>3808</v>
      </c>
      <c r="C5403" s="798" t="s">
        <v>22</v>
      </c>
      <c r="D5403" s="800">
        <v>15.21</v>
      </c>
    </row>
    <row r="5404" spans="1:4" ht="67.5">
      <c r="A5404" s="798">
        <v>93362</v>
      </c>
      <c r="B5404" s="799" t="s">
        <v>3809</v>
      </c>
      <c r="C5404" s="798" t="s">
        <v>22</v>
      </c>
      <c r="D5404" s="800">
        <v>11.43</v>
      </c>
    </row>
    <row r="5405" spans="1:4" ht="67.5">
      <c r="A5405" s="798">
        <v>93363</v>
      </c>
      <c r="B5405" s="799" t="s">
        <v>3810</v>
      </c>
      <c r="C5405" s="798" t="s">
        <v>22</v>
      </c>
      <c r="D5405" s="800">
        <v>12.27</v>
      </c>
    </row>
    <row r="5406" spans="1:4" ht="67.5">
      <c r="A5406" s="798">
        <v>93364</v>
      </c>
      <c r="B5406" s="799" t="s">
        <v>2214</v>
      </c>
      <c r="C5406" s="798" t="s">
        <v>22</v>
      </c>
      <c r="D5406" s="800">
        <v>9.89</v>
      </c>
    </row>
    <row r="5407" spans="1:4" ht="67.5">
      <c r="A5407" s="798">
        <v>93365</v>
      </c>
      <c r="B5407" s="799" t="s">
        <v>3811</v>
      </c>
      <c r="C5407" s="798" t="s">
        <v>22</v>
      </c>
      <c r="D5407" s="800">
        <v>10.93</v>
      </c>
    </row>
    <row r="5408" spans="1:4" ht="67.5">
      <c r="A5408" s="798">
        <v>93366</v>
      </c>
      <c r="B5408" s="799" t="s">
        <v>3812</v>
      </c>
      <c r="C5408" s="798" t="s">
        <v>22</v>
      </c>
      <c r="D5408" s="800">
        <v>9.1300000000000008</v>
      </c>
    </row>
    <row r="5409" spans="1:4" ht="67.5">
      <c r="A5409" s="798">
        <v>93367</v>
      </c>
      <c r="B5409" s="799" t="s">
        <v>3813</v>
      </c>
      <c r="C5409" s="798" t="s">
        <v>22</v>
      </c>
      <c r="D5409" s="800">
        <v>16.77</v>
      </c>
    </row>
    <row r="5410" spans="1:4" ht="67.5">
      <c r="A5410" s="798">
        <v>93368</v>
      </c>
      <c r="B5410" s="799" t="s">
        <v>3814</v>
      </c>
      <c r="C5410" s="798" t="s">
        <v>22</v>
      </c>
      <c r="D5410" s="800">
        <v>13.86</v>
      </c>
    </row>
    <row r="5411" spans="1:4" ht="81">
      <c r="A5411" s="798">
        <v>93369</v>
      </c>
      <c r="B5411" s="799" t="s">
        <v>2215</v>
      </c>
      <c r="C5411" s="798" t="s">
        <v>22</v>
      </c>
      <c r="D5411" s="800">
        <v>10.18</v>
      </c>
    </row>
    <row r="5412" spans="1:4" ht="67.5">
      <c r="A5412" s="798">
        <v>93370</v>
      </c>
      <c r="B5412" s="799" t="s">
        <v>3815</v>
      </c>
      <c r="C5412" s="798" t="s">
        <v>22</v>
      </c>
      <c r="D5412" s="800">
        <v>11.04</v>
      </c>
    </row>
    <row r="5413" spans="1:4" ht="81">
      <c r="A5413" s="798">
        <v>93371</v>
      </c>
      <c r="B5413" s="799" t="s">
        <v>2216</v>
      </c>
      <c r="C5413" s="798" t="s">
        <v>22</v>
      </c>
      <c r="D5413" s="800">
        <v>8.65</v>
      </c>
    </row>
    <row r="5414" spans="1:4" ht="67.5">
      <c r="A5414" s="798">
        <v>93372</v>
      </c>
      <c r="B5414" s="799" t="s">
        <v>3816</v>
      </c>
      <c r="C5414" s="798" t="s">
        <v>22</v>
      </c>
      <c r="D5414" s="800">
        <v>9.77</v>
      </c>
    </row>
    <row r="5415" spans="1:4" ht="81">
      <c r="A5415" s="798">
        <v>93373</v>
      </c>
      <c r="B5415" s="799" t="s">
        <v>2217</v>
      </c>
      <c r="C5415" s="798" t="s">
        <v>22</v>
      </c>
      <c r="D5415" s="800">
        <v>7.9</v>
      </c>
    </row>
    <row r="5416" spans="1:4" ht="67.5">
      <c r="A5416" s="798">
        <v>93374</v>
      </c>
      <c r="B5416" s="799" t="s">
        <v>2218</v>
      </c>
      <c r="C5416" s="798" t="s">
        <v>22</v>
      </c>
      <c r="D5416" s="800">
        <v>18.21</v>
      </c>
    </row>
    <row r="5417" spans="1:4" ht="67.5">
      <c r="A5417" s="798">
        <v>93375</v>
      </c>
      <c r="B5417" s="799" t="s">
        <v>3817</v>
      </c>
      <c r="C5417" s="798" t="s">
        <v>22</v>
      </c>
      <c r="D5417" s="800">
        <v>14.1</v>
      </c>
    </row>
    <row r="5418" spans="1:4" ht="67.5">
      <c r="A5418" s="798">
        <v>93376</v>
      </c>
      <c r="B5418" s="799" t="s">
        <v>3818</v>
      </c>
      <c r="C5418" s="798" t="s">
        <v>22</v>
      </c>
      <c r="D5418" s="800">
        <v>11.64</v>
      </c>
    </row>
    <row r="5419" spans="1:4" ht="67.5">
      <c r="A5419" s="798">
        <v>93377</v>
      </c>
      <c r="B5419" s="799" t="s">
        <v>2219</v>
      </c>
      <c r="C5419" s="798" t="s">
        <v>22</v>
      </c>
      <c r="D5419" s="800">
        <v>8.06</v>
      </c>
    </row>
    <row r="5420" spans="1:4" ht="67.5">
      <c r="A5420" s="798">
        <v>93378</v>
      </c>
      <c r="B5420" s="799" t="s">
        <v>3819</v>
      </c>
      <c r="C5420" s="798" t="s">
        <v>22</v>
      </c>
      <c r="D5420" s="800">
        <v>16.96</v>
      </c>
    </row>
    <row r="5421" spans="1:4" ht="67.5">
      <c r="A5421" s="798">
        <v>93379</v>
      </c>
      <c r="B5421" s="799" t="s">
        <v>3820</v>
      </c>
      <c r="C5421" s="798" t="s">
        <v>22</v>
      </c>
      <c r="D5421" s="800">
        <v>13.15</v>
      </c>
    </row>
    <row r="5422" spans="1:4" ht="67.5">
      <c r="A5422" s="798">
        <v>93380</v>
      </c>
      <c r="B5422" s="799" t="s">
        <v>3821</v>
      </c>
      <c r="C5422" s="798" t="s">
        <v>22</v>
      </c>
      <c r="D5422" s="800">
        <v>10.91</v>
      </c>
    </row>
    <row r="5423" spans="1:4" ht="67.5">
      <c r="A5423" s="798">
        <v>93381</v>
      </c>
      <c r="B5423" s="799" t="s">
        <v>2220</v>
      </c>
      <c r="C5423" s="798" t="s">
        <v>22</v>
      </c>
      <c r="D5423" s="800">
        <v>7.54</v>
      </c>
    </row>
    <row r="5424" spans="1:4" ht="27">
      <c r="A5424" s="798">
        <v>93382</v>
      </c>
      <c r="B5424" s="799" t="s">
        <v>484</v>
      </c>
      <c r="C5424" s="798" t="s">
        <v>22</v>
      </c>
      <c r="D5424" s="800">
        <v>21.84</v>
      </c>
    </row>
    <row r="5425" spans="1:4" ht="13.5">
      <c r="A5425" s="798">
        <v>96995</v>
      </c>
      <c r="B5425" s="799" t="s">
        <v>3092</v>
      </c>
      <c r="C5425" s="798" t="s">
        <v>22</v>
      </c>
      <c r="D5425" s="800">
        <v>36.36</v>
      </c>
    </row>
    <row r="5426" spans="1:4" ht="27">
      <c r="A5426" s="798">
        <v>97916</v>
      </c>
      <c r="B5426" s="799" t="s">
        <v>5255</v>
      </c>
      <c r="C5426" s="798" t="s">
        <v>79</v>
      </c>
      <c r="D5426" s="800">
        <v>1.98</v>
      </c>
    </row>
    <row r="5427" spans="1:4" ht="40.5">
      <c r="A5427" s="798">
        <v>97917</v>
      </c>
      <c r="B5427" s="799" t="s">
        <v>5256</v>
      </c>
      <c r="C5427" s="798" t="s">
        <v>79</v>
      </c>
      <c r="D5427" s="800">
        <v>1.7</v>
      </c>
    </row>
    <row r="5428" spans="1:4" ht="40.5">
      <c r="A5428" s="798">
        <v>97918</v>
      </c>
      <c r="B5428" s="799" t="s">
        <v>5257</v>
      </c>
      <c r="C5428" s="798" t="s">
        <v>79</v>
      </c>
      <c r="D5428" s="800">
        <v>1.57</v>
      </c>
    </row>
    <row r="5429" spans="1:4" ht="40.5">
      <c r="A5429" s="798">
        <v>97919</v>
      </c>
      <c r="B5429" s="799" t="s">
        <v>5258</v>
      </c>
      <c r="C5429" s="798" t="s">
        <v>79</v>
      </c>
      <c r="D5429" s="800">
        <v>0.62</v>
      </c>
    </row>
    <row r="5430" spans="1:4" ht="27">
      <c r="A5430" s="798">
        <v>101616</v>
      </c>
      <c r="B5430" s="799" t="s">
        <v>5699</v>
      </c>
      <c r="C5430" s="798" t="s">
        <v>32</v>
      </c>
      <c r="D5430" s="800">
        <v>4.37</v>
      </c>
    </row>
    <row r="5431" spans="1:4" ht="40.5">
      <c r="A5431" s="798">
        <v>101617</v>
      </c>
      <c r="B5431" s="799" t="s">
        <v>5700</v>
      </c>
      <c r="C5431" s="798" t="s">
        <v>32</v>
      </c>
      <c r="D5431" s="800">
        <v>2.15</v>
      </c>
    </row>
    <row r="5432" spans="1:4" ht="27">
      <c r="A5432" s="798">
        <v>101618</v>
      </c>
      <c r="B5432" s="799" t="s">
        <v>5701</v>
      </c>
      <c r="C5432" s="798" t="s">
        <v>22</v>
      </c>
      <c r="D5432" s="800">
        <v>178.59</v>
      </c>
    </row>
    <row r="5433" spans="1:4" ht="27">
      <c r="A5433" s="798">
        <v>101619</v>
      </c>
      <c r="B5433" s="799" t="s">
        <v>5702</v>
      </c>
      <c r="C5433" s="798" t="s">
        <v>22</v>
      </c>
      <c r="D5433" s="800">
        <v>213.55</v>
      </c>
    </row>
    <row r="5434" spans="1:4" ht="40.5">
      <c r="A5434" s="798">
        <v>101620</v>
      </c>
      <c r="B5434" s="799" t="s">
        <v>5703</v>
      </c>
      <c r="C5434" s="798" t="s">
        <v>22</v>
      </c>
      <c r="D5434" s="800">
        <v>161.13</v>
      </c>
    </row>
    <row r="5435" spans="1:4" ht="40.5">
      <c r="A5435" s="798">
        <v>101621</v>
      </c>
      <c r="B5435" s="799" t="s">
        <v>5704</v>
      </c>
      <c r="C5435" s="798" t="s">
        <v>22</v>
      </c>
      <c r="D5435" s="800">
        <v>196.09</v>
      </c>
    </row>
    <row r="5436" spans="1:4" ht="40.5">
      <c r="A5436" s="798">
        <v>101622</v>
      </c>
      <c r="B5436" s="799" t="s">
        <v>5705</v>
      </c>
      <c r="C5436" s="798" t="s">
        <v>22</v>
      </c>
      <c r="D5436" s="800">
        <v>158.32</v>
      </c>
    </row>
    <row r="5437" spans="1:4" ht="40.5">
      <c r="A5437" s="798">
        <v>101623</v>
      </c>
      <c r="B5437" s="799" t="s">
        <v>5706</v>
      </c>
      <c r="C5437" s="798" t="s">
        <v>22</v>
      </c>
      <c r="D5437" s="800">
        <v>188.56</v>
      </c>
    </row>
    <row r="5438" spans="1:4" ht="40.5">
      <c r="A5438" s="798">
        <v>101624</v>
      </c>
      <c r="B5438" s="799" t="s">
        <v>5707</v>
      </c>
      <c r="C5438" s="798" t="s">
        <v>22</v>
      </c>
      <c r="D5438" s="800">
        <v>157.22999999999999</v>
      </c>
    </row>
    <row r="5439" spans="1:4" ht="40.5">
      <c r="A5439" s="798">
        <v>101625</v>
      </c>
      <c r="B5439" s="799" t="s">
        <v>5708</v>
      </c>
      <c r="C5439" s="798" t="s">
        <v>22</v>
      </c>
      <c r="D5439" s="800">
        <v>130.97</v>
      </c>
    </row>
    <row r="5440" spans="1:4" ht="27">
      <c r="A5440" s="798">
        <v>95606</v>
      </c>
      <c r="B5440" s="799" t="s">
        <v>2620</v>
      </c>
      <c r="C5440" s="798" t="s">
        <v>22</v>
      </c>
      <c r="D5440" s="800">
        <v>1.9</v>
      </c>
    </row>
    <row r="5441" spans="1:4" ht="40.5">
      <c r="A5441" s="798">
        <v>101159</v>
      </c>
      <c r="B5441" s="799" t="s">
        <v>4994</v>
      </c>
      <c r="C5441" s="798" t="s">
        <v>32</v>
      </c>
      <c r="D5441" s="800">
        <v>120.46</v>
      </c>
    </row>
    <row r="5442" spans="1:4" ht="40.5">
      <c r="A5442" s="798">
        <v>103322</v>
      </c>
      <c r="B5442" s="799" t="s">
        <v>8254</v>
      </c>
      <c r="C5442" s="798" t="s">
        <v>32</v>
      </c>
      <c r="D5442" s="800">
        <v>53.73</v>
      </c>
    </row>
    <row r="5443" spans="1:4" ht="40.5">
      <c r="A5443" s="798">
        <v>103323</v>
      </c>
      <c r="B5443" s="799" t="s">
        <v>8255</v>
      </c>
      <c r="C5443" s="798" t="s">
        <v>32</v>
      </c>
      <c r="D5443" s="800">
        <v>54.74</v>
      </c>
    </row>
    <row r="5444" spans="1:4" ht="40.5">
      <c r="A5444" s="798">
        <v>103324</v>
      </c>
      <c r="B5444" s="799" t="s">
        <v>8256</v>
      </c>
      <c r="C5444" s="798" t="s">
        <v>32</v>
      </c>
      <c r="D5444" s="800">
        <v>71.2</v>
      </c>
    </row>
    <row r="5445" spans="1:4" ht="40.5">
      <c r="A5445" s="798">
        <v>103325</v>
      </c>
      <c r="B5445" s="799" t="s">
        <v>8257</v>
      </c>
      <c r="C5445" s="798" t="s">
        <v>32</v>
      </c>
      <c r="D5445" s="800">
        <v>72.349999999999994</v>
      </c>
    </row>
    <row r="5446" spans="1:4" ht="40.5">
      <c r="A5446" s="798">
        <v>103326</v>
      </c>
      <c r="B5446" s="799" t="s">
        <v>8258</v>
      </c>
      <c r="C5446" s="798" t="s">
        <v>32</v>
      </c>
      <c r="D5446" s="800">
        <v>87.23</v>
      </c>
    </row>
    <row r="5447" spans="1:4" ht="40.5">
      <c r="A5447" s="798">
        <v>103327</v>
      </c>
      <c r="B5447" s="799" t="s">
        <v>8259</v>
      </c>
      <c r="C5447" s="798" t="s">
        <v>32</v>
      </c>
      <c r="D5447" s="800">
        <v>88.56</v>
      </c>
    </row>
    <row r="5448" spans="1:4" ht="40.5">
      <c r="A5448" s="798">
        <v>103328</v>
      </c>
      <c r="B5448" s="799" t="s">
        <v>8260</v>
      </c>
      <c r="C5448" s="798" t="s">
        <v>32</v>
      </c>
      <c r="D5448" s="800">
        <v>73.900000000000006</v>
      </c>
    </row>
    <row r="5449" spans="1:4" ht="40.5">
      <c r="A5449" s="798">
        <v>103329</v>
      </c>
      <c r="B5449" s="799" t="s">
        <v>8261</v>
      </c>
      <c r="C5449" s="798" t="s">
        <v>32</v>
      </c>
      <c r="D5449" s="800">
        <v>74.78</v>
      </c>
    </row>
    <row r="5450" spans="1:4" ht="54">
      <c r="A5450" s="798">
        <v>103330</v>
      </c>
      <c r="B5450" s="799" t="s">
        <v>8262</v>
      </c>
      <c r="C5450" s="798" t="s">
        <v>32</v>
      </c>
      <c r="D5450" s="800">
        <v>72.59</v>
      </c>
    </row>
    <row r="5451" spans="1:4" ht="54">
      <c r="A5451" s="798">
        <v>103331</v>
      </c>
      <c r="B5451" s="799" t="s">
        <v>8263</v>
      </c>
      <c r="C5451" s="798" t="s">
        <v>32</v>
      </c>
      <c r="D5451" s="800">
        <v>73.540000000000006</v>
      </c>
    </row>
    <row r="5452" spans="1:4" ht="40.5">
      <c r="A5452" s="798">
        <v>103332</v>
      </c>
      <c r="B5452" s="799" t="s">
        <v>8264</v>
      </c>
      <c r="C5452" s="798" t="s">
        <v>32</v>
      </c>
      <c r="D5452" s="800">
        <v>96.29</v>
      </c>
    </row>
    <row r="5453" spans="1:4" ht="40.5">
      <c r="A5453" s="798">
        <v>103333</v>
      </c>
      <c r="B5453" s="799" t="s">
        <v>8265</v>
      </c>
      <c r="C5453" s="798" t="s">
        <v>32</v>
      </c>
      <c r="D5453" s="800">
        <v>97.3</v>
      </c>
    </row>
    <row r="5454" spans="1:4" ht="54">
      <c r="A5454" s="798">
        <v>103334</v>
      </c>
      <c r="B5454" s="799" t="s">
        <v>8266</v>
      </c>
      <c r="C5454" s="798" t="s">
        <v>32</v>
      </c>
      <c r="D5454" s="800">
        <v>121.82</v>
      </c>
    </row>
    <row r="5455" spans="1:4" ht="54">
      <c r="A5455" s="798">
        <v>103335</v>
      </c>
      <c r="B5455" s="799" t="s">
        <v>8267</v>
      </c>
      <c r="C5455" s="798" t="s">
        <v>32</v>
      </c>
      <c r="D5455" s="800">
        <v>123.59</v>
      </c>
    </row>
    <row r="5456" spans="1:4" ht="40.5">
      <c r="A5456" s="798">
        <v>103350</v>
      </c>
      <c r="B5456" s="799" t="s">
        <v>8268</v>
      </c>
      <c r="C5456" s="798" t="s">
        <v>32</v>
      </c>
      <c r="D5456" s="800">
        <v>148.38999999999999</v>
      </c>
    </row>
    <row r="5457" spans="1:4" ht="40.5">
      <c r="A5457" s="798">
        <v>103351</v>
      </c>
      <c r="B5457" s="799" t="s">
        <v>8269</v>
      </c>
      <c r="C5457" s="798" t="s">
        <v>32</v>
      </c>
      <c r="D5457" s="800">
        <v>149.68</v>
      </c>
    </row>
    <row r="5458" spans="1:4" ht="40.5">
      <c r="A5458" s="798">
        <v>103356</v>
      </c>
      <c r="B5458" s="799" t="s">
        <v>8270</v>
      </c>
      <c r="C5458" s="798" t="s">
        <v>32</v>
      </c>
      <c r="D5458" s="800">
        <v>49.26</v>
      </c>
    </row>
    <row r="5459" spans="1:4" ht="40.5">
      <c r="A5459" s="798">
        <v>103357</v>
      </c>
      <c r="B5459" s="799" t="s">
        <v>8271</v>
      </c>
      <c r="C5459" s="798" t="s">
        <v>32</v>
      </c>
      <c r="D5459" s="800">
        <v>50</v>
      </c>
    </row>
    <row r="5460" spans="1:4" ht="67.5">
      <c r="A5460" s="798">
        <v>89282</v>
      </c>
      <c r="B5460" s="799" t="s">
        <v>1139</v>
      </c>
      <c r="C5460" s="798" t="s">
        <v>32</v>
      </c>
      <c r="D5460" s="800">
        <v>73.02</v>
      </c>
    </row>
    <row r="5461" spans="1:4" ht="67.5">
      <c r="A5461" s="798">
        <v>89283</v>
      </c>
      <c r="B5461" s="799" t="s">
        <v>1140</v>
      </c>
      <c r="C5461" s="798" t="s">
        <v>32</v>
      </c>
      <c r="D5461" s="800">
        <v>74.2</v>
      </c>
    </row>
    <row r="5462" spans="1:4" ht="67.5">
      <c r="A5462" s="798">
        <v>89284</v>
      </c>
      <c r="B5462" s="799" t="s">
        <v>1141</v>
      </c>
      <c r="C5462" s="798" t="s">
        <v>32</v>
      </c>
      <c r="D5462" s="800">
        <v>66.44</v>
      </c>
    </row>
    <row r="5463" spans="1:4" ht="67.5">
      <c r="A5463" s="798">
        <v>89285</v>
      </c>
      <c r="B5463" s="799" t="s">
        <v>1142</v>
      </c>
      <c r="C5463" s="798" t="s">
        <v>32</v>
      </c>
      <c r="D5463" s="800">
        <v>67.62</v>
      </c>
    </row>
    <row r="5464" spans="1:4" ht="67.5">
      <c r="A5464" s="798">
        <v>89286</v>
      </c>
      <c r="B5464" s="799" t="s">
        <v>1143</v>
      </c>
      <c r="C5464" s="798" t="s">
        <v>32</v>
      </c>
      <c r="D5464" s="800">
        <v>77.260000000000005</v>
      </c>
    </row>
    <row r="5465" spans="1:4" ht="67.5">
      <c r="A5465" s="798">
        <v>89287</v>
      </c>
      <c r="B5465" s="799" t="s">
        <v>1144</v>
      </c>
      <c r="C5465" s="798" t="s">
        <v>32</v>
      </c>
      <c r="D5465" s="800">
        <v>78.44</v>
      </c>
    </row>
    <row r="5466" spans="1:4" ht="67.5">
      <c r="A5466" s="798">
        <v>89288</v>
      </c>
      <c r="B5466" s="799" t="s">
        <v>1145</v>
      </c>
      <c r="C5466" s="798" t="s">
        <v>32</v>
      </c>
      <c r="D5466" s="800">
        <v>68.83</v>
      </c>
    </row>
    <row r="5467" spans="1:4" ht="67.5">
      <c r="A5467" s="798">
        <v>89289</v>
      </c>
      <c r="B5467" s="799" t="s">
        <v>1146</v>
      </c>
      <c r="C5467" s="798" t="s">
        <v>32</v>
      </c>
      <c r="D5467" s="800">
        <v>70.010000000000005</v>
      </c>
    </row>
    <row r="5468" spans="1:4" ht="67.5">
      <c r="A5468" s="798">
        <v>89290</v>
      </c>
      <c r="B5468" s="799" t="s">
        <v>1147</v>
      </c>
      <c r="C5468" s="798" t="s">
        <v>32</v>
      </c>
      <c r="D5468" s="800">
        <v>81.489999999999995</v>
      </c>
    </row>
    <row r="5469" spans="1:4" ht="67.5">
      <c r="A5469" s="798">
        <v>89291</v>
      </c>
      <c r="B5469" s="799" t="s">
        <v>1148</v>
      </c>
      <c r="C5469" s="798" t="s">
        <v>32</v>
      </c>
      <c r="D5469" s="800">
        <v>82.8</v>
      </c>
    </row>
    <row r="5470" spans="1:4" ht="67.5">
      <c r="A5470" s="798">
        <v>89292</v>
      </c>
      <c r="B5470" s="799" t="s">
        <v>1149</v>
      </c>
      <c r="C5470" s="798" t="s">
        <v>32</v>
      </c>
      <c r="D5470" s="800">
        <v>74.87</v>
      </c>
    </row>
    <row r="5471" spans="1:4" ht="67.5">
      <c r="A5471" s="798">
        <v>89293</v>
      </c>
      <c r="B5471" s="799" t="s">
        <v>1150</v>
      </c>
      <c r="C5471" s="798" t="s">
        <v>32</v>
      </c>
      <c r="D5471" s="800">
        <v>76.180000000000007</v>
      </c>
    </row>
    <row r="5472" spans="1:4" ht="67.5">
      <c r="A5472" s="798">
        <v>89294</v>
      </c>
      <c r="B5472" s="799" t="s">
        <v>1151</v>
      </c>
      <c r="C5472" s="798" t="s">
        <v>32</v>
      </c>
      <c r="D5472" s="800">
        <v>87.53</v>
      </c>
    </row>
    <row r="5473" spans="1:4" ht="67.5">
      <c r="A5473" s="798">
        <v>89295</v>
      </c>
      <c r="B5473" s="799" t="s">
        <v>1152</v>
      </c>
      <c r="C5473" s="798" t="s">
        <v>32</v>
      </c>
      <c r="D5473" s="800">
        <v>88.84</v>
      </c>
    </row>
    <row r="5474" spans="1:4" ht="67.5">
      <c r="A5474" s="798">
        <v>89296</v>
      </c>
      <c r="B5474" s="799" t="s">
        <v>1153</v>
      </c>
      <c r="C5474" s="798" t="s">
        <v>32</v>
      </c>
      <c r="D5474" s="800">
        <v>78.11</v>
      </c>
    </row>
    <row r="5475" spans="1:4" ht="67.5">
      <c r="A5475" s="798">
        <v>89297</v>
      </c>
      <c r="B5475" s="799" t="s">
        <v>1154</v>
      </c>
      <c r="C5475" s="798" t="s">
        <v>32</v>
      </c>
      <c r="D5475" s="800">
        <v>79.42</v>
      </c>
    </row>
    <row r="5476" spans="1:4" ht="67.5">
      <c r="A5476" s="798">
        <v>89298</v>
      </c>
      <c r="B5476" s="799" t="s">
        <v>1155</v>
      </c>
      <c r="C5476" s="798" t="s">
        <v>32</v>
      </c>
      <c r="D5476" s="800">
        <v>83.05</v>
      </c>
    </row>
    <row r="5477" spans="1:4" ht="67.5">
      <c r="A5477" s="798">
        <v>89299</v>
      </c>
      <c r="B5477" s="799" t="s">
        <v>1156</v>
      </c>
      <c r="C5477" s="798" t="s">
        <v>32</v>
      </c>
      <c r="D5477" s="800">
        <v>84.73</v>
      </c>
    </row>
    <row r="5478" spans="1:4" ht="67.5">
      <c r="A5478" s="798">
        <v>89300</v>
      </c>
      <c r="B5478" s="799" t="s">
        <v>1157</v>
      </c>
      <c r="C5478" s="798" t="s">
        <v>32</v>
      </c>
      <c r="D5478" s="800">
        <v>76.47</v>
      </c>
    </row>
    <row r="5479" spans="1:4" ht="67.5">
      <c r="A5479" s="798">
        <v>89301</v>
      </c>
      <c r="B5479" s="799" t="s">
        <v>1158</v>
      </c>
      <c r="C5479" s="798" t="s">
        <v>32</v>
      </c>
      <c r="D5479" s="800">
        <v>78.150000000000006</v>
      </c>
    </row>
    <row r="5480" spans="1:4" ht="67.5">
      <c r="A5480" s="798">
        <v>89302</v>
      </c>
      <c r="B5480" s="799" t="s">
        <v>1159</v>
      </c>
      <c r="C5480" s="798" t="s">
        <v>32</v>
      </c>
      <c r="D5480" s="800">
        <v>90.08</v>
      </c>
    </row>
    <row r="5481" spans="1:4" ht="67.5">
      <c r="A5481" s="798">
        <v>89303</v>
      </c>
      <c r="B5481" s="799" t="s">
        <v>1160</v>
      </c>
      <c r="C5481" s="798" t="s">
        <v>32</v>
      </c>
      <c r="D5481" s="800">
        <v>91.76</v>
      </c>
    </row>
    <row r="5482" spans="1:4" ht="67.5">
      <c r="A5482" s="798">
        <v>89304</v>
      </c>
      <c r="B5482" s="799" t="s">
        <v>1161</v>
      </c>
      <c r="C5482" s="798" t="s">
        <v>32</v>
      </c>
      <c r="D5482" s="800">
        <v>80.599999999999994</v>
      </c>
    </row>
    <row r="5483" spans="1:4" ht="67.5">
      <c r="A5483" s="798">
        <v>89305</v>
      </c>
      <c r="B5483" s="799" t="s">
        <v>1162</v>
      </c>
      <c r="C5483" s="798" t="s">
        <v>32</v>
      </c>
      <c r="D5483" s="800">
        <v>82.28</v>
      </c>
    </row>
    <row r="5484" spans="1:4" ht="67.5">
      <c r="A5484" s="798">
        <v>89306</v>
      </c>
      <c r="B5484" s="799" t="s">
        <v>1163</v>
      </c>
      <c r="C5484" s="798" t="s">
        <v>32</v>
      </c>
      <c r="D5484" s="800">
        <v>91.81</v>
      </c>
    </row>
    <row r="5485" spans="1:4" ht="67.5">
      <c r="A5485" s="798">
        <v>89307</v>
      </c>
      <c r="B5485" s="799" t="s">
        <v>1164</v>
      </c>
      <c r="C5485" s="798" t="s">
        <v>32</v>
      </c>
      <c r="D5485" s="800">
        <v>93.67</v>
      </c>
    </row>
    <row r="5486" spans="1:4" ht="67.5">
      <c r="A5486" s="798">
        <v>89308</v>
      </c>
      <c r="B5486" s="799" t="s">
        <v>1165</v>
      </c>
      <c r="C5486" s="798" t="s">
        <v>32</v>
      </c>
      <c r="D5486" s="800">
        <v>85.19</v>
      </c>
    </row>
    <row r="5487" spans="1:4" ht="67.5">
      <c r="A5487" s="798">
        <v>89309</v>
      </c>
      <c r="B5487" s="799" t="s">
        <v>1166</v>
      </c>
      <c r="C5487" s="798" t="s">
        <v>32</v>
      </c>
      <c r="D5487" s="800">
        <v>87.05</v>
      </c>
    </row>
    <row r="5488" spans="1:4" ht="67.5">
      <c r="A5488" s="798">
        <v>89310</v>
      </c>
      <c r="B5488" s="799" t="s">
        <v>1167</v>
      </c>
      <c r="C5488" s="798" t="s">
        <v>32</v>
      </c>
      <c r="D5488" s="800">
        <v>104.54</v>
      </c>
    </row>
    <row r="5489" spans="1:4" ht="67.5">
      <c r="A5489" s="798">
        <v>89311</v>
      </c>
      <c r="B5489" s="799" t="s">
        <v>1168</v>
      </c>
      <c r="C5489" s="798" t="s">
        <v>32</v>
      </c>
      <c r="D5489" s="800">
        <v>106.4</v>
      </c>
    </row>
    <row r="5490" spans="1:4" ht="67.5">
      <c r="A5490" s="798">
        <v>89312</v>
      </c>
      <c r="B5490" s="799" t="s">
        <v>1169</v>
      </c>
      <c r="C5490" s="798" t="s">
        <v>32</v>
      </c>
      <c r="D5490" s="800">
        <v>90.17</v>
      </c>
    </row>
    <row r="5491" spans="1:4" ht="67.5">
      <c r="A5491" s="798">
        <v>89313</v>
      </c>
      <c r="B5491" s="799" t="s">
        <v>1170</v>
      </c>
      <c r="C5491" s="798" t="s">
        <v>32</v>
      </c>
      <c r="D5491" s="800">
        <v>92.03</v>
      </c>
    </row>
    <row r="5492" spans="1:4" ht="27">
      <c r="A5492" s="798">
        <v>101157</v>
      </c>
      <c r="B5492" s="799" t="s">
        <v>7847</v>
      </c>
      <c r="C5492" s="798" t="s">
        <v>32</v>
      </c>
      <c r="D5492" s="800">
        <v>59</v>
      </c>
    </row>
    <row r="5493" spans="1:4" ht="27">
      <c r="A5493" s="798">
        <v>101158</v>
      </c>
      <c r="B5493" s="799" t="s">
        <v>7848</v>
      </c>
      <c r="C5493" s="798" t="s">
        <v>32</v>
      </c>
      <c r="D5493" s="800">
        <v>78.010000000000005</v>
      </c>
    </row>
    <row r="5494" spans="1:4" ht="40.5">
      <c r="A5494" s="798">
        <v>101162</v>
      </c>
      <c r="B5494" s="799" t="s">
        <v>4995</v>
      </c>
      <c r="C5494" s="798" t="s">
        <v>32</v>
      </c>
      <c r="D5494" s="800">
        <v>135.35</v>
      </c>
    </row>
    <row r="5495" spans="1:4" ht="40.5">
      <c r="A5495" s="798">
        <v>103316</v>
      </c>
      <c r="B5495" s="799" t="s">
        <v>8272</v>
      </c>
      <c r="C5495" s="798" t="s">
        <v>32</v>
      </c>
      <c r="D5495" s="800">
        <v>61.98</v>
      </c>
    </row>
    <row r="5496" spans="1:4" ht="40.5">
      <c r="A5496" s="798">
        <v>103317</v>
      </c>
      <c r="B5496" s="799" t="s">
        <v>8273</v>
      </c>
      <c r="C5496" s="798" t="s">
        <v>32</v>
      </c>
      <c r="D5496" s="800">
        <v>62.82</v>
      </c>
    </row>
    <row r="5497" spans="1:4" ht="40.5">
      <c r="A5497" s="798">
        <v>103318</v>
      </c>
      <c r="B5497" s="799" t="s">
        <v>8274</v>
      </c>
      <c r="C5497" s="798" t="s">
        <v>32</v>
      </c>
      <c r="D5497" s="800">
        <v>80.19</v>
      </c>
    </row>
    <row r="5498" spans="1:4" ht="40.5">
      <c r="A5498" s="798">
        <v>103319</v>
      </c>
      <c r="B5498" s="799" t="s">
        <v>8275</v>
      </c>
      <c r="C5498" s="798" t="s">
        <v>32</v>
      </c>
      <c r="D5498" s="800">
        <v>81.180000000000007</v>
      </c>
    </row>
    <row r="5499" spans="1:4" ht="40.5">
      <c r="A5499" s="798">
        <v>103320</v>
      </c>
      <c r="B5499" s="799" t="s">
        <v>8276</v>
      </c>
      <c r="C5499" s="798" t="s">
        <v>32</v>
      </c>
      <c r="D5499" s="800">
        <v>97.67</v>
      </c>
    </row>
    <row r="5500" spans="1:4" ht="40.5">
      <c r="A5500" s="798">
        <v>103321</v>
      </c>
      <c r="B5500" s="799" t="s">
        <v>8277</v>
      </c>
      <c r="C5500" s="798" t="s">
        <v>32</v>
      </c>
      <c r="D5500" s="800">
        <v>98.91</v>
      </c>
    </row>
    <row r="5501" spans="1:4" ht="40.5">
      <c r="A5501" s="798">
        <v>103336</v>
      </c>
      <c r="B5501" s="799" t="s">
        <v>8278</v>
      </c>
      <c r="C5501" s="798" t="s">
        <v>32</v>
      </c>
      <c r="D5501" s="800">
        <v>68.48</v>
      </c>
    </row>
    <row r="5502" spans="1:4" ht="40.5">
      <c r="A5502" s="798">
        <v>103337</v>
      </c>
      <c r="B5502" s="799" t="s">
        <v>8279</v>
      </c>
      <c r="C5502" s="798" t="s">
        <v>32</v>
      </c>
      <c r="D5502" s="800">
        <v>69.319999999999993</v>
      </c>
    </row>
    <row r="5503" spans="1:4" ht="40.5">
      <c r="A5503" s="798">
        <v>103338</v>
      </c>
      <c r="B5503" s="799" t="s">
        <v>8280</v>
      </c>
      <c r="C5503" s="798" t="s">
        <v>32</v>
      </c>
      <c r="D5503" s="800">
        <v>89.88</v>
      </c>
    </row>
    <row r="5504" spans="1:4" ht="40.5">
      <c r="A5504" s="798">
        <v>103339</v>
      </c>
      <c r="B5504" s="799" t="s">
        <v>8281</v>
      </c>
      <c r="C5504" s="798" t="s">
        <v>32</v>
      </c>
      <c r="D5504" s="800">
        <v>90.87</v>
      </c>
    </row>
    <row r="5505" spans="1:4" ht="40.5">
      <c r="A5505" s="798">
        <v>103340</v>
      </c>
      <c r="B5505" s="799" t="s">
        <v>8282</v>
      </c>
      <c r="C5505" s="798" t="s">
        <v>32</v>
      </c>
      <c r="D5505" s="800">
        <v>110.34</v>
      </c>
    </row>
    <row r="5506" spans="1:4" ht="40.5">
      <c r="A5506" s="798">
        <v>103341</v>
      </c>
      <c r="B5506" s="799" t="s">
        <v>8283</v>
      </c>
      <c r="C5506" s="798" t="s">
        <v>32</v>
      </c>
      <c r="D5506" s="800">
        <v>111.58</v>
      </c>
    </row>
    <row r="5507" spans="1:4" ht="40.5">
      <c r="A5507" s="798">
        <v>103342</v>
      </c>
      <c r="B5507" s="799" t="s">
        <v>8284</v>
      </c>
      <c r="C5507" s="798" t="s">
        <v>32</v>
      </c>
      <c r="D5507" s="800">
        <v>93.79</v>
      </c>
    </row>
    <row r="5508" spans="1:4" ht="40.5">
      <c r="A5508" s="798">
        <v>103343</v>
      </c>
      <c r="B5508" s="799" t="s">
        <v>8285</v>
      </c>
      <c r="C5508" s="798" t="s">
        <v>32</v>
      </c>
      <c r="D5508" s="800">
        <v>94.88</v>
      </c>
    </row>
    <row r="5509" spans="1:4" ht="54">
      <c r="A5509" s="798">
        <v>89453</v>
      </c>
      <c r="B5509" s="799" t="s">
        <v>1248</v>
      </c>
      <c r="C5509" s="798" t="s">
        <v>32</v>
      </c>
      <c r="D5509" s="800">
        <v>77.2</v>
      </c>
    </row>
    <row r="5510" spans="1:4" ht="54">
      <c r="A5510" s="798">
        <v>89454</v>
      </c>
      <c r="B5510" s="799" t="s">
        <v>1249</v>
      </c>
      <c r="C5510" s="798" t="s">
        <v>32</v>
      </c>
      <c r="D5510" s="800">
        <v>72.62</v>
      </c>
    </row>
    <row r="5511" spans="1:4" ht="54">
      <c r="A5511" s="798">
        <v>89455</v>
      </c>
      <c r="B5511" s="799" t="s">
        <v>1250</v>
      </c>
      <c r="C5511" s="798" t="s">
        <v>32</v>
      </c>
      <c r="D5511" s="800">
        <v>95.68</v>
      </c>
    </row>
    <row r="5512" spans="1:4" ht="54">
      <c r="A5512" s="798">
        <v>89456</v>
      </c>
      <c r="B5512" s="799" t="s">
        <v>1251</v>
      </c>
      <c r="C5512" s="798" t="s">
        <v>32</v>
      </c>
      <c r="D5512" s="800">
        <v>90.65</v>
      </c>
    </row>
    <row r="5513" spans="1:4" ht="54">
      <c r="A5513" s="798">
        <v>89457</v>
      </c>
      <c r="B5513" s="799" t="s">
        <v>1252</v>
      </c>
      <c r="C5513" s="798" t="s">
        <v>32</v>
      </c>
      <c r="D5513" s="800">
        <v>81.099999999999994</v>
      </c>
    </row>
    <row r="5514" spans="1:4" ht="54">
      <c r="A5514" s="798">
        <v>89458</v>
      </c>
      <c r="B5514" s="799" t="s">
        <v>1253</v>
      </c>
      <c r="C5514" s="798" t="s">
        <v>32</v>
      </c>
      <c r="D5514" s="800">
        <v>74.86</v>
      </c>
    </row>
    <row r="5515" spans="1:4" ht="54">
      <c r="A5515" s="798">
        <v>89459</v>
      </c>
      <c r="B5515" s="799" t="s">
        <v>1254</v>
      </c>
      <c r="C5515" s="798" t="s">
        <v>32</v>
      </c>
      <c r="D5515" s="800">
        <v>99.9</v>
      </c>
    </row>
    <row r="5516" spans="1:4" ht="54">
      <c r="A5516" s="798">
        <v>89460</v>
      </c>
      <c r="B5516" s="799" t="s">
        <v>1255</v>
      </c>
      <c r="C5516" s="798" t="s">
        <v>32</v>
      </c>
      <c r="D5516" s="800">
        <v>93.17</v>
      </c>
    </row>
    <row r="5517" spans="1:4" ht="54">
      <c r="A5517" s="798">
        <v>89462</v>
      </c>
      <c r="B5517" s="799" t="s">
        <v>1256</v>
      </c>
      <c r="C5517" s="798" t="s">
        <v>32</v>
      </c>
      <c r="D5517" s="800">
        <v>91.99</v>
      </c>
    </row>
    <row r="5518" spans="1:4" ht="54">
      <c r="A5518" s="798">
        <v>89463</v>
      </c>
      <c r="B5518" s="799" t="s">
        <v>1257</v>
      </c>
      <c r="C5518" s="798" t="s">
        <v>32</v>
      </c>
      <c r="D5518" s="800">
        <v>87.34</v>
      </c>
    </row>
    <row r="5519" spans="1:4" ht="54">
      <c r="A5519" s="798">
        <v>89464</v>
      </c>
      <c r="B5519" s="799" t="s">
        <v>1258</v>
      </c>
      <c r="C5519" s="798" t="s">
        <v>32</v>
      </c>
      <c r="D5519" s="800">
        <v>110.72</v>
      </c>
    </row>
    <row r="5520" spans="1:4" ht="54">
      <c r="A5520" s="798">
        <v>89465</v>
      </c>
      <c r="B5520" s="799" t="s">
        <v>1259</v>
      </c>
      <c r="C5520" s="798" t="s">
        <v>32</v>
      </c>
      <c r="D5520" s="800">
        <v>105.76</v>
      </c>
    </row>
    <row r="5521" spans="1:4" ht="54">
      <c r="A5521" s="798">
        <v>89466</v>
      </c>
      <c r="B5521" s="799" t="s">
        <v>1260</v>
      </c>
      <c r="C5521" s="798" t="s">
        <v>32</v>
      </c>
      <c r="D5521" s="800">
        <v>97.53</v>
      </c>
    </row>
    <row r="5522" spans="1:4" ht="54">
      <c r="A5522" s="798">
        <v>89467</v>
      </c>
      <c r="B5522" s="799" t="s">
        <v>1261</v>
      </c>
      <c r="C5522" s="798" t="s">
        <v>32</v>
      </c>
      <c r="D5522" s="800">
        <v>90.61</v>
      </c>
    </row>
    <row r="5523" spans="1:4" ht="54">
      <c r="A5523" s="798">
        <v>89468</v>
      </c>
      <c r="B5523" s="799" t="s">
        <v>1262</v>
      </c>
      <c r="C5523" s="798" t="s">
        <v>32</v>
      </c>
      <c r="D5523" s="800">
        <v>116.4</v>
      </c>
    </row>
    <row r="5524" spans="1:4" ht="54">
      <c r="A5524" s="798">
        <v>89469</v>
      </c>
      <c r="B5524" s="799" t="s">
        <v>1263</v>
      </c>
      <c r="C5524" s="798" t="s">
        <v>32</v>
      </c>
      <c r="D5524" s="800">
        <v>109.18</v>
      </c>
    </row>
    <row r="5525" spans="1:4" ht="54">
      <c r="A5525" s="798">
        <v>89470</v>
      </c>
      <c r="B5525" s="799" t="s">
        <v>1264</v>
      </c>
      <c r="C5525" s="798" t="s">
        <v>32</v>
      </c>
      <c r="D5525" s="800">
        <v>88.74</v>
      </c>
    </row>
    <row r="5526" spans="1:4" ht="54">
      <c r="A5526" s="798">
        <v>89471</v>
      </c>
      <c r="B5526" s="799" t="s">
        <v>1265</v>
      </c>
      <c r="C5526" s="798" t="s">
        <v>32</v>
      </c>
      <c r="D5526" s="800">
        <v>84.17</v>
      </c>
    </row>
    <row r="5527" spans="1:4" ht="54">
      <c r="A5527" s="798">
        <v>89472</v>
      </c>
      <c r="B5527" s="799" t="s">
        <v>1266</v>
      </c>
      <c r="C5527" s="798" t="s">
        <v>32</v>
      </c>
      <c r="D5527" s="800">
        <v>107.23</v>
      </c>
    </row>
    <row r="5528" spans="1:4" ht="54">
      <c r="A5528" s="798">
        <v>89473</v>
      </c>
      <c r="B5528" s="799" t="s">
        <v>1267</v>
      </c>
      <c r="C5528" s="798" t="s">
        <v>32</v>
      </c>
      <c r="D5528" s="800">
        <v>102.39</v>
      </c>
    </row>
    <row r="5529" spans="1:4" ht="54">
      <c r="A5529" s="798">
        <v>89474</v>
      </c>
      <c r="B5529" s="799" t="s">
        <v>1268</v>
      </c>
      <c r="C5529" s="798" t="s">
        <v>32</v>
      </c>
      <c r="D5529" s="800">
        <v>95.74</v>
      </c>
    </row>
    <row r="5530" spans="1:4" ht="54">
      <c r="A5530" s="798">
        <v>89475</v>
      </c>
      <c r="B5530" s="799" t="s">
        <v>1269</v>
      </c>
      <c r="C5530" s="798" t="s">
        <v>32</v>
      </c>
      <c r="D5530" s="800">
        <v>88.1</v>
      </c>
    </row>
    <row r="5531" spans="1:4" ht="54">
      <c r="A5531" s="798">
        <v>89476</v>
      </c>
      <c r="B5531" s="799" t="s">
        <v>1270</v>
      </c>
      <c r="C5531" s="798" t="s">
        <v>32</v>
      </c>
      <c r="D5531" s="800">
        <v>114.74</v>
      </c>
    </row>
    <row r="5532" spans="1:4" ht="54">
      <c r="A5532" s="798">
        <v>89477</v>
      </c>
      <c r="B5532" s="799" t="s">
        <v>1271</v>
      </c>
      <c r="C5532" s="798" t="s">
        <v>32</v>
      </c>
      <c r="D5532" s="800">
        <v>106.8</v>
      </c>
    </row>
    <row r="5533" spans="1:4" ht="54">
      <c r="A5533" s="798">
        <v>89478</v>
      </c>
      <c r="B5533" s="799" t="s">
        <v>1272</v>
      </c>
      <c r="C5533" s="798" t="s">
        <v>32</v>
      </c>
      <c r="D5533" s="800">
        <v>103.78</v>
      </c>
    </row>
    <row r="5534" spans="1:4" ht="54">
      <c r="A5534" s="798">
        <v>89479</v>
      </c>
      <c r="B5534" s="799" t="s">
        <v>1273</v>
      </c>
      <c r="C5534" s="798" t="s">
        <v>32</v>
      </c>
      <c r="D5534" s="800">
        <v>99.13</v>
      </c>
    </row>
    <row r="5535" spans="1:4" ht="54">
      <c r="A5535" s="798">
        <v>89480</v>
      </c>
      <c r="B5535" s="799" t="s">
        <v>1274</v>
      </c>
      <c r="C5535" s="798" t="s">
        <v>32</v>
      </c>
      <c r="D5535" s="800">
        <v>122.56</v>
      </c>
    </row>
    <row r="5536" spans="1:4" ht="54">
      <c r="A5536" s="798">
        <v>89483</v>
      </c>
      <c r="B5536" s="799" t="s">
        <v>1276</v>
      </c>
      <c r="C5536" s="798" t="s">
        <v>32</v>
      </c>
      <c r="D5536" s="800">
        <v>117.78</v>
      </c>
    </row>
    <row r="5537" spans="1:4" ht="54">
      <c r="A5537" s="798">
        <v>89484</v>
      </c>
      <c r="B5537" s="799" t="s">
        <v>1277</v>
      </c>
      <c r="C5537" s="798" t="s">
        <v>32</v>
      </c>
      <c r="D5537" s="800">
        <v>112.42</v>
      </c>
    </row>
    <row r="5538" spans="1:4" ht="54">
      <c r="A5538" s="798">
        <v>89486</v>
      </c>
      <c r="B5538" s="799" t="s">
        <v>1278</v>
      </c>
      <c r="C5538" s="798" t="s">
        <v>32</v>
      </c>
      <c r="D5538" s="800">
        <v>104.29</v>
      </c>
    </row>
    <row r="5539" spans="1:4" ht="54">
      <c r="A5539" s="798">
        <v>89487</v>
      </c>
      <c r="B5539" s="799" t="s">
        <v>1279</v>
      </c>
      <c r="C5539" s="798" t="s">
        <v>32</v>
      </c>
      <c r="D5539" s="800">
        <v>131.52000000000001</v>
      </c>
    </row>
    <row r="5540" spans="1:4" ht="54">
      <c r="A5540" s="798">
        <v>89488</v>
      </c>
      <c r="B5540" s="799" t="s">
        <v>1280</v>
      </c>
      <c r="C5540" s="798" t="s">
        <v>32</v>
      </c>
      <c r="D5540" s="800">
        <v>123.1</v>
      </c>
    </row>
    <row r="5541" spans="1:4" ht="54">
      <c r="A5541" s="798">
        <v>91815</v>
      </c>
      <c r="B5541" s="799" t="s">
        <v>1804</v>
      </c>
      <c r="C5541" s="798" t="s">
        <v>32</v>
      </c>
      <c r="D5541" s="800">
        <v>76.39</v>
      </c>
    </row>
    <row r="5542" spans="1:4" ht="54">
      <c r="A5542" s="798">
        <v>91816</v>
      </c>
      <c r="B5542" s="799" t="s">
        <v>1805</v>
      </c>
      <c r="C5542" s="798" t="s">
        <v>32</v>
      </c>
      <c r="D5542" s="800">
        <v>91.7</v>
      </c>
    </row>
    <row r="5543" spans="1:4" ht="40.5">
      <c r="A5543" s="798">
        <v>101161</v>
      </c>
      <c r="B5543" s="799" t="s">
        <v>4996</v>
      </c>
      <c r="C5543" s="798" t="s">
        <v>32</v>
      </c>
      <c r="D5543" s="800">
        <v>184.34</v>
      </c>
    </row>
    <row r="5544" spans="1:4" ht="40.5">
      <c r="A5544" s="798">
        <v>101163</v>
      </c>
      <c r="B5544" s="799" t="s">
        <v>4997</v>
      </c>
      <c r="C5544" s="798" t="s">
        <v>32</v>
      </c>
      <c r="D5544" s="800">
        <v>755.21</v>
      </c>
    </row>
    <row r="5545" spans="1:4" ht="40.5">
      <c r="A5545" s="798">
        <v>101164</v>
      </c>
      <c r="B5545" s="799" t="s">
        <v>4998</v>
      </c>
      <c r="C5545" s="798" t="s">
        <v>32</v>
      </c>
      <c r="D5545" s="800">
        <v>766.08</v>
      </c>
    </row>
    <row r="5546" spans="1:4" ht="40.5">
      <c r="A5546" s="798">
        <v>96358</v>
      </c>
      <c r="B5546" s="799" t="s">
        <v>2789</v>
      </c>
      <c r="C5546" s="798" t="s">
        <v>32</v>
      </c>
      <c r="D5546" s="800">
        <v>97.64</v>
      </c>
    </row>
    <row r="5547" spans="1:4" ht="40.5">
      <c r="A5547" s="798">
        <v>96359</v>
      </c>
      <c r="B5547" s="799" t="s">
        <v>2790</v>
      </c>
      <c r="C5547" s="798" t="s">
        <v>32</v>
      </c>
      <c r="D5547" s="800">
        <v>112.14</v>
      </c>
    </row>
    <row r="5548" spans="1:4" ht="40.5">
      <c r="A5548" s="798">
        <v>96360</v>
      </c>
      <c r="B5548" s="799" t="s">
        <v>2791</v>
      </c>
      <c r="C5548" s="798" t="s">
        <v>32</v>
      </c>
      <c r="D5548" s="800">
        <v>135.87</v>
      </c>
    </row>
    <row r="5549" spans="1:4" ht="40.5">
      <c r="A5549" s="798">
        <v>96361</v>
      </c>
      <c r="B5549" s="799" t="s">
        <v>2792</v>
      </c>
      <c r="C5549" s="798" t="s">
        <v>32</v>
      </c>
      <c r="D5549" s="800">
        <v>164.46</v>
      </c>
    </row>
    <row r="5550" spans="1:4" ht="54">
      <c r="A5550" s="798">
        <v>96362</v>
      </c>
      <c r="B5550" s="799" t="s">
        <v>2793</v>
      </c>
      <c r="C5550" s="798" t="s">
        <v>32</v>
      </c>
      <c r="D5550" s="800">
        <v>124.52</v>
      </c>
    </row>
    <row r="5551" spans="1:4" ht="54">
      <c r="A5551" s="798">
        <v>96363</v>
      </c>
      <c r="B5551" s="799" t="s">
        <v>2794</v>
      </c>
      <c r="C5551" s="798" t="s">
        <v>32</v>
      </c>
      <c r="D5551" s="800">
        <v>139.28</v>
      </c>
    </row>
    <row r="5552" spans="1:4" ht="54">
      <c r="A5552" s="798">
        <v>96364</v>
      </c>
      <c r="B5552" s="799" t="s">
        <v>2795</v>
      </c>
      <c r="C5552" s="798" t="s">
        <v>32</v>
      </c>
      <c r="D5552" s="800">
        <v>162.75</v>
      </c>
    </row>
    <row r="5553" spans="1:4" ht="54">
      <c r="A5553" s="798">
        <v>96365</v>
      </c>
      <c r="B5553" s="799" t="s">
        <v>2796</v>
      </c>
      <c r="C5553" s="798" t="s">
        <v>32</v>
      </c>
      <c r="D5553" s="800">
        <v>191.59</v>
      </c>
    </row>
    <row r="5554" spans="1:4" ht="40.5">
      <c r="A5554" s="798">
        <v>96366</v>
      </c>
      <c r="B5554" s="799" t="s">
        <v>2797</v>
      </c>
      <c r="C5554" s="798" t="s">
        <v>32</v>
      </c>
      <c r="D5554" s="800">
        <v>151.41</v>
      </c>
    </row>
    <row r="5555" spans="1:4" ht="40.5">
      <c r="A5555" s="798">
        <v>96367</v>
      </c>
      <c r="B5555" s="799" t="s">
        <v>2798</v>
      </c>
      <c r="C5555" s="798" t="s">
        <v>32</v>
      </c>
      <c r="D5555" s="800">
        <v>166.38</v>
      </c>
    </row>
    <row r="5556" spans="1:4" ht="40.5">
      <c r="A5556" s="798">
        <v>96368</v>
      </c>
      <c r="B5556" s="799" t="s">
        <v>2799</v>
      </c>
      <c r="C5556" s="798" t="s">
        <v>32</v>
      </c>
      <c r="D5556" s="800">
        <v>189.64</v>
      </c>
    </row>
    <row r="5557" spans="1:4" ht="40.5">
      <c r="A5557" s="798">
        <v>96369</v>
      </c>
      <c r="B5557" s="799" t="s">
        <v>2800</v>
      </c>
      <c r="C5557" s="798" t="s">
        <v>32</v>
      </c>
      <c r="D5557" s="800">
        <v>218.7</v>
      </c>
    </row>
    <row r="5558" spans="1:4" ht="40.5">
      <c r="A5558" s="798">
        <v>96370</v>
      </c>
      <c r="B5558" s="799" t="s">
        <v>2801</v>
      </c>
      <c r="C5558" s="798" t="s">
        <v>32</v>
      </c>
      <c r="D5558" s="800">
        <v>68.34</v>
      </c>
    </row>
    <row r="5559" spans="1:4" ht="40.5">
      <c r="A5559" s="798">
        <v>96371</v>
      </c>
      <c r="B5559" s="799" t="s">
        <v>2802</v>
      </c>
      <c r="C5559" s="798" t="s">
        <v>32</v>
      </c>
      <c r="D5559" s="800">
        <v>82.7</v>
      </c>
    </row>
    <row r="5560" spans="1:4" ht="27">
      <c r="A5560" s="798">
        <v>96373</v>
      </c>
      <c r="B5560" s="799" t="s">
        <v>2803</v>
      </c>
      <c r="C5560" s="798" t="s">
        <v>14</v>
      </c>
      <c r="D5560" s="800">
        <v>14.13</v>
      </c>
    </row>
    <row r="5561" spans="1:4" ht="27">
      <c r="A5561" s="798">
        <v>96374</v>
      </c>
      <c r="B5561" s="799" t="s">
        <v>2804</v>
      </c>
      <c r="C5561" s="798" t="s">
        <v>14</v>
      </c>
      <c r="D5561" s="800">
        <v>23.18</v>
      </c>
    </row>
    <row r="5562" spans="1:4" ht="27">
      <c r="A5562" s="798">
        <v>102235</v>
      </c>
      <c r="B5562" s="799" t="s">
        <v>6786</v>
      </c>
      <c r="C5562" s="798" t="s">
        <v>32</v>
      </c>
      <c r="D5562" s="800">
        <v>520.97</v>
      </c>
    </row>
    <row r="5563" spans="1:4" ht="40.5">
      <c r="A5563" s="798">
        <v>102253</v>
      </c>
      <c r="B5563" s="799" t="s">
        <v>6787</v>
      </c>
      <c r="C5563" s="798" t="s">
        <v>32</v>
      </c>
      <c r="D5563" s="800">
        <v>732.97</v>
      </c>
    </row>
    <row r="5564" spans="1:4" ht="40.5">
      <c r="A5564" s="798">
        <v>102254</v>
      </c>
      <c r="B5564" s="799" t="s">
        <v>6788</v>
      </c>
      <c r="C5564" s="798" t="s">
        <v>32</v>
      </c>
      <c r="D5564" s="800">
        <v>694.84</v>
      </c>
    </row>
    <row r="5565" spans="1:4" ht="40.5">
      <c r="A5565" s="798">
        <v>102255</v>
      </c>
      <c r="B5565" s="799" t="s">
        <v>6789</v>
      </c>
      <c r="C5565" s="798" t="s">
        <v>32</v>
      </c>
      <c r="D5565" s="800">
        <v>737.09</v>
      </c>
    </row>
    <row r="5566" spans="1:4" ht="40.5">
      <c r="A5566" s="798">
        <v>102256</v>
      </c>
      <c r="B5566" s="799" t="s">
        <v>6790</v>
      </c>
      <c r="C5566" s="798" t="s">
        <v>32</v>
      </c>
      <c r="D5566" s="800">
        <v>802.7</v>
      </c>
    </row>
    <row r="5567" spans="1:4" ht="40.5">
      <c r="A5567" s="798">
        <v>102257</v>
      </c>
      <c r="B5567" s="799" t="s">
        <v>6791</v>
      </c>
      <c r="C5567" s="798" t="s">
        <v>32</v>
      </c>
      <c r="D5567" s="800">
        <v>249.63</v>
      </c>
    </row>
    <row r="5568" spans="1:4" ht="40.5">
      <c r="A5568" s="798">
        <v>102258</v>
      </c>
      <c r="B5568" s="799" t="s">
        <v>6792</v>
      </c>
      <c r="C5568" s="798" t="s">
        <v>32</v>
      </c>
      <c r="D5568" s="800">
        <v>272</v>
      </c>
    </row>
    <row r="5569" spans="1:4" ht="40.5">
      <c r="A5569" s="798">
        <v>101154</v>
      </c>
      <c r="B5569" s="799" t="s">
        <v>4999</v>
      </c>
      <c r="C5569" s="798" t="s">
        <v>32</v>
      </c>
      <c r="D5569" s="800">
        <v>108.08</v>
      </c>
    </row>
    <row r="5570" spans="1:4" ht="40.5">
      <c r="A5570" s="798">
        <v>101155</v>
      </c>
      <c r="B5570" s="799" t="s">
        <v>5000</v>
      </c>
      <c r="C5570" s="798" t="s">
        <v>32</v>
      </c>
      <c r="D5570" s="800">
        <v>152.83000000000001</v>
      </c>
    </row>
    <row r="5571" spans="1:4" ht="40.5">
      <c r="A5571" s="798">
        <v>101156</v>
      </c>
      <c r="B5571" s="799" t="s">
        <v>5001</v>
      </c>
      <c r="C5571" s="798" t="s">
        <v>32</v>
      </c>
      <c r="D5571" s="800">
        <v>225.93</v>
      </c>
    </row>
    <row r="5572" spans="1:4" ht="40.5">
      <c r="A5572" s="798">
        <v>101810</v>
      </c>
      <c r="B5572" s="799" t="s">
        <v>6793</v>
      </c>
      <c r="C5572" s="798" t="s">
        <v>22</v>
      </c>
      <c r="D5572" s="800">
        <v>1426.25</v>
      </c>
    </row>
    <row r="5573" spans="1:4" ht="40.5">
      <c r="A5573" s="798">
        <v>101811</v>
      </c>
      <c r="B5573" s="799" t="s">
        <v>6794</v>
      </c>
      <c r="C5573" s="798" t="s">
        <v>22</v>
      </c>
      <c r="D5573" s="800">
        <v>914.02</v>
      </c>
    </row>
    <row r="5574" spans="1:4" ht="40.5">
      <c r="A5574" s="798">
        <v>101812</v>
      </c>
      <c r="B5574" s="799" t="s">
        <v>6795</v>
      </c>
      <c r="C5574" s="798" t="s">
        <v>22</v>
      </c>
      <c r="D5574" s="800">
        <v>1556.13</v>
      </c>
    </row>
    <row r="5575" spans="1:4" ht="40.5">
      <c r="A5575" s="798">
        <v>101813</v>
      </c>
      <c r="B5575" s="799" t="s">
        <v>6796</v>
      </c>
      <c r="C5575" s="798" t="s">
        <v>22</v>
      </c>
      <c r="D5575" s="800">
        <v>1043.9000000000001</v>
      </c>
    </row>
    <row r="5576" spans="1:4" ht="54">
      <c r="A5576" s="798">
        <v>101814</v>
      </c>
      <c r="B5576" s="799" t="s">
        <v>6797</v>
      </c>
      <c r="C5576" s="798" t="s">
        <v>32</v>
      </c>
      <c r="D5576" s="800">
        <v>34.57</v>
      </c>
    </row>
    <row r="5577" spans="1:4" ht="67.5">
      <c r="A5577" s="798">
        <v>101815</v>
      </c>
      <c r="B5577" s="799" t="s">
        <v>6798</v>
      </c>
      <c r="C5577" s="798" t="s">
        <v>32</v>
      </c>
      <c r="D5577" s="800">
        <v>70.34</v>
      </c>
    </row>
    <row r="5578" spans="1:4" ht="54">
      <c r="A5578" s="798">
        <v>101816</v>
      </c>
      <c r="B5578" s="799" t="s">
        <v>6799</v>
      </c>
      <c r="C5578" s="798" t="s">
        <v>32</v>
      </c>
      <c r="D5578" s="800">
        <v>55.61</v>
      </c>
    </row>
    <row r="5579" spans="1:4" ht="54">
      <c r="A5579" s="798">
        <v>101817</v>
      </c>
      <c r="B5579" s="799" t="s">
        <v>6800</v>
      </c>
      <c r="C5579" s="798" t="s">
        <v>32</v>
      </c>
      <c r="D5579" s="800">
        <v>37.33</v>
      </c>
    </row>
    <row r="5580" spans="1:4" ht="67.5">
      <c r="A5580" s="798">
        <v>101818</v>
      </c>
      <c r="B5580" s="799" t="s">
        <v>6801</v>
      </c>
      <c r="C5580" s="798" t="s">
        <v>32</v>
      </c>
      <c r="D5580" s="800">
        <v>54.96</v>
      </c>
    </row>
    <row r="5581" spans="1:4" ht="54">
      <c r="A5581" s="798">
        <v>101819</v>
      </c>
      <c r="B5581" s="799" t="s">
        <v>6802</v>
      </c>
      <c r="C5581" s="798" t="s">
        <v>32</v>
      </c>
      <c r="D5581" s="800">
        <v>48.75</v>
      </c>
    </row>
    <row r="5582" spans="1:4" ht="54">
      <c r="A5582" s="798">
        <v>101820</v>
      </c>
      <c r="B5582" s="799" t="s">
        <v>6803</v>
      </c>
      <c r="C5582" s="798" t="s">
        <v>32</v>
      </c>
      <c r="D5582" s="800">
        <v>29.57</v>
      </c>
    </row>
    <row r="5583" spans="1:4" ht="54">
      <c r="A5583" s="798">
        <v>101822</v>
      </c>
      <c r="B5583" s="799" t="s">
        <v>6804</v>
      </c>
      <c r="C5583" s="798" t="s">
        <v>22</v>
      </c>
      <c r="D5583" s="800">
        <v>81.19</v>
      </c>
    </row>
    <row r="5584" spans="1:4" ht="40.5">
      <c r="A5584" s="798">
        <v>101823</v>
      </c>
      <c r="B5584" s="799" t="s">
        <v>6805</v>
      </c>
      <c r="C5584" s="798" t="s">
        <v>22</v>
      </c>
      <c r="D5584" s="800">
        <v>115.87</v>
      </c>
    </row>
    <row r="5585" spans="1:4" ht="40.5">
      <c r="A5585" s="798">
        <v>101824</v>
      </c>
      <c r="B5585" s="799" t="s">
        <v>6806</v>
      </c>
      <c r="C5585" s="798" t="s">
        <v>22</v>
      </c>
      <c r="D5585" s="800">
        <v>148.16</v>
      </c>
    </row>
    <row r="5586" spans="1:4" ht="40.5">
      <c r="A5586" s="798">
        <v>101825</v>
      </c>
      <c r="B5586" s="799" t="s">
        <v>6807</v>
      </c>
      <c r="C5586" s="798" t="s">
        <v>22</v>
      </c>
      <c r="D5586" s="800">
        <v>179.58</v>
      </c>
    </row>
    <row r="5587" spans="1:4" ht="40.5">
      <c r="A5587" s="798">
        <v>101826</v>
      </c>
      <c r="B5587" s="799" t="s">
        <v>6808</v>
      </c>
      <c r="C5587" s="798" t="s">
        <v>22</v>
      </c>
      <c r="D5587" s="800">
        <v>210.59</v>
      </c>
    </row>
    <row r="5588" spans="1:4" ht="40.5">
      <c r="A5588" s="798">
        <v>101827</v>
      </c>
      <c r="B5588" s="799" t="s">
        <v>6809</v>
      </c>
      <c r="C5588" s="798" t="s">
        <v>22</v>
      </c>
      <c r="D5588" s="800">
        <v>150.83000000000001</v>
      </c>
    </row>
    <row r="5589" spans="1:4" ht="40.5">
      <c r="A5589" s="798">
        <v>101828</v>
      </c>
      <c r="B5589" s="799" t="s">
        <v>6810</v>
      </c>
      <c r="C5589" s="798" t="s">
        <v>22</v>
      </c>
      <c r="D5589" s="800">
        <v>139.22999999999999</v>
      </c>
    </row>
    <row r="5590" spans="1:4" ht="54">
      <c r="A5590" s="798">
        <v>101829</v>
      </c>
      <c r="B5590" s="799" t="s">
        <v>7849</v>
      </c>
      <c r="C5590" s="798" t="s">
        <v>22</v>
      </c>
      <c r="D5590" s="800">
        <v>215.02</v>
      </c>
    </row>
    <row r="5591" spans="1:4" ht="54">
      <c r="A5591" s="798">
        <v>101830</v>
      </c>
      <c r="B5591" s="799" t="s">
        <v>7850</v>
      </c>
      <c r="C5591" s="798" t="s">
        <v>22</v>
      </c>
      <c r="D5591" s="800">
        <v>245.04</v>
      </c>
    </row>
    <row r="5592" spans="1:4" ht="54">
      <c r="A5592" s="798">
        <v>101831</v>
      </c>
      <c r="B5592" s="799" t="s">
        <v>7851</v>
      </c>
      <c r="C5592" s="798" t="s">
        <v>22</v>
      </c>
      <c r="D5592" s="800">
        <v>274.66000000000003</v>
      </c>
    </row>
    <row r="5593" spans="1:4" ht="54">
      <c r="A5593" s="798">
        <v>101832</v>
      </c>
      <c r="B5593" s="799" t="s">
        <v>6811</v>
      </c>
      <c r="C5593" s="798" t="s">
        <v>22</v>
      </c>
      <c r="D5593" s="800">
        <v>203.88</v>
      </c>
    </row>
    <row r="5594" spans="1:4" ht="54">
      <c r="A5594" s="798">
        <v>101833</v>
      </c>
      <c r="B5594" s="799" t="s">
        <v>6812</v>
      </c>
      <c r="C5594" s="798" t="s">
        <v>22</v>
      </c>
      <c r="D5594" s="800">
        <v>234.13</v>
      </c>
    </row>
    <row r="5595" spans="1:4" ht="54">
      <c r="A5595" s="798">
        <v>101834</v>
      </c>
      <c r="B5595" s="799" t="s">
        <v>6813</v>
      </c>
      <c r="C5595" s="798" t="s">
        <v>22</v>
      </c>
      <c r="D5595" s="800">
        <v>263.98</v>
      </c>
    </row>
    <row r="5596" spans="1:4" ht="40.5">
      <c r="A5596" s="798">
        <v>101835</v>
      </c>
      <c r="B5596" s="799" t="s">
        <v>6814</v>
      </c>
      <c r="C5596" s="798" t="s">
        <v>22</v>
      </c>
      <c r="D5596" s="800">
        <v>215.05</v>
      </c>
    </row>
    <row r="5597" spans="1:4" ht="40.5">
      <c r="A5597" s="798">
        <v>101836</v>
      </c>
      <c r="B5597" s="799" t="s">
        <v>6815</v>
      </c>
      <c r="C5597" s="798" t="s">
        <v>22</v>
      </c>
      <c r="D5597" s="800">
        <v>20.2</v>
      </c>
    </row>
    <row r="5598" spans="1:4" ht="40.5">
      <c r="A5598" s="798">
        <v>101837</v>
      </c>
      <c r="B5598" s="799" t="s">
        <v>6816</v>
      </c>
      <c r="C5598" s="798" t="s">
        <v>22</v>
      </c>
      <c r="D5598" s="800">
        <v>54.88</v>
      </c>
    </row>
    <row r="5599" spans="1:4" ht="40.5">
      <c r="A5599" s="798">
        <v>101838</v>
      </c>
      <c r="B5599" s="799" t="s">
        <v>6817</v>
      </c>
      <c r="C5599" s="798" t="s">
        <v>22</v>
      </c>
      <c r="D5599" s="800">
        <v>87.17</v>
      </c>
    </row>
    <row r="5600" spans="1:4" ht="40.5">
      <c r="A5600" s="798">
        <v>101839</v>
      </c>
      <c r="B5600" s="799" t="s">
        <v>6818</v>
      </c>
      <c r="C5600" s="798" t="s">
        <v>22</v>
      </c>
      <c r="D5600" s="800">
        <v>118.58</v>
      </c>
    </row>
    <row r="5601" spans="1:4" ht="40.5">
      <c r="A5601" s="798">
        <v>101840</v>
      </c>
      <c r="B5601" s="799" t="s">
        <v>6819</v>
      </c>
      <c r="C5601" s="798" t="s">
        <v>22</v>
      </c>
      <c r="D5601" s="800">
        <v>180.42</v>
      </c>
    </row>
    <row r="5602" spans="1:4" ht="40.5">
      <c r="A5602" s="798">
        <v>101841</v>
      </c>
      <c r="B5602" s="799" t="s">
        <v>6820</v>
      </c>
      <c r="C5602" s="798" t="s">
        <v>22</v>
      </c>
      <c r="D5602" s="800">
        <v>89.84</v>
      </c>
    </row>
    <row r="5603" spans="1:4" ht="40.5">
      <c r="A5603" s="798">
        <v>101842</v>
      </c>
      <c r="B5603" s="799" t="s">
        <v>6821</v>
      </c>
      <c r="C5603" s="798" t="s">
        <v>22</v>
      </c>
      <c r="D5603" s="800">
        <v>78.239999999999995</v>
      </c>
    </row>
    <row r="5604" spans="1:4" ht="40.5">
      <c r="A5604" s="798">
        <v>101843</v>
      </c>
      <c r="B5604" s="799" t="s">
        <v>7852</v>
      </c>
      <c r="C5604" s="798" t="s">
        <v>22</v>
      </c>
      <c r="D5604" s="800">
        <v>154.03</v>
      </c>
    </row>
    <row r="5605" spans="1:4" ht="40.5">
      <c r="A5605" s="798">
        <v>101844</v>
      </c>
      <c r="B5605" s="799" t="s">
        <v>7853</v>
      </c>
      <c r="C5605" s="798" t="s">
        <v>22</v>
      </c>
      <c r="D5605" s="800">
        <v>184.05</v>
      </c>
    </row>
    <row r="5606" spans="1:4" ht="40.5">
      <c r="A5606" s="798">
        <v>101845</v>
      </c>
      <c r="B5606" s="799" t="s">
        <v>7854</v>
      </c>
      <c r="C5606" s="798" t="s">
        <v>22</v>
      </c>
      <c r="D5606" s="800">
        <v>213.67</v>
      </c>
    </row>
    <row r="5607" spans="1:4" ht="40.5">
      <c r="A5607" s="798">
        <v>101846</v>
      </c>
      <c r="B5607" s="799" t="s">
        <v>6822</v>
      </c>
      <c r="C5607" s="798" t="s">
        <v>22</v>
      </c>
      <c r="D5607" s="800">
        <v>142.88999999999999</v>
      </c>
    </row>
    <row r="5608" spans="1:4" ht="40.5">
      <c r="A5608" s="798">
        <v>101847</v>
      </c>
      <c r="B5608" s="799" t="s">
        <v>6823</v>
      </c>
      <c r="C5608" s="798" t="s">
        <v>22</v>
      </c>
      <c r="D5608" s="800">
        <v>173.14</v>
      </c>
    </row>
    <row r="5609" spans="1:4" ht="40.5">
      <c r="A5609" s="798">
        <v>101848</v>
      </c>
      <c r="B5609" s="799" t="s">
        <v>6824</v>
      </c>
      <c r="C5609" s="798" t="s">
        <v>22</v>
      </c>
      <c r="D5609" s="800">
        <v>202.99</v>
      </c>
    </row>
    <row r="5610" spans="1:4" ht="40.5">
      <c r="A5610" s="798">
        <v>101849</v>
      </c>
      <c r="B5610" s="799" t="s">
        <v>6825</v>
      </c>
      <c r="C5610" s="798" t="s">
        <v>22</v>
      </c>
      <c r="D5610" s="800">
        <v>154.06</v>
      </c>
    </row>
    <row r="5611" spans="1:4" ht="54">
      <c r="A5611" s="798">
        <v>101850</v>
      </c>
      <c r="B5611" s="799" t="s">
        <v>6826</v>
      </c>
      <c r="C5611" s="798" t="s">
        <v>32</v>
      </c>
      <c r="D5611" s="800">
        <v>44.89</v>
      </c>
    </row>
    <row r="5612" spans="1:4" ht="54">
      <c r="A5612" s="798">
        <v>101851</v>
      </c>
      <c r="B5612" s="799" t="s">
        <v>6827</v>
      </c>
      <c r="C5612" s="798" t="s">
        <v>32</v>
      </c>
      <c r="D5612" s="800">
        <v>125.82</v>
      </c>
    </row>
    <row r="5613" spans="1:4" ht="40.5">
      <c r="A5613" s="798">
        <v>101852</v>
      </c>
      <c r="B5613" s="799" t="s">
        <v>6828</v>
      </c>
      <c r="C5613" s="798" t="s">
        <v>32</v>
      </c>
      <c r="D5613" s="800">
        <v>56.7</v>
      </c>
    </row>
    <row r="5614" spans="1:4" ht="54">
      <c r="A5614" s="798">
        <v>101853</v>
      </c>
      <c r="B5614" s="799" t="s">
        <v>6829</v>
      </c>
      <c r="C5614" s="798" t="s">
        <v>32</v>
      </c>
      <c r="D5614" s="800">
        <v>40.619999999999997</v>
      </c>
    </row>
    <row r="5615" spans="1:4" ht="54">
      <c r="A5615" s="798">
        <v>101854</v>
      </c>
      <c r="B5615" s="799" t="s">
        <v>6830</v>
      </c>
      <c r="C5615" s="798" t="s">
        <v>32</v>
      </c>
      <c r="D5615" s="800">
        <v>128.77000000000001</v>
      </c>
    </row>
    <row r="5616" spans="1:4" ht="54">
      <c r="A5616" s="798">
        <v>101855</v>
      </c>
      <c r="B5616" s="799" t="s">
        <v>6831</v>
      </c>
      <c r="C5616" s="798" t="s">
        <v>32</v>
      </c>
      <c r="D5616" s="800">
        <v>61.95</v>
      </c>
    </row>
    <row r="5617" spans="1:4" ht="54">
      <c r="A5617" s="798">
        <v>101856</v>
      </c>
      <c r="B5617" s="799" t="s">
        <v>6832</v>
      </c>
      <c r="C5617" s="798" t="s">
        <v>32</v>
      </c>
      <c r="D5617" s="800">
        <v>18.63</v>
      </c>
    </row>
    <row r="5618" spans="1:4" ht="54">
      <c r="A5618" s="798">
        <v>101857</v>
      </c>
      <c r="B5618" s="799" t="s">
        <v>6833</v>
      </c>
      <c r="C5618" s="798" t="s">
        <v>32</v>
      </c>
      <c r="D5618" s="800">
        <v>23.19</v>
      </c>
    </row>
    <row r="5619" spans="1:4" ht="67.5">
      <c r="A5619" s="798">
        <v>101858</v>
      </c>
      <c r="B5619" s="799" t="s">
        <v>6834</v>
      </c>
      <c r="C5619" s="798" t="s">
        <v>32</v>
      </c>
      <c r="D5619" s="800">
        <v>19.010000000000002</v>
      </c>
    </row>
    <row r="5620" spans="1:4" ht="67.5">
      <c r="A5620" s="798">
        <v>101859</v>
      </c>
      <c r="B5620" s="799" t="s">
        <v>6835</v>
      </c>
      <c r="C5620" s="798" t="s">
        <v>32</v>
      </c>
      <c r="D5620" s="800">
        <v>20.97</v>
      </c>
    </row>
    <row r="5621" spans="1:4" ht="67.5">
      <c r="A5621" s="798">
        <v>101860</v>
      </c>
      <c r="B5621" s="799" t="s">
        <v>6836</v>
      </c>
      <c r="C5621" s="798" t="s">
        <v>32</v>
      </c>
      <c r="D5621" s="800">
        <v>24.06</v>
      </c>
    </row>
    <row r="5622" spans="1:4" ht="54">
      <c r="A5622" s="798">
        <v>101861</v>
      </c>
      <c r="B5622" s="799" t="s">
        <v>6837</v>
      </c>
      <c r="C5622" s="798" t="s">
        <v>32</v>
      </c>
      <c r="D5622" s="800">
        <v>22.51</v>
      </c>
    </row>
    <row r="5623" spans="1:4" ht="54">
      <c r="A5623" s="798">
        <v>101862</v>
      </c>
      <c r="B5623" s="799" t="s">
        <v>6838</v>
      </c>
      <c r="C5623" s="798" t="s">
        <v>32</v>
      </c>
      <c r="D5623" s="800">
        <v>24.53</v>
      </c>
    </row>
    <row r="5624" spans="1:4" ht="67.5">
      <c r="A5624" s="798">
        <v>101863</v>
      </c>
      <c r="B5624" s="799" t="s">
        <v>6839</v>
      </c>
      <c r="C5624" s="798" t="s">
        <v>32</v>
      </c>
      <c r="D5624" s="800">
        <v>19.28</v>
      </c>
    </row>
    <row r="5625" spans="1:4" ht="67.5">
      <c r="A5625" s="798">
        <v>101864</v>
      </c>
      <c r="B5625" s="799" t="s">
        <v>6840</v>
      </c>
      <c r="C5625" s="798" t="s">
        <v>32</v>
      </c>
      <c r="D5625" s="800">
        <v>22.37</v>
      </c>
    </row>
    <row r="5626" spans="1:4" ht="67.5">
      <c r="A5626" s="798">
        <v>101865</v>
      </c>
      <c r="B5626" s="799" t="s">
        <v>6841</v>
      </c>
      <c r="C5626" s="798" t="s">
        <v>32</v>
      </c>
      <c r="D5626" s="800">
        <v>25.46</v>
      </c>
    </row>
    <row r="5627" spans="1:4" ht="54">
      <c r="A5627" s="798">
        <v>101866</v>
      </c>
      <c r="B5627" s="799" t="s">
        <v>6842</v>
      </c>
      <c r="C5627" s="798" t="s">
        <v>32</v>
      </c>
      <c r="D5627" s="800">
        <v>22.66</v>
      </c>
    </row>
    <row r="5628" spans="1:4" ht="54">
      <c r="A5628" s="798">
        <v>101867</v>
      </c>
      <c r="B5628" s="799" t="s">
        <v>6843</v>
      </c>
      <c r="C5628" s="798" t="s">
        <v>32</v>
      </c>
      <c r="D5628" s="800">
        <v>25.76</v>
      </c>
    </row>
    <row r="5629" spans="1:4" ht="67.5">
      <c r="A5629" s="798">
        <v>101868</v>
      </c>
      <c r="B5629" s="799" t="s">
        <v>6844</v>
      </c>
      <c r="C5629" s="798" t="s">
        <v>32</v>
      </c>
      <c r="D5629" s="800">
        <v>20.52</v>
      </c>
    </row>
    <row r="5630" spans="1:4" ht="67.5">
      <c r="A5630" s="798">
        <v>101869</v>
      </c>
      <c r="B5630" s="799" t="s">
        <v>6845</v>
      </c>
      <c r="C5630" s="798" t="s">
        <v>32</v>
      </c>
      <c r="D5630" s="800">
        <v>23.61</v>
      </c>
    </row>
    <row r="5631" spans="1:4" ht="67.5">
      <c r="A5631" s="798">
        <v>101870</v>
      </c>
      <c r="B5631" s="799" t="s">
        <v>6846</v>
      </c>
      <c r="C5631" s="798" t="s">
        <v>32</v>
      </c>
      <c r="D5631" s="800">
        <v>26.71</v>
      </c>
    </row>
    <row r="5632" spans="1:4" ht="40.5">
      <c r="A5632" s="798">
        <v>102096</v>
      </c>
      <c r="B5632" s="799" t="s">
        <v>6847</v>
      </c>
      <c r="C5632" s="798" t="s">
        <v>22</v>
      </c>
      <c r="D5632" s="800">
        <v>1511.93</v>
      </c>
    </row>
    <row r="5633" spans="1:4" ht="40.5">
      <c r="A5633" s="798">
        <v>102098</v>
      </c>
      <c r="B5633" s="799" t="s">
        <v>6848</v>
      </c>
      <c r="C5633" s="798" t="s">
        <v>22</v>
      </c>
      <c r="D5633" s="800">
        <v>1641.81</v>
      </c>
    </row>
    <row r="5634" spans="1:4" ht="27">
      <c r="A5634" s="798">
        <v>102101</v>
      </c>
      <c r="B5634" s="799" t="s">
        <v>6849</v>
      </c>
      <c r="C5634" s="798" t="s">
        <v>32</v>
      </c>
      <c r="D5634" s="800">
        <v>3.22</v>
      </c>
    </row>
    <row r="5635" spans="1:4" ht="54">
      <c r="A5635" s="798">
        <v>102988</v>
      </c>
      <c r="B5635" s="799" t="s">
        <v>7665</v>
      </c>
      <c r="C5635" s="798" t="s">
        <v>32</v>
      </c>
      <c r="D5635" s="800">
        <v>39.340000000000003</v>
      </c>
    </row>
    <row r="5636" spans="1:4" ht="27">
      <c r="A5636" s="798">
        <v>100576</v>
      </c>
      <c r="B5636" s="799" t="s">
        <v>4507</v>
      </c>
      <c r="C5636" s="798" t="s">
        <v>32</v>
      </c>
      <c r="D5636" s="800">
        <v>1.88</v>
      </c>
    </row>
    <row r="5637" spans="1:4" ht="27">
      <c r="A5637" s="798">
        <v>100577</v>
      </c>
      <c r="B5637" s="799" t="s">
        <v>4508</v>
      </c>
      <c r="C5637" s="798" t="s">
        <v>32</v>
      </c>
      <c r="D5637" s="800">
        <v>0.95</v>
      </c>
    </row>
    <row r="5638" spans="1:4" ht="54">
      <c r="A5638" s="798">
        <v>96388</v>
      </c>
      <c r="B5638" s="799" t="s">
        <v>4509</v>
      </c>
      <c r="C5638" s="798" t="s">
        <v>22</v>
      </c>
      <c r="D5638" s="800">
        <v>9.36</v>
      </c>
    </row>
    <row r="5639" spans="1:4" ht="54">
      <c r="A5639" s="798">
        <v>96389</v>
      </c>
      <c r="B5639" s="799" t="s">
        <v>4875</v>
      </c>
      <c r="C5639" s="798" t="s">
        <v>22</v>
      </c>
      <c r="D5639" s="800">
        <v>48.07</v>
      </c>
    </row>
    <row r="5640" spans="1:4" ht="54">
      <c r="A5640" s="798">
        <v>96390</v>
      </c>
      <c r="B5640" s="799" t="s">
        <v>4876</v>
      </c>
      <c r="C5640" s="798" t="s">
        <v>22</v>
      </c>
      <c r="D5640" s="800">
        <v>78.73</v>
      </c>
    </row>
    <row r="5641" spans="1:4" ht="54">
      <c r="A5641" s="798">
        <v>96391</v>
      </c>
      <c r="B5641" s="799" t="s">
        <v>4510</v>
      </c>
      <c r="C5641" s="798" t="s">
        <v>22</v>
      </c>
      <c r="D5641" s="800">
        <v>110.71</v>
      </c>
    </row>
    <row r="5642" spans="1:4" ht="54">
      <c r="A5642" s="798">
        <v>96392</v>
      </c>
      <c r="B5642" s="799" t="s">
        <v>4511</v>
      </c>
      <c r="C5642" s="798" t="s">
        <v>22</v>
      </c>
      <c r="D5642" s="800">
        <v>141.72</v>
      </c>
    </row>
    <row r="5643" spans="1:4" ht="40.5">
      <c r="A5643" s="798">
        <v>96396</v>
      </c>
      <c r="B5643" s="799" t="s">
        <v>4512</v>
      </c>
      <c r="C5643" s="798" t="s">
        <v>22</v>
      </c>
      <c r="D5643" s="800">
        <v>144.27000000000001</v>
      </c>
    </row>
    <row r="5644" spans="1:4" ht="40.5">
      <c r="A5644" s="798">
        <v>96397</v>
      </c>
      <c r="B5644" s="799" t="s">
        <v>4513</v>
      </c>
      <c r="C5644" s="798" t="s">
        <v>22</v>
      </c>
      <c r="D5644" s="800">
        <v>206.22</v>
      </c>
    </row>
    <row r="5645" spans="1:4" ht="40.5">
      <c r="A5645" s="798">
        <v>96398</v>
      </c>
      <c r="B5645" s="799" t="s">
        <v>4514</v>
      </c>
      <c r="C5645" s="798" t="s">
        <v>22</v>
      </c>
      <c r="D5645" s="800">
        <v>288.12</v>
      </c>
    </row>
    <row r="5646" spans="1:4" ht="40.5">
      <c r="A5646" s="798">
        <v>96399</v>
      </c>
      <c r="B5646" s="799" t="s">
        <v>4877</v>
      </c>
      <c r="C5646" s="798" t="s">
        <v>22</v>
      </c>
      <c r="D5646" s="800">
        <v>99.34</v>
      </c>
    </row>
    <row r="5647" spans="1:4" ht="40.5">
      <c r="A5647" s="798">
        <v>96400</v>
      </c>
      <c r="B5647" s="799" t="s">
        <v>4515</v>
      </c>
      <c r="C5647" s="798" t="s">
        <v>22</v>
      </c>
      <c r="D5647" s="800">
        <v>128.5</v>
      </c>
    </row>
    <row r="5648" spans="1:4" ht="27">
      <c r="A5648" s="798">
        <v>96402</v>
      </c>
      <c r="B5648" s="799" t="s">
        <v>4516</v>
      </c>
      <c r="C5648" s="798" t="s">
        <v>32</v>
      </c>
      <c r="D5648" s="800">
        <v>2.4500000000000002</v>
      </c>
    </row>
    <row r="5649" spans="1:4" ht="54">
      <c r="A5649" s="798">
        <v>100564</v>
      </c>
      <c r="B5649" s="799" t="s">
        <v>4517</v>
      </c>
      <c r="C5649" s="798" t="s">
        <v>22</v>
      </c>
      <c r="D5649" s="800">
        <v>87.19</v>
      </c>
    </row>
    <row r="5650" spans="1:4" ht="54">
      <c r="A5650" s="798">
        <v>100565</v>
      </c>
      <c r="B5650" s="799" t="s">
        <v>4518</v>
      </c>
      <c r="C5650" s="798" t="s">
        <v>22</v>
      </c>
      <c r="D5650" s="800">
        <v>75.62</v>
      </c>
    </row>
    <row r="5651" spans="1:4" ht="54">
      <c r="A5651" s="798">
        <v>100566</v>
      </c>
      <c r="B5651" s="799" t="s">
        <v>4519</v>
      </c>
      <c r="C5651" s="798" t="s">
        <v>22</v>
      </c>
      <c r="D5651" s="800">
        <v>151.37</v>
      </c>
    </row>
    <row r="5652" spans="1:4" ht="54">
      <c r="A5652" s="798">
        <v>100567</v>
      </c>
      <c r="B5652" s="799" t="s">
        <v>4520</v>
      </c>
      <c r="C5652" s="798" t="s">
        <v>22</v>
      </c>
      <c r="D5652" s="800">
        <v>181.44</v>
      </c>
    </row>
    <row r="5653" spans="1:4" ht="54">
      <c r="A5653" s="798">
        <v>100568</v>
      </c>
      <c r="B5653" s="799" t="s">
        <v>4521</v>
      </c>
      <c r="C5653" s="798" t="s">
        <v>22</v>
      </c>
      <c r="D5653" s="800">
        <v>211.01</v>
      </c>
    </row>
    <row r="5654" spans="1:4" ht="54">
      <c r="A5654" s="798">
        <v>100569</v>
      </c>
      <c r="B5654" s="799" t="s">
        <v>4522</v>
      </c>
      <c r="C5654" s="798" t="s">
        <v>22</v>
      </c>
      <c r="D5654" s="800">
        <v>140.22999999999999</v>
      </c>
    </row>
    <row r="5655" spans="1:4" ht="54">
      <c r="A5655" s="798">
        <v>100570</v>
      </c>
      <c r="B5655" s="799" t="s">
        <v>4523</v>
      </c>
      <c r="C5655" s="798" t="s">
        <v>22</v>
      </c>
      <c r="D5655" s="800">
        <v>172.63</v>
      </c>
    </row>
    <row r="5656" spans="1:4" ht="54">
      <c r="A5656" s="798">
        <v>100571</v>
      </c>
      <c r="B5656" s="799" t="s">
        <v>4524</v>
      </c>
      <c r="C5656" s="798" t="s">
        <v>22</v>
      </c>
      <c r="D5656" s="800">
        <v>200.38</v>
      </c>
    </row>
    <row r="5657" spans="1:4" ht="54">
      <c r="A5657" s="798">
        <v>100572</v>
      </c>
      <c r="B5657" s="799" t="s">
        <v>4525</v>
      </c>
      <c r="C5657" s="798" t="s">
        <v>22</v>
      </c>
      <c r="D5657" s="800">
        <v>91.18</v>
      </c>
    </row>
    <row r="5658" spans="1:4" ht="54">
      <c r="A5658" s="798">
        <v>100573</v>
      </c>
      <c r="B5658" s="799" t="s">
        <v>4526</v>
      </c>
      <c r="C5658" s="798" t="s">
        <v>22</v>
      </c>
      <c r="D5658" s="800">
        <v>79.61</v>
      </c>
    </row>
    <row r="5659" spans="1:4" ht="27">
      <c r="A5659" s="798">
        <v>100574</v>
      </c>
      <c r="B5659" s="799" t="s">
        <v>4527</v>
      </c>
      <c r="C5659" s="798" t="s">
        <v>22</v>
      </c>
      <c r="D5659" s="800">
        <v>1.0900000000000001</v>
      </c>
    </row>
    <row r="5660" spans="1:4" ht="27">
      <c r="A5660" s="798">
        <v>100575</v>
      </c>
      <c r="B5660" s="799" t="s">
        <v>4528</v>
      </c>
      <c r="C5660" s="798" t="s">
        <v>32</v>
      </c>
      <c r="D5660" s="800">
        <v>0.09</v>
      </c>
    </row>
    <row r="5661" spans="1:4" ht="67.5">
      <c r="A5661" s="798">
        <v>101767</v>
      </c>
      <c r="B5661" s="799" t="s">
        <v>5709</v>
      </c>
      <c r="C5661" s="798" t="s">
        <v>22</v>
      </c>
      <c r="D5661" s="800">
        <v>21.5</v>
      </c>
    </row>
    <row r="5662" spans="1:4" ht="54">
      <c r="A5662" s="798">
        <v>101768</v>
      </c>
      <c r="B5662" s="799" t="s">
        <v>5710</v>
      </c>
      <c r="C5662" s="798" t="s">
        <v>22</v>
      </c>
      <c r="D5662" s="800">
        <v>35.659999999999997</v>
      </c>
    </row>
    <row r="5663" spans="1:4" ht="27">
      <c r="A5663" s="798">
        <v>92391</v>
      </c>
      <c r="B5663" s="799" t="s">
        <v>459</v>
      </c>
      <c r="C5663" s="798" t="s">
        <v>32</v>
      </c>
      <c r="D5663" s="800">
        <v>68.959999999999994</v>
      </c>
    </row>
    <row r="5664" spans="1:4" ht="27">
      <c r="A5664" s="798">
        <v>92392</v>
      </c>
      <c r="B5664" s="799" t="s">
        <v>460</v>
      </c>
      <c r="C5664" s="798" t="s">
        <v>32</v>
      </c>
      <c r="D5664" s="800">
        <v>145.25</v>
      </c>
    </row>
    <row r="5665" spans="1:4" ht="27">
      <c r="A5665" s="798">
        <v>92393</v>
      </c>
      <c r="B5665" s="799" t="s">
        <v>461</v>
      </c>
      <c r="C5665" s="798" t="s">
        <v>32</v>
      </c>
      <c r="D5665" s="800">
        <v>68.03</v>
      </c>
    </row>
    <row r="5666" spans="1:4" ht="27">
      <c r="A5666" s="798">
        <v>92394</v>
      </c>
      <c r="B5666" s="799" t="s">
        <v>462</v>
      </c>
      <c r="C5666" s="798" t="s">
        <v>32</v>
      </c>
      <c r="D5666" s="800">
        <v>85.19</v>
      </c>
    </row>
    <row r="5667" spans="1:4" ht="27">
      <c r="A5667" s="798">
        <v>92395</v>
      </c>
      <c r="B5667" s="799" t="s">
        <v>463</v>
      </c>
      <c r="C5667" s="798" t="s">
        <v>32</v>
      </c>
      <c r="D5667" s="800">
        <v>103.07</v>
      </c>
    </row>
    <row r="5668" spans="1:4" ht="40.5">
      <c r="A5668" s="798">
        <v>92396</v>
      </c>
      <c r="B5668" s="799" t="s">
        <v>1968</v>
      </c>
      <c r="C5668" s="798" t="s">
        <v>32</v>
      </c>
      <c r="D5668" s="800">
        <v>78.86</v>
      </c>
    </row>
    <row r="5669" spans="1:4" ht="40.5">
      <c r="A5669" s="798">
        <v>92397</v>
      </c>
      <c r="B5669" s="799" t="s">
        <v>1969</v>
      </c>
      <c r="C5669" s="798" t="s">
        <v>32</v>
      </c>
      <c r="D5669" s="800">
        <v>67.83</v>
      </c>
    </row>
    <row r="5670" spans="1:4" ht="40.5">
      <c r="A5670" s="798">
        <v>92398</v>
      </c>
      <c r="B5670" s="799" t="s">
        <v>1970</v>
      </c>
      <c r="C5670" s="798" t="s">
        <v>32</v>
      </c>
      <c r="D5670" s="800">
        <v>86.2</v>
      </c>
    </row>
    <row r="5671" spans="1:4" ht="40.5">
      <c r="A5671" s="798">
        <v>92399</v>
      </c>
      <c r="B5671" s="799" t="s">
        <v>464</v>
      </c>
      <c r="C5671" s="798" t="s">
        <v>32</v>
      </c>
      <c r="D5671" s="800">
        <v>87.6</v>
      </c>
    </row>
    <row r="5672" spans="1:4" ht="40.5">
      <c r="A5672" s="798">
        <v>92400</v>
      </c>
      <c r="B5672" s="799" t="s">
        <v>1971</v>
      </c>
      <c r="C5672" s="798" t="s">
        <v>32</v>
      </c>
      <c r="D5672" s="800">
        <v>102.46</v>
      </c>
    </row>
    <row r="5673" spans="1:4" ht="27">
      <c r="A5673" s="798">
        <v>92401</v>
      </c>
      <c r="B5673" s="799" t="s">
        <v>465</v>
      </c>
      <c r="C5673" s="798" t="s">
        <v>32</v>
      </c>
      <c r="D5673" s="800">
        <v>103.98</v>
      </c>
    </row>
    <row r="5674" spans="1:4" ht="27">
      <c r="A5674" s="798">
        <v>92402</v>
      </c>
      <c r="B5674" s="799" t="s">
        <v>1972</v>
      </c>
      <c r="C5674" s="798" t="s">
        <v>32</v>
      </c>
      <c r="D5674" s="800">
        <v>80.39</v>
      </c>
    </row>
    <row r="5675" spans="1:4" ht="40.5">
      <c r="A5675" s="798">
        <v>92403</v>
      </c>
      <c r="B5675" s="799" t="s">
        <v>1973</v>
      </c>
      <c r="C5675" s="798" t="s">
        <v>32</v>
      </c>
      <c r="D5675" s="800">
        <v>69.19</v>
      </c>
    </row>
    <row r="5676" spans="1:4" ht="40.5">
      <c r="A5676" s="798">
        <v>92404</v>
      </c>
      <c r="B5676" s="799" t="s">
        <v>1974</v>
      </c>
      <c r="C5676" s="798" t="s">
        <v>32</v>
      </c>
      <c r="D5676" s="800">
        <v>87.57</v>
      </c>
    </row>
    <row r="5677" spans="1:4" ht="27">
      <c r="A5677" s="798">
        <v>92405</v>
      </c>
      <c r="B5677" s="799" t="s">
        <v>1975</v>
      </c>
      <c r="C5677" s="798" t="s">
        <v>32</v>
      </c>
      <c r="D5677" s="800">
        <v>88.93</v>
      </c>
    </row>
    <row r="5678" spans="1:4" ht="40.5">
      <c r="A5678" s="798">
        <v>92406</v>
      </c>
      <c r="B5678" s="799" t="s">
        <v>1976</v>
      </c>
      <c r="C5678" s="798" t="s">
        <v>32</v>
      </c>
      <c r="D5678" s="800">
        <v>103.85</v>
      </c>
    </row>
    <row r="5679" spans="1:4" ht="27">
      <c r="A5679" s="798">
        <v>92407</v>
      </c>
      <c r="B5679" s="799" t="s">
        <v>1977</v>
      </c>
      <c r="C5679" s="798" t="s">
        <v>32</v>
      </c>
      <c r="D5679" s="800">
        <v>105.33</v>
      </c>
    </row>
    <row r="5680" spans="1:4" ht="40.5">
      <c r="A5680" s="798">
        <v>93679</v>
      </c>
      <c r="B5680" s="799" t="s">
        <v>2261</v>
      </c>
      <c r="C5680" s="798" t="s">
        <v>32</v>
      </c>
      <c r="D5680" s="800">
        <v>88.33</v>
      </c>
    </row>
    <row r="5681" spans="1:4" ht="40.5">
      <c r="A5681" s="798">
        <v>93680</v>
      </c>
      <c r="B5681" s="799" t="s">
        <v>2262</v>
      </c>
      <c r="C5681" s="798" t="s">
        <v>32</v>
      </c>
      <c r="D5681" s="800">
        <v>76.89</v>
      </c>
    </row>
    <row r="5682" spans="1:4" ht="40.5">
      <c r="A5682" s="798">
        <v>93681</v>
      </c>
      <c r="B5682" s="799" t="s">
        <v>2263</v>
      </c>
      <c r="C5682" s="798" t="s">
        <v>32</v>
      </c>
      <c r="D5682" s="800">
        <v>93.45</v>
      </c>
    </row>
    <row r="5683" spans="1:4" ht="40.5">
      <c r="A5683" s="798">
        <v>93682</v>
      </c>
      <c r="B5683" s="799" t="s">
        <v>493</v>
      </c>
      <c r="C5683" s="798" t="s">
        <v>32</v>
      </c>
      <c r="D5683" s="800">
        <v>94.92</v>
      </c>
    </row>
    <row r="5684" spans="1:4" ht="27">
      <c r="A5684" s="798">
        <v>97104</v>
      </c>
      <c r="B5684" s="799" t="s">
        <v>6850</v>
      </c>
      <c r="C5684" s="798" t="s">
        <v>32</v>
      </c>
      <c r="D5684" s="800">
        <v>130.99</v>
      </c>
    </row>
    <row r="5685" spans="1:4" ht="27">
      <c r="A5685" s="798">
        <v>97105</v>
      </c>
      <c r="B5685" s="799" t="s">
        <v>6851</v>
      </c>
      <c r="C5685" s="798" t="s">
        <v>32</v>
      </c>
      <c r="D5685" s="800">
        <v>154.16</v>
      </c>
    </row>
    <row r="5686" spans="1:4" ht="27">
      <c r="A5686" s="798">
        <v>97106</v>
      </c>
      <c r="B5686" s="799" t="s">
        <v>6852</v>
      </c>
      <c r="C5686" s="798" t="s">
        <v>32</v>
      </c>
      <c r="D5686" s="800">
        <v>170.26</v>
      </c>
    </row>
    <row r="5687" spans="1:4" ht="27">
      <c r="A5687" s="798">
        <v>97107</v>
      </c>
      <c r="B5687" s="799" t="s">
        <v>6853</v>
      </c>
      <c r="C5687" s="798" t="s">
        <v>32</v>
      </c>
      <c r="D5687" s="800">
        <v>186.32</v>
      </c>
    </row>
    <row r="5688" spans="1:4" ht="27">
      <c r="A5688" s="798">
        <v>97108</v>
      </c>
      <c r="B5688" s="799" t="s">
        <v>6854</v>
      </c>
      <c r="C5688" s="798" t="s">
        <v>32</v>
      </c>
      <c r="D5688" s="800">
        <v>216.57</v>
      </c>
    </row>
    <row r="5689" spans="1:4" ht="27">
      <c r="A5689" s="798">
        <v>97109</v>
      </c>
      <c r="B5689" s="799" t="s">
        <v>6855</v>
      </c>
      <c r="C5689" s="798" t="s">
        <v>32</v>
      </c>
      <c r="D5689" s="800">
        <v>232.58</v>
      </c>
    </row>
    <row r="5690" spans="1:4" ht="27">
      <c r="A5690" s="798">
        <v>97110</v>
      </c>
      <c r="B5690" s="799" t="s">
        <v>6856</v>
      </c>
      <c r="C5690" s="798" t="s">
        <v>32</v>
      </c>
      <c r="D5690" s="800">
        <v>209.73</v>
      </c>
    </row>
    <row r="5691" spans="1:4" ht="27">
      <c r="A5691" s="798">
        <v>97111</v>
      </c>
      <c r="B5691" s="799" t="s">
        <v>6857</v>
      </c>
      <c r="C5691" s="798" t="s">
        <v>32</v>
      </c>
      <c r="D5691" s="800">
        <v>241.12</v>
      </c>
    </row>
    <row r="5692" spans="1:4" ht="27">
      <c r="A5692" s="798">
        <v>97112</v>
      </c>
      <c r="B5692" s="799" t="s">
        <v>6858</v>
      </c>
      <c r="C5692" s="798" t="s">
        <v>32</v>
      </c>
      <c r="D5692" s="800">
        <v>260.45999999999998</v>
      </c>
    </row>
    <row r="5693" spans="1:4" ht="27">
      <c r="A5693" s="798">
        <v>97113</v>
      </c>
      <c r="B5693" s="799" t="s">
        <v>6859</v>
      </c>
      <c r="C5693" s="798" t="s">
        <v>32</v>
      </c>
      <c r="D5693" s="800">
        <v>1.61</v>
      </c>
    </row>
    <row r="5694" spans="1:4" ht="27">
      <c r="A5694" s="798">
        <v>97114</v>
      </c>
      <c r="B5694" s="799" t="s">
        <v>3111</v>
      </c>
      <c r="C5694" s="798" t="s">
        <v>14</v>
      </c>
      <c r="D5694" s="800">
        <v>0.32</v>
      </c>
    </row>
    <row r="5695" spans="1:4" ht="27">
      <c r="A5695" s="798">
        <v>97115</v>
      </c>
      <c r="B5695" s="799" t="s">
        <v>3112</v>
      </c>
      <c r="C5695" s="798" t="s">
        <v>16</v>
      </c>
      <c r="D5695" s="800">
        <v>44.92</v>
      </c>
    </row>
    <row r="5696" spans="1:4" ht="40.5">
      <c r="A5696" s="798">
        <v>97116</v>
      </c>
      <c r="B5696" s="799" t="s">
        <v>6860</v>
      </c>
      <c r="C5696" s="798" t="s">
        <v>16</v>
      </c>
      <c r="D5696" s="800">
        <v>20.09</v>
      </c>
    </row>
    <row r="5697" spans="1:4" ht="40.5">
      <c r="A5697" s="798">
        <v>97117</v>
      </c>
      <c r="B5697" s="799" t="s">
        <v>6861</v>
      </c>
      <c r="C5697" s="798" t="s">
        <v>16</v>
      </c>
      <c r="D5697" s="800">
        <v>19.84</v>
      </c>
    </row>
    <row r="5698" spans="1:4" ht="40.5">
      <c r="A5698" s="798">
        <v>97118</v>
      </c>
      <c r="B5698" s="799" t="s">
        <v>6862</v>
      </c>
      <c r="C5698" s="798" t="s">
        <v>16</v>
      </c>
      <c r="D5698" s="800">
        <v>17.66</v>
      </c>
    </row>
    <row r="5699" spans="1:4" ht="40.5">
      <c r="A5699" s="798">
        <v>97119</v>
      </c>
      <c r="B5699" s="799" t="s">
        <v>6863</v>
      </c>
      <c r="C5699" s="798" t="s">
        <v>16</v>
      </c>
      <c r="D5699" s="800">
        <v>17.079999999999998</v>
      </c>
    </row>
    <row r="5700" spans="1:4" ht="40.5">
      <c r="A5700" s="798">
        <v>97120</v>
      </c>
      <c r="B5700" s="799" t="s">
        <v>3113</v>
      </c>
      <c r="C5700" s="798" t="s">
        <v>16</v>
      </c>
      <c r="D5700" s="800">
        <v>12.37</v>
      </c>
    </row>
    <row r="5701" spans="1:4" ht="27">
      <c r="A5701" s="798">
        <v>97802</v>
      </c>
      <c r="B5701" s="799" t="s">
        <v>4529</v>
      </c>
      <c r="C5701" s="798" t="s">
        <v>32</v>
      </c>
      <c r="D5701" s="800">
        <v>6.85</v>
      </c>
    </row>
    <row r="5702" spans="1:4" ht="40.5">
      <c r="A5702" s="798">
        <v>97803</v>
      </c>
      <c r="B5702" s="799" t="s">
        <v>4530</v>
      </c>
      <c r="C5702" s="798" t="s">
        <v>32</v>
      </c>
      <c r="D5702" s="800">
        <v>10.36</v>
      </c>
    </row>
    <row r="5703" spans="1:4" ht="27">
      <c r="A5703" s="798">
        <v>97805</v>
      </c>
      <c r="B5703" s="799" t="s">
        <v>4531</v>
      </c>
      <c r="C5703" s="798" t="s">
        <v>32</v>
      </c>
      <c r="D5703" s="800">
        <v>17.22</v>
      </c>
    </row>
    <row r="5704" spans="1:4" ht="40.5">
      <c r="A5704" s="798">
        <v>97806</v>
      </c>
      <c r="B5704" s="799" t="s">
        <v>4532</v>
      </c>
      <c r="C5704" s="798" t="s">
        <v>32</v>
      </c>
      <c r="D5704" s="800">
        <v>20.7</v>
      </c>
    </row>
    <row r="5705" spans="1:4" ht="27">
      <c r="A5705" s="798">
        <v>97807</v>
      </c>
      <c r="B5705" s="799" t="s">
        <v>4533</v>
      </c>
      <c r="C5705" s="798" t="s">
        <v>32</v>
      </c>
      <c r="D5705" s="800">
        <v>23.57</v>
      </c>
    </row>
    <row r="5706" spans="1:4" ht="27">
      <c r="A5706" s="798">
        <v>97809</v>
      </c>
      <c r="B5706" s="799" t="s">
        <v>4534</v>
      </c>
      <c r="C5706" s="798" t="s">
        <v>32</v>
      </c>
      <c r="D5706" s="800">
        <v>19.190000000000001</v>
      </c>
    </row>
    <row r="5707" spans="1:4" ht="40.5">
      <c r="A5707" s="798">
        <v>97810</v>
      </c>
      <c r="B5707" s="799" t="s">
        <v>4535</v>
      </c>
      <c r="C5707" s="798" t="s">
        <v>32</v>
      </c>
      <c r="D5707" s="800">
        <v>20.8</v>
      </c>
    </row>
    <row r="5708" spans="1:4" ht="27">
      <c r="A5708" s="798">
        <v>97811</v>
      </c>
      <c r="B5708" s="799" t="s">
        <v>4536</v>
      </c>
      <c r="C5708" s="798" t="s">
        <v>32</v>
      </c>
      <c r="D5708" s="800">
        <v>23.74</v>
      </c>
    </row>
    <row r="5709" spans="1:4" ht="27">
      <c r="A5709" s="798">
        <v>101167</v>
      </c>
      <c r="B5709" s="799" t="s">
        <v>5002</v>
      </c>
      <c r="C5709" s="798" t="s">
        <v>32</v>
      </c>
      <c r="D5709" s="800">
        <v>164.39</v>
      </c>
    </row>
    <row r="5710" spans="1:4" ht="40.5">
      <c r="A5710" s="798">
        <v>101168</v>
      </c>
      <c r="B5710" s="799" t="s">
        <v>5003</v>
      </c>
      <c r="C5710" s="798" t="s">
        <v>32</v>
      </c>
      <c r="D5710" s="800">
        <v>215.1</v>
      </c>
    </row>
    <row r="5711" spans="1:4" ht="40.5">
      <c r="A5711" s="798">
        <v>101169</v>
      </c>
      <c r="B5711" s="799" t="s">
        <v>5004</v>
      </c>
      <c r="C5711" s="798" t="s">
        <v>32</v>
      </c>
      <c r="D5711" s="800">
        <v>176.24</v>
      </c>
    </row>
    <row r="5712" spans="1:4" ht="27">
      <c r="A5712" s="798">
        <v>101170</v>
      </c>
      <c r="B5712" s="799" t="s">
        <v>5005</v>
      </c>
      <c r="C5712" s="798" t="s">
        <v>32</v>
      </c>
      <c r="D5712" s="800">
        <v>33.76</v>
      </c>
    </row>
    <row r="5713" spans="1:4" ht="40.5">
      <c r="A5713" s="798">
        <v>101171</v>
      </c>
      <c r="B5713" s="799" t="s">
        <v>5444</v>
      </c>
      <c r="C5713" s="798" t="s">
        <v>32</v>
      </c>
      <c r="D5713" s="800">
        <v>96.47</v>
      </c>
    </row>
    <row r="5714" spans="1:4" ht="40.5">
      <c r="A5714" s="798">
        <v>101172</v>
      </c>
      <c r="B5714" s="799" t="s">
        <v>5006</v>
      </c>
      <c r="C5714" s="798" t="s">
        <v>32</v>
      </c>
      <c r="D5714" s="800">
        <v>55.23</v>
      </c>
    </row>
    <row r="5715" spans="1:4" ht="40.5">
      <c r="A5715" s="798">
        <v>95995</v>
      </c>
      <c r="B5715" s="799" t="s">
        <v>4537</v>
      </c>
      <c r="C5715" s="798" t="s">
        <v>22</v>
      </c>
      <c r="D5715" s="800">
        <v>1335.07</v>
      </c>
    </row>
    <row r="5716" spans="1:4" ht="40.5">
      <c r="A5716" s="798">
        <v>95996</v>
      </c>
      <c r="B5716" s="799" t="s">
        <v>4538</v>
      </c>
      <c r="C5716" s="798" t="s">
        <v>22</v>
      </c>
      <c r="D5716" s="800">
        <v>1155.8399999999999</v>
      </c>
    </row>
    <row r="5717" spans="1:4" ht="27">
      <c r="A5717" s="798">
        <v>96001</v>
      </c>
      <c r="B5717" s="799" t="s">
        <v>4539</v>
      </c>
      <c r="C5717" s="798" t="s">
        <v>32</v>
      </c>
      <c r="D5717" s="800">
        <v>6.68</v>
      </c>
    </row>
    <row r="5718" spans="1:4" ht="13.5">
      <c r="A5718" s="798">
        <v>96393</v>
      </c>
      <c r="B5718" s="799" t="s">
        <v>4878</v>
      </c>
      <c r="C5718" s="798" t="s">
        <v>22</v>
      </c>
      <c r="D5718" s="800">
        <v>133.86000000000001</v>
      </c>
    </row>
    <row r="5719" spans="1:4" ht="27">
      <c r="A5719" s="798">
        <v>96394</v>
      </c>
      <c r="B5719" s="799" t="s">
        <v>4879</v>
      </c>
      <c r="C5719" s="798" t="s">
        <v>22</v>
      </c>
      <c r="D5719" s="800">
        <v>194.46</v>
      </c>
    </row>
    <row r="5720" spans="1:4" ht="27">
      <c r="A5720" s="798">
        <v>96395</v>
      </c>
      <c r="B5720" s="799" t="s">
        <v>4880</v>
      </c>
      <c r="C5720" s="798" t="s">
        <v>22</v>
      </c>
      <c r="D5720" s="800">
        <v>277.70999999999998</v>
      </c>
    </row>
    <row r="5721" spans="1:4" ht="40.5">
      <c r="A5721" s="798">
        <v>100624</v>
      </c>
      <c r="B5721" s="799" t="s">
        <v>5033</v>
      </c>
      <c r="C5721" s="798" t="s">
        <v>22</v>
      </c>
      <c r="D5721" s="800">
        <v>700.15</v>
      </c>
    </row>
    <row r="5722" spans="1:4" ht="40.5">
      <c r="A5722" s="798">
        <v>100625</v>
      </c>
      <c r="B5722" s="799" t="s">
        <v>5034</v>
      </c>
      <c r="C5722" s="798" t="s">
        <v>22</v>
      </c>
      <c r="D5722" s="800">
        <v>661.18</v>
      </c>
    </row>
    <row r="5723" spans="1:4" ht="40.5">
      <c r="A5723" s="798">
        <v>101020</v>
      </c>
      <c r="B5723" s="799" t="s">
        <v>4881</v>
      </c>
      <c r="C5723" s="798" t="s">
        <v>40</v>
      </c>
      <c r="D5723" s="800">
        <v>472.39</v>
      </c>
    </row>
    <row r="5724" spans="1:4" ht="40.5">
      <c r="A5724" s="798">
        <v>101021</v>
      </c>
      <c r="B5724" s="799" t="s">
        <v>4882</v>
      </c>
      <c r="C5724" s="798" t="s">
        <v>40</v>
      </c>
      <c r="D5724" s="800">
        <v>510.7</v>
      </c>
    </row>
    <row r="5725" spans="1:4" ht="40.5">
      <c r="A5725" s="798">
        <v>101022</v>
      </c>
      <c r="B5725" s="799" t="s">
        <v>4883</v>
      </c>
      <c r="C5725" s="798" t="s">
        <v>40</v>
      </c>
      <c r="D5725" s="800">
        <v>413.14</v>
      </c>
    </row>
    <row r="5726" spans="1:4" ht="40.5">
      <c r="A5726" s="798">
        <v>101023</v>
      </c>
      <c r="B5726" s="799" t="s">
        <v>4884</v>
      </c>
      <c r="C5726" s="798" t="s">
        <v>40</v>
      </c>
      <c r="D5726" s="800">
        <v>451.46</v>
      </c>
    </row>
    <row r="5727" spans="1:4" ht="40.5">
      <c r="A5727" s="798">
        <v>101024</v>
      </c>
      <c r="B5727" s="799" t="s">
        <v>4885</v>
      </c>
      <c r="C5727" s="798" t="s">
        <v>40</v>
      </c>
      <c r="D5727" s="800">
        <v>419.2</v>
      </c>
    </row>
    <row r="5728" spans="1:4" ht="40.5">
      <c r="A5728" s="798">
        <v>101025</v>
      </c>
      <c r="B5728" s="799" t="s">
        <v>4886</v>
      </c>
      <c r="C5728" s="798" t="s">
        <v>40</v>
      </c>
      <c r="D5728" s="800">
        <v>457.51</v>
      </c>
    </row>
    <row r="5729" spans="1:4" ht="27">
      <c r="A5729" s="798">
        <v>101026</v>
      </c>
      <c r="B5729" s="799" t="s">
        <v>4887</v>
      </c>
      <c r="C5729" s="798" t="s">
        <v>40</v>
      </c>
      <c r="D5729" s="800">
        <v>252.57</v>
      </c>
    </row>
    <row r="5730" spans="1:4" ht="27">
      <c r="A5730" s="798">
        <v>101027</v>
      </c>
      <c r="B5730" s="799" t="s">
        <v>4888</v>
      </c>
      <c r="C5730" s="798" t="s">
        <v>40</v>
      </c>
      <c r="D5730" s="800">
        <v>261.88</v>
      </c>
    </row>
    <row r="5731" spans="1:4" ht="40.5">
      <c r="A5731" s="798">
        <v>88411</v>
      </c>
      <c r="B5731" s="799" t="s">
        <v>1009</v>
      </c>
      <c r="C5731" s="798" t="s">
        <v>32</v>
      </c>
      <c r="D5731" s="800">
        <v>1.82</v>
      </c>
    </row>
    <row r="5732" spans="1:4" ht="40.5">
      <c r="A5732" s="798">
        <v>88412</v>
      </c>
      <c r="B5732" s="799" t="s">
        <v>1010</v>
      </c>
      <c r="C5732" s="798" t="s">
        <v>32</v>
      </c>
      <c r="D5732" s="800">
        <v>1.29</v>
      </c>
    </row>
    <row r="5733" spans="1:4" ht="40.5">
      <c r="A5733" s="798">
        <v>88413</v>
      </c>
      <c r="B5733" s="799" t="s">
        <v>169</v>
      </c>
      <c r="C5733" s="798" t="s">
        <v>32</v>
      </c>
      <c r="D5733" s="800">
        <v>2.88</v>
      </c>
    </row>
    <row r="5734" spans="1:4" ht="40.5">
      <c r="A5734" s="798">
        <v>88414</v>
      </c>
      <c r="B5734" s="799" t="s">
        <v>170</v>
      </c>
      <c r="C5734" s="798" t="s">
        <v>32</v>
      </c>
      <c r="D5734" s="800">
        <v>3.22</v>
      </c>
    </row>
    <row r="5735" spans="1:4" ht="27">
      <c r="A5735" s="798">
        <v>88415</v>
      </c>
      <c r="B5735" s="799" t="s">
        <v>1011</v>
      </c>
      <c r="C5735" s="798" t="s">
        <v>32</v>
      </c>
      <c r="D5735" s="800">
        <v>1.99</v>
      </c>
    </row>
    <row r="5736" spans="1:4" ht="40.5">
      <c r="A5736" s="798">
        <v>88416</v>
      </c>
      <c r="B5736" s="799" t="s">
        <v>1012</v>
      </c>
      <c r="C5736" s="798" t="s">
        <v>32</v>
      </c>
      <c r="D5736" s="800">
        <v>13.92</v>
      </c>
    </row>
    <row r="5737" spans="1:4" ht="54">
      <c r="A5737" s="798">
        <v>88417</v>
      </c>
      <c r="B5737" s="799" t="s">
        <v>1013</v>
      </c>
      <c r="C5737" s="798" t="s">
        <v>32</v>
      </c>
      <c r="D5737" s="800">
        <v>12.04</v>
      </c>
    </row>
    <row r="5738" spans="1:4" ht="54">
      <c r="A5738" s="798">
        <v>88420</v>
      </c>
      <c r="B5738" s="799" t="s">
        <v>1014</v>
      </c>
      <c r="C5738" s="798" t="s">
        <v>32</v>
      </c>
      <c r="D5738" s="800">
        <v>17.72</v>
      </c>
    </row>
    <row r="5739" spans="1:4" ht="54">
      <c r="A5739" s="798">
        <v>88421</v>
      </c>
      <c r="B5739" s="799" t="s">
        <v>1015</v>
      </c>
      <c r="C5739" s="798" t="s">
        <v>32</v>
      </c>
      <c r="D5739" s="800">
        <v>18.91</v>
      </c>
    </row>
    <row r="5740" spans="1:4" ht="40.5">
      <c r="A5740" s="798">
        <v>88423</v>
      </c>
      <c r="B5740" s="799" t="s">
        <v>174</v>
      </c>
      <c r="C5740" s="798" t="s">
        <v>32</v>
      </c>
      <c r="D5740" s="800">
        <v>14.5</v>
      </c>
    </row>
    <row r="5741" spans="1:4" ht="40.5">
      <c r="A5741" s="798">
        <v>88424</v>
      </c>
      <c r="B5741" s="799" t="s">
        <v>1016</v>
      </c>
      <c r="C5741" s="798" t="s">
        <v>32</v>
      </c>
      <c r="D5741" s="800">
        <v>16.5</v>
      </c>
    </row>
    <row r="5742" spans="1:4" ht="54">
      <c r="A5742" s="798">
        <v>88426</v>
      </c>
      <c r="B5742" s="799" t="s">
        <v>1017</v>
      </c>
      <c r="C5742" s="798" t="s">
        <v>32</v>
      </c>
      <c r="D5742" s="800">
        <v>13.25</v>
      </c>
    </row>
    <row r="5743" spans="1:4" ht="54">
      <c r="A5743" s="798">
        <v>88428</v>
      </c>
      <c r="B5743" s="799" t="s">
        <v>1019</v>
      </c>
      <c r="C5743" s="798" t="s">
        <v>32</v>
      </c>
      <c r="D5743" s="800">
        <v>23.03</v>
      </c>
    </row>
    <row r="5744" spans="1:4" ht="54">
      <c r="A5744" s="798">
        <v>88429</v>
      </c>
      <c r="B5744" s="799" t="s">
        <v>1020</v>
      </c>
      <c r="C5744" s="798" t="s">
        <v>32</v>
      </c>
      <c r="D5744" s="800">
        <v>25.12</v>
      </c>
    </row>
    <row r="5745" spans="1:4" ht="40.5">
      <c r="A5745" s="798">
        <v>88431</v>
      </c>
      <c r="B5745" s="799" t="s">
        <v>177</v>
      </c>
      <c r="C5745" s="798" t="s">
        <v>32</v>
      </c>
      <c r="D5745" s="800">
        <v>17.53</v>
      </c>
    </row>
    <row r="5746" spans="1:4" ht="40.5">
      <c r="A5746" s="798">
        <v>88432</v>
      </c>
      <c r="B5746" s="799" t="s">
        <v>178</v>
      </c>
      <c r="C5746" s="798" t="s">
        <v>32</v>
      </c>
      <c r="D5746" s="800">
        <v>13.02</v>
      </c>
    </row>
    <row r="5747" spans="1:4" ht="27">
      <c r="A5747" s="798">
        <v>88484</v>
      </c>
      <c r="B5747" s="799" t="s">
        <v>180</v>
      </c>
      <c r="C5747" s="798" t="s">
        <v>32</v>
      </c>
      <c r="D5747" s="800">
        <v>2</v>
      </c>
    </row>
    <row r="5748" spans="1:4" ht="27">
      <c r="A5748" s="798">
        <v>88485</v>
      </c>
      <c r="B5748" s="799" t="s">
        <v>26</v>
      </c>
      <c r="C5748" s="798" t="s">
        <v>32</v>
      </c>
      <c r="D5748" s="800">
        <v>1.69</v>
      </c>
    </row>
    <row r="5749" spans="1:4" ht="27">
      <c r="A5749" s="798">
        <v>88488</v>
      </c>
      <c r="B5749" s="799" t="s">
        <v>1027</v>
      </c>
      <c r="C5749" s="798" t="s">
        <v>32</v>
      </c>
      <c r="D5749" s="800">
        <v>13.59</v>
      </c>
    </row>
    <row r="5750" spans="1:4" ht="27">
      <c r="A5750" s="798">
        <v>88489</v>
      </c>
      <c r="B5750" s="799" t="s">
        <v>23</v>
      </c>
      <c r="C5750" s="798" t="s">
        <v>32</v>
      </c>
      <c r="D5750" s="800">
        <v>12.15</v>
      </c>
    </row>
    <row r="5751" spans="1:4" ht="27">
      <c r="A5751" s="798">
        <v>88494</v>
      </c>
      <c r="B5751" s="799" t="s">
        <v>181</v>
      </c>
      <c r="C5751" s="798" t="s">
        <v>32</v>
      </c>
      <c r="D5751" s="800">
        <v>16.37</v>
      </c>
    </row>
    <row r="5752" spans="1:4" ht="27">
      <c r="A5752" s="798">
        <v>88495</v>
      </c>
      <c r="B5752" s="799" t="s">
        <v>182</v>
      </c>
      <c r="C5752" s="798" t="s">
        <v>32</v>
      </c>
      <c r="D5752" s="800">
        <v>9.49</v>
      </c>
    </row>
    <row r="5753" spans="1:4" ht="27">
      <c r="A5753" s="798">
        <v>88496</v>
      </c>
      <c r="B5753" s="799" t="s">
        <v>183</v>
      </c>
      <c r="C5753" s="798" t="s">
        <v>32</v>
      </c>
      <c r="D5753" s="800">
        <v>22.41</v>
      </c>
    </row>
    <row r="5754" spans="1:4" ht="27">
      <c r="A5754" s="798">
        <v>88497</v>
      </c>
      <c r="B5754" s="799" t="s">
        <v>1028</v>
      </c>
      <c r="C5754" s="798" t="s">
        <v>32</v>
      </c>
      <c r="D5754" s="800">
        <v>13.22</v>
      </c>
    </row>
    <row r="5755" spans="1:4" ht="27">
      <c r="A5755" s="798">
        <v>95305</v>
      </c>
      <c r="B5755" s="799" t="s">
        <v>524</v>
      </c>
      <c r="C5755" s="798" t="s">
        <v>32</v>
      </c>
      <c r="D5755" s="800">
        <v>10.86</v>
      </c>
    </row>
    <row r="5756" spans="1:4" ht="27">
      <c r="A5756" s="798">
        <v>95306</v>
      </c>
      <c r="B5756" s="799" t="s">
        <v>525</v>
      </c>
      <c r="C5756" s="798" t="s">
        <v>32</v>
      </c>
      <c r="D5756" s="800">
        <v>12.69</v>
      </c>
    </row>
    <row r="5757" spans="1:4" ht="40.5">
      <c r="A5757" s="798">
        <v>95622</v>
      </c>
      <c r="B5757" s="799" t="s">
        <v>526</v>
      </c>
      <c r="C5757" s="798" t="s">
        <v>32</v>
      </c>
      <c r="D5757" s="800">
        <v>11.8</v>
      </c>
    </row>
    <row r="5758" spans="1:4" ht="40.5">
      <c r="A5758" s="798">
        <v>95623</v>
      </c>
      <c r="B5758" s="799" t="s">
        <v>527</v>
      </c>
      <c r="C5758" s="798" t="s">
        <v>32</v>
      </c>
      <c r="D5758" s="800">
        <v>9.23</v>
      </c>
    </row>
    <row r="5759" spans="1:4" ht="40.5">
      <c r="A5759" s="798">
        <v>95624</v>
      </c>
      <c r="B5759" s="799" t="s">
        <v>2626</v>
      </c>
      <c r="C5759" s="798" t="s">
        <v>32</v>
      </c>
      <c r="D5759" s="800">
        <v>17.02</v>
      </c>
    </row>
    <row r="5760" spans="1:4" ht="40.5">
      <c r="A5760" s="798">
        <v>95625</v>
      </c>
      <c r="B5760" s="799" t="s">
        <v>2627</v>
      </c>
      <c r="C5760" s="798" t="s">
        <v>32</v>
      </c>
      <c r="D5760" s="800">
        <v>18.670000000000002</v>
      </c>
    </row>
    <row r="5761" spans="1:4" ht="27">
      <c r="A5761" s="798">
        <v>95626</v>
      </c>
      <c r="B5761" s="799" t="s">
        <v>528</v>
      </c>
      <c r="C5761" s="798" t="s">
        <v>32</v>
      </c>
      <c r="D5761" s="800">
        <v>12.63</v>
      </c>
    </row>
    <row r="5762" spans="1:4" ht="40.5">
      <c r="A5762" s="798">
        <v>96126</v>
      </c>
      <c r="B5762" s="799" t="s">
        <v>2765</v>
      </c>
      <c r="C5762" s="798" t="s">
        <v>32</v>
      </c>
      <c r="D5762" s="800">
        <v>15.46</v>
      </c>
    </row>
    <row r="5763" spans="1:4" ht="40.5">
      <c r="A5763" s="798">
        <v>96127</v>
      </c>
      <c r="B5763" s="799" t="s">
        <v>2766</v>
      </c>
      <c r="C5763" s="798" t="s">
        <v>32</v>
      </c>
      <c r="D5763" s="800">
        <v>12.25</v>
      </c>
    </row>
    <row r="5764" spans="1:4" ht="40.5">
      <c r="A5764" s="798">
        <v>96128</v>
      </c>
      <c r="B5764" s="799" t="s">
        <v>2767</v>
      </c>
      <c r="C5764" s="798" t="s">
        <v>32</v>
      </c>
      <c r="D5764" s="800">
        <v>21.96</v>
      </c>
    </row>
    <row r="5765" spans="1:4" ht="40.5">
      <c r="A5765" s="798">
        <v>96129</v>
      </c>
      <c r="B5765" s="799" t="s">
        <v>2768</v>
      </c>
      <c r="C5765" s="798" t="s">
        <v>32</v>
      </c>
      <c r="D5765" s="800">
        <v>24.02</v>
      </c>
    </row>
    <row r="5766" spans="1:4" ht="27">
      <c r="A5766" s="798">
        <v>96130</v>
      </c>
      <c r="B5766" s="799" t="s">
        <v>2769</v>
      </c>
      <c r="C5766" s="798" t="s">
        <v>32</v>
      </c>
      <c r="D5766" s="800">
        <v>16.47</v>
      </c>
    </row>
    <row r="5767" spans="1:4" ht="40.5">
      <c r="A5767" s="798">
        <v>96131</v>
      </c>
      <c r="B5767" s="799" t="s">
        <v>2770</v>
      </c>
      <c r="C5767" s="798" t="s">
        <v>32</v>
      </c>
      <c r="D5767" s="800">
        <v>21.58</v>
      </c>
    </row>
    <row r="5768" spans="1:4" ht="40.5">
      <c r="A5768" s="798">
        <v>96132</v>
      </c>
      <c r="B5768" s="799" t="s">
        <v>2771</v>
      </c>
      <c r="C5768" s="798" t="s">
        <v>32</v>
      </c>
      <c r="D5768" s="800">
        <v>17.3</v>
      </c>
    </row>
    <row r="5769" spans="1:4" ht="40.5">
      <c r="A5769" s="798">
        <v>96133</v>
      </c>
      <c r="B5769" s="799" t="s">
        <v>2772</v>
      </c>
      <c r="C5769" s="798" t="s">
        <v>32</v>
      </c>
      <c r="D5769" s="800">
        <v>30.22</v>
      </c>
    </row>
    <row r="5770" spans="1:4" ht="40.5">
      <c r="A5770" s="798">
        <v>96134</v>
      </c>
      <c r="B5770" s="799" t="s">
        <v>2773</v>
      </c>
      <c r="C5770" s="798" t="s">
        <v>32</v>
      </c>
      <c r="D5770" s="800">
        <v>32.97</v>
      </c>
    </row>
    <row r="5771" spans="1:4" ht="27">
      <c r="A5771" s="798">
        <v>96135</v>
      </c>
      <c r="B5771" s="799" t="s">
        <v>2774</v>
      </c>
      <c r="C5771" s="798" t="s">
        <v>32</v>
      </c>
      <c r="D5771" s="800">
        <v>22.94</v>
      </c>
    </row>
    <row r="5772" spans="1:4" ht="27">
      <c r="A5772" s="798">
        <v>102193</v>
      </c>
      <c r="B5772" s="799" t="s">
        <v>6864</v>
      </c>
      <c r="C5772" s="798" t="s">
        <v>32</v>
      </c>
      <c r="D5772" s="800">
        <v>1.51</v>
      </c>
    </row>
    <row r="5773" spans="1:4" ht="13.5">
      <c r="A5773" s="798">
        <v>102194</v>
      </c>
      <c r="B5773" s="799" t="s">
        <v>6865</v>
      </c>
      <c r="C5773" s="798" t="s">
        <v>32</v>
      </c>
      <c r="D5773" s="800">
        <v>5.75</v>
      </c>
    </row>
    <row r="5774" spans="1:4" ht="27">
      <c r="A5774" s="798">
        <v>102197</v>
      </c>
      <c r="B5774" s="799" t="s">
        <v>6866</v>
      </c>
      <c r="C5774" s="798" t="s">
        <v>32</v>
      </c>
      <c r="D5774" s="800">
        <v>22.66</v>
      </c>
    </row>
    <row r="5775" spans="1:4" ht="27">
      <c r="A5775" s="798">
        <v>102200</v>
      </c>
      <c r="B5775" s="799" t="s">
        <v>6867</v>
      </c>
      <c r="C5775" s="798" t="s">
        <v>32</v>
      </c>
      <c r="D5775" s="800">
        <v>16.79</v>
      </c>
    </row>
    <row r="5776" spans="1:4" ht="27">
      <c r="A5776" s="798">
        <v>102201</v>
      </c>
      <c r="B5776" s="799" t="s">
        <v>8379</v>
      </c>
      <c r="C5776" s="798" t="s">
        <v>32</v>
      </c>
      <c r="D5776" s="800">
        <v>14.61</v>
      </c>
    </row>
    <row r="5777" spans="1:4" ht="27">
      <c r="A5777" s="798">
        <v>102202</v>
      </c>
      <c r="B5777" s="799" t="s">
        <v>6868</v>
      </c>
      <c r="C5777" s="798" t="s">
        <v>32</v>
      </c>
      <c r="D5777" s="800">
        <v>44.71</v>
      </c>
    </row>
    <row r="5778" spans="1:4" ht="27">
      <c r="A5778" s="798">
        <v>102203</v>
      </c>
      <c r="B5778" s="799" t="s">
        <v>6869</v>
      </c>
      <c r="C5778" s="798" t="s">
        <v>32</v>
      </c>
      <c r="D5778" s="800">
        <v>7.12</v>
      </c>
    </row>
    <row r="5779" spans="1:4" ht="27">
      <c r="A5779" s="798">
        <v>102204</v>
      </c>
      <c r="B5779" s="799" t="s">
        <v>6870</v>
      </c>
      <c r="C5779" s="798" t="s">
        <v>32</v>
      </c>
      <c r="D5779" s="800">
        <v>7.35</v>
      </c>
    </row>
    <row r="5780" spans="1:4" ht="27">
      <c r="A5780" s="798">
        <v>102205</v>
      </c>
      <c r="B5780" s="799" t="s">
        <v>6871</v>
      </c>
      <c r="C5780" s="798" t="s">
        <v>32</v>
      </c>
      <c r="D5780" s="800">
        <v>6.64</v>
      </c>
    </row>
    <row r="5781" spans="1:4" ht="27">
      <c r="A5781" s="798">
        <v>102207</v>
      </c>
      <c r="B5781" s="799" t="s">
        <v>6872</v>
      </c>
      <c r="C5781" s="798" t="s">
        <v>32</v>
      </c>
      <c r="D5781" s="800">
        <v>6.08</v>
      </c>
    </row>
    <row r="5782" spans="1:4" ht="27">
      <c r="A5782" s="798">
        <v>102208</v>
      </c>
      <c r="B5782" s="799" t="s">
        <v>6873</v>
      </c>
      <c r="C5782" s="798" t="s">
        <v>32</v>
      </c>
      <c r="D5782" s="800">
        <v>5.8</v>
      </c>
    </row>
    <row r="5783" spans="1:4" ht="27">
      <c r="A5783" s="798">
        <v>102209</v>
      </c>
      <c r="B5783" s="799" t="s">
        <v>6874</v>
      </c>
      <c r="C5783" s="798" t="s">
        <v>32</v>
      </c>
      <c r="D5783" s="800">
        <v>5.99</v>
      </c>
    </row>
    <row r="5784" spans="1:4" ht="27">
      <c r="A5784" s="798">
        <v>102210</v>
      </c>
      <c r="B5784" s="799" t="s">
        <v>6875</v>
      </c>
      <c r="C5784" s="798" t="s">
        <v>32</v>
      </c>
      <c r="D5784" s="800">
        <v>5.69</v>
      </c>
    </row>
    <row r="5785" spans="1:4" ht="27">
      <c r="A5785" s="798">
        <v>102213</v>
      </c>
      <c r="B5785" s="799" t="s">
        <v>6876</v>
      </c>
      <c r="C5785" s="798" t="s">
        <v>32</v>
      </c>
      <c r="D5785" s="800">
        <v>14.26</v>
      </c>
    </row>
    <row r="5786" spans="1:4" ht="27">
      <c r="A5786" s="798">
        <v>102214</v>
      </c>
      <c r="B5786" s="799" t="s">
        <v>6877</v>
      </c>
      <c r="C5786" s="798" t="s">
        <v>32</v>
      </c>
      <c r="D5786" s="800">
        <v>14.7</v>
      </c>
    </row>
    <row r="5787" spans="1:4" ht="40.5">
      <c r="A5787" s="798">
        <v>102215</v>
      </c>
      <c r="B5787" s="799" t="s">
        <v>6878</v>
      </c>
      <c r="C5787" s="798" t="s">
        <v>32</v>
      </c>
      <c r="D5787" s="800">
        <v>13.29</v>
      </c>
    </row>
    <row r="5788" spans="1:4" ht="27">
      <c r="A5788" s="798">
        <v>102217</v>
      </c>
      <c r="B5788" s="799" t="s">
        <v>6879</v>
      </c>
      <c r="C5788" s="798" t="s">
        <v>32</v>
      </c>
      <c r="D5788" s="800">
        <v>12.18</v>
      </c>
    </row>
    <row r="5789" spans="1:4" ht="27">
      <c r="A5789" s="798">
        <v>102218</v>
      </c>
      <c r="B5789" s="799" t="s">
        <v>6880</v>
      </c>
      <c r="C5789" s="798" t="s">
        <v>32</v>
      </c>
      <c r="D5789" s="800">
        <v>11.6</v>
      </c>
    </row>
    <row r="5790" spans="1:4" ht="27">
      <c r="A5790" s="798">
        <v>102219</v>
      </c>
      <c r="B5790" s="799" t="s">
        <v>6881</v>
      </c>
      <c r="C5790" s="798" t="s">
        <v>32</v>
      </c>
      <c r="D5790" s="800">
        <v>11.99</v>
      </c>
    </row>
    <row r="5791" spans="1:4" ht="27">
      <c r="A5791" s="798">
        <v>102220</v>
      </c>
      <c r="B5791" s="799" t="s">
        <v>6882</v>
      </c>
      <c r="C5791" s="798" t="s">
        <v>32</v>
      </c>
      <c r="D5791" s="800">
        <v>11.4</v>
      </c>
    </row>
    <row r="5792" spans="1:4" ht="27">
      <c r="A5792" s="798">
        <v>102223</v>
      </c>
      <c r="B5792" s="799" t="s">
        <v>6883</v>
      </c>
      <c r="C5792" s="798" t="s">
        <v>32</v>
      </c>
      <c r="D5792" s="800">
        <v>21.39</v>
      </c>
    </row>
    <row r="5793" spans="1:4" ht="27">
      <c r="A5793" s="798">
        <v>102224</v>
      </c>
      <c r="B5793" s="799" t="s">
        <v>6884</v>
      </c>
      <c r="C5793" s="798" t="s">
        <v>32</v>
      </c>
      <c r="D5793" s="800">
        <v>22.05</v>
      </c>
    </row>
    <row r="5794" spans="1:4" ht="40.5">
      <c r="A5794" s="798">
        <v>102225</v>
      </c>
      <c r="B5794" s="799" t="s">
        <v>6885</v>
      </c>
      <c r="C5794" s="798" t="s">
        <v>32</v>
      </c>
      <c r="D5794" s="800">
        <v>19.940000000000001</v>
      </c>
    </row>
    <row r="5795" spans="1:4" ht="27">
      <c r="A5795" s="798">
        <v>102227</v>
      </c>
      <c r="B5795" s="799" t="s">
        <v>6886</v>
      </c>
      <c r="C5795" s="798" t="s">
        <v>32</v>
      </c>
      <c r="D5795" s="800">
        <v>18.29</v>
      </c>
    </row>
    <row r="5796" spans="1:4" ht="27">
      <c r="A5796" s="798">
        <v>102228</v>
      </c>
      <c r="B5796" s="799" t="s">
        <v>6887</v>
      </c>
      <c r="C5796" s="798" t="s">
        <v>32</v>
      </c>
      <c r="D5796" s="800">
        <v>17.420000000000002</v>
      </c>
    </row>
    <row r="5797" spans="1:4" ht="27">
      <c r="A5797" s="798">
        <v>102229</v>
      </c>
      <c r="B5797" s="799" t="s">
        <v>6888</v>
      </c>
      <c r="C5797" s="798" t="s">
        <v>32</v>
      </c>
      <c r="D5797" s="800">
        <v>18</v>
      </c>
    </row>
    <row r="5798" spans="1:4" ht="27">
      <c r="A5798" s="798">
        <v>102230</v>
      </c>
      <c r="B5798" s="799" t="s">
        <v>6889</v>
      </c>
      <c r="C5798" s="798" t="s">
        <v>32</v>
      </c>
      <c r="D5798" s="800">
        <v>17.11</v>
      </c>
    </row>
    <row r="5799" spans="1:4" ht="13.5">
      <c r="A5799" s="798">
        <v>102233</v>
      </c>
      <c r="B5799" s="799" t="s">
        <v>6890</v>
      </c>
      <c r="C5799" s="798" t="s">
        <v>32</v>
      </c>
      <c r="D5799" s="800">
        <v>12.59</v>
      </c>
    </row>
    <row r="5800" spans="1:4" ht="13.5">
      <c r="A5800" s="798">
        <v>102234</v>
      </c>
      <c r="B5800" s="799" t="s">
        <v>6891</v>
      </c>
      <c r="C5800" s="798" t="s">
        <v>32</v>
      </c>
      <c r="D5800" s="800">
        <v>25.2</v>
      </c>
    </row>
    <row r="5801" spans="1:4" ht="27">
      <c r="A5801" s="798">
        <v>100716</v>
      </c>
      <c r="B5801" s="799" t="s">
        <v>4540</v>
      </c>
      <c r="C5801" s="798" t="s">
        <v>32</v>
      </c>
      <c r="D5801" s="800">
        <v>24.72</v>
      </c>
    </row>
    <row r="5802" spans="1:4" ht="27">
      <c r="A5802" s="798">
        <v>100717</v>
      </c>
      <c r="B5802" s="799" t="s">
        <v>4541</v>
      </c>
      <c r="C5802" s="798" t="s">
        <v>32</v>
      </c>
      <c r="D5802" s="800">
        <v>6.95</v>
      </c>
    </row>
    <row r="5803" spans="1:4" ht="13.5">
      <c r="A5803" s="798">
        <v>100718</v>
      </c>
      <c r="B5803" s="799" t="s">
        <v>4542</v>
      </c>
      <c r="C5803" s="798" t="s">
        <v>14</v>
      </c>
      <c r="D5803" s="800">
        <v>1</v>
      </c>
    </row>
    <row r="5804" spans="1:4" ht="40.5">
      <c r="A5804" s="798">
        <v>100719</v>
      </c>
      <c r="B5804" s="799" t="s">
        <v>6892</v>
      </c>
      <c r="C5804" s="798" t="s">
        <v>32</v>
      </c>
      <c r="D5804" s="800">
        <v>8.0500000000000007</v>
      </c>
    </row>
    <row r="5805" spans="1:4" ht="40.5">
      <c r="A5805" s="798">
        <v>100720</v>
      </c>
      <c r="B5805" s="799" t="s">
        <v>4543</v>
      </c>
      <c r="C5805" s="798" t="s">
        <v>32</v>
      </c>
      <c r="D5805" s="800">
        <v>7.75</v>
      </c>
    </row>
    <row r="5806" spans="1:4" ht="40.5">
      <c r="A5806" s="798">
        <v>100721</v>
      </c>
      <c r="B5806" s="799" t="s">
        <v>6893</v>
      </c>
      <c r="C5806" s="798" t="s">
        <v>32</v>
      </c>
      <c r="D5806" s="800">
        <v>17.86</v>
      </c>
    </row>
    <row r="5807" spans="1:4" ht="54">
      <c r="A5807" s="798">
        <v>100722</v>
      </c>
      <c r="B5807" s="799" t="s">
        <v>4544</v>
      </c>
      <c r="C5807" s="798" t="s">
        <v>32</v>
      </c>
      <c r="D5807" s="800">
        <v>17.11</v>
      </c>
    </row>
    <row r="5808" spans="1:4" ht="54">
      <c r="A5808" s="798">
        <v>100723</v>
      </c>
      <c r="B5808" s="799" t="s">
        <v>6894</v>
      </c>
      <c r="C5808" s="798" t="s">
        <v>32</v>
      </c>
      <c r="D5808" s="800">
        <v>8.66</v>
      </c>
    </row>
    <row r="5809" spans="1:4" ht="54">
      <c r="A5809" s="798">
        <v>100724</v>
      </c>
      <c r="B5809" s="799" t="s">
        <v>4545</v>
      </c>
      <c r="C5809" s="798" t="s">
        <v>32</v>
      </c>
      <c r="D5809" s="800">
        <v>10.199999999999999</v>
      </c>
    </row>
    <row r="5810" spans="1:4" ht="54">
      <c r="A5810" s="798">
        <v>100725</v>
      </c>
      <c r="B5810" s="799" t="s">
        <v>6895</v>
      </c>
      <c r="C5810" s="798" t="s">
        <v>32</v>
      </c>
      <c r="D5810" s="800">
        <v>18.059999999999999</v>
      </c>
    </row>
    <row r="5811" spans="1:4" ht="54">
      <c r="A5811" s="798">
        <v>100726</v>
      </c>
      <c r="B5811" s="799" t="s">
        <v>4546</v>
      </c>
      <c r="C5811" s="798" t="s">
        <v>32</v>
      </c>
      <c r="D5811" s="800">
        <v>19.47</v>
      </c>
    </row>
    <row r="5812" spans="1:4" ht="40.5">
      <c r="A5812" s="798">
        <v>100727</v>
      </c>
      <c r="B5812" s="799" t="s">
        <v>6896</v>
      </c>
      <c r="C5812" s="798" t="s">
        <v>32</v>
      </c>
      <c r="D5812" s="800">
        <v>20.05</v>
      </c>
    </row>
    <row r="5813" spans="1:4" ht="40.5">
      <c r="A5813" s="798">
        <v>100728</v>
      </c>
      <c r="B5813" s="799" t="s">
        <v>4547</v>
      </c>
      <c r="C5813" s="798" t="s">
        <v>32</v>
      </c>
      <c r="D5813" s="800">
        <v>17.72</v>
      </c>
    </row>
    <row r="5814" spans="1:4" ht="40.5">
      <c r="A5814" s="798">
        <v>100729</v>
      </c>
      <c r="B5814" s="799" t="s">
        <v>6897</v>
      </c>
      <c r="C5814" s="798" t="s">
        <v>32</v>
      </c>
      <c r="D5814" s="800">
        <v>15.05</v>
      </c>
    </row>
    <row r="5815" spans="1:4" ht="40.5">
      <c r="A5815" s="798">
        <v>100730</v>
      </c>
      <c r="B5815" s="799" t="s">
        <v>4548</v>
      </c>
      <c r="C5815" s="798" t="s">
        <v>32</v>
      </c>
      <c r="D5815" s="800">
        <v>17.38</v>
      </c>
    </row>
    <row r="5816" spans="1:4" ht="40.5">
      <c r="A5816" s="798">
        <v>100733</v>
      </c>
      <c r="B5816" s="799" t="s">
        <v>6898</v>
      </c>
      <c r="C5816" s="798" t="s">
        <v>32</v>
      </c>
      <c r="D5816" s="800">
        <v>7.68</v>
      </c>
    </row>
    <row r="5817" spans="1:4" ht="40.5">
      <c r="A5817" s="798">
        <v>100734</v>
      </c>
      <c r="B5817" s="799" t="s">
        <v>4549</v>
      </c>
      <c r="C5817" s="798" t="s">
        <v>32</v>
      </c>
      <c r="D5817" s="800">
        <v>10.28</v>
      </c>
    </row>
    <row r="5818" spans="1:4" ht="40.5">
      <c r="A5818" s="798">
        <v>100735</v>
      </c>
      <c r="B5818" s="799" t="s">
        <v>6899</v>
      </c>
      <c r="C5818" s="798" t="s">
        <v>32</v>
      </c>
      <c r="D5818" s="800">
        <v>7.82</v>
      </c>
    </row>
    <row r="5819" spans="1:4" ht="40.5">
      <c r="A5819" s="798">
        <v>100736</v>
      </c>
      <c r="B5819" s="799" t="s">
        <v>4550</v>
      </c>
      <c r="C5819" s="798" t="s">
        <v>32</v>
      </c>
      <c r="D5819" s="800">
        <v>10.29</v>
      </c>
    </row>
    <row r="5820" spans="1:4" ht="54">
      <c r="A5820" s="798">
        <v>100739</v>
      </c>
      <c r="B5820" s="799" t="s">
        <v>6900</v>
      </c>
      <c r="C5820" s="798" t="s">
        <v>32</v>
      </c>
      <c r="D5820" s="800">
        <v>7.92</v>
      </c>
    </row>
    <row r="5821" spans="1:4" ht="54">
      <c r="A5821" s="798">
        <v>100740</v>
      </c>
      <c r="B5821" s="799" t="s">
        <v>4551</v>
      </c>
      <c r="C5821" s="798" t="s">
        <v>32</v>
      </c>
      <c r="D5821" s="800">
        <v>8.18</v>
      </c>
    </row>
    <row r="5822" spans="1:4" ht="54">
      <c r="A5822" s="798">
        <v>100741</v>
      </c>
      <c r="B5822" s="799" t="s">
        <v>6901</v>
      </c>
      <c r="C5822" s="798" t="s">
        <v>32</v>
      </c>
      <c r="D5822" s="800">
        <v>17.579999999999998</v>
      </c>
    </row>
    <row r="5823" spans="1:4" ht="54">
      <c r="A5823" s="798">
        <v>100742</v>
      </c>
      <c r="B5823" s="799" t="s">
        <v>4552</v>
      </c>
      <c r="C5823" s="798" t="s">
        <v>32</v>
      </c>
      <c r="D5823" s="800">
        <v>17.510000000000002</v>
      </c>
    </row>
    <row r="5824" spans="1:4" ht="54">
      <c r="A5824" s="798">
        <v>100743</v>
      </c>
      <c r="B5824" s="799" t="s">
        <v>6902</v>
      </c>
      <c r="C5824" s="798" t="s">
        <v>32</v>
      </c>
      <c r="D5824" s="800">
        <v>7.73</v>
      </c>
    </row>
    <row r="5825" spans="1:4" ht="54">
      <c r="A5825" s="798">
        <v>100744</v>
      </c>
      <c r="B5825" s="799" t="s">
        <v>4553</v>
      </c>
      <c r="C5825" s="798" t="s">
        <v>32</v>
      </c>
      <c r="D5825" s="800">
        <v>8.06</v>
      </c>
    </row>
    <row r="5826" spans="1:4" ht="54">
      <c r="A5826" s="798">
        <v>100745</v>
      </c>
      <c r="B5826" s="799" t="s">
        <v>6903</v>
      </c>
      <c r="C5826" s="798" t="s">
        <v>32</v>
      </c>
      <c r="D5826" s="800">
        <v>17.38</v>
      </c>
    </row>
    <row r="5827" spans="1:4" ht="54">
      <c r="A5827" s="798">
        <v>100746</v>
      </c>
      <c r="B5827" s="799" t="s">
        <v>4554</v>
      </c>
      <c r="C5827" s="798" t="s">
        <v>32</v>
      </c>
      <c r="D5827" s="800">
        <v>17.39</v>
      </c>
    </row>
    <row r="5828" spans="1:4" ht="40.5">
      <c r="A5828" s="798">
        <v>100747</v>
      </c>
      <c r="B5828" s="799" t="s">
        <v>6904</v>
      </c>
      <c r="C5828" s="798" t="s">
        <v>32</v>
      </c>
      <c r="D5828" s="800">
        <v>7.81</v>
      </c>
    </row>
    <row r="5829" spans="1:4" ht="54">
      <c r="A5829" s="798">
        <v>100748</v>
      </c>
      <c r="B5829" s="799" t="s">
        <v>4555</v>
      </c>
      <c r="C5829" s="798" t="s">
        <v>32</v>
      </c>
      <c r="D5829" s="800">
        <v>8.11</v>
      </c>
    </row>
    <row r="5830" spans="1:4" ht="54">
      <c r="A5830" s="798">
        <v>100749</v>
      </c>
      <c r="B5830" s="799" t="s">
        <v>6905</v>
      </c>
      <c r="C5830" s="798" t="s">
        <v>32</v>
      </c>
      <c r="D5830" s="800">
        <v>17.46</v>
      </c>
    </row>
    <row r="5831" spans="1:4" ht="54">
      <c r="A5831" s="798">
        <v>100750</v>
      </c>
      <c r="B5831" s="799" t="s">
        <v>4556</v>
      </c>
      <c r="C5831" s="798" t="s">
        <v>32</v>
      </c>
      <c r="D5831" s="800">
        <v>17.440000000000001</v>
      </c>
    </row>
    <row r="5832" spans="1:4" ht="40.5">
      <c r="A5832" s="798">
        <v>100751</v>
      </c>
      <c r="B5832" s="799" t="s">
        <v>6906</v>
      </c>
      <c r="C5832" s="798" t="s">
        <v>32</v>
      </c>
      <c r="D5832" s="800">
        <v>30.11</v>
      </c>
    </row>
    <row r="5833" spans="1:4" ht="40.5">
      <c r="A5833" s="798">
        <v>100752</v>
      </c>
      <c r="B5833" s="799" t="s">
        <v>4557</v>
      </c>
      <c r="C5833" s="798" t="s">
        <v>32</v>
      </c>
      <c r="D5833" s="800">
        <v>34.78</v>
      </c>
    </row>
    <row r="5834" spans="1:4" ht="40.5">
      <c r="A5834" s="798">
        <v>100753</v>
      </c>
      <c r="B5834" s="799" t="s">
        <v>6907</v>
      </c>
      <c r="C5834" s="798" t="s">
        <v>32</v>
      </c>
      <c r="D5834" s="800">
        <v>15.67</v>
      </c>
    </row>
    <row r="5835" spans="1:4" ht="40.5">
      <c r="A5835" s="798">
        <v>100754</v>
      </c>
      <c r="B5835" s="799" t="s">
        <v>4558</v>
      </c>
      <c r="C5835" s="798" t="s">
        <v>32</v>
      </c>
      <c r="D5835" s="800">
        <v>20.59</v>
      </c>
    </row>
    <row r="5836" spans="1:4" ht="54">
      <c r="A5836" s="798">
        <v>100757</v>
      </c>
      <c r="B5836" s="799" t="s">
        <v>6908</v>
      </c>
      <c r="C5836" s="798" t="s">
        <v>32</v>
      </c>
      <c r="D5836" s="800">
        <v>35.159999999999997</v>
      </c>
    </row>
    <row r="5837" spans="1:4" ht="54">
      <c r="A5837" s="798">
        <v>100758</v>
      </c>
      <c r="B5837" s="799" t="s">
        <v>4559</v>
      </c>
      <c r="C5837" s="798" t="s">
        <v>32</v>
      </c>
      <c r="D5837" s="800">
        <v>35.049999999999997</v>
      </c>
    </row>
    <row r="5838" spans="1:4" ht="54">
      <c r="A5838" s="798">
        <v>100759</v>
      </c>
      <c r="B5838" s="799" t="s">
        <v>6909</v>
      </c>
      <c r="C5838" s="798" t="s">
        <v>32</v>
      </c>
      <c r="D5838" s="800">
        <v>34.76</v>
      </c>
    </row>
    <row r="5839" spans="1:4" ht="54">
      <c r="A5839" s="798">
        <v>100760</v>
      </c>
      <c r="B5839" s="799" t="s">
        <v>4560</v>
      </c>
      <c r="C5839" s="798" t="s">
        <v>32</v>
      </c>
      <c r="D5839" s="800">
        <v>34.799999999999997</v>
      </c>
    </row>
    <row r="5840" spans="1:4" ht="54">
      <c r="A5840" s="798">
        <v>100761</v>
      </c>
      <c r="B5840" s="799" t="s">
        <v>6910</v>
      </c>
      <c r="C5840" s="798" t="s">
        <v>32</v>
      </c>
      <c r="D5840" s="800">
        <v>34.93</v>
      </c>
    </row>
    <row r="5841" spans="1:4" ht="54">
      <c r="A5841" s="798">
        <v>100762</v>
      </c>
      <c r="B5841" s="799" t="s">
        <v>4561</v>
      </c>
      <c r="C5841" s="798" t="s">
        <v>32</v>
      </c>
      <c r="D5841" s="800">
        <v>34.9</v>
      </c>
    </row>
    <row r="5842" spans="1:4" ht="27">
      <c r="A5842" s="798">
        <v>102488</v>
      </c>
      <c r="B5842" s="799" t="s">
        <v>6911</v>
      </c>
      <c r="C5842" s="798" t="s">
        <v>32</v>
      </c>
      <c r="D5842" s="800">
        <v>2.48</v>
      </c>
    </row>
    <row r="5843" spans="1:4" ht="27">
      <c r="A5843" s="798">
        <v>102489</v>
      </c>
      <c r="B5843" s="799" t="s">
        <v>6912</v>
      </c>
      <c r="C5843" s="798" t="s">
        <v>32</v>
      </c>
      <c r="D5843" s="800">
        <v>20.149999999999999</v>
      </c>
    </row>
    <row r="5844" spans="1:4" ht="27">
      <c r="A5844" s="798">
        <v>102491</v>
      </c>
      <c r="B5844" s="799" t="s">
        <v>6913</v>
      </c>
      <c r="C5844" s="798" t="s">
        <v>32</v>
      </c>
      <c r="D5844" s="800">
        <v>14.43</v>
      </c>
    </row>
    <row r="5845" spans="1:4" ht="27">
      <c r="A5845" s="798">
        <v>102492</v>
      </c>
      <c r="B5845" s="799" t="s">
        <v>6914</v>
      </c>
      <c r="C5845" s="798" t="s">
        <v>32</v>
      </c>
      <c r="D5845" s="800">
        <v>16.78</v>
      </c>
    </row>
    <row r="5846" spans="1:4" ht="27">
      <c r="A5846" s="798">
        <v>102494</v>
      </c>
      <c r="B5846" s="799" t="s">
        <v>6915</v>
      </c>
      <c r="C5846" s="798" t="s">
        <v>32</v>
      </c>
      <c r="D5846" s="800">
        <v>46.93</v>
      </c>
    </row>
    <row r="5847" spans="1:4" ht="27">
      <c r="A5847" s="798">
        <v>102496</v>
      </c>
      <c r="B5847" s="799" t="s">
        <v>6916</v>
      </c>
      <c r="C5847" s="798" t="s">
        <v>14</v>
      </c>
      <c r="D5847" s="800">
        <v>9.7100000000000009</v>
      </c>
    </row>
    <row r="5848" spans="1:4" ht="27">
      <c r="A5848" s="798">
        <v>102497</v>
      </c>
      <c r="B5848" s="799" t="s">
        <v>6917</v>
      </c>
      <c r="C5848" s="798" t="s">
        <v>14</v>
      </c>
      <c r="D5848" s="800">
        <v>3.49</v>
      </c>
    </row>
    <row r="5849" spans="1:4" ht="27">
      <c r="A5849" s="798">
        <v>102498</v>
      </c>
      <c r="B5849" s="799" t="s">
        <v>6918</v>
      </c>
      <c r="C5849" s="798" t="s">
        <v>14</v>
      </c>
      <c r="D5849" s="800">
        <v>1.1200000000000001</v>
      </c>
    </row>
    <row r="5850" spans="1:4" ht="13.5">
      <c r="A5850" s="798">
        <v>102499</v>
      </c>
      <c r="B5850" s="799" t="s">
        <v>6919</v>
      </c>
      <c r="C5850" s="798" t="s">
        <v>32</v>
      </c>
      <c r="D5850" s="800">
        <v>2.2200000000000002</v>
      </c>
    </row>
    <row r="5851" spans="1:4" ht="27">
      <c r="A5851" s="798">
        <v>102500</v>
      </c>
      <c r="B5851" s="799" t="s">
        <v>6920</v>
      </c>
      <c r="C5851" s="798" t="s">
        <v>14</v>
      </c>
      <c r="D5851" s="800">
        <v>3.18</v>
      </c>
    </row>
    <row r="5852" spans="1:4" ht="27">
      <c r="A5852" s="798">
        <v>102501</v>
      </c>
      <c r="B5852" s="799" t="s">
        <v>6921</v>
      </c>
      <c r="C5852" s="798" t="s">
        <v>32</v>
      </c>
      <c r="D5852" s="800">
        <v>17.84</v>
      </c>
    </row>
    <row r="5853" spans="1:4" ht="40.5">
      <c r="A5853" s="798">
        <v>102504</v>
      </c>
      <c r="B5853" s="799" t="s">
        <v>6922</v>
      </c>
      <c r="C5853" s="798" t="s">
        <v>14</v>
      </c>
      <c r="D5853" s="800">
        <v>6.94</v>
      </c>
    </row>
    <row r="5854" spans="1:4" ht="40.5">
      <c r="A5854" s="798">
        <v>102505</v>
      </c>
      <c r="B5854" s="799" t="s">
        <v>6923</v>
      </c>
      <c r="C5854" s="798" t="s">
        <v>14</v>
      </c>
      <c r="D5854" s="800">
        <v>7.01</v>
      </c>
    </row>
    <row r="5855" spans="1:4" ht="27">
      <c r="A5855" s="798">
        <v>102506</v>
      </c>
      <c r="B5855" s="799" t="s">
        <v>6924</v>
      </c>
      <c r="C5855" s="798" t="s">
        <v>14</v>
      </c>
      <c r="D5855" s="800">
        <v>7.68</v>
      </c>
    </row>
    <row r="5856" spans="1:4" ht="27">
      <c r="A5856" s="798">
        <v>102507</v>
      </c>
      <c r="B5856" s="799" t="s">
        <v>6925</v>
      </c>
      <c r="C5856" s="798" t="s">
        <v>14</v>
      </c>
      <c r="D5856" s="800">
        <v>4.6500000000000004</v>
      </c>
    </row>
    <row r="5857" spans="1:4" ht="27">
      <c r="A5857" s="798">
        <v>102508</v>
      </c>
      <c r="B5857" s="799" t="s">
        <v>6926</v>
      </c>
      <c r="C5857" s="798" t="s">
        <v>32</v>
      </c>
      <c r="D5857" s="800">
        <v>32.81</v>
      </c>
    </row>
    <row r="5858" spans="1:4" ht="54">
      <c r="A5858" s="798">
        <v>102509</v>
      </c>
      <c r="B5858" s="799" t="s">
        <v>6927</v>
      </c>
      <c r="C5858" s="798" t="s">
        <v>32</v>
      </c>
      <c r="D5858" s="800">
        <v>20.09</v>
      </c>
    </row>
    <row r="5859" spans="1:4" ht="54">
      <c r="A5859" s="798">
        <v>102512</v>
      </c>
      <c r="B5859" s="799" t="s">
        <v>6928</v>
      </c>
      <c r="C5859" s="798" t="s">
        <v>14</v>
      </c>
      <c r="D5859" s="800">
        <v>3.48</v>
      </c>
    </row>
    <row r="5860" spans="1:4" ht="40.5">
      <c r="A5860" s="798">
        <v>102513</v>
      </c>
      <c r="B5860" s="799" t="s">
        <v>6929</v>
      </c>
      <c r="C5860" s="798" t="s">
        <v>32</v>
      </c>
      <c r="D5860" s="800">
        <v>33.68</v>
      </c>
    </row>
    <row r="5861" spans="1:4" ht="40.5">
      <c r="A5861" s="798">
        <v>102520</v>
      </c>
      <c r="B5861" s="799" t="s">
        <v>6930</v>
      </c>
      <c r="C5861" s="798" t="s">
        <v>32</v>
      </c>
      <c r="D5861" s="800">
        <v>57.29</v>
      </c>
    </row>
    <row r="5862" spans="1:4" ht="40.5">
      <c r="A5862" s="798">
        <v>101749</v>
      </c>
      <c r="B5862" s="799" t="s">
        <v>5711</v>
      </c>
      <c r="C5862" s="798" t="s">
        <v>32</v>
      </c>
      <c r="D5862" s="800">
        <v>44.11</v>
      </c>
    </row>
    <row r="5863" spans="1:4" ht="40.5">
      <c r="A5863" s="798">
        <v>101750</v>
      </c>
      <c r="B5863" s="799" t="s">
        <v>5712</v>
      </c>
      <c r="C5863" s="798" t="s">
        <v>32</v>
      </c>
      <c r="D5863" s="800">
        <v>42.27</v>
      </c>
    </row>
    <row r="5864" spans="1:4" ht="27">
      <c r="A5864" s="798">
        <v>101729</v>
      </c>
      <c r="B5864" s="799" t="s">
        <v>5713</v>
      </c>
      <c r="C5864" s="798" t="s">
        <v>32</v>
      </c>
      <c r="D5864" s="800">
        <v>195.95</v>
      </c>
    </row>
    <row r="5865" spans="1:4" ht="13.5">
      <c r="A5865" s="798">
        <v>101746</v>
      </c>
      <c r="B5865" s="799" t="s">
        <v>5714</v>
      </c>
      <c r="C5865" s="798" t="s">
        <v>32</v>
      </c>
      <c r="D5865" s="800">
        <v>309.68</v>
      </c>
    </row>
    <row r="5866" spans="1:4" ht="27">
      <c r="A5866" s="798">
        <v>101751</v>
      </c>
      <c r="B5866" s="799" t="s">
        <v>5715</v>
      </c>
      <c r="C5866" s="798" t="s">
        <v>32</v>
      </c>
      <c r="D5866" s="800">
        <v>200.41</v>
      </c>
    </row>
    <row r="5867" spans="1:4" ht="40.5">
      <c r="A5867" s="798">
        <v>87246</v>
      </c>
      <c r="B5867" s="799" t="s">
        <v>819</v>
      </c>
      <c r="C5867" s="798" t="s">
        <v>32</v>
      </c>
      <c r="D5867" s="800">
        <v>53.92</v>
      </c>
    </row>
    <row r="5868" spans="1:4" ht="40.5">
      <c r="A5868" s="798">
        <v>87247</v>
      </c>
      <c r="B5868" s="799" t="s">
        <v>820</v>
      </c>
      <c r="C5868" s="798" t="s">
        <v>32</v>
      </c>
      <c r="D5868" s="800">
        <v>48.45</v>
      </c>
    </row>
    <row r="5869" spans="1:4" ht="40.5">
      <c r="A5869" s="798">
        <v>87248</v>
      </c>
      <c r="B5869" s="799" t="s">
        <v>821</v>
      </c>
      <c r="C5869" s="798" t="s">
        <v>32</v>
      </c>
      <c r="D5869" s="800">
        <v>44.12</v>
      </c>
    </row>
    <row r="5870" spans="1:4" ht="40.5">
      <c r="A5870" s="798">
        <v>87249</v>
      </c>
      <c r="B5870" s="799" t="s">
        <v>822</v>
      </c>
      <c r="C5870" s="798" t="s">
        <v>32</v>
      </c>
      <c r="D5870" s="800">
        <v>59.47</v>
      </c>
    </row>
    <row r="5871" spans="1:4" ht="40.5">
      <c r="A5871" s="798">
        <v>87250</v>
      </c>
      <c r="B5871" s="799" t="s">
        <v>823</v>
      </c>
      <c r="C5871" s="798" t="s">
        <v>32</v>
      </c>
      <c r="D5871" s="800">
        <v>50.84</v>
      </c>
    </row>
    <row r="5872" spans="1:4" ht="40.5">
      <c r="A5872" s="798">
        <v>87251</v>
      </c>
      <c r="B5872" s="799" t="s">
        <v>824</v>
      </c>
      <c r="C5872" s="798" t="s">
        <v>32</v>
      </c>
      <c r="D5872" s="800">
        <v>45.31</v>
      </c>
    </row>
    <row r="5873" spans="1:4" ht="40.5">
      <c r="A5873" s="798">
        <v>87255</v>
      </c>
      <c r="B5873" s="799" t="s">
        <v>825</v>
      </c>
      <c r="C5873" s="798" t="s">
        <v>32</v>
      </c>
      <c r="D5873" s="800">
        <v>99.75</v>
      </c>
    </row>
    <row r="5874" spans="1:4" ht="40.5">
      <c r="A5874" s="798">
        <v>87256</v>
      </c>
      <c r="B5874" s="799" t="s">
        <v>826</v>
      </c>
      <c r="C5874" s="798" t="s">
        <v>32</v>
      </c>
      <c r="D5874" s="800">
        <v>88.99</v>
      </c>
    </row>
    <row r="5875" spans="1:4" ht="40.5">
      <c r="A5875" s="798">
        <v>87257</v>
      </c>
      <c r="B5875" s="799" t="s">
        <v>827</v>
      </c>
      <c r="C5875" s="798" t="s">
        <v>32</v>
      </c>
      <c r="D5875" s="800">
        <v>82.42</v>
      </c>
    </row>
    <row r="5876" spans="1:4" ht="40.5">
      <c r="A5876" s="798">
        <v>87258</v>
      </c>
      <c r="B5876" s="799" t="s">
        <v>828</v>
      </c>
      <c r="C5876" s="798" t="s">
        <v>32</v>
      </c>
      <c r="D5876" s="800">
        <v>136.71</v>
      </c>
    </row>
    <row r="5877" spans="1:4" ht="40.5">
      <c r="A5877" s="798">
        <v>87259</v>
      </c>
      <c r="B5877" s="799" t="s">
        <v>829</v>
      </c>
      <c r="C5877" s="798" t="s">
        <v>32</v>
      </c>
      <c r="D5877" s="800">
        <v>126.49</v>
      </c>
    </row>
    <row r="5878" spans="1:4" ht="40.5">
      <c r="A5878" s="798">
        <v>87260</v>
      </c>
      <c r="B5878" s="799" t="s">
        <v>830</v>
      </c>
      <c r="C5878" s="798" t="s">
        <v>32</v>
      </c>
      <c r="D5878" s="800">
        <v>120.61</v>
      </c>
    </row>
    <row r="5879" spans="1:4" ht="40.5">
      <c r="A5879" s="798">
        <v>87261</v>
      </c>
      <c r="B5879" s="799" t="s">
        <v>831</v>
      </c>
      <c r="C5879" s="798" t="s">
        <v>32</v>
      </c>
      <c r="D5879" s="800">
        <v>157.15</v>
      </c>
    </row>
    <row r="5880" spans="1:4" ht="40.5">
      <c r="A5880" s="798">
        <v>87262</v>
      </c>
      <c r="B5880" s="799" t="s">
        <v>832</v>
      </c>
      <c r="C5880" s="798" t="s">
        <v>32</v>
      </c>
      <c r="D5880" s="800">
        <v>144.97999999999999</v>
      </c>
    </row>
    <row r="5881" spans="1:4" ht="40.5">
      <c r="A5881" s="798">
        <v>87263</v>
      </c>
      <c r="B5881" s="799" t="s">
        <v>833</v>
      </c>
      <c r="C5881" s="798" t="s">
        <v>32</v>
      </c>
      <c r="D5881" s="800">
        <v>138.05000000000001</v>
      </c>
    </row>
    <row r="5882" spans="1:4" ht="67.5">
      <c r="A5882" s="798">
        <v>89046</v>
      </c>
      <c r="B5882" s="799" t="s">
        <v>6134</v>
      </c>
      <c r="C5882" s="798" t="s">
        <v>32</v>
      </c>
      <c r="D5882" s="800">
        <v>48.25</v>
      </c>
    </row>
    <row r="5883" spans="1:4" ht="67.5">
      <c r="A5883" s="798">
        <v>89171</v>
      </c>
      <c r="B5883" s="799" t="s">
        <v>6135</v>
      </c>
      <c r="C5883" s="798" t="s">
        <v>32</v>
      </c>
      <c r="D5883" s="800">
        <v>46.1</v>
      </c>
    </row>
    <row r="5884" spans="1:4" ht="54">
      <c r="A5884" s="798">
        <v>93389</v>
      </c>
      <c r="B5884" s="799" t="s">
        <v>2221</v>
      </c>
      <c r="C5884" s="798" t="s">
        <v>32</v>
      </c>
      <c r="D5884" s="800">
        <v>48.31</v>
      </c>
    </row>
    <row r="5885" spans="1:4" ht="54">
      <c r="A5885" s="798">
        <v>93390</v>
      </c>
      <c r="B5885" s="799" t="s">
        <v>2222</v>
      </c>
      <c r="C5885" s="798" t="s">
        <v>32</v>
      </c>
      <c r="D5885" s="800">
        <v>42.95</v>
      </c>
    </row>
    <row r="5886" spans="1:4" ht="54">
      <c r="A5886" s="798">
        <v>93391</v>
      </c>
      <c r="B5886" s="799" t="s">
        <v>2223</v>
      </c>
      <c r="C5886" s="798" t="s">
        <v>32</v>
      </c>
      <c r="D5886" s="800">
        <v>38.619999999999997</v>
      </c>
    </row>
    <row r="5887" spans="1:4" ht="27">
      <c r="A5887" s="798">
        <v>98671</v>
      </c>
      <c r="B5887" s="799" t="s">
        <v>5716</v>
      </c>
      <c r="C5887" s="798" t="s">
        <v>32</v>
      </c>
      <c r="D5887" s="800">
        <v>379.82</v>
      </c>
    </row>
    <row r="5888" spans="1:4" ht="27">
      <c r="A5888" s="798">
        <v>98672</v>
      </c>
      <c r="B5888" s="799" t="s">
        <v>5717</v>
      </c>
      <c r="C5888" s="798" t="s">
        <v>32</v>
      </c>
      <c r="D5888" s="800">
        <v>500.31</v>
      </c>
    </row>
    <row r="5889" spans="1:4" ht="27">
      <c r="A5889" s="798">
        <v>98678</v>
      </c>
      <c r="B5889" s="799" t="s">
        <v>5718</v>
      </c>
      <c r="C5889" s="798" t="s">
        <v>32</v>
      </c>
      <c r="D5889" s="800">
        <v>490.48</v>
      </c>
    </row>
    <row r="5890" spans="1:4" ht="40.5">
      <c r="A5890" s="798">
        <v>98679</v>
      </c>
      <c r="B5890" s="799" t="s">
        <v>5719</v>
      </c>
      <c r="C5890" s="798" t="s">
        <v>32</v>
      </c>
      <c r="D5890" s="800">
        <v>29.6</v>
      </c>
    </row>
    <row r="5891" spans="1:4" ht="40.5">
      <c r="A5891" s="798">
        <v>98680</v>
      </c>
      <c r="B5891" s="799" t="s">
        <v>5720</v>
      </c>
      <c r="C5891" s="798" t="s">
        <v>32</v>
      </c>
      <c r="D5891" s="800">
        <v>37.58</v>
      </c>
    </row>
    <row r="5892" spans="1:4" ht="40.5">
      <c r="A5892" s="798">
        <v>98681</v>
      </c>
      <c r="B5892" s="799" t="s">
        <v>5721</v>
      </c>
      <c r="C5892" s="798" t="s">
        <v>32</v>
      </c>
      <c r="D5892" s="800">
        <v>27.76</v>
      </c>
    </row>
    <row r="5893" spans="1:4" ht="40.5">
      <c r="A5893" s="798">
        <v>98682</v>
      </c>
      <c r="B5893" s="799" t="s">
        <v>5722</v>
      </c>
      <c r="C5893" s="798" t="s">
        <v>32</v>
      </c>
      <c r="D5893" s="800">
        <v>35.75</v>
      </c>
    </row>
    <row r="5894" spans="1:4" ht="13.5">
      <c r="A5894" s="798">
        <v>98685</v>
      </c>
      <c r="B5894" s="799" t="s">
        <v>5723</v>
      </c>
      <c r="C5894" s="798" t="s">
        <v>14</v>
      </c>
      <c r="D5894" s="800">
        <v>68.27</v>
      </c>
    </row>
    <row r="5895" spans="1:4" ht="27">
      <c r="A5895" s="798">
        <v>98686</v>
      </c>
      <c r="B5895" s="799" t="s">
        <v>5724</v>
      </c>
      <c r="C5895" s="798" t="s">
        <v>14</v>
      </c>
      <c r="D5895" s="800">
        <v>31.55</v>
      </c>
    </row>
    <row r="5896" spans="1:4" ht="13.5">
      <c r="A5896" s="798">
        <v>98688</v>
      </c>
      <c r="B5896" s="799" t="s">
        <v>5725</v>
      </c>
      <c r="C5896" s="798" t="s">
        <v>14</v>
      </c>
      <c r="D5896" s="800">
        <v>55.83</v>
      </c>
    </row>
    <row r="5897" spans="1:4" ht="27">
      <c r="A5897" s="798">
        <v>98689</v>
      </c>
      <c r="B5897" s="799" t="s">
        <v>5726</v>
      </c>
      <c r="C5897" s="798" t="s">
        <v>14</v>
      </c>
      <c r="D5897" s="800">
        <v>96.13</v>
      </c>
    </row>
    <row r="5898" spans="1:4" ht="40.5">
      <c r="A5898" s="798">
        <v>101090</v>
      </c>
      <c r="B5898" s="799" t="s">
        <v>5007</v>
      </c>
      <c r="C5898" s="798" t="s">
        <v>32</v>
      </c>
      <c r="D5898" s="800">
        <v>183.83</v>
      </c>
    </row>
    <row r="5899" spans="1:4" ht="27">
      <c r="A5899" s="798">
        <v>101091</v>
      </c>
      <c r="B5899" s="799" t="s">
        <v>5008</v>
      </c>
      <c r="C5899" s="798" t="s">
        <v>32</v>
      </c>
      <c r="D5899" s="800">
        <v>119.88</v>
      </c>
    </row>
    <row r="5900" spans="1:4" ht="40.5">
      <c r="A5900" s="798">
        <v>101725</v>
      </c>
      <c r="B5900" s="799" t="s">
        <v>5727</v>
      </c>
      <c r="C5900" s="798" t="s">
        <v>32</v>
      </c>
      <c r="D5900" s="800">
        <v>212.39</v>
      </c>
    </row>
    <row r="5901" spans="1:4" ht="40.5">
      <c r="A5901" s="798">
        <v>101726</v>
      </c>
      <c r="B5901" s="799" t="s">
        <v>5728</v>
      </c>
      <c r="C5901" s="798" t="s">
        <v>32</v>
      </c>
      <c r="D5901" s="800">
        <v>149.22999999999999</v>
      </c>
    </row>
    <row r="5902" spans="1:4" ht="27">
      <c r="A5902" s="798">
        <v>101731</v>
      </c>
      <c r="B5902" s="799" t="s">
        <v>5729</v>
      </c>
      <c r="C5902" s="798" t="s">
        <v>32</v>
      </c>
      <c r="D5902" s="800">
        <v>268.49</v>
      </c>
    </row>
    <row r="5903" spans="1:4" ht="27">
      <c r="A5903" s="798">
        <v>101732</v>
      </c>
      <c r="B5903" s="799" t="s">
        <v>5730</v>
      </c>
      <c r="C5903" s="798" t="s">
        <v>32</v>
      </c>
      <c r="D5903" s="800">
        <v>78.95</v>
      </c>
    </row>
    <row r="5904" spans="1:4" ht="27">
      <c r="A5904" s="798">
        <v>101094</v>
      </c>
      <c r="B5904" s="799" t="s">
        <v>5009</v>
      </c>
      <c r="C5904" s="798" t="s">
        <v>14</v>
      </c>
      <c r="D5904" s="800">
        <v>136.29</v>
      </c>
    </row>
    <row r="5905" spans="1:4" ht="27">
      <c r="A5905" s="798">
        <v>101727</v>
      </c>
      <c r="B5905" s="799" t="s">
        <v>5731</v>
      </c>
      <c r="C5905" s="798" t="s">
        <v>32</v>
      </c>
      <c r="D5905" s="800">
        <v>159.54</v>
      </c>
    </row>
    <row r="5906" spans="1:4" ht="27">
      <c r="A5906" s="798">
        <v>101733</v>
      </c>
      <c r="B5906" s="799" t="s">
        <v>5732</v>
      </c>
      <c r="C5906" s="798" t="s">
        <v>32</v>
      </c>
      <c r="D5906" s="800">
        <v>215.7</v>
      </c>
    </row>
    <row r="5907" spans="1:4" ht="27">
      <c r="A5907" s="798">
        <v>101734</v>
      </c>
      <c r="B5907" s="799" t="s">
        <v>5733</v>
      </c>
      <c r="C5907" s="798" t="s">
        <v>32</v>
      </c>
      <c r="D5907" s="800">
        <v>329.81</v>
      </c>
    </row>
    <row r="5908" spans="1:4" ht="27">
      <c r="A5908" s="798">
        <v>101735</v>
      </c>
      <c r="B5908" s="799" t="s">
        <v>5734</v>
      </c>
      <c r="C5908" s="798" t="s">
        <v>32</v>
      </c>
      <c r="D5908" s="800">
        <v>338.09</v>
      </c>
    </row>
    <row r="5909" spans="1:4" ht="27">
      <c r="A5909" s="798">
        <v>101736</v>
      </c>
      <c r="B5909" s="799" t="s">
        <v>5735</v>
      </c>
      <c r="C5909" s="798" t="s">
        <v>32</v>
      </c>
      <c r="D5909" s="800">
        <v>75</v>
      </c>
    </row>
    <row r="5910" spans="1:4" ht="27">
      <c r="A5910" s="798">
        <v>101737</v>
      </c>
      <c r="B5910" s="799" t="s">
        <v>5736</v>
      </c>
      <c r="C5910" s="798" t="s">
        <v>32</v>
      </c>
      <c r="D5910" s="800">
        <v>91.38</v>
      </c>
    </row>
    <row r="5911" spans="1:4" ht="13.5">
      <c r="A5911" s="798">
        <v>101748</v>
      </c>
      <c r="B5911" s="799" t="s">
        <v>5737</v>
      </c>
      <c r="C5911" s="798" t="s">
        <v>32</v>
      </c>
      <c r="D5911" s="800">
        <v>2.5099999999999998</v>
      </c>
    </row>
    <row r="5912" spans="1:4" ht="27">
      <c r="A5912" s="798">
        <v>101092</v>
      </c>
      <c r="B5912" s="799" t="s">
        <v>5010</v>
      </c>
      <c r="C5912" s="798" t="s">
        <v>32</v>
      </c>
      <c r="D5912" s="800">
        <v>387.39</v>
      </c>
    </row>
    <row r="5913" spans="1:4" ht="27">
      <c r="A5913" s="798">
        <v>101093</v>
      </c>
      <c r="B5913" s="799" t="s">
        <v>5011</v>
      </c>
      <c r="C5913" s="798" t="s">
        <v>32</v>
      </c>
      <c r="D5913" s="800">
        <v>507.88</v>
      </c>
    </row>
    <row r="5914" spans="1:4" ht="27">
      <c r="A5914" s="798">
        <v>98695</v>
      </c>
      <c r="B5914" s="799" t="s">
        <v>5738</v>
      </c>
      <c r="C5914" s="798" t="s">
        <v>14</v>
      </c>
      <c r="D5914" s="800">
        <v>86.06</v>
      </c>
    </row>
    <row r="5915" spans="1:4" ht="13.5">
      <c r="A5915" s="798">
        <v>98697</v>
      </c>
      <c r="B5915" s="799" t="s">
        <v>5739</v>
      </c>
      <c r="C5915" s="798" t="s">
        <v>14</v>
      </c>
      <c r="D5915" s="800">
        <v>57.45</v>
      </c>
    </row>
    <row r="5916" spans="1:4" ht="27">
      <c r="A5916" s="798">
        <v>101738</v>
      </c>
      <c r="B5916" s="799" t="s">
        <v>5740</v>
      </c>
      <c r="C5916" s="798" t="s">
        <v>14</v>
      </c>
      <c r="D5916" s="800">
        <v>26.36</v>
      </c>
    </row>
    <row r="5917" spans="1:4" ht="27">
      <c r="A5917" s="798">
        <v>101739</v>
      </c>
      <c r="B5917" s="799" t="s">
        <v>5741</v>
      </c>
      <c r="C5917" s="798" t="s">
        <v>14</v>
      </c>
      <c r="D5917" s="800">
        <v>28.55</v>
      </c>
    </row>
    <row r="5918" spans="1:4" ht="27">
      <c r="A5918" s="798">
        <v>88648</v>
      </c>
      <c r="B5918" s="799" t="s">
        <v>1030</v>
      </c>
      <c r="C5918" s="798" t="s">
        <v>14</v>
      </c>
      <c r="D5918" s="800">
        <v>6.39</v>
      </c>
    </row>
    <row r="5919" spans="1:4" ht="27">
      <c r="A5919" s="798">
        <v>88649</v>
      </c>
      <c r="B5919" s="799" t="s">
        <v>1031</v>
      </c>
      <c r="C5919" s="798" t="s">
        <v>14</v>
      </c>
      <c r="D5919" s="800">
        <v>7.3</v>
      </c>
    </row>
    <row r="5920" spans="1:4" ht="27">
      <c r="A5920" s="798">
        <v>88650</v>
      </c>
      <c r="B5920" s="799" t="s">
        <v>1032</v>
      </c>
      <c r="C5920" s="798" t="s">
        <v>14</v>
      </c>
      <c r="D5920" s="800">
        <v>14.59</v>
      </c>
    </row>
    <row r="5921" spans="1:4" ht="40.5">
      <c r="A5921" s="798">
        <v>96467</v>
      </c>
      <c r="B5921" s="799" t="s">
        <v>2811</v>
      </c>
      <c r="C5921" s="798" t="s">
        <v>14</v>
      </c>
      <c r="D5921" s="800">
        <v>5.76</v>
      </c>
    </row>
    <row r="5922" spans="1:4" ht="13.5">
      <c r="A5922" s="798">
        <v>101740</v>
      </c>
      <c r="B5922" s="799" t="s">
        <v>5742</v>
      </c>
      <c r="C5922" s="798" t="s">
        <v>14</v>
      </c>
      <c r="D5922" s="800">
        <v>37.340000000000003</v>
      </c>
    </row>
    <row r="5923" spans="1:4" ht="13.5">
      <c r="A5923" s="798">
        <v>101741</v>
      </c>
      <c r="B5923" s="799" t="s">
        <v>5743</v>
      </c>
      <c r="C5923" s="798" t="s">
        <v>14</v>
      </c>
      <c r="D5923" s="800">
        <v>16.920000000000002</v>
      </c>
    </row>
    <row r="5924" spans="1:4" ht="40.5">
      <c r="A5924" s="798">
        <v>94990</v>
      </c>
      <c r="B5924" s="799" t="s">
        <v>2443</v>
      </c>
      <c r="C5924" s="798" t="s">
        <v>22</v>
      </c>
      <c r="D5924" s="800">
        <v>662.47</v>
      </c>
    </row>
    <row r="5925" spans="1:4" ht="40.5">
      <c r="A5925" s="798">
        <v>94991</v>
      </c>
      <c r="B5925" s="799" t="s">
        <v>511</v>
      </c>
      <c r="C5925" s="798" t="s">
        <v>22</v>
      </c>
      <c r="D5925" s="800">
        <v>740.45</v>
      </c>
    </row>
    <row r="5926" spans="1:4" ht="40.5">
      <c r="A5926" s="798">
        <v>94992</v>
      </c>
      <c r="B5926" s="799" t="s">
        <v>2444</v>
      </c>
      <c r="C5926" s="798" t="s">
        <v>32</v>
      </c>
      <c r="D5926" s="800">
        <v>100.3</v>
      </c>
    </row>
    <row r="5927" spans="1:4" ht="40.5">
      <c r="A5927" s="798">
        <v>94993</v>
      </c>
      <c r="B5927" s="799" t="s">
        <v>2445</v>
      </c>
      <c r="C5927" s="798" t="s">
        <v>32</v>
      </c>
      <c r="D5927" s="800">
        <v>104.98</v>
      </c>
    </row>
    <row r="5928" spans="1:4" ht="40.5">
      <c r="A5928" s="798">
        <v>94994</v>
      </c>
      <c r="B5928" s="799" t="s">
        <v>2446</v>
      </c>
      <c r="C5928" s="798" t="s">
        <v>32</v>
      </c>
      <c r="D5928" s="800">
        <v>114.59</v>
      </c>
    </row>
    <row r="5929" spans="1:4" ht="40.5">
      <c r="A5929" s="798">
        <v>94995</v>
      </c>
      <c r="B5929" s="799" t="s">
        <v>2447</v>
      </c>
      <c r="C5929" s="798" t="s">
        <v>32</v>
      </c>
      <c r="D5929" s="800">
        <v>120.83</v>
      </c>
    </row>
    <row r="5930" spans="1:4" ht="40.5">
      <c r="A5930" s="798">
        <v>94996</v>
      </c>
      <c r="B5930" s="799" t="s">
        <v>2448</v>
      </c>
      <c r="C5930" s="798" t="s">
        <v>32</v>
      </c>
      <c r="D5930" s="800">
        <v>127.88</v>
      </c>
    </row>
    <row r="5931" spans="1:4" ht="40.5">
      <c r="A5931" s="798">
        <v>94997</v>
      </c>
      <c r="B5931" s="799" t="s">
        <v>2449</v>
      </c>
      <c r="C5931" s="798" t="s">
        <v>32</v>
      </c>
      <c r="D5931" s="800">
        <v>135.68</v>
      </c>
    </row>
    <row r="5932" spans="1:4" ht="40.5">
      <c r="A5932" s="798">
        <v>94998</v>
      </c>
      <c r="B5932" s="799" t="s">
        <v>2450</v>
      </c>
      <c r="C5932" s="798" t="s">
        <v>32</v>
      </c>
      <c r="D5932" s="800">
        <v>141.99</v>
      </c>
    </row>
    <row r="5933" spans="1:4" ht="40.5">
      <c r="A5933" s="798">
        <v>94999</v>
      </c>
      <c r="B5933" s="799" t="s">
        <v>2451</v>
      </c>
      <c r="C5933" s="798" t="s">
        <v>32</v>
      </c>
      <c r="D5933" s="800">
        <v>151.35</v>
      </c>
    </row>
    <row r="5934" spans="1:4" ht="27">
      <c r="A5934" s="798">
        <v>101747</v>
      </c>
      <c r="B5934" s="799" t="s">
        <v>5744</v>
      </c>
      <c r="C5934" s="798" t="s">
        <v>32</v>
      </c>
      <c r="D5934" s="800">
        <v>72.08</v>
      </c>
    </row>
    <row r="5935" spans="1:4" ht="13.5">
      <c r="A5935" s="798">
        <v>101743</v>
      </c>
      <c r="B5935" s="799" t="s">
        <v>5745</v>
      </c>
      <c r="C5935" s="798" t="s">
        <v>32</v>
      </c>
      <c r="D5935" s="800">
        <v>154.63999999999999</v>
      </c>
    </row>
    <row r="5936" spans="1:4" ht="27">
      <c r="A5936" s="798">
        <v>101744</v>
      </c>
      <c r="B5936" s="799" t="s">
        <v>5746</v>
      </c>
      <c r="C5936" s="798" t="s">
        <v>32</v>
      </c>
      <c r="D5936" s="800">
        <v>123.27</v>
      </c>
    </row>
    <row r="5937" spans="1:4" ht="27">
      <c r="A5937" s="798">
        <v>101745</v>
      </c>
      <c r="B5937" s="799" t="s">
        <v>5747</v>
      </c>
      <c r="C5937" s="798" t="s">
        <v>32</v>
      </c>
      <c r="D5937" s="800">
        <v>151.44</v>
      </c>
    </row>
    <row r="5938" spans="1:4" ht="54">
      <c r="A5938" s="798">
        <v>87620</v>
      </c>
      <c r="B5938" s="799" t="s">
        <v>7212</v>
      </c>
      <c r="C5938" s="798" t="s">
        <v>32</v>
      </c>
      <c r="D5938" s="800">
        <v>27.54</v>
      </c>
    </row>
    <row r="5939" spans="1:4" ht="54">
      <c r="A5939" s="798">
        <v>87622</v>
      </c>
      <c r="B5939" s="799" t="s">
        <v>7213</v>
      </c>
      <c r="C5939" s="798" t="s">
        <v>32</v>
      </c>
      <c r="D5939" s="800">
        <v>30.4</v>
      </c>
    </row>
    <row r="5940" spans="1:4" ht="54">
      <c r="A5940" s="798">
        <v>87623</v>
      </c>
      <c r="B5940" s="799" t="s">
        <v>7214</v>
      </c>
      <c r="C5940" s="798" t="s">
        <v>32</v>
      </c>
      <c r="D5940" s="800">
        <v>73.5</v>
      </c>
    </row>
    <row r="5941" spans="1:4" ht="54">
      <c r="A5941" s="798">
        <v>87624</v>
      </c>
      <c r="B5941" s="799" t="s">
        <v>7214</v>
      </c>
      <c r="C5941" s="798" t="s">
        <v>32</v>
      </c>
      <c r="D5941" s="800">
        <v>78.81</v>
      </c>
    </row>
    <row r="5942" spans="1:4" ht="54">
      <c r="A5942" s="798">
        <v>87630</v>
      </c>
      <c r="B5942" s="799" t="s">
        <v>7215</v>
      </c>
      <c r="C5942" s="798" t="s">
        <v>32</v>
      </c>
      <c r="D5942" s="800">
        <v>34.6</v>
      </c>
    </row>
    <row r="5943" spans="1:4" ht="54">
      <c r="A5943" s="798">
        <v>87632</v>
      </c>
      <c r="B5943" s="799" t="s">
        <v>7216</v>
      </c>
      <c r="C5943" s="798" t="s">
        <v>32</v>
      </c>
      <c r="D5943" s="800">
        <v>38.58</v>
      </c>
    </row>
    <row r="5944" spans="1:4" ht="54">
      <c r="A5944" s="798">
        <v>87633</v>
      </c>
      <c r="B5944" s="799" t="s">
        <v>7217</v>
      </c>
      <c r="C5944" s="798" t="s">
        <v>32</v>
      </c>
      <c r="D5944" s="800">
        <v>98.5</v>
      </c>
    </row>
    <row r="5945" spans="1:4" ht="40.5">
      <c r="A5945" s="798">
        <v>87634</v>
      </c>
      <c r="B5945" s="799" t="s">
        <v>7218</v>
      </c>
      <c r="C5945" s="798" t="s">
        <v>32</v>
      </c>
      <c r="D5945" s="800">
        <v>105.88</v>
      </c>
    </row>
    <row r="5946" spans="1:4" ht="54">
      <c r="A5946" s="798">
        <v>87640</v>
      </c>
      <c r="B5946" s="799" t="s">
        <v>7219</v>
      </c>
      <c r="C5946" s="798" t="s">
        <v>32</v>
      </c>
      <c r="D5946" s="800">
        <v>40.380000000000003</v>
      </c>
    </row>
    <row r="5947" spans="1:4" ht="54">
      <c r="A5947" s="798">
        <v>87642</v>
      </c>
      <c r="B5947" s="799" t="s">
        <v>7220</v>
      </c>
      <c r="C5947" s="798" t="s">
        <v>32</v>
      </c>
      <c r="D5947" s="800">
        <v>45.28</v>
      </c>
    </row>
    <row r="5948" spans="1:4" ht="54">
      <c r="A5948" s="798">
        <v>87643</v>
      </c>
      <c r="B5948" s="799" t="s">
        <v>7221</v>
      </c>
      <c r="C5948" s="798" t="s">
        <v>32</v>
      </c>
      <c r="D5948" s="800">
        <v>118.96</v>
      </c>
    </row>
    <row r="5949" spans="1:4" ht="40.5">
      <c r="A5949" s="798">
        <v>87644</v>
      </c>
      <c r="B5949" s="799" t="s">
        <v>7222</v>
      </c>
      <c r="C5949" s="798" t="s">
        <v>32</v>
      </c>
      <c r="D5949" s="800">
        <v>128.04</v>
      </c>
    </row>
    <row r="5950" spans="1:4" ht="54">
      <c r="A5950" s="798">
        <v>87680</v>
      </c>
      <c r="B5950" s="799" t="s">
        <v>7223</v>
      </c>
      <c r="C5950" s="798" t="s">
        <v>32</v>
      </c>
      <c r="D5950" s="800">
        <v>33.81</v>
      </c>
    </row>
    <row r="5951" spans="1:4" ht="54">
      <c r="A5951" s="798">
        <v>87682</v>
      </c>
      <c r="B5951" s="799" t="s">
        <v>7224</v>
      </c>
      <c r="C5951" s="798" t="s">
        <v>32</v>
      </c>
      <c r="D5951" s="800">
        <v>38.71</v>
      </c>
    </row>
    <row r="5952" spans="1:4" ht="54">
      <c r="A5952" s="798">
        <v>87683</v>
      </c>
      <c r="B5952" s="799" t="s">
        <v>7225</v>
      </c>
      <c r="C5952" s="798" t="s">
        <v>32</v>
      </c>
      <c r="D5952" s="800">
        <v>112.39</v>
      </c>
    </row>
    <row r="5953" spans="1:4" ht="40.5">
      <c r="A5953" s="798">
        <v>87684</v>
      </c>
      <c r="B5953" s="799" t="s">
        <v>7226</v>
      </c>
      <c r="C5953" s="798" t="s">
        <v>32</v>
      </c>
      <c r="D5953" s="800">
        <v>121.47</v>
      </c>
    </row>
    <row r="5954" spans="1:4" ht="54">
      <c r="A5954" s="798">
        <v>87690</v>
      </c>
      <c r="B5954" s="799" t="s">
        <v>7227</v>
      </c>
      <c r="C5954" s="798" t="s">
        <v>32</v>
      </c>
      <c r="D5954" s="800">
        <v>38.75</v>
      </c>
    </row>
    <row r="5955" spans="1:4" ht="54">
      <c r="A5955" s="798">
        <v>87692</v>
      </c>
      <c r="B5955" s="799" t="s">
        <v>7228</v>
      </c>
      <c r="C5955" s="798" t="s">
        <v>32</v>
      </c>
      <c r="D5955" s="800">
        <v>44.36</v>
      </c>
    </row>
    <row r="5956" spans="1:4" ht="40.5">
      <c r="A5956" s="798">
        <v>87693</v>
      </c>
      <c r="B5956" s="799" t="s">
        <v>7229</v>
      </c>
      <c r="C5956" s="798" t="s">
        <v>32</v>
      </c>
      <c r="D5956" s="800">
        <v>128.75</v>
      </c>
    </row>
    <row r="5957" spans="1:4" ht="40.5">
      <c r="A5957" s="798">
        <v>87694</v>
      </c>
      <c r="B5957" s="799" t="s">
        <v>7230</v>
      </c>
      <c r="C5957" s="798" t="s">
        <v>32</v>
      </c>
      <c r="D5957" s="800">
        <v>139.15</v>
      </c>
    </row>
    <row r="5958" spans="1:4" ht="54">
      <c r="A5958" s="798">
        <v>87700</v>
      </c>
      <c r="B5958" s="799" t="s">
        <v>7231</v>
      </c>
      <c r="C5958" s="798" t="s">
        <v>32</v>
      </c>
      <c r="D5958" s="800">
        <v>41.89</v>
      </c>
    </row>
    <row r="5959" spans="1:4" ht="54">
      <c r="A5959" s="798">
        <v>87702</v>
      </c>
      <c r="B5959" s="799" t="s">
        <v>7232</v>
      </c>
      <c r="C5959" s="798" t="s">
        <v>32</v>
      </c>
      <c r="D5959" s="800">
        <v>48</v>
      </c>
    </row>
    <row r="5960" spans="1:4" ht="54">
      <c r="A5960" s="798">
        <v>87703</v>
      </c>
      <c r="B5960" s="799" t="s">
        <v>7233</v>
      </c>
      <c r="C5960" s="798" t="s">
        <v>32</v>
      </c>
      <c r="D5960" s="800">
        <v>139.88999999999999</v>
      </c>
    </row>
    <row r="5961" spans="1:4" ht="40.5">
      <c r="A5961" s="798">
        <v>87704</v>
      </c>
      <c r="B5961" s="799" t="s">
        <v>7234</v>
      </c>
      <c r="C5961" s="798" t="s">
        <v>32</v>
      </c>
      <c r="D5961" s="800">
        <v>151.22</v>
      </c>
    </row>
    <row r="5962" spans="1:4" ht="54">
      <c r="A5962" s="798">
        <v>87735</v>
      </c>
      <c r="B5962" s="799" t="s">
        <v>7235</v>
      </c>
      <c r="C5962" s="798" t="s">
        <v>32</v>
      </c>
      <c r="D5962" s="800">
        <v>35.869999999999997</v>
      </c>
    </row>
    <row r="5963" spans="1:4" ht="54">
      <c r="A5963" s="798">
        <v>87737</v>
      </c>
      <c r="B5963" s="799" t="s">
        <v>7236</v>
      </c>
      <c r="C5963" s="798" t="s">
        <v>32</v>
      </c>
      <c r="D5963" s="800">
        <v>38.729999999999997</v>
      </c>
    </row>
    <row r="5964" spans="1:4" ht="54">
      <c r="A5964" s="798">
        <v>87738</v>
      </c>
      <c r="B5964" s="799" t="s">
        <v>7237</v>
      </c>
      <c r="C5964" s="798" t="s">
        <v>32</v>
      </c>
      <c r="D5964" s="800">
        <v>81.83</v>
      </c>
    </row>
    <row r="5965" spans="1:4" ht="40.5">
      <c r="A5965" s="798">
        <v>87739</v>
      </c>
      <c r="B5965" s="799" t="s">
        <v>7238</v>
      </c>
      <c r="C5965" s="798" t="s">
        <v>32</v>
      </c>
      <c r="D5965" s="800">
        <v>87.14</v>
      </c>
    </row>
    <row r="5966" spans="1:4" ht="54">
      <c r="A5966" s="798">
        <v>87745</v>
      </c>
      <c r="B5966" s="799" t="s">
        <v>7239</v>
      </c>
      <c r="C5966" s="798" t="s">
        <v>32</v>
      </c>
      <c r="D5966" s="800">
        <v>42.94</v>
      </c>
    </row>
    <row r="5967" spans="1:4" ht="54">
      <c r="A5967" s="798">
        <v>87747</v>
      </c>
      <c r="B5967" s="799" t="s">
        <v>7240</v>
      </c>
      <c r="C5967" s="798" t="s">
        <v>32</v>
      </c>
      <c r="D5967" s="800">
        <v>46.92</v>
      </c>
    </row>
    <row r="5968" spans="1:4" ht="54">
      <c r="A5968" s="798">
        <v>87748</v>
      </c>
      <c r="B5968" s="799" t="s">
        <v>7241</v>
      </c>
      <c r="C5968" s="798" t="s">
        <v>32</v>
      </c>
      <c r="D5968" s="800">
        <v>106.84</v>
      </c>
    </row>
    <row r="5969" spans="1:4" ht="40.5">
      <c r="A5969" s="798">
        <v>87749</v>
      </c>
      <c r="B5969" s="799" t="s">
        <v>7242</v>
      </c>
      <c r="C5969" s="798" t="s">
        <v>32</v>
      </c>
      <c r="D5969" s="800">
        <v>114.22</v>
      </c>
    </row>
    <row r="5970" spans="1:4" ht="54">
      <c r="A5970" s="798">
        <v>87755</v>
      </c>
      <c r="B5970" s="799" t="s">
        <v>7243</v>
      </c>
      <c r="C5970" s="798" t="s">
        <v>32</v>
      </c>
      <c r="D5970" s="800">
        <v>38.090000000000003</v>
      </c>
    </row>
    <row r="5971" spans="1:4" ht="54">
      <c r="A5971" s="798">
        <v>87757</v>
      </c>
      <c r="B5971" s="799" t="s">
        <v>7244</v>
      </c>
      <c r="C5971" s="798" t="s">
        <v>32</v>
      </c>
      <c r="D5971" s="800">
        <v>42.07</v>
      </c>
    </row>
    <row r="5972" spans="1:4" ht="54">
      <c r="A5972" s="798">
        <v>87758</v>
      </c>
      <c r="B5972" s="799" t="s">
        <v>7245</v>
      </c>
      <c r="C5972" s="798" t="s">
        <v>32</v>
      </c>
      <c r="D5972" s="800">
        <v>101.99</v>
      </c>
    </row>
    <row r="5973" spans="1:4" ht="40.5">
      <c r="A5973" s="798">
        <v>87759</v>
      </c>
      <c r="B5973" s="799" t="s">
        <v>7246</v>
      </c>
      <c r="C5973" s="798" t="s">
        <v>32</v>
      </c>
      <c r="D5973" s="800">
        <v>109.37</v>
      </c>
    </row>
    <row r="5974" spans="1:4" ht="54">
      <c r="A5974" s="798">
        <v>87765</v>
      </c>
      <c r="B5974" s="799" t="s">
        <v>7247</v>
      </c>
      <c r="C5974" s="798" t="s">
        <v>32</v>
      </c>
      <c r="D5974" s="800">
        <v>43.9</v>
      </c>
    </row>
    <row r="5975" spans="1:4" ht="54">
      <c r="A5975" s="798">
        <v>87767</v>
      </c>
      <c r="B5975" s="799" t="s">
        <v>7248</v>
      </c>
      <c r="C5975" s="798" t="s">
        <v>32</v>
      </c>
      <c r="D5975" s="800">
        <v>48.8</v>
      </c>
    </row>
    <row r="5976" spans="1:4" ht="54">
      <c r="A5976" s="798">
        <v>87768</v>
      </c>
      <c r="B5976" s="799" t="s">
        <v>7249</v>
      </c>
      <c r="C5976" s="798" t="s">
        <v>32</v>
      </c>
      <c r="D5976" s="800">
        <v>122.48</v>
      </c>
    </row>
    <row r="5977" spans="1:4" ht="40.5">
      <c r="A5977" s="798">
        <v>87769</v>
      </c>
      <c r="B5977" s="799" t="s">
        <v>7250</v>
      </c>
      <c r="C5977" s="798" t="s">
        <v>32</v>
      </c>
      <c r="D5977" s="800">
        <v>131.56</v>
      </c>
    </row>
    <row r="5978" spans="1:4" ht="27">
      <c r="A5978" s="798">
        <v>88470</v>
      </c>
      <c r="B5978" s="799" t="s">
        <v>7251</v>
      </c>
      <c r="C5978" s="798" t="s">
        <v>32</v>
      </c>
      <c r="D5978" s="800">
        <v>26.58</v>
      </c>
    </row>
    <row r="5979" spans="1:4" ht="27">
      <c r="A5979" s="798">
        <v>88471</v>
      </c>
      <c r="B5979" s="799" t="s">
        <v>7252</v>
      </c>
      <c r="C5979" s="798" t="s">
        <v>32</v>
      </c>
      <c r="D5979" s="800">
        <v>33.1</v>
      </c>
    </row>
    <row r="5980" spans="1:4" ht="27">
      <c r="A5980" s="798">
        <v>88472</v>
      </c>
      <c r="B5980" s="799" t="s">
        <v>7253</v>
      </c>
      <c r="C5980" s="798" t="s">
        <v>32</v>
      </c>
      <c r="D5980" s="800">
        <v>38.31</v>
      </c>
    </row>
    <row r="5981" spans="1:4" ht="27">
      <c r="A5981" s="798">
        <v>88476</v>
      </c>
      <c r="B5981" s="799" t="s">
        <v>7254</v>
      </c>
      <c r="C5981" s="798" t="s">
        <v>32</v>
      </c>
      <c r="D5981" s="800">
        <v>24.54</v>
      </c>
    </row>
    <row r="5982" spans="1:4" ht="27">
      <c r="A5982" s="798">
        <v>88477</v>
      </c>
      <c r="B5982" s="799" t="s">
        <v>7255</v>
      </c>
      <c r="C5982" s="798" t="s">
        <v>32</v>
      </c>
      <c r="D5982" s="800">
        <v>32.6</v>
      </c>
    </row>
    <row r="5983" spans="1:4" ht="27">
      <c r="A5983" s="798">
        <v>88478</v>
      </c>
      <c r="B5983" s="799" t="s">
        <v>7256</v>
      </c>
      <c r="C5983" s="798" t="s">
        <v>32</v>
      </c>
      <c r="D5983" s="800">
        <v>39.29</v>
      </c>
    </row>
    <row r="5984" spans="1:4" ht="54">
      <c r="A5984" s="798">
        <v>90930</v>
      </c>
      <c r="B5984" s="799" t="s">
        <v>7257</v>
      </c>
      <c r="C5984" s="798" t="s">
        <v>32</v>
      </c>
      <c r="D5984" s="800">
        <v>67.41</v>
      </c>
    </row>
    <row r="5985" spans="1:4" ht="40.5">
      <c r="A5985" s="798">
        <v>90932</v>
      </c>
      <c r="B5985" s="799" t="s">
        <v>7258</v>
      </c>
      <c r="C5985" s="798" t="s">
        <v>32</v>
      </c>
      <c r="D5985" s="800">
        <v>73.02</v>
      </c>
    </row>
    <row r="5986" spans="1:4" ht="54">
      <c r="A5986" s="798">
        <v>90933</v>
      </c>
      <c r="B5986" s="799" t="s">
        <v>7259</v>
      </c>
      <c r="C5986" s="798" t="s">
        <v>32</v>
      </c>
      <c r="D5986" s="800">
        <v>157.41</v>
      </c>
    </row>
    <row r="5987" spans="1:4" ht="40.5">
      <c r="A5987" s="798">
        <v>90934</v>
      </c>
      <c r="B5987" s="799" t="s">
        <v>7260</v>
      </c>
      <c r="C5987" s="798" t="s">
        <v>32</v>
      </c>
      <c r="D5987" s="800">
        <v>167.81</v>
      </c>
    </row>
    <row r="5988" spans="1:4" ht="54">
      <c r="A5988" s="798">
        <v>90940</v>
      </c>
      <c r="B5988" s="799" t="s">
        <v>7261</v>
      </c>
      <c r="C5988" s="798" t="s">
        <v>32</v>
      </c>
      <c r="D5988" s="800">
        <v>71.45</v>
      </c>
    </row>
    <row r="5989" spans="1:4" ht="40.5">
      <c r="A5989" s="798">
        <v>90942</v>
      </c>
      <c r="B5989" s="799" t="s">
        <v>7262</v>
      </c>
      <c r="C5989" s="798" t="s">
        <v>32</v>
      </c>
      <c r="D5989" s="800">
        <v>77.56</v>
      </c>
    </row>
    <row r="5990" spans="1:4" ht="54">
      <c r="A5990" s="798">
        <v>90943</v>
      </c>
      <c r="B5990" s="799" t="s">
        <v>7263</v>
      </c>
      <c r="C5990" s="798" t="s">
        <v>32</v>
      </c>
      <c r="D5990" s="800">
        <v>169.45</v>
      </c>
    </row>
    <row r="5991" spans="1:4" ht="40.5">
      <c r="A5991" s="798">
        <v>90944</v>
      </c>
      <c r="B5991" s="799" t="s">
        <v>7264</v>
      </c>
      <c r="C5991" s="798" t="s">
        <v>32</v>
      </c>
      <c r="D5991" s="800">
        <v>180.78</v>
      </c>
    </row>
    <row r="5992" spans="1:4" ht="54">
      <c r="A5992" s="798">
        <v>90950</v>
      </c>
      <c r="B5992" s="799" t="s">
        <v>7265</v>
      </c>
      <c r="C5992" s="798" t="s">
        <v>32</v>
      </c>
      <c r="D5992" s="800">
        <v>78.86</v>
      </c>
    </row>
    <row r="5993" spans="1:4" ht="40.5">
      <c r="A5993" s="798">
        <v>90952</v>
      </c>
      <c r="B5993" s="799" t="s">
        <v>7266</v>
      </c>
      <c r="C5993" s="798" t="s">
        <v>32</v>
      </c>
      <c r="D5993" s="800">
        <v>85.88</v>
      </c>
    </row>
    <row r="5994" spans="1:4" ht="54">
      <c r="A5994" s="798">
        <v>90953</v>
      </c>
      <c r="B5994" s="799" t="s">
        <v>7267</v>
      </c>
      <c r="C5994" s="798" t="s">
        <v>32</v>
      </c>
      <c r="D5994" s="800">
        <v>191.54</v>
      </c>
    </row>
    <row r="5995" spans="1:4" ht="40.5">
      <c r="A5995" s="798">
        <v>90954</v>
      </c>
      <c r="B5995" s="799" t="s">
        <v>7268</v>
      </c>
      <c r="C5995" s="798" t="s">
        <v>32</v>
      </c>
      <c r="D5995" s="800">
        <v>204.56</v>
      </c>
    </row>
    <row r="5996" spans="1:4" ht="67.5">
      <c r="A5996" s="798">
        <v>94438</v>
      </c>
      <c r="B5996" s="799" t="s">
        <v>2314</v>
      </c>
      <c r="C5996" s="798" t="s">
        <v>32</v>
      </c>
      <c r="D5996" s="800">
        <v>36.82</v>
      </c>
    </row>
    <row r="5997" spans="1:4" ht="67.5">
      <c r="A5997" s="798">
        <v>94439</v>
      </c>
      <c r="B5997" s="799" t="s">
        <v>7855</v>
      </c>
      <c r="C5997" s="798" t="s">
        <v>32</v>
      </c>
      <c r="D5997" s="800">
        <v>41.45</v>
      </c>
    </row>
    <row r="5998" spans="1:4" ht="67.5">
      <c r="A5998" s="798">
        <v>94779</v>
      </c>
      <c r="B5998" s="799" t="s">
        <v>2436</v>
      </c>
      <c r="C5998" s="798" t="s">
        <v>32</v>
      </c>
      <c r="D5998" s="800">
        <v>35.92</v>
      </c>
    </row>
    <row r="5999" spans="1:4" ht="67.5">
      <c r="A5999" s="798">
        <v>94782</v>
      </c>
      <c r="B5999" s="799" t="s">
        <v>7856</v>
      </c>
      <c r="C5999" s="798" t="s">
        <v>32</v>
      </c>
      <c r="D5999" s="800">
        <v>41.06</v>
      </c>
    </row>
    <row r="6000" spans="1:4" ht="27">
      <c r="A6000" s="798">
        <v>102803</v>
      </c>
      <c r="B6000" s="799" t="s">
        <v>7269</v>
      </c>
      <c r="C6000" s="798" t="s">
        <v>32</v>
      </c>
      <c r="D6000" s="800">
        <v>1.73</v>
      </c>
    </row>
    <row r="6001" spans="1:4" ht="27">
      <c r="A6001" s="798">
        <v>101742</v>
      </c>
      <c r="B6001" s="799" t="s">
        <v>5748</v>
      </c>
      <c r="C6001" s="798" t="s">
        <v>14</v>
      </c>
      <c r="D6001" s="800">
        <v>46.04</v>
      </c>
    </row>
    <row r="6002" spans="1:4" ht="54">
      <c r="A6002" s="798">
        <v>87871</v>
      </c>
      <c r="B6002" s="799" t="s">
        <v>967</v>
      </c>
      <c r="C6002" s="798" t="s">
        <v>32</v>
      </c>
      <c r="D6002" s="800">
        <v>14.28</v>
      </c>
    </row>
    <row r="6003" spans="1:4" ht="54">
      <c r="A6003" s="798">
        <v>87872</v>
      </c>
      <c r="B6003" s="799" t="s">
        <v>968</v>
      </c>
      <c r="C6003" s="798" t="s">
        <v>32</v>
      </c>
      <c r="D6003" s="800">
        <v>13.68</v>
      </c>
    </row>
    <row r="6004" spans="1:4" ht="54">
      <c r="A6004" s="798">
        <v>87873</v>
      </c>
      <c r="B6004" s="799" t="s">
        <v>94</v>
      </c>
      <c r="C6004" s="798" t="s">
        <v>32</v>
      </c>
      <c r="D6004" s="800">
        <v>9.01</v>
      </c>
    </row>
    <row r="6005" spans="1:4" ht="54">
      <c r="A6005" s="798">
        <v>87874</v>
      </c>
      <c r="B6005" s="799" t="s">
        <v>95</v>
      </c>
      <c r="C6005" s="798" t="s">
        <v>32</v>
      </c>
      <c r="D6005" s="800">
        <v>8.89</v>
      </c>
    </row>
    <row r="6006" spans="1:4" ht="54">
      <c r="A6006" s="798">
        <v>87876</v>
      </c>
      <c r="B6006" s="799" t="s">
        <v>969</v>
      </c>
      <c r="C6006" s="798" t="s">
        <v>32</v>
      </c>
      <c r="D6006" s="800">
        <v>9.25</v>
      </c>
    </row>
    <row r="6007" spans="1:4" ht="54">
      <c r="A6007" s="798">
        <v>87877</v>
      </c>
      <c r="B6007" s="799" t="s">
        <v>96</v>
      </c>
      <c r="C6007" s="798" t="s">
        <v>32</v>
      </c>
      <c r="D6007" s="800">
        <v>8.9499999999999993</v>
      </c>
    </row>
    <row r="6008" spans="1:4" ht="40.5">
      <c r="A6008" s="798">
        <v>87878</v>
      </c>
      <c r="B6008" s="799" t="s">
        <v>970</v>
      </c>
      <c r="C6008" s="798" t="s">
        <v>32</v>
      </c>
      <c r="D6008" s="800">
        <v>3.73</v>
      </c>
    </row>
    <row r="6009" spans="1:4" ht="40.5">
      <c r="A6009" s="798">
        <v>87879</v>
      </c>
      <c r="B6009" s="799" t="s">
        <v>971</v>
      </c>
      <c r="C6009" s="798" t="s">
        <v>32</v>
      </c>
      <c r="D6009" s="800">
        <v>3.3</v>
      </c>
    </row>
    <row r="6010" spans="1:4" ht="40.5">
      <c r="A6010" s="798">
        <v>87881</v>
      </c>
      <c r="B6010" s="799" t="s">
        <v>972</v>
      </c>
      <c r="C6010" s="798" t="s">
        <v>32</v>
      </c>
      <c r="D6010" s="800">
        <v>8.92</v>
      </c>
    </row>
    <row r="6011" spans="1:4" ht="40.5">
      <c r="A6011" s="798">
        <v>87882</v>
      </c>
      <c r="B6011" s="799" t="s">
        <v>973</v>
      </c>
      <c r="C6011" s="798" t="s">
        <v>32</v>
      </c>
      <c r="D6011" s="800">
        <v>8.8000000000000007</v>
      </c>
    </row>
    <row r="6012" spans="1:4" ht="40.5">
      <c r="A6012" s="798">
        <v>87884</v>
      </c>
      <c r="B6012" s="799" t="s">
        <v>974</v>
      </c>
      <c r="C6012" s="798" t="s">
        <v>32</v>
      </c>
      <c r="D6012" s="800">
        <v>9.16</v>
      </c>
    </row>
    <row r="6013" spans="1:4" ht="40.5">
      <c r="A6013" s="798">
        <v>87885</v>
      </c>
      <c r="B6013" s="799" t="s">
        <v>975</v>
      </c>
      <c r="C6013" s="798" t="s">
        <v>32</v>
      </c>
      <c r="D6013" s="800">
        <v>8.86</v>
      </c>
    </row>
    <row r="6014" spans="1:4" ht="40.5">
      <c r="A6014" s="798">
        <v>87886</v>
      </c>
      <c r="B6014" s="799" t="s">
        <v>976</v>
      </c>
      <c r="C6014" s="798" t="s">
        <v>32</v>
      </c>
      <c r="D6014" s="800">
        <v>19.239999999999998</v>
      </c>
    </row>
    <row r="6015" spans="1:4" ht="40.5">
      <c r="A6015" s="798">
        <v>87887</v>
      </c>
      <c r="B6015" s="799" t="s">
        <v>977</v>
      </c>
      <c r="C6015" s="798" t="s">
        <v>32</v>
      </c>
      <c r="D6015" s="800">
        <v>18.64</v>
      </c>
    </row>
    <row r="6016" spans="1:4" ht="54">
      <c r="A6016" s="798">
        <v>87888</v>
      </c>
      <c r="B6016" s="799" t="s">
        <v>97</v>
      </c>
      <c r="C6016" s="798" t="s">
        <v>32</v>
      </c>
      <c r="D6016" s="800">
        <v>10.07</v>
      </c>
    </row>
    <row r="6017" spans="1:4" ht="67.5">
      <c r="A6017" s="798">
        <v>87889</v>
      </c>
      <c r="B6017" s="799" t="s">
        <v>978</v>
      </c>
      <c r="C6017" s="798" t="s">
        <v>32</v>
      </c>
      <c r="D6017" s="800">
        <v>9.9499999999999993</v>
      </c>
    </row>
    <row r="6018" spans="1:4" ht="54">
      <c r="A6018" s="798">
        <v>87891</v>
      </c>
      <c r="B6018" s="799" t="s">
        <v>979</v>
      </c>
      <c r="C6018" s="798" t="s">
        <v>32</v>
      </c>
      <c r="D6018" s="800">
        <v>10.31</v>
      </c>
    </row>
    <row r="6019" spans="1:4" ht="54">
      <c r="A6019" s="798">
        <v>87892</v>
      </c>
      <c r="B6019" s="799" t="s">
        <v>980</v>
      </c>
      <c r="C6019" s="798" t="s">
        <v>32</v>
      </c>
      <c r="D6019" s="800">
        <v>10.01</v>
      </c>
    </row>
    <row r="6020" spans="1:4" ht="54">
      <c r="A6020" s="798">
        <v>87893</v>
      </c>
      <c r="B6020" s="799" t="s">
        <v>98</v>
      </c>
      <c r="C6020" s="798" t="s">
        <v>32</v>
      </c>
      <c r="D6020" s="800">
        <v>5.57</v>
      </c>
    </row>
    <row r="6021" spans="1:4" ht="54">
      <c r="A6021" s="798">
        <v>87894</v>
      </c>
      <c r="B6021" s="799" t="s">
        <v>99</v>
      </c>
      <c r="C6021" s="798" t="s">
        <v>32</v>
      </c>
      <c r="D6021" s="800">
        <v>5.14</v>
      </c>
    </row>
    <row r="6022" spans="1:4" ht="54">
      <c r="A6022" s="798">
        <v>87896</v>
      </c>
      <c r="B6022" s="799" t="s">
        <v>100</v>
      </c>
      <c r="C6022" s="798" t="s">
        <v>32</v>
      </c>
      <c r="D6022" s="800">
        <v>5.28</v>
      </c>
    </row>
    <row r="6023" spans="1:4" ht="54">
      <c r="A6023" s="798">
        <v>87897</v>
      </c>
      <c r="B6023" s="799" t="s">
        <v>101</v>
      </c>
      <c r="C6023" s="798" t="s">
        <v>32</v>
      </c>
      <c r="D6023" s="800">
        <v>4.8499999999999996</v>
      </c>
    </row>
    <row r="6024" spans="1:4" ht="54">
      <c r="A6024" s="798">
        <v>87899</v>
      </c>
      <c r="B6024" s="799" t="s">
        <v>102</v>
      </c>
      <c r="C6024" s="798" t="s">
        <v>32</v>
      </c>
      <c r="D6024" s="800">
        <v>11</v>
      </c>
    </row>
    <row r="6025" spans="1:4" ht="67.5">
      <c r="A6025" s="798">
        <v>87900</v>
      </c>
      <c r="B6025" s="799" t="s">
        <v>981</v>
      </c>
      <c r="C6025" s="798" t="s">
        <v>32</v>
      </c>
      <c r="D6025" s="800">
        <v>10.88</v>
      </c>
    </row>
    <row r="6026" spans="1:4" ht="54">
      <c r="A6026" s="798">
        <v>87902</v>
      </c>
      <c r="B6026" s="799" t="s">
        <v>982</v>
      </c>
      <c r="C6026" s="798" t="s">
        <v>32</v>
      </c>
      <c r="D6026" s="800">
        <v>11.24</v>
      </c>
    </row>
    <row r="6027" spans="1:4" ht="54">
      <c r="A6027" s="798">
        <v>87903</v>
      </c>
      <c r="B6027" s="799" t="s">
        <v>983</v>
      </c>
      <c r="C6027" s="798" t="s">
        <v>32</v>
      </c>
      <c r="D6027" s="800">
        <v>10.94</v>
      </c>
    </row>
    <row r="6028" spans="1:4" ht="54">
      <c r="A6028" s="798">
        <v>87904</v>
      </c>
      <c r="B6028" s="799" t="s">
        <v>103</v>
      </c>
      <c r="C6028" s="798" t="s">
        <v>32</v>
      </c>
      <c r="D6028" s="800">
        <v>7.13</v>
      </c>
    </row>
    <row r="6029" spans="1:4" ht="54">
      <c r="A6029" s="798">
        <v>87905</v>
      </c>
      <c r="B6029" s="799" t="s">
        <v>104</v>
      </c>
      <c r="C6029" s="798" t="s">
        <v>32</v>
      </c>
      <c r="D6029" s="800">
        <v>6.7</v>
      </c>
    </row>
    <row r="6030" spans="1:4" ht="54">
      <c r="A6030" s="798">
        <v>87907</v>
      </c>
      <c r="B6030" s="799" t="s">
        <v>105</v>
      </c>
      <c r="C6030" s="798" t="s">
        <v>32</v>
      </c>
      <c r="D6030" s="800">
        <v>6.71</v>
      </c>
    </row>
    <row r="6031" spans="1:4" ht="54">
      <c r="A6031" s="798">
        <v>87908</v>
      </c>
      <c r="B6031" s="799" t="s">
        <v>106</v>
      </c>
      <c r="C6031" s="798" t="s">
        <v>32</v>
      </c>
      <c r="D6031" s="800">
        <v>6.28</v>
      </c>
    </row>
    <row r="6032" spans="1:4" ht="40.5">
      <c r="A6032" s="798">
        <v>87910</v>
      </c>
      <c r="B6032" s="799" t="s">
        <v>984</v>
      </c>
      <c r="C6032" s="798" t="s">
        <v>32</v>
      </c>
      <c r="D6032" s="800">
        <v>19.13</v>
      </c>
    </row>
    <row r="6033" spans="1:4" ht="54">
      <c r="A6033" s="798">
        <v>87911</v>
      </c>
      <c r="B6033" s="799" t="s">
        <v>985</v>
      </c>
      <c r="C6033" s="798" t="s">
        <v>32</v>
      </c>
      <c r="D6033" s="800">
        <v>18.53</v>
      </c>
    </row>
    <row r="6034" spans="1:4" ht="40.5">
      <c r="A6034" s="798">
        <v>87411</v>
      </c>
      <c r="B6034" s="799" t="s">
        <v>846</v>
      </c>
      <c r="C6034" s="798" t="s">
        <v>32</v>
      </c>
      <c r="D6034" s="800">
        <v>14.54</v>
      </c>
    </row>
    <row r="6035" spans="1:4" ht="40.5">
      <c r="A6035" s="798">
        <v>87412</v>
      </c>
      <c r="B6035" s="799" t="s">
        <v>847</v>
      </c>
      <c r="C6035" s="798" t="s">
        <v>32</v>
      </c>
      <c r="D6035" s="800">
        <v>19.47</v>
      </c>
    </row>
    <row r="6036" spans="1:4" ht="40.5">
      <c r="A6036" s="798">
        <v>87413</v>
      </c>
      <c r="B6036" s="799" t="s">
        <v>848</v>
      </c>
      <c r="C6036" s="798" t="s">
        <v>32</v>
      </c>
      <c r="D6036" s="800">
        <v>22.29</v>
      </c>
    </row>
    <row r="6037" spans="1:4" ht="40.5">
      <c r="A6037" s="798">
        <v>87414</v>
      </c>
      <c r="B6037" s="799" t="s">
        <v>849</v>
      </c>
      <c r="C6037" s="798" t="s">
        <v>32</v>
      </c>
      <c r="D6037" s="800">
        <v>22.48</v>
      </c>
    </row>
    <row r="6038" spans="1:4" ht="40.5">
      <c r="A6038" s="798">
        <v>87415</v>
      </c>
      <c r="B6038" s="799" t="s">
        <v>850</v>
      </c>
      <c r="C6038" s="798" t="s">
        <v>32</v>
      </c>
      <c r="D6038" s="800">
        <v>27.25</v>
      </c>
    </row>
    <row r="6039" spans="1:4" ht="34.5" customHeight="1">
      <c r="A6039" s="798">
        <v>87416</v>
      </c>
      <c r="B6039" s="799" t="s">
        <v>851</v>
      </c>
      <c r="C6039" s="798" t="s">
        <v>32</v>
      </c>
      <c r="D6039" s="800">
        <v>30.25</v>
      </c>
    </row>
    <row r="6040" spans="1:4" ht="40.5">
      <c r="A6040" s="798">
        <v>87417</v>
      </c>
      <c r="B6040" s="799" t="s">
        <v>852</v>
      </c>
      <c r="C6040" s="798" t="s">
        <v>32</v>
      </c>
      <c r="D6040" s="800">
        <v>15.24</v>
      </c>
    </row>
    <row r="6041" spans="1:4" ht="40.5">
      <c r="A6041" s="798">
        <v>87418</v>
      </c>
      <c r="B6041" s="799" t="s">
        <v>853</v>
      </c>
      <c r="C6041" s="798" t="s">
        <v>32</v>
      </c>
      <c r="D6041" s="800">
        <v>15.6</v>
      </c>
    </row>
    <row r="6042" spans="1:4" ht="40.5">
      <c r="A6042" s="798">
        <v>87419</v>
      </c>
      <c r="B6042" s="799" t="s">
        <v>854</v>
      </c>
      <c r="C6042" s="798" t="s">
        <v>32</v>
      </c>
      <c r="D6042" s="800">
        <v>16.66</v>
      </c>
    </row>
    <row r="6043" spans="1:4" ht="40.5">
      <c r="A6043" s="798">
        <v>87420</v>
      </c>
      <c r="B6043" s="799" t="s">
        <v>855</v>
      </c>
      <c r="C6043" s="798" t="s">
        <v>32</v>
      </c>
      <c r="D6043" s="800">
        <v>23.72</v>
      </c>
    </row>
    <row r="6044" spans="1:4" ht="33" customHeight="1">
      <c r="A6044" s="798">
        <v>87421</v>
      </c>
      <c r="B6044" s="799" t="s">
        <v>856</v>
      </c>
      <c r="C6044" s="798" t="s">
        <v>32</v>
      </c>
      <c r="D6044" s="800">
        <v>24.08</v>
      </c>
    </row>
    <row r="6045" spans="1:4" ht="40.5">
      <c r="A6045" s="798">
        <v>87422</v>
      </c>
      <c r="B6045" s="799" t="s">
        <v>857</v>
      </c>
      <c r="C6045" s="798" t="s">
        <v>32</v>
      </c>
      <c r="D6045" s="800">
        <v>25.14</v>
      </c>
    </row>
    <row r="6046" spans="1:4" ht="40.5">
      <c r="A6046" s="798">
        <v>87423</v>
      </c>
      <c r="B6046" s="799" t="s">
        <v>858</v>
      </c>
      <c r="C6046" s="798" t="s">
        <v>32</v>
      </c>
      <c r="D6046" s="800">
        <v>29.7</v>
      </c>
    </row>
    <row r="6047" spans="1:4" ht="40.5">
      <c r="A6047" s="798">
        <v>87424</v>
      </c>
      <c r="B6047" s="799" t="s">
        <v>859</v>
      </c>
      <c r="C6047" s="798" t="s">
        <v>32</v>
      </c>
      <c r="D6047" s="800">
        <v>30.25</v>
      </c>
    </row>
    <row r="6048" spans="1:4" ht="40.5">
      <c r="A6048" s="798">
        <v>87425</v>
      </c>
      <c r="B6048" s="799" t="s">
        <v>860</v>
      </c>
      <c r="C6048" s="798" t="s">
        <v>32</v>
      </c>
      <c r="D6048" s="800">
        <v>31.12</v>
      </c>
    </row>
    <row r="6049" spans="1:4" ht="40.5">
      <c r="A6049" s="798">
        <v>87426</v>
      </c>
      <c r="B6049" s="799" t="s">
        <v>861</v>
      </c>
      <c r="C6049" s="798" t="s">
        <v>32</v>
      </c>
      <c r="D6049" s="800">
        <v>35.619999999999997</v>
      </c>
    </row>
    <row r="6050" spans="1:4" ht="40.5">
      <c r="A6050" s="798">
        <v>87427</v>
      </c>
      <c r="B6050" s="799" t="s">
        <v>862</v>
      </c>
      <c r="C6050" s="798" t="s">
        <v>32</v>
      </c>
      <c r="D6050" s="800">
        <v>36.17</v>
      </c>
    </row>
    <row r="6051" spans="1:4" ht="40.5">
      <c r="A6051" s="798">
        <v>87428</v>
      </c>
      <c r="B6051" s="799" t="s">
        <v>863</v>
      </c>
      <c r="C6051" s="798" t="s">
        <v>32</v>
      </c>
      <c r="D6051" s="800">
        <v>37.04</v>
      </c>
    </row>
    <row r="6052" spans="1:4" ht="54">
      <c r="A6052" s="798">
        <v>87429</v>
      </c>
      <c r="B6052" s="799" t="s">
        <v>864</v>
      </c>
      <c r="C6052" s="798" t="s">
        <v>32</v>
      </c>
      <c r="D6052" s="800">
        <v>15.23</v>
      </c>
    </row>
    <row r="6053" spans="1:4" ht="54">
      <c r="A6053" s="798">
        <v>87430</v>
      </c>
      <c r="B6053" s="799" t="s">
        <v>865</v>
      </c>
      <c r="C6053" s="798" t="s">
        <v>32</v>
      </c>
      <c r="D6053" s="800">
        <v>15.59</v>
      </c>
    </row>
    <row r="6054" spans="1:4" ht="54">
      <c r="A6054" s="798">
        <v>87431</v>
      </c>
      <c r="B6054" s="799" t="s">
        <v>866</v>
      </c>
      <c r="C6054" s="798" t="s">
        <v>32</v>
      </c>
      <c r="D6054" s="800">
        <v>15.78</v>
      </c>
    </row>
    <row r="6055" spans="1:4" ht="54">
      <c r="A6055" s="798">
        <v>87432</v>
      </c>
      <c r="B6055" s="799" t="s">
        <v>867</v>
      </c>
      <c r="C6055" s="798" t="s">
        <v>32</v>
      </c>
      <c r="D6055" s="800">
        <v>22.45</v>
      </c>
    </row>
    <row r="6056" spans="1:4" ht="54">
      <c r="A6056" s="798">
        <v>87433</v>
      </c>
      <c r="B6056" s="799" t="s">
        <v>868</v>
      </c>
      <c r="C6056" s="798" t="s">
        <v>32</v>
      </c>
      <c r="D6056" s="800">
        <v>23.17</v>
      </c>
    </row>
    <row r="6057" spans="1:4" ht="54">
      <c r="A6057" s="798">
        <v>87434</v>
      </c>
      <c r="B6057" s="799" t="s">
        <v>869</v>
      </c>
      <c r="C6057" s="798" t="s">
        <v>32</v>
      </c>
      <c r="D6057" s="800">
        <v>23.69</v>
      </c>
    </row>
    <row r="6058" spans="1:4" ht="54">
      <c r="A6058" s="798">
        <v>87435</v>
      </c>
      <c r="B6058" s="799" t="s">
        <v>870</v>
      </c>
      <c r="C6058" s="798" t="s">
        <v>32</v>
      </c>
      <c r="D6058" s="800">
        <v>24.74</v>
      </c>
    </row>
    <row r="6059" spans="1:4" ht="54">
      <c r="A6059" s="798">
        <v>87436</v>
      </c>
      <c r="B6059" s="799" t="s">
        <v>871</v>
      </c>
      <c r="C6059" s="798" t="s">
        <v>32</v>
      </c>
      <c r="D6059" s="800">
        <v>25.98</v>
      </c>
    </row>
    <row r="6060" spans="1:4" ht="54">
      <c r="A6060" s="798">
        <v>87437</v>
      </c>
      <c r="B6060" s="799" t="s">
        <v>90</v>
      </c>
      <c r="C6060" s="798" t="s">
        <v>32</v>
      </c>
      <c r="D6060" s="800">
        <v>26.86</v>
      </c>
    </row>
    <row r="6061" spans="1:4" ht="54">
      <c r="A6061" s="798">
        <v>87438</v>
      </c>
      <c r="B6061" s="799" t="s">
        <v>872</v>
      </c>
      <c r="C6061" s="798" t="s">
        <v>32</v>
      </c>
      <c r="D6061" s="800">
        <v>30.73</v>
      </c>
    </row>
    <row r="6062" spans="1:4" ht="54">
      <c r="A6062" s="798">
        <v>87439</v>
      </c>
      <c r="B6062" s="799" t="s">
        <v>873</v>
      </c>
      <c r="C6062" s="798" t="s">
        <v>32</v>
      </c>
      <c r="D6062" s="800">
        <v>32.31</v>
      </c>
    </row>
    <row r="6063" spans="1:4" ht="54">
      <c r="A6063" s="798">
        <v>87440</v>
      </c>
      <c r="B6063" s="799" t="s">
        <v>91</v>
      </c>
      <c r="C6063" s="798" t="s">
        <v>32</v>
      </c>
      <c r="D6063" s="800">
        <v>33.04</v>
      </c>
    </row>
    <row r="6064" spans="1:4" ht="67.5">
      <c r="A6064" s="798">
        <v>87527</v>
      </c>
      <c r="B6064" s="799" t="s">
        <v>874</v>
      </c>
      <c r="C6064" s="798" t="s">
        <v>32</v>
      </c>
      <c r="D6064" s="800">
        <v>31.06</v>
      </c>
    </row>
    <row r="6065" spans="1:4" ht="67.5">
      <c r="A6065" s="798">
        <v>87528</v>
      </c>
      <c r="B6065" s="799" t="s">
        <v>875</v>
      </c>
      <c r="C6065" s="798" t="s">
        <v>32</v>
      </c>
      <c r="D6065" s="800">
        <v>34.700000000000003</v>
      </c>
    </row>
    <row r="6066" spans="1:4" ht="67.5">
      <c r="A6066" s="798">
        <v>87529</v>
      </c>
      <c r="B6066" s="799" t="s">
        <v>876</v>
      </c>
      <c r="C6066" s="798" t="s">
        <v>32</v>
      </c>
      <c r="D6066" s="800">
        <v>28.39</v>
      </c>
    </row>
    <row r="6067" spans="1:4" ht="54">
      <c r="A6067" s="798">
        <v>87530</v>
      </c>
      <c r="B6067" s="799" t="s">
        <v>877</v>
      </c>
      <c r="C6067" s="798" t="s">
        <v>32</v>
      </c>
      <c r="D6067" s="800">
        <v>32.03</v>
      </c>
    </row>
    <row r="6068" spans="1:4" ht="67.5">
      <c r="A6068" s="798">
        <v>87531</v>
      </c>
      <c r="B6068" s="799" t="s">
        <v>878</v>
      </c>
      <c r="C6068" s="798" t="s">
        <v>32</v>
      </c>
      <c r="D6068" s="800">
        <v>27.43</v>
      </c>
    </row>
    <row r="6069" spans="1:4" ht="67.5">
      <c r="A6069" s="798">
        <v>87532</v>
      </c>
      <c r="B6069" s="799" t="s">
        <v>879</v>
      </c>
      <c r="C6069" s="798" t="s">
        <v>32</v>
      </c>
      <c r="D6069" s="800">
        <v>31.07</v>
      </c>
    </row>
    <row r="6070" spans="1:4" ht="67.5">
      <c r="A6070" s="798">
        <v>87535</v>
      </c>
      <c r="B6070" s="799" t="s">
        <v>880</v>
      </c>
      <c r="C6070" s="798" t="s">
        <v>32</v>
      </c>
      <c r="D6070" s="800">
        <v>24.75</v>
      </c>
    </row>
    <row r="6071" spans="1:4" ht="67.5">
      <c r="A6071" s="798">
        <v>87536</v>
      </c>
      <c r="B6071" s="799" t="s">
        <v>881</v>
      </c>
      <c r="C6071" s="798" t="s">
        <v>32</v>
      </c>
      <c r="D6071" s="800">
        <v>28.39</v>
      </c>
    </row>
    <row r="6072" spans="1:4" ht="81">
      <c r="A6072" s="798">
        <v>87537</v>
      </c>
      <c r="B6072" s="799" t="s">
        <v>882</v>
      </c>
      <c r="C6072" s="798" t="s">
        <v>32</v>
      </c>
      <c r="D6072" s="800">
        <v>76.7</v>
      </c>
    </row>
    <row r="6073" spans="1:4" ht="67.5">
      <c r="A6073" s="798">
        <v>87538</v>
      </c>
      <c r="B6073" s="799" t="s">
        <v>883</v>
      </c>
      <c r="C6073" s="798" t="s">
        <v>32</v>
      </c>
      <c r="D6073" s="800">
        <v>74.41</v>
      </c>
    </row>
    <row r="6074" spans="1:4" ht="81">
      <c r="A6074" s="798">
        <v>87539</v>
      </c>
      <c r="B6074" s="799" t="s">
        <v>884</v>
      </c>
      <c r="C6074" s="798" t="s">
        <v>32</v>
      </c>
      <c r="D6074" s="800">
        <v>73.599999999999994</v>
      </c>
    </row>
    <row r="6075" spans="1:4" ht="81">
      <c r="A6075" s="798">
        <v>87541</v>
      </c>
      <c r="B6075" s="799" t="s">
        <v>885</v>
      </c>
      <c r="C6075" s="798" t="s">
        <v>32</v>
      </c>
      <c r="D6075" s="800">
        <v>71.319999999999993</v>
      </c>
    </row>
    <row r="6076" spans="1:4" ht="67.5">
      <c r="A6076" s="798">
        <v>87543</v>
      </c>
      <c r="B6076" s="799" t="s">
        <v>3185</v>
      </c>
      <c r="C6076" s="798" t="s">
        <v>32</v>
      </c>
      <c r="D6076" s="800">
        <v>23.82</v>
      </c>
    </row>
    <row r="6077" spans="1:4" ht="67.5">
      <c r="A6077" s="798">
        <v>87545</v>
      </c>
      <c r="B6077" s="799" t="s">
        <v>886</v>
      </c>
      <c r="C6077" s="798" t="s">
        <v>32</v>
      </c>
      <c r="D6077" s="800">
        <v>20.8</v>
      </c>
    </row>
    <row r="6078" spans="1:4" ht="67.5">
      <c r="A6078" s="798">
        <v>87546</v>
      </c>
      <c r="B6078" s="799" t="s">
        <v>887</v>
      </c>
      <c r="C6078" s="798" t="s">
        <v>32</v>
      </c>
      <c r="D6078" s="800">
        <v>22.86</v>
      </c>
    </row>
    <row r="6079" spans="1:4" ht="67.5">
      <c r="A6079" s="798">
        <v>87547</v>
      </c>
      <c r="B6079" s="799" t="s">
        <v>888</v>
      </c>
      <c r="C6079" s="798" t="s">
        <v>32</v>
      </c>
      <c r="D6079" s="800">
        <v>18.14</v>
      </c>
    </row>
    <row r="6080" spans="1:4" ht="54">
      <c r="A6080" s="798">
        <v>87548</v>
      </c>
      <c r="B6080" s="799" t="s">
        <v>889</v>
      </c>
      <c r="C6080" s="798" t="s">
        <v>32</v>
      </c>
      <c r="D6080" s="800">
        <v>20.2</v>
      </c>
    </row>
    <row r="6081" spans="1:4" ht="67.5">
      <c r="A6081" s="798">
        <v>87549</v>
      </c>
      <c r="B6081" s="799" t="s">
        <v>890</v>
      </c>
      <c r="C6081" s="798" t="s">
        <v>32</v>
      </c>
      <c r="D6081" s="800">
        <v>17.16</v>
      </c>
    </row>
    <row r="6082" spans="1:4" ht="67.5">
      <c r="A6082" s="798">
        <v>87550</v>
      </c>
      <c r="B6082" s="799" t="s">
        <v>891</v>
      </c>
      <c r="C6082" s="798" t="s">
        <v>32</v>
      </c>
      <c r="D6082" s="800">
        <v>19.22</v>
      </c>
    </row>
    <row r="6083" spans="1:4" ht="67.5">
      <c r="A6083" s="798">
        <v>87553</v>
      </c>
      <c r="B6083" s="799" t="s">
        <v>892</v>
      </c>
      <c r="C6083" s="798" t="s">
        <v>32</v>
      </c>
      <c r="D6083" s="800">
        <v>14.49</v>
      </c>
    </row>
    <row r="6084" spans="1:4" ht="67.5">
      <c r="A6084" s="798">
        <v>87554</v>
      </c>
      <c r="B6084" s="799" t="s">
        <v>893</v>
      </c>
      <c r="C6084" s="798" t="s">
        <v>32</v>
      </c>
      <c r="D6084" s="800">
        <v>16.55</v>
      </c>
    </row>
    <row r="6085" spans="1:4" ht="81">
      <c r="A6085" s="798">
        <v>87555</v>
      </c>
      <c r="B6085" s="799" t="s">
        <v>894</v>
      </c>
      <c r="C6085" s="798" t="s">
        <v>32</v>
      </c>
      <c r="D6085" s="800">
        <v>45.81</v>
      </c>
    </row>
    <row r="6086" spans="1:4" ht="67.5">
      <c r="A6086" s="798">
        <v>87556</v>
      </c>
      <c r="B6086" s="799" t="s">
        <v>895</v>
      </c>
      <c r="C6086" s="798" t="s">
        <v>32</v>
      </c>
      <c r="D6086" s="800">
        <v>43.54</v>
      </c>
    </row>
    <row r="6087" spans="1:4" ht="81">
      <c r="A6087" s="798">
        <v>87557</v>
      </c>
      <c r="B6087" s="799" t="s">
        <v>896</v>
      </c>
      <c r="C6087" s="798" t="s">
        <v>32</v>
      </c>
      <c r="D6087" s="800">
        <v>42.71</v>
      </c>
    </row>
    <row r="6088" spans="1:4" ht="81">
      <c r="A6088" s="798">
        <v>87559</v>
      </c>
      <c r="B6088" s="799" t="s">
        <v>897</v>
      </c>
      <c r="C6088" s="798" t="s">
        <v>32</v>
      </c>
      <c r="D6088" s="800">
        <v>40.42</v>
      </c>
    </row>
    <row r="6089" spans="1:4" ht="81">
      <c r="A6089" s="798">
        <v>87561</v>
      </c>
      <c r="B6089" s="799" t="s">
        <v>898</v>
      </c>
      <c r="C6089" s="798" t="s">
        <v>32</v>
      </c>
      <c r="D6089" s="800">
        <v>42.92</v>
      </c>
    </row>
    <row r="6090" spans="1:4" ht="54">
      <c r="A6090" s="798">
        <v>87775</v>
      </c>
      <c r="B6090" s="799" t="s">
        <v>899</v>
      </c>
      <c r="C6090" s="798" t="s">
        <v>32</v>
      </c>
      <c r="D6090" s="800">
        <v>45.16</v>
      </c>
    </row>
    <row r="6091" spans="1:4" ht="54">
      <c r="A6091" s="798">
        <v>87777</v>
      </c>
      <c r="B6091" s="799" t="s">
        <v>900</v>
      </c>
      <c r="C6091" s="798" t="s">
        <v>32</v>
      </c>
      <c r="D6091" s="800">
        <v>48.2</v>
      </c>
    </row>
    <row r="6092" spans="1:4" ht="67.5">
      <c r="A6092" s="798">
        <v>87778</v>
      </c>
      <c r="B6092" s="799" t="s">
        <v>901</v>
      </c>
      <c r="C6092" s="798" t="s">
        <v>32</v>
      </c>
      <c r="D6092" s="800">
        <v>81.290000000000006</v>
      </c>
    </row>
    <row r="6093" spans="1:4" ht="54">
      <c r="A6093" s="798">
        <v>87779</v>
      </c>
      <c r="B6093" s="799" t="s">
        <v>902</v>
      </c>
      <c r="C6093" s="798" t="s">
        <v>32</v>
      </c>
      <c r="D6093" s="800">
        <v>52.69</v>
      </c>
    </row>
    <row r="6094" spans="1:4" ht="54">
      <c r="A6094" s="798">
        <v>87781</v>
      </c>
      <c r="B6094" s="799" t="s">
        <v>903</v>
      </c>
      <c r="C6094" s="798" t="s">
        <v>32</v>
      </c>
      <c r="D6094" s="800">
        <v>56.77</v>
      </c>
    </row>
    <row r="6095" spans="1:4" ht="67.5">
      <c r="A6095" s="798">
        <v>87783</v>
      </c>
      <c r="B6095" s="799" t="s">
        <v>904</v>
      </c>
      <c r="C6095" s="798" t="s">
        <v>32</v>
      </c>
      <c r="D6095" s="800">
        <v>102.65</v>
      </c>
    </row>
    <row r="6096" spans="1:4" ht="54">
      <c r="A6096" s="798">
        <v>87784</v>
      </c>
      <c r="B6096" s="799" t="s">
        <v>905</v>
      </c>
      <c r="C6096" s="798" t="s">
        <v>32</v>
      </c>
      <c r="D6096" s="800">
        <v>60.25</v>
      </c>
    </row>
    <row r="6097" spans="1:4" ht="54">
      <c r="A6097" s="798">
        <v>87786</v>
      </c>
      <c r="B6097" s="799" t="s">
        <v>906</v>
      </c>
      <c r="C6097" s="798" t="s">
        <v>32</v>
      </c>
      <c r="D6097" s="800">
        <v>65.349999999999994</v>
      </c>
    </row>
    <row r="6098" spans="1:4" ht="67.5">
      <c r="A6098" s="798">
        <v>87787</v>
      </c>
      <c r="B6098" s="799" t="s">
        <v>907</v>
      </c>
      <c r="C6098" s="798" t="s">
        <v>32</v>
      </c>
      <c r="D6098" s="800">
        <v>124.01</v>
      </c>
    </row>
    <row r="6099" spans="1:4" ht="54">
      <c r="A6099" s="798">
        <v>87788</v>
      </c>
      <c r="B6099" s="799" t="s">
        <v>908</v>
      </c>
      <c r="C6099" s="798" t="s">
        <v>32</v>
      </c>
      <c r="D6099" s="800">
        <v>75.900000000000006</v>
      </c>
    </row>
    <row r="6100" spans="1:4" ht="54">
      <c r="A6100" s="798">
        <v>87790</v>
      </c>
      <c r="B6100" s="799" t="s">
        <v>909</v>
      </c>
      <c r="C6100" s="798" t="s">
        <v>32</v>
      </c>
      <c r="D6100" s="800">
        <v>81.53</v>
      </c>
    </row>
    <row r="6101" spans="1:4" ht="67.5">
      <c r="A6101" s="798">
        <v>87791</v>
      </c>
      <c r="B6101" s="799" t="s">
        <v>910</v>
      </c>
      <c r="C6101" s="798" t="s">
        <v>32</v>
      </c>
      <c r="D6101" s="800">
        <v>143.46</v>
      </c>
    </row>
    <row r="6102" spans="1:4" ht="54">
      <c r="A6102" s="798">
        <v>87792</v>
      </c>
      <c r="B6102" s="799" t="s">
        <v>911</v>
      </c>
      <c r="C6102" s="798" t="s">
        <v>32</v>
      </c>
      <c r="D6102" s="800">
        <v>31.9</v>
      </c>
    </row>
    <row r="6103" spans="1:4" ht="54">
      <c r="A6103" s="798">
        <v>87794</v>
      </c>
      <c r="B6103" s="799" t="s">
        <v>912</v>
      </c>
      <c r="C6103" s="798" t="s">
        <v>32</v>
      </c>
      <c r="D6103" s="800">
        <v>34.74</v>
      </c>
    </row>
    <row r="6104" spans="1:4" ht="67.5">
      <c r="A6104" s="798">
        <v>87795</v>
      </c>
      <c r="B6104" s="799" t="s">
        <v>913</v>
      </c>
      <c r="C6104" s="798" t="s">
        <v>32</v>
      </c>
      <c r="D6104" s="800">
        <v>65.33</v>
      </c>
    </row>
    <row r="6105" spans="1:4" ht="54">
      <c r="A6105" s="798">
        <v>87797</v>
      </c>
      <c r="B6105" s="799" t="s">
        <v>914</v>
      </c>
      <c r="C6105" s="798" t="s">
        <v>32</v>
      </c>
      <c r="D6105" s="800">
        <v>39.130000000000003</v>
      </c>
    </row>
    <row r="6106" spans="1:4" ht="54">
      <c r="A6106" s="798">
        <v>87799</v>
      </c>
      <c r="B6106" s="799" t="s">
        <v>915</v>
      </c>
      <c r="C6106" s="798" t="s">
        <v>32</v>
      </c>
      <c r="D6106" s="800">
        <v>42.93</v>
      </c>
    </row>
    <row r="6107" spans="1:4" ht="67.5">
      <c r="A6107" s="798">
        <v>87800</v>
      </c>
      <c r="B6107" s="799" t="s">
        <v>916</v>
      </c>
      <c r="C6107" s="798" t="s">
        <v>32</v>
      </c>
      <c r="D6107" s="800">
        <v>85.47</v>
      </c>
    </row>
    <row r="6108" spans="1:4" ht="54">
      <c r="A6108" s="798">
        <v>87801</v>
      </c>
      <c r="B6108" s="799" t="s">
        <v>917</v>
      </c>
      <c r="C6108" s="798" t="s">
        <v>32</v>
      </c>
      <c r="D6108" s="800">
        <v>46.36</v>
      </c>
    </row>
    <row r="6109" spans="1:4" ht="54">
      <c r="A6109" s="798">
        <v>87803</v>
      </c>
      <c r="B6109" s="799" t="s">
        <v>918</v>
      </c>
      <c r="C6109" s="798" t="s">
        <v>32</v>
      </c>
      <c r="D6109" s="800">
        <v>51.13</v>
      </c>
    </row>
    <row r="6110" spans="1:4" ht="67.5">
      <c r="A6110" s="798">
        <v>87804</v>
      </c>
      <c r="B6110" s="799" t="s">
        <v>919</v>
      </c>
      <c r="C6110" s="798" t="s">
        <v>32</v>
      </c>
      <c r="D6110" s="800">
        <v>105.6</v>
      </c>
    </row>
    <row r="6111" spans="1:4" ht="67.5">
      <c r="A6111" s="798">
        <v>87805</v>
      </c>
      <c r="B6111" s="799" t="s">
        <v>920</v>
      </c>
      <c r="C6111" s="798" t="s">
        <v>32</v>
      </c>
      <c r="D6111" s="800">
        <v>52.69</v>
      </c>
    </row>
    <row r="6112" spans="1:4" ht="54">
      <c r="A6112" s="798">
        <v>87807</v>
      </c>
      <c r="B6112" s="799" t="s">
        <v>921</v>
      </c>
      <c r="C6112" s="798" t="s">
        <v>32</v>
      </c>
      <c r="D6112" s="800">
        <v>57.95</v>
      </c>
    </row>
    <row r="6113" spans="1:4" ht="67.5">
      <c r="A6113" s="798">
        <v>87808</v>
      </c>
      <c r="B6113" s="799" t="s">
        <v>922</v>
      </c>
      <c r="C6113" s="798" t="s">
        <v>32</v>
      </c>
      <c r="D6113" s="800">
        <v>115.35</v>
      </c>
    </row>
    <row r="6114" spans="1:4" ht="67.5">
      <c r="A6114" s="798">
        <v>87809</v>
      </c>
      <c r="B6114" s="799" t="s">
        <v>923</v>
      </c>
      <c r="C6114" s="798" t="s">
        <v>32</v>
      </c>
      <c r="D6114" s="800">
        <v>65.92</v>
      </c>
    </row>
    <row r="6115" spans="1:4" ht="67.5">
      <c r="A6115" s="798">
        <v>87811</v>
      </c>
      <c r="B6115" s="799" t="s">
        <v>924</v>
      </c>
      <c r="C6115" s="798" t="s">
        <v>32</v>
      </c>
      <c r="D6115" s="800">
        <v>68.760000000000005</v>
      </c>
    </row>
    <row r="6116" spans="1:4" ht="67.5">
      <c r="A6116" s="798">
        <v>87812</v>
      </c>
      <c r="B6116" s="799" t="s">
        <v>925</v>
      </c>
      <c r="C6116" s="798" t="s">
        <v>32</v>
      </c>
      <c r="D6116" s="800">
        <v>99.01</v>
      </c>
    </row>
    <row r="6117" spans="1:4" ht="67.5">
      <c r="A6117" s="798">
        <v>87813</v>
      </c>
      <c r="B6117" s="799" t="s">
        <v>926</v>
      </c>
      <c r="C6117" s="798" t="s">
        <v>32</v>
      </c>
      <c r="D6117" s="800">
        <v>73.16</v>
      </c>
    </row>
    <row r="6118" spans="1:4" ht="67.5">
      <c r="A6118" s="798">
        <v>87815</v>
      </c>
      <c r="B6118" s="799" t="s">
        <v>927</v>
      </c>
      <c r="C6118" s="798" t="s">
        <v>32</v>
      </c>
      <c r="D6118" s="800">
        <v>76.959999999999994</v>
      </c>
    </row>
    <row r="6119" spans="1:4" ht="67.5">
      <c r="A6119" s="798">
        <v>87816</v>
      </c>
      <c r="B6119" s="799" t="s">
        <v>928</v>
      </c>
      <c r="C6119" s="798" t="s">
        <v>32</v>
      </c>
      <c r="D6119" s="800">
        <v>119.15</v>
      </c>
    </row>
    <row r="6120" spans="1:4" ht="67.5">
      <c r="A6120" s="798">
        <v>87817</v>
      </c>
      <c r="B6120" s="799" t="s">
        <v>929</v>
      </c>
      <c r="C6120" s="798" t="s">
        <v>32</v>
      </c>
      <c r="D6120" s="800">
        <v>80.05</v>
      </c>
    </row>
    <row r="6121" spans="1:4" ht="67.5">
      <c r="A6121" s="798">
        <v>87819</v>
      </c>
      <c r="B6121" s="799" t="s">
        <v>930</v>
      </c>
      <c r="C6121" s="798" t="s">
        <v>32</v>
      </c>
      <c r="D6121" s="800">
        <v>84.82</v>
      </c>
    </row>
    <row r="6122" spans="1:4" ht="67.5">
      <c r="A6122" s="798">
        <v>87820</v>
      </c>
      <c r="B6122" s="799" t="s">
        <v>931</v>
      </c>
      <c r="C6122" s="798" t="s">
        <v>32</v>
      </c>
      <c r="D6122" s="800">
        <v>139.30000000000001</v>
      </c>
    </row>
    <row r="6123" spans="1:4" ht="67.5">
      <c r="A6123" s="798">
        <v>87821</v>
      </c>
      <c r="B6123" s="799" t="s">
        <v>932</v>
      </c>
      <c r="C6123" s="798" t="s">
        <v>32</v>
      </c>
      <c r="D6123" s="800">
        <v>113.94</v>
      </c>
    </row>
    <row r="6124" spans="1:4" ht="67.5">
      <c r="A6124" s="798">
        <v>87823</v>
      </c>
      <c r="B6124" s="799" t="s">
        <v>933</v>
      </c>
      <c r="C6124" s="798" t="s">
        <v>32</v>
      </c>
      <c r="D6124" s="800">
        <v>119.2</v>
      </c>
    </row>
    <row r="6125" spans="1:4" ht="67.5">
      <c r="A6125" s="798">
        <v>87824</v>
      </c>
      <c r="B6125" s="799" t="s">
        <v>934</v>
      </c>
      <c r="C6125" s="798" t="s">
        <v>32</v>
      </c>
      <c r="D6125" s="800">
        <v>176.25</v>
      </c>
    </row>
    <row r="6126" spans="1:4" ht="67.5">
      <c r="A6126" s="798">
        <v>87825</v>
      </c>
      <c r="B6126" s="799" t="s">
        <v>935</v>
      </c>
      <c r="C6126" s="798" t="s">
        <v>32</v>
      </c>
      <c r="D6126" s="800">
        <v>53.25</v>
      </c>
    </row>
    <row r="6127" spans="1:4" ht="67.5">
      <c r="A6127" s="798">
        <v>87827</v>
      </c>
      <c r="B6127" s="799" t="s">
        <v>936</v>
      </c>
      <c r="C6127" s="798" t="s">
        <v>32</v>
      </c>
      <c r="D6127" s="800">
        <v>56.72</v>
      </c>
    </row>
    <row r="6128" spans="1:4" ht="67.5">
      <c r="A6128" s="798">
        <v>87828</v>
      </c>
      <c r="B6128" s="799" t="s">
        <v>937</v>
      </c>
      <c r="C6128" s="798" t="s">
        <v>32</v>
      </c>
      <c r="D6128" s="800">
        <v>95.2</v>
      </c>
    </row>
    <row r="6129" spans="1:4" ht="67.5">
      <c r="A6129" s="798">
        <v>87829</v>
      </c>
      <c r="B6129" s="799" t="s">
        <v>938</v>
      </c>
      <c r="C6129" s="798" t="s">
        <v>32</v>
      </c>
      <c r="D6129" s="800">
        <v>61.47</v>
      </c>
    </row>
    <row r="6130" spans="1:4" ht="67.5">
      <c r="A6130" s="798">
        <v>87831</v>
      </c>
      <c r="B6130" s="799" t="s">
        <v>939</v>
      </c>
      <c r="C6130" s="798" t="s">
        <v>32</v>
      </c>
      <c r="D6130" s="800">
        <v>66.12</v>
      </c>
    </row>
    <row r="6131" spans="1:4" ht="67.5">
      <c r="A6131" s="798">
        <v>87832</v>
      </c>
      <c r="B6131" s="799" t="s">
        <v>940</v>
      </c>
      <c r="C6131" s="798" t="s">
        <v>32</v>
      </c>
      <c r="D6131" s="800">
        <v>119.17</v>
      </c>
    </row>
    <row r="6132" spans="1:4" ht="54">
      <c r="A6132" s="798">
        <v>87834</v>
      </c>
      <c r="B6132" s="799" t="s">
        <v>941</v>
      </c>
      <c r="C6132" s="798" t="s">
        <v>32</v>
      </c>
      <c r="D6132" s="800">
        <v>189.47</v>
      </c>
    </row>
    <row r="6133" spans="1:4" ht="54">
      <c r="A6133" s="798">
        <v>87835</v>
      </c>
      <c r="B6133" s="799" t="s">
        <v>942</v>
      </c>
      <c r="C6133" s="798" t="s">
        <v>32</v>
      </c>
      <c r="D6133" s="800">
        <v>131.04</v>
      </c>
    </row>
    <row r="6134" spans="1:4" ht="54">
      <c r="A6134" s="798">
        <v>87836</v>
      </c>
      <c r="B6134" s="799" t="s">
        <v>943</v>
      </c>
      <c r="C6134" s="798" t="s">
        <v>32</v>
      </c>
      <c r="D6134" s="800">
        <v>183.31</v>
      </c>
    </row>
    <row r="6135" spans="1:4" ht="54">
      <c r="A6135" s="798">
        <v>87837</v>
      </c>
      <c r="B6135" s="799" t="s">
        <v>944</v>
      </c>
      <c r="C6135" s="798" t="s">
        <v>32</v>
      </c>
      <c r="D6135" s="800">
        <v>125.69</v>
      </c>
    </row>
    <row r="6136" spans="1:4" ht="54">
      <c r="A6136" s="798">
        <v>87838</v>
      </c>
      <c r="B6136" s="799" t="s">
        <v>945</v>
      </c>
      <c r="C6136" s="798" t="s">
        <v>32</v>
      </c>
      <c r="D6136" s="800">
        <v>195.28</v>
      </c>
    </row>
    <row r="6137" spans="1:4" ht="54">
      <c r="A6137" s="798">
        <v>87839</v>
      </c>
      <c r="B6137" s="799" t="s">
        <v>946</v>
      </c>
      <c r="C6137" s="798" t="s">
        <v>32</v>
      </c>
      <c r="D6137" s="800">
        <v>135.25</v>
      </c>
    </row>
    <row r="6138" spans="1:4" ht="54">
      <c r="A6138" s="798">
        <v>87840</v>
      </c>
      <c r="B6138" s="799" t="s">
        <v>947</v>
      </c>
      <c r="C6138" s="798" t="s">
        <v>32</v>
      </c>
      <c r="D6138" s="800">
        <v>187.73</v>
      </c>
    </row>
    <row r="6139" spans="1:4" ht="54">
      <c r="A6139" s="798">
        <v>87841</v>
      </c>
      <c r="B6139" s="799" t="s">
        <v>948</v>
      </c>
      <c r="C6139" s="798" t="s">
        <v>32</v>
      </c>
      <c r="D6139" s="800">
        <v>128.49</v>
      </c>
    </row>
    <row r="6140" spans="1:4" ht="54">
      <c r="A6140" s="798">
        <v>87842</v>
      </c>
      <c r="B6140" s="799" t="s">
        <v>949</v>
      </c>
      <c r="C6140" s="798" t="s">
        <v>32</v>
      </c>
      <c r="D6140" s="800">
        <v>195.69</v>
      </c>
    </row>
    <row r="6141" spans="1:4" ht="54">
      <c r="A6141" s="798">
        <v>87843</v>
      </c>
      <c r="B6141" s="799" t="s">
        <v>950</v>
      </c>
      <c r="C6141" s="798" t="s">
        <v>32</v>
      </c>
      <c r="D6141" s="800">
        <v>142.47999999999999</v>
      </c>
    </row>
    <row r="6142" spans="1:4" ht="54">
      <c r="A6142" s="798">
        <v>87844</v>
      </c>
      <c r="B6142" s="799" t="s">
        <v>951</v>
      </c>
      <c r="C6142" s="798" t="s">
        <v>32</v>
      </c>
      <c r="D6142" s="800">
        <v>184.44</v>
      </c>
    </row>
    <row r="6143" spans="1:4" ht="54">
      <c r="A6143" s="798">
        <v>87845</v>
      </c>
      <c r="B6143" s="799" t="s">
        <v>952</v>
      </c>
      <c r="C6143" s="798" t="s">
        <v>32</v>
      </c>
      <c r="D6143" s="800">
        <v>132.06</v>
      </c>
    </row>
    <row r="6144" spans="1:4" ht="54">
      <c r="A6144" s="798">
        <v>87846</v>
      </c>
      <c r="B6144" s="799" t="s">
        <v>953</v>
      </c>
      <c r="C6144" s="798" t="s">
        <v>32</v>
      </c>
      <c r="D6144" s="800">
        <v>204.63</v>
      </c>
    </row>
    <row r="6145" spans="1:4" ht="54">
      <c r="A6145" s="798">
        <v>87847</v>
      </c>
      <c r="B6145" s="799" t="s">
        <v>954</v>
      </c>
      <c r="C6145" s="798" t="s">
        <v>32</v>
      </c>
      <c r="D6145" s="800">
        <v>146.19999999999999</v>
      </c>
    </row>
    <row r="6146" spans="1:4" ht="54">
      <c r="A6146" s="798">
        <v>87848</v>
      </c>
      <c r="B6146" s="799" t="s">
        <v>955</v>
      </c>
      <c r="C6146" s="798" t="s">
        <v>32</v>
      </c>
      <c r="D6146" s="800">
        <v>197.5</v>
      </c>
    </row>
    <row r="6147" spans="1:4" ht="54">
      <c r="A6147" s="798">
        <v>87849</v>
      </c>
      <c r="B6147" s="799" t="s">
        <v>956</v>
      </c>
      <c r="C6147" s="798" t="s">
        <v>32</v>
      </c>
      <c r="D6147" s="800">
        <v>139.88</v>
      </c>
    </row>
    <row r="6148" spans="1:4" ht="54">
      <c r="A6148" s="798">
        <v>87850</v>
      </c>
      <c r="B6148" s="799" t="s">
        <v>957</v>
      </c>
      <c r="C6148" s="798" t="s">
        <v>32</v>
      </c>
      <c r="D6148" s="800">
        <v>210.46</v>
      </c>
    </row>
    <row r="6149" spans="1:4" ht="54">
      <c r="A6149" s="798">
        <v>87851</v>
      </c>
      <c r="B6149" s="799" t="s">
        <v>958</v>
      </c>
      <c r="C6149" s="798" t="s">
        <v>32</v>
      </c>
      <c r="D6149" s="800">
        <v>150.41999999999999</v>
      </c>
    </row>
    <row r="6150" spans="1:4" ht="54">
      <c r="A6150" s="798">
        <v>87852</v>
      </c>
      <c r="B6150" s="799" t="s">
        <v>959</v>
      </c>
      <c r="C6150" s="798" t="s">
        <v>32</v>
      </c>
      <c r="D6150" s="800">
        <v>201.9</v>
      </c>
    </row>
    <row r="6151" spans="1:4" ht="54">
      <c r="A6151" s="798">
        <v>87853</v>
      </c>
      <c r="B6151" s="799" t="s">
        <v>960</v>
      </c>
      <c r="C6151" s="798" t="s">
        <v>32</v>
      </c>
      <c r="D6151" s="800">
        <v>142.66</v>
      </c>
    </row>
    <row r="6152" spans="1:4" ht="54">
      <c r="A6152" s="798">
        <v>87854</v>
      </c>
      <c r="B6152" s="799" t="s">
        <v>961</v>
      </c>
      <c r="C6152" s="798" t="s">
        <v>32</v>
      </c>
      <c r="D6152" s="800">
        <v>210.83</v>
      </c>
    </row>
    <row r="6153" spans="1:4" ht="54">
      <c r="A6153" s="798">
        <v>87855</v>
      </c>
      <c r="B6153" s="799" t="s">
        <v>962</v>
      </c>
      <c r="C6153" s="798" t="s">
        <v>32</v>
      </c>
      <c r="D6153" s="800">
        <v>157.65</v>
      </c>
    </row>
    <row r="6154" spans="1:4" ht="54">
      <c r="A6154" s="798">
        <v>87856</v>
      </c>
      <c r="B6154" s="799" t="s">
        <v>963</v>
      </c>
      <c r="C6154" s="798" t="s">
        <v>32</v>
      </c>
      <c r="D6154" s="800">
        <v>198.64</v>
      </c>
    </row>
    <row r="6155" spans="1:4" ht="54">
      <c r="A6155" s="798">
        <v>87857</v>
      </c>
      <c r="B6155" s="799" t="s">
        <v>964</v>
      </c>
      <c r="C6155" s="798" t="s">
        <v>32</v>
      </c>
      <c r="D6155" s="800">
        <v>146.24</v>
      </c>
    </row>
    <row r="6156" spans="1:4" ht="40.5">
      <c r="A6156" s="798">
        <v>87858</v>
      </c>
      <c r="B6156" s="799" t="s">
        <v>965</v>
      </c>
      <c r="C6156" s="798" t="s">
        <v>32</v>
      </c>
      <c r="D6156" s="800">
        <v>138.52000000000001</v>
      </c>
    </row>
    <row r="6157" spans="1:4" ht="40.5">
      <c r="A6157" s="798">
        <v>87859</v>
      </c>
      <c r="B6157" s="799" t="s">
        <v>966</v>
      </c>
      <c r="C6157" s="798" t="s">
        <v>32</v>
      </c>
      <c r="D6157" s="800">
        <v>158.11000000000001</v>
      </c>
    </row>
    <row r="6158" spans="1:4" ht="67.5">
      <c r="A6158" s="798">
        <v>89048</v>
      </c>
      <c r="B6158" s="799" t="s">
        <v>1089</v>
      </c>
      <c r="C6158" s="798" t="s">
        <v>32</v>
      </c>
      <c r="D6158" s="800">
        <v>28.95</v>
      </c>
    </row>
    <row r="6159" spans="1:4" ht="54">
      <c r="A6159" s="798">
        <v>89049</v>
      </c>
      <c r="B6159" s="799" t="s">
        <v>1090</v>
      </c>
      <c r="C6159" s="798" t="s">
        <v>32</v>
      </c>
      <c r="D6159" s="800">
        <v>19.05</v>
      </c>
    </row>
    <row r="6160" spans="1:4" ht="81">
      <c r="A6160" s="798">
        <v>89173</v>
      </c>
      <c r="B6160" s="799" t="s">
        <v>1095</v>
      </c>
      <c r="C6160" s="798" t="s">
        <v>32</v>
      </c>
      <c r="D6160" s="800">
        <v>28.53</v>
      </c>
    </row>
    <row r="6161" spans="1:4" ht="54">
      <c r="A6161" s="798">
        <v>90406</v>
      </c>
      <c r="B6161" s="799" t="s">
        <v>1581</v>
      </c>
      <c r="C6161" s="798" t="s">
        <v>32</v>
      </c>
      <c r="D6161" s="800">
        <v>36.21</v>
      </c>
    </row>
    <row r="6162" spans="1:4" ht="54">
      <c r="A6162" s="798">
        <v>90407</v>
      </c>
      <c r="B6162" s="799" t="s">
        <v>1582</v>
      </c>
      <c r="C6162" s="798" t="s">
        <v>32</v>
      </c>
      <c r="D6162" s="800">
        <v>39.85</v>
      </c>
    </row>
    <row r="6163" spans="1:4" ht="54">
      <c r="A6163" s="798">
        <v>90408</v>
      </c>
      <c r="B6163" s="799" t="s">
        <v>1583</v>
      </c>
      <c r="C6163" s="798" t="s">
        <v>32</v>
      </c>
      <c r="D6163" s="800">
        <v>25.72</v>
      </c>
    </row>
    <row r="6164" spans="1:4" ht="54">
      <c r="A6164" s="798">
        <v>90409</v>
      </c>
      <c r="B6164" s="799" t="s">
        <v>1584</v>
      </c>
      <c r="C6164" s="798" t="s">
        <v>32</v>
      </c>
      <c r="D6164" s="800">
        <v>27.78</v>
      </c>
    </row>
    <row r="6165" spans="1:4" ht="54">
      <c r="A6165" s="798">
        <v>87242</v>
      </c>
      <c r="B6165" s="799" t="s">
        <v>86</v>
      </c>
      <c r="C6165" s="798" t="s">
        <v>32</v>
      </c>
      <c r="D6165" s="800">
        <v>200.66</v>
      </c>
    </row>
    <row r="6166" spans="1:4" ht="54">
      <c r="A6166" s="798">
        <v>87243</v>
      </c>
      <c r="B6166" s="799" t="s">
        <v>87</v>
      </c>
      <c r="C6166" s="798" t="s">
        <v>32</v>
      </c>
      <c r="D6166" s="800">
        <v>184.95</v>
      </c>
    </row>
    <row r="6167" spans="1:4" ht="54">
      <c r="A6167" s="798">
        <v>87244</v>
      </c>
      <c r="B6167" s="799" t="s">
        <v>817</v>
      </c>
      <c r="C6167" s="798" t="s">
        <v>32</v>
      </c>
      <c r="D6167" s="800">
        <v>194.26</v>
      </c>
    </row>
    <row r="6168" spans="1:4" ht="54">
      <c r="A6168" s="798">
        <v>87245</v>
      </c>
      <c r="B6168" s="799" t="s">
        <v>818</v>
      </c>
      <c r="C6168" s="798" t="s">
        <v>32</v>
      </c>
      <c r="D6168" s="800">
        <v>232.55</v>
      </c>
    </row>
    <row r="6169" spans="1:4" ht="54">
      <c r="A6169" s="798">
        <v>87264</v>
      </c>
      <c r="B6169" s="799" t="s">
        <v>834</v>
      </c>
      <c r="C6169" s="798" t="s">
        <v>32</v>
      </c>
      <c r="D6169" s="800">
        <v>58.61</v>
      </c>
    </row>
    <row r="6170" spans="1:4" ht="54">
      <c r="A6170" s="798">
        <v>87265</v>
      </c>
      <c r="B6170" s="799" t="s">
        <v>835</v>
      </c>
      <c r="C6170" s="798" t="s">
        <v>32</v>
      </c>
      <c r="D6170" s="800">
        <v>52.61</v>
      </c>
    </row>
    <row r="6171" spans="1:4" ht="54">
      <c r="A6171" s="798">
        <v>87266</v>
      </c>
      <c r="B6171" s="799" t="s">
        <v>836</v>
      </c>
      <c r="C6171" s="798" t="s">
        <v>32</v>
      </c>
      <c r="D6171" s="800">
        <v>60.72</v>
      </c>
    </row>
    <row r="6172" spans="1:4" ht="54">
      <c r="A6172" s="798">
        <v>87267</v>
      </c>
      <c r="B6172" s="799" t="s">
        <v>837</v>
      </c>
      <c r="C6172" s="798" t="s">
        <v>32</v>
      </c>
      <c r="D6172" s="800">
        <v>58.08</v>
      </c>
    </row>
    <row r="6173" spans="1:4" ht="54">
      <c r="A6173" s="798">
        <v>87268</v>
      </c>
      <c r="B6173" s="799" t="s">
        <v>838</v>
      </c>
      <c r="C6173" s="798" t="s">
        <v>32</v>
      </c>
      <c r="D6173" s="800">
        <v>62.15</v>
      </c>
    </row>
    <row r="6174" spans="1:4" ht="54">
      <c r="A6174" s="798">
        <v>87269</v>
      </c>
      <c r="B6174" s="799" t="s">
        <v>839</v>
      </c>
      <c r="C6174" s="798" t="s">
        <v>32</v>
      </c>
      <c r="D6174" s="800">
        <v>55.63</v>
      </c>
    </row>
    <row r="6175" spans="1:4" ht="54">
      <c r="A6175" s="798">
        <v>87270</v>
      </c>
      <c r="B6175" s="799" t="s">
        <v>840</v>
      </c>
      <c r="C6175" s="798" t="s">
        <v>32</v>
      </c>
      <c r="D6175" s="800">
        <v>63.92</v>
      </c>
    </row>
    <row r="6176" spans="1:4" ht="54">
      <c r="A6176" s="798">
        <v>87271</v>
      </c>
      <c r="B6176" s="799" t="s">
        <v>841</v>
      </c>
      <c r="C6176" s="798" t="s">
        <v>32</v>
      </c>
      <c r="D6176" s="800">
        <v>60.78</v>
      </c>
    </row>
    <row r="6177" spans="1:4" ht="54">
      <c r="A6177" s="798">
        <v>87272</v>
      </c>
      <c r="B6177" s="799" t="s">
        <v>842</v>
      </c>
      <c r="C6177" s="798" t="s">
        <v>32</v>
      </c>
      <c r="D6177" s="800">
        <v>65.849999999999994</v>
      </c>
    </row>
    <row r="6178" spans="1:4" ht="54">
      <c r="A6178" s="798">
        <v>87273</v>
      </c>
      <c r="B6178" s="799" t="s">
        <v>843</v>
      </c>
      <c r="C6178" s="798" t="s">
        <v>32</v>
      </c>
      <c r="D6178" s="800">
        <v>57.89</v>
      </c>
    </row>
    <row r="6179" spans="1:4" ht="54">
      <c r="A6179" s="798">
        <v>87274</v>
      </c>
      <c r="B6179" s="799" t="s">
        <v>844</v>
      </c>
      <c r="C6179" s="798" t="s">
        <v>32</v>
      </c>
      <c r="D6179" s="800">
        <v>67.099999999999994</v>
      </c>
    </row>
    <row r="6180" spans="1:4" ht="54">
      <c r="A6180" s="798">
        <v>87275</v>
      </c>
      <c r="B6180" s="799" t="s">
        <v>845</v>
      </c>
      <c r="C6180" s="798" t="s">
        <v>32</v>
      </c>
      <c r="D6180" s="800">
        <v>64.42</v>
      </c>
    </row>
    <row r="6181" spans="1:4" ht="54">
      <c r="A6181" s="798">
        <v>88786</v>
      </c>
      <c r="B6181" s="799" t="s">
        <v>1033</v>
      </c>
      <c r="C6181" s="798" t="s">
        <v>32</v>
      </c>
      <c r="D6181" s="800">
        <v>286.66000000000003</v>
      </c>
    </row>
    <row r="6182" spans="1:4" ht="54">
      <c r="A6182" s="798">
        <v>88787</v>
      </c>
      <c r="B6182" s="799" t="s">
        <v>1034</v>
      </c>
      <c r="C6182" s="798" t="s">
        <v>32</v>
      </c>
      <c r="D6182" s="800">
        <v>266.14</v>
      </c>
    </row>
    <row r="6183" spans="1:4" ht="54">
      <c r="A6183" s="798">
        <v>88788</v>
      </c>
      <c r="B6183" s="799" t="s">
        <v>1035</v>
      </c>
      <c r="C6183" s="798" t="s">
        <v>32</v>
      </c>
      <c r="D6183" s="800">
        <v>275.45</v>
      </c>
    </row>
    <row r="6184" spans="1:4" ht="54">
      <c r="A6184" s="798">
        <v>88789</v>
      </c>
      <c r="B6184" s="799" t="s">
        <v>1036</v>
      </c>
      <c r="C6184" s="798" t="s">
        <v>32</v>
      </c>
      <c r="D6184" s="800">
        <v>330.25</v>
      </c>
    </row>
    <row r="6185" spans="1:4" ht="81">
      <c r="A6185" s="798">
        <v>89045</v>
      </c>
      <c r="B6185" s="799" t="s">
        <v>6136</v>
      </c>
      <c r="C6185" s="798" t="s">
        <v>32</v>
      </c>
      <c r="D6185" s="800">
        <v>58.46</v>
      </c>
    </row>
    <row r="6186" spans="1:4" ht="67.5">
      <c r="A6186" s="798">
        <v>89170</v>
      </c>
      <c r="B6186" s="799" t="s">
        <v>7857</v>
      </c>
      <c r="C6186" s="798" t="s">
        <v>32</v>
      </c>
      <c r="D6186" s="800">
        <v>56.94</v>
      </c>
    </row>
    <row r="6187" spans="1:4" ht="67.5">
      <c r="A6187" s="798">
        <v>93392</v>
      </c>
      <c r="B6187" s="799" t="s">
        <v>3822</v>
      </c>
      <c r="C6187" s="798" t="s">
        <v>32</v>
      </c>
      <c r="D6187" s="800">
        <v>49.7</v>
      </c>
    </row>
    <row r="6188" spans="1:4" ht="67.5">
      <c r="A6188" s="798">
        <v>93393</v>
      </c>
      <c r="B6188" s="799" t="s">
        <v>3823</v>
      </c>
      <c r="C6188" s="798" t="s">
        <v>32</v>
      </c>
      <c r="D6188" s="800">
        <v>43.78</v>
      </c>
    </row>
    <row r="6189" spans="1:4" ht="67.5">
      <c r="A6189" s="798">
        <v>93394</v>
      </c>
      <c r="B6189" s="799" t="s">
        <v>3824</v>
      </c>
      <c r="C6189" s="798" t="s">
        <v>32</v>
      </c>
      <c r="D6189" s="800">
        <v>51.81</v>
      </c>
    </row>
    <row r="6190" spans="1:4" ht="67.5">
      <c r="A6190" s="798">
        <v>93395</v>
      </c>
      <c r="B6190" s="799" t="s">
        <v>3825</v>
      </c>
      <c r="C6190" s="798" t="s">
        <v>32</v>
      </c>
      <c r="D6190" s="800">
        <v>49.17</v>
      </c>
    </row>
    <row r="6191" spans="1:4" ht="67.5">
      <c r="A6191" s="798">
        <v>99194</v>
      </c>
      <c r="B6191" s="799" t="s">
        <v>3826</v>
      </c>
      <c r="C6191" s="798" t="s">
        <v>32</v>
      </c>
      <c r="D6191" s="800">
        <v>57.96</v>
      </c>
    </row>
    <row r="6192" spans="1:4" ht="67.5">
      <c r="A6192" s="798">
        <v>99195</v>
      </c>
      <c r="B6192" s="799" t="s">
        <v>3827</v>
      </c>
      <c r="C6192" s="798" t="s">
        <v>32</v>
      </c>
      <c r="D6192" s="800">
        <v>52.04</v>
      </c>
    </row>
    <row r="6193" spans="1:4" ht="67.5">
      <c r="A6193" s="798">
        <v>99196</v>
      </c>
      <c r="B6193" s="799" t="s">
        <v>3828</v>
      </c>
      <c r="C6193" s="798" t="s">
        <v>32</v>
      </c>
      <c r="D6193" s="800">
        <v>60.07</v>
      </c>
    </row>
    <row r="6194" spans="1:4" ht="67.5">
      <c r="A6194" s="798">
        <v>99198</v>
      </c>
      <c r="B6194" s="799" t="s">
        <v>3829</v>
      </c>
      <c r="C6194" s="798" t="s">
        <v>32</v>
      </c>
      <c r="D6194" s="800">
        <v>57.43</v>
      </c>
    </row>
    <row r="6195" spans="1:4" ht="40.5">
      <c r="A6195" s="798">
        <v>101965</v>
      </c>
      <c r="B6195" s="799" t="s">
        <v>6931</v>
      </c>
      <c r="C6195" s="798" t="s">
        <v>14</v>
      </c>
      <c r="D6195" s="800">
        <v>113.93</v>
      </c>
    </row>
    <row r="6196" spans="1:4" ht="40.5">
      <c r="A6196" s="798">
        <v>101966</v>
      </c>
      <c r="B6196" s="799" t="s">
        <v>6932</v>
      </c>
      <c r="C6196" s="798" t="s">
        <v>14</v>
      </c>
      <c r="D6196" s="800">
        <v>150.68</v>
      </c>
    </row>
    <row r="6197" spans="1:4" ht="27">
      <c r="A6197" s="798">
        <v>101979</v>
      </c>
      <c r="B6197" s="799" t="s">
        <v>6933</v>
      </c>
      <c r="C6197" s="798" t="s">
        <v>14</v>
      </c>
      <c r="D6197" s="800">
        <v>47.72</v>
      </c>
    </row>
    <row r="6198" spans="1:4" ht="27">
      <c r="A6198" s="798">
        <v>96112</v>
      </c>
      <c r="B6198" s="799" t="s">
        <v>2756</v>
      </c>
      <c r="C6198" s="798" t="s">
        <v>32</v>
      </c>
      <c r="D6198" s="800">
        <v>113.41</v>
      </c>
    </row>
    <row r="6199" spans="1:4" ht="27">
      <c r="A6199" s="798">
        <v>96117</v>
      </c>
      <c r="B6199" s="799" t="s">
        <v>2760</v>
      </c>
      <c r="C6199" s="798" t="s">
        <v>32</v>
      </c>
      <c r="D6199" s="800">
        <v>143.38</v>
      </c>
    </row>
    <row r="6200" spans="1:4" ht="27">
      <c r="A6200" s="798">
        <v>96122</v>
      </c>
      <c r="B6200" s="799" t="s">
        <v>2763</v>
      </c>
      <c r="C6200" s="798" t="s">
        <v>14</v>
      </c>
      <c r="D6200" s="800">
        <v>33.47</v>
      </c>
    </row>
    <row r="6201" spans="1:4" ht="27">
      <c r="A6201" s="798">
        <v>96109</v>
      </c>
      <c r="B6201" s="799" t="s">
        <v>2753</v>
      </c>
      <c r="C6201" s="798" t="s">
        <v>32</v>
      </c>
      <c r="D6201" s="800">
        <v>35.380000000000003</v>
      </c>
    </row>
    <row r="6202" spans="1:4" ht="27">
      <c r="A6202" s="798">
        <v>96110</v>
      </c>
      <c r="B6202" s="799" t="s">
        <v>2754</v>
      </c>
      <c r="C6202" s="798" t="s">
        <v>32</v>
      </c>
      <c r="D6202" s="800">
        <v>71</v>
      </c>
    </row>
    <row r="6203" spans="1:4" ht="27">
      <c r="A6203" s="798">
        <v>96113</v>
      </c>
      <c r="B6203" s="799" t="s">
        <v>2757</v>
      </c>
      <c r="C6203" s="798" t="s">
        <v>32</v>
      </c>
      <c r="D6203" s="800">
        <v>31.65</v>
      </c>
    </row>
    <row r="6204" spans="1:4" ht="27">
      <c r="A6204" s="798">
        <v>96114</v>
      </c>
      <c r="B6204" s="799" t="s">
        <v>2758</v>
      </c>
      <c r="C6204" s="798" t="s">
        <v>32</v>
      </c>
      <c r="D6204" s="800">
        <v>77.39</v>
      </c>
    </row>
    <row r="6205" spans="1:4" ht="13.5">
      <c r="A6205" s="798">
        <v>96120</v>
      </c>
      <c r="B6205" s="799" t="s">
        <v>2761</v>
      </c>
      <c r="C6205" s="798" t="s">
        <v>14</v>
      </c>
      <c r="D6205" s="800">
        <v>2.56</v>
      </c>
    </row>
    <row r="6206" spans="1:4" ht="27">
      <c r="A6206" s="798">
        <v>96123</v>
      </c>
      <c r="B6206" s="799" t="s">
        <v>2764</v>
      </c>
      <c r="C6206" s="798" t="s">
        <v>14</v>
      </c>
      <c r="D6206" s="800">
        <v>35.47</v>
      </c>
    </row>
    <row r="6207" spans="1:4" ht="27">
      <c r="A6207" s="798">
        <v>99054</v>
      </c>
      <c r="B6207" s="799" t="s">
        <v>3576</v>
      </c>
      <c r="C6207" s="798" t="s">
        <v>32</v>
      </c>
      <c r="D6207" s="800">
        <v>43.14</v>
      </c>
    </row>
    <row r="6208" spans="1:4" ht="40.5">
      <c r="A6208" s="798">
        <v>96111</v>
      </c>
      <c r="B6208" s="799" t="s">
        <v>2755</v>
      </c>
      <c r="C6208" s="798" t="s">
        <v>32</v>
      </c>
      <c r="D6208" s="800">
        <v>68.150000000000006</v>
      </c>
    </row>
    <row r="6209" spans="1:4" ht="40.5">
      <c r="A6209" s="798">
        <v>96116</v>
      </c>
      <c r="B6209" s="799" t="s">
        <v>2759</v>
      </c>
      <c r="C6209" s="798" t="s">
        <v>32</v>
      </c>
      <c r="D6209" s="800">
        <v>77.52</v>
      </c>
    </row>
    <row r="6210" spans="1:4" ht="27">
      <c r="A6210" s="798">
        <v>96121</v>
      </c>
      <c r="B6210" s="799" t="s">
        <v>2762</v>
      </c>
      <c r="C6210" s="798" t="s">
        <v>14</v>
      </c>
      <c r="D6210" s="800">
        <v>11.9</v>
      </c>
    </row>
    <row r="6211" spans="1:4" ht="40.5">
      <c r="A6211" s="798">
        <v>96485</v>
      </c>
      <c r="B6211" s="799" t="s">
        <v>2812</v>
      </c>
      <c r="C6211" s="798" t="s">
        <v>32</v>
      </c>
      <c r="D6211" s="800">
        <v>80.260000000000005</v>
      </c>
    </row>
    <row r="6212" spans="1:4" ht="27">
      <c r="A6212" s="798">
        <v>96486</v>
      </c>
      <c r="B6212" s="799" t="s">
        <v>2813</v>
      </c>
      <c r="C6212" s="798" t="s">
        <v>32</v>
      </c>
      <c r="D6212" s="800">
        <v>90.37</v>
      </c>
    </row>
    <row r="6213" spans="1:4" ht="40.5">
      <c r="A6213" s="798">
        <v>91514</v>
      </c>
      <c r="B6213" s="799" t="s">
        <v>1762</v>
      </c>
      <c r="C6213" s="798" t="s">
        <v>32</v>
      </c>
      <c r="D6213" s="800">
        <v>5</v>
      </c>
    </row>
    <row r="6214" spans="1:4" ht="40.5">
      <c r="A6214" s="798">
        <v>91515</v>
      </c>
      <c r="B6214" s="799" t="s">
        <v>1763</v>
      </c>
      <c r="C6214" s="798" t="s">
        <v>32</v>
      </c>
      <c r="D6214" s="800">
        <v>6.59</v>
      </c>
    </row>
    <row r="6215" spans="1:4" ht="40.5">
      <c r="A6215" s="798">
        <v>91516</v>
      </c>
      <c r="B6215" s="799" t="s">
        <v>1764</v>
      </c>
      <c r="C6215" s="798" t="s">
        <v>32</v>
      </c>
      <c r="D6215" s="800">
        <v>9.6199999999999992</v>
      </c>
    </row>
    <row r="6216" spans="1:4" ht="40.5">
      <c r="A6216" s="798">
        <v>91517</v>
      </c>
      <c r="B6216" s="799" t="s">
        <v>1765</v>
      </c>
      <c r="C6216" s="798" t="s">
        <v>32</v>
      </c>
      <c r="D6216" s="800">
        <v>10.7</v>
      </c>
    </row>
    <row r="6217" spans="1:4" ht="40.5">
      <c r="A6217" s="798">
        <v>91519</v>
      </c>
      <c r="B6217" s="799" t="s">
        <v>1766</v>
      </c>
      <c r="C6217" s="798" t="s">
        <v>32</v>
      </c>
      <c r="D6217" s="800">
        <v>12.28</v>
      </c>
    </row>
    <row r="6218" spans="1:4" ht="27">
      <c r="A6218" s="798">
        <v>91520</v>
      </c>
      <c r="B6218" s="799" t="s">
        <v>1767</v>
      </c>
      <c r="C6218" s="798" t="s">
        <v>32</v>
      </c>
      <c r="D6218" s="800">
        <v>1.83</v>
      </c>
    </row>
    <row r="6219" spans="1:4" ht="27">
      <c r="A6219" s="798">
        <v>91522</v>
      </c>
      <c r="B6219" s="799" t="s">
        <v>403</v>
      </c>
      <c r="C6219" s="798" t="s">
        <v>32</v>
      </c>
      <c r="D6219" s="800">
        <v>2.19</v>
      </c>
    </row>
    <row r="6220" spans="1:4" ht="27">
      <c r="A6220" s="798">
        <v>91525</v>
      </c>
      <c r="B6220" s="799" t="s">
        <v>1768</v>
      </c>
      <c r="C6220" s="798" t="s">
        <v>32</v>
      </c>
      <c r="D6220" s="800">
        <v>4.21</v>
      </c>
    </row>
    <row r="6221" spans="1:4" ht="67.5">
      <c r="A6221" s="798">
        <v>87280</v>
      </c>
      <c r="B6221" s="799" t="s">
        <v>3830</v>
      </c>
      <c r="C6221" s="798" t="s">
        <v>22</v>
      </c>
      <c r="D6221" s="800">
        <v>356.23</v>
      </c>
    </row>
    <row r="6222" spans="1:4" ht="67.5">
      <c r="A6222" s="798">
        <v>87281</v>
      </c>
      <c r="B6222" s="799" t="s">
        <v>3831</v>
      </c>
      <c r="C6222" s="798" t="s">
        <v>22</v>
      </c>
      <c r="D6222" s="800">
        <v>355.42</v>
      </c>
    </row>
    <row r="6223" spans="1:4" ht="67.5">
      <c r="A6223" s="798">
        <v>87283</v>
      </c>
      <c r="B6223" s="799" t="s">
        <v>3832</v>
      </c>
      <c r="C6223" s="798" t="s">
        <v>22</v>
      </c>
      <c r="D6223" s="800">
        <v>375.08</v>
      </c>
    </row>
    <row r="6224" spans="1:4" ht="67.5">
      <c r="A6224" s="798">
        <v>87284</v>
      </c>
      <c r="B6224" s="799" t="s">
        <v>3833</v>
      </c>
      <c r="C6224" s="798" t="s">
        <v>22</v>
      </c>
      <c r="D6224" s="800">
        <v>372.36</v>
      </c>
    </row>
    <row r="6225" spans="1:4" ht="54">
      <c r="A6225" s="798">
        <v>87286</v>
      </c>
      <c r="B6225" s="799" t="s">
        <v>3834</v>
      </c>
      <c r="C6225" s="798" t="s">
        <v>22</v>
      </c>
      <c r="D6225" s="800">
        <v>461.65</v>
      </c>
    </row>
    <row r="6226" spans="1:4" ht="54">
      <c r="A6226" s="798">
        <v>87287</v>
      </c>
      <c r="B6226" s="799" t="s">
        <v>3835</v>
      </c>
      <c r="C6226" s="798" t="s">
        <v>22</v>
      </c>
      <c r="D6226" s="800">
        <v>454.4</v>
      </c>
    </row>
    <row r="6227" spans="1:4" ht="54">
      <c r="A6227" s="798">
        <v>87289</v>
      </c>
      <c r="B6227" s="799" t="s">
        <v>3836</v>
      </c>
      <c r="C6227" s="798" t="s">
        <v>22</v>
      </c>
      <c r="D6227" s="800">
        <v>441.03</v>
      </c>
    </row>
    <row r="6228" spans="1:4" ht="54">
      <c r="A6228" s="798">
        <v>87290</v>
      </c>
      <c r="B6228" s="799" t="s">
        <v>3837</v>
      </c>
      <c r="C6228" s="798" t="s">
        <v>22</v>
      </c>
      <c r="D6228" s="800">
        <v>438.26</v>
      </c>
    </row>
    <row r="6229" spans="1:4" ht="54">
      <c r="A6229" s="798">
        <v>87292</v>
      </c>
      <c r="B6229" s="799" t="s">
        <v>3838</v>
      </c>
      <c r="C6229" s="798" t="s">
        <v>22</v>
      </c>
      <c r="D6229" s="800">
        <v>450.77</v>
      </c>
    </row>
    <row r="6230" spans="1:4" ht="54">
      <c r="A6230" s="798">
        <v>87294</v>
      </c>
      <c r="B6230" s="799" t="s">
        <v>3839</v>
      </c>
      <c r="C6230" s="798" t="s">
        <v>22</v>
      </c>
      <c r="D6230" s="800">
        <v>430.66</v>
      </c>
    </row>
    <row r="6231" spans="1:4" ht="54">
      <c r="A6231" s="798">
        <v>87295</v>
      </c>
      <c r="B6231" s="799" t="s">
        <v>3840</v>
      </c>
      <c r="C6231" s="798" t="s">
        <v>22</v>
      </c>
      <c r="D6231" s="800">
        <v>429.74</v>
      </c>
    </row>
    <row r="6232" spans="1:4" ht="54">
      <c r="A6232" s="798">
        <v>87296</v>
      </c>
      <c r="B6232" s="799" t="s">
        <v>3841</v>
      </c>
      <c r="C6232" s="798" t="s">
        <v>22</v>
      </c>
      <c r="D6232" s="800">
        <v>415.49</v>
      </c>
    </row>
    <row r="6233" spans="1:4" ht="40.5">
      <c r="A6233" s="798">
        <v>87298</v>
      </c>
      <c r="B6233" s="799" t="s">
        <v>3842</v>
      </c>
      <c r="C6233" s="798" t="s">
        <v>22</v>
      </c>
      <c r="D6233" s="800">
        <v>582.79</v>
      </c>
    </row>
    <row r="6234" spans="1:4" ht="40.5">
      <c r="A6234" s="798">
        <v>87299</v>
      </c>
      <c r="B6234" s="799" t="s">
        <v>3843</v>
      </c>
      <c r="C6234" s="798" t="s">
        <v>22</v>
      </c>
      <c r="D6234" s="800">
        <v>368.07</v>
      </c>
    </row>
    <row r="6235" spans="1:4" ht="40.5">
      <c r="A6235" s="798">
        <v>87301</v>
      </c>
      <c r="B6235" s="799" t="s">
        <v>3844</v>
      </c>
      <c r="C6235" s="798" t="s">
        <v>22</v>
      </c>
      <c r="D6235" s="800">
        <v>514.62</v>
      </c>
    </row>
    <row r="6236" spans="1:4" ht="40.5">
      <c r="A6236" s="798">
        <v>87302</v>
      </c>
      <c r="B6236" s="799" t="s">
        <v>3845</v>
      </c>
      <c r="C6236" s="798" t="s">
        <v>22</v>
      </c>
      <c r="D6236" s="800">
        <v>512.04999999999995</v>
      </c>
    </row>
    <row r="6237" spans="1:4" ht="40.5">
      <c r="A6237" s="798">
        <v>87304</v>
      </c>
      <c r="B6237" s="799" t="s">
        <v>3846</v>
      </c>
      <c r="C6237" s="798" t="s">
        <v>22</v>
      </c>
      <c r="D6237" s="800">
        <v>461.66</v>
      </c>
    </row>
    <row r="6238" spans="1:4" ht="40.5">
      <c r="A6238" s="798">
        <v>87305</v>
      </c>
      <c r="B6238" s="799" t="s">
        <v>3847</v>
      </c>
      <c r="C6238" s="798" t="s">
        <v>22</v>
      </c>
      <c r="D6238" s="800">
        <v>466.15</v>
      </c>
    </row>
    <row r="6239" spans="1:4" ht="45" customHeight="1">
      <c r="A6239" s="798">
        <v>87307</v>
      </c>
      <c r="B6239" s="799" t="s">
        <v>3848</v>
      </c>
      <c r="C6239" s="798" t="s">
        <v>22</v>
      </c>
      <c r="D6239" s="800">
        <v>432.87</v>
      </c>
    </row>
    <row r="6240" spans="1:4" ht="40.5">
      <c r="A6240" s="798">
        <v>87308</v>
      </c>
      <c r="B6240" s="799" t="s">
        <v>3849</v>
      </c>
      <c r="C6240" s="798" t="s">
        <v>22</v>
      </c>
      <c r="D6240" s="800">
        <v>429.16</v>
      </c>
    </row>
    <row r="6241" spans="1:4" ht="40.5">
      <c r="A6241" s="798">
        <v>87310</v>
      </c>
      <c r="B6241" s="799" t="s">
        <v>3850</v>
      </c>
      <c r="C6241" s="798" t="s">
        <v>22</v>
      </c>
      <c r="D6241" s="800">
        <v>360.86</v>
      </c>
    </row>
    <row r="6242" spans="1:4" ht="40.5">
      <c r="A6242" s="798">
        <v>87311</v>
      </c>
      <c r="B6242" s="799" t="s">
        <v>3851</v>
      </c>
      <c r="C6242" s="798" t="s">
        <v>22</v>
      </c>
      <c r="D6242" s="800">
        <v>356.84</v>
      </c>
    </row>
    <row r="6243" spans="1:4" ht="40.5">
      <c r="A6243" s="798">
        <v>87313</v>
      </c>
      <c r="B6243" s="799" t="s">
        <v>3852</v>
      </c>
      <c r="C6243" s="798" t="s">
        <v>22</v>
      </c>
      <c r="D6243" s="800">
        <v>449.75</v>
      </c>
    </row>
    <row r="6244" spans="1:4" ht="40.5">
      <c r="A6244" s="798">
        <v>87314</v>
      </c>
      <c r="B6244" s="799" t="s">
        <v>3853</v>
      </c>
      <c r="C6244" s="798" t="s">
        <v>22</v>
      </c>
      <c r="D6244" s="800">
        <v>447.5</v>
      </c>
    </row>
    <row r="6245" spans="1:4" ht="40.5">
      <c r="A6245" s="798">
        <v>87316</v>
      </c>
      <c r="B6245" s="799" t="s">
        <v>3854</v>
      </c>
      <c r="C6245" s="798" t="s">
        <v>22</v>
      </c>
      <c r="D6245" s="800">
        <v>400.54</v>
      </c>
    </row>
    <row r="6246" spans="1:4" ht="40.5">
      <c r="A6246" s="798">
        <v>87317</v>
      </c>
      <c r="B6246" s="799" t="s">
        <v>3855</v>
      </c>
      <c r="C6246" s="798" t="s">
        <v>22</v>
      </c>
      <c r="D6246" s="800">
        <v>393.9</v>
      </c>
    </row>
    <row r="6247" spans="1:4" ht="54">
      <c r="A6247" s="798">
        <v>87319</v>
      </c>
      <c r="B6247" s="799" t="s">
        <v>3856</v>
      </c>
      <c r="C6247" s="798" t="s">
        <v>22</v>
      </c>
      <c r="D6247" s="800">
        <v>5343.18</v>
      </c>
    </row>
    <row r="6248" spans="1:4" ht="54">
      <c r="A6248" s="798">
        <v>87320</v>
      </c>
      <c r="B6248" s="799" t="s">
        <v>3857</v>
      </c>
      <c r="C6248" s="798" t="s">
        <v>22</v>
      </c>
      <c r="D6248" s="800">
        <v>5361</v>
      </c>
    </row>
    <row r="6249" spans="1:4" ht="54">
      <c r="A6249" s="798">
        <v>87322</v>
      </c>
      <c r="B6249" s="799" t="s">
        <v>3858</v>
      </c>
      <c r="C6249" s="798" t="s">
        <v>22</v>
      </c>
      <c r="D6249" s="800">
        <v>5465.45</v>
      </c>
    </row>
    <row r="6250" spans="1:4" ht="54">
      <c r="A6250" s="798">
        <v>87323</v>
      </c>
      <c r="B6250" s="799" t="s">
        <v>3859</v>
      </c>
      <c r="C6250" s="798" t="s">
        <v>22</v>
      </c>
      <c r="D6250" s="800">
        <v>5481.18</v>
      </c>
    </row>
    <row r="6251" spans="1:4" ht="54">
      <c r="A6251" s="798">
        <v>87325</v>
      </c>
      <c r="B6251" s="799" t="s">
        <v>3860</v>
      </c>
      <c r="C6251" s="798" t="s">
        <v>22</v>
      </c>
      <c r="D6251" s="800">
        <v>5362.05</v>
      </c>
    </row>
    <row r="6252" spans="1:4" ht="54">
      <c r="A6252" s="798">
        <v>87326</v>
      </c>
      <c r="B6252" s="799" t="s">
        <v>3861</v>
      </c>
      <c r="C6252" s="798" t="s">
        <v>22</v>
      </c>
      <c r="D6252" s="800">
        <v>5399.69</v>
      </c>
    </row>
    <row r="6253" spans="1:4" ht="67.5">
      <c r="A6253" s="798">
        <v>87327</v>
      </c>
      <c r="B6253" s="799" t="s">
        <v>3862</v>
      </c>
      <c r="C6253" s="798" t="s">
        <v>22</v>
      </c>
      <c r="D6253" s="800">
        <v>371.43</v>
      </c>
    </row>
    <row r="6254" spans="1:4" ht="67.5">
      <c r="A6254" s="798">
        <v>87328</v>
      </c>
      <c r="B6254" s="799" t="s">
        <v>3863</v>
      </c>
      <c r="C6254" s="798" t="s">
        <v>22</v>
      </c>
      <c r="D6254" s="800">
        <v>335.08</v>
      </c>
    </row>
    <row r="6255" spans="1:4" ht="67.5">
      <c r="A6255" s="798">
        <v>87329</v>
      </c>
      <c r="B6255" s="799" t="s">
        <v>3864</v>
      </c>
      <c r="C6255" s="798" t="s">
        <v>22</v>
      </c>
      <c r="D6255" s="800">
        <v>400.49</v>
      </c>
    </row>
    <row r="6256" spans="1:4" ht="67.5">
      <c r="A6256" s="798">
        <v>87330</v>
      </c>
      <c r="B6256" s="799" t="s">
        <v>3865</v>
      </c>
      <c r="C6256" s="798" t="s">
        <v>22</v>
      </c>
      <c r="D6256" s="800">
        <v>359.04</v>
      </c>
    </row>
    <row r="6257" spans="1:4" ht="67.5">
      <c r="A6257" s="798">
        <v>87331</v>
      </c>
      <c r="B6257" s="799" t="s">
        <v>3866</v>
      </c>
      <c r="C6257" s="798" t="s">
        <v>22</v>
      </c>
      <c r="D6257" s="800">
        <v>475.94</v>
      </c>
    </row>
    <row r="6258" spans="1:4" ht="67.5">
      <c r="A6258" s="798">
        <v>87332</v>
      </c>
      <c r="B6258" s="799" t="s">
        <v>3867</v>
      </c>
      <c r="C6258" s="798" t="s">
        <v>22</v>
      </c>
      <c r="D6258" s="800">
        <v>438.48</v>
      </c>
    </row>
    <row r="6259" spans="1:4" ht="67.5">
      <c r="A6259" s="798">
        <v>87333</v>
      </c>
      <c r="B6259" s="799" t="s">
        <v>3868</v>
      </c>
      <c r="C6259" s="798" t="s">
        <v>22</v>
      </c>
      <c r="D6259" s="800">
        <v>443.19</v>
      </c>
    </row>
    <row r="6260" spans="1:4" ht="67.5">
      <c r="A6260" s="798">
        <v>87334</v>
      </c>
      <c r="B6260" s="799" t="s">
        <v>3869</v>
      </c>
      <c r="C6260" s="798" t="s">
        <v>22</v>
      </c>
      <c r="D6260" s="800">
        <v>420.8</v>
      </c>
    </row>
    <row r="6261" spans="1:4" ht="67.5">
      <c r="A6261" s="798">
        <v>87335</v>
      </c>
      <c r="B6261" s="799" t="s">
        <v>3870</v>
      </c>
      <c r="C6261" s="798" t="s">
        <v>22</v>
      </c>
      <c r="D6261" s="800">
        <v>438.93</v>
      </c>
    </row>
    <row r="6262" spans="1:4" ht="67.5">
      <c r="A6262" s="798">
        <v>87336</v>
      </c>
      <c r="B6262" s="799" t="s">
        <v>3871</v>
      </c>
      <c r="C6262" s="798" t="s">
        <v>22</v>
      </c>
      <c r="D6262" s="800">
        <v>433.39</v>
      </c>
    </row>
    <row r="6263" spans="1:4" ht="67.5">
      <c r="A6263" s="798">
        <v>87337</v>
      </c>
      <c r="B6263" s="799" t="s">
        <v>3872</v>
      </c>
      <c r="C6263" s="798" t="s">
        <v>22</v>
      </c>
      <c r="D6263" s="800">
        <v>429.34</v>
      </c>
    </row>
    <row r="6264" spans="1:4" ht="67.5">
      <c r="A6264" s="798">
        <v>87338</v>
      </c>
      <c r="B6264" s="799" t="s">
        <v>3873</v>
      </c>
      <c r="C6264" s="798" t="s">
        <v>22</v>
      </c>
      <c r="D6264" s="800">
        <v>412.16</v>
      </c>
    </row>
    <row r="6265" spans="1:4" ht="40.5">
      <c r="A6265" s="798">
        <v>87339</v>
      </c>
      <c r="B6265" s="799" t="s">
        <v>3874</v>
      </c>
      <c r="C6265" s="798" t="s">
        <v>22</v>
      </c>
      <c r="D6265" s="800">
        <v>656.72</v>
      </c>
    </row>
    <row r="6266" spans="1:4" ht="40.5">
      <c r="A6266" s="798">
        <v>87340</v>
      </c>
      <c r="B6266" s="799" t="s">
        <v>3875</v>
      </c>
      <c r="C6266" s="798" t="s">
        <v>22</v>
      </c>
      <c r="D6266" s="800">
        <v>578.88</v>
      </c>
    </row>
    <row r="6267" spans="1:4" ht="40.5">
      <c r="A6267" s="798">
        <v>87341</v>
      </c>
      <c r="B6267" s="799" t="s">
        <v>3876</v>
      </c>
      <c r="C6267" s="798" t="s">
        <v>22</v>
      </c>
      <c r="D6267" s="800">
        <v>560.55999999999995</v>
      </c>
    </row>
    <row r="6268" spans="1:4" ht="40.5">
      <c r="A6268" s="798">
        <v>87342</v>
      </c>
      <c r="B6268" s="799" t="s">
        <v>3877</v>
      </c>
      <c r="C6268" s="798" t="s">
        <v>22</v>
      </c>
      <c r="D6268" s="800">
        <v>557.79999999999995</v>
      </c>
    </row>
    <row r="6269" spans="1:4" ht="40.5">
      <c r="A6269" s="798">
        <v>87343</v>
      </c>
      <c r="B6269" s="799" t="s">
        <v>3878</v>
      </c>
      <c r="C6269" s="798" t="s">
        <v>22</v>
      </c>
      <c r="D6269" s="800">
        <v>513.88</v>
      </c>
    </row>
    <row r="6270" spans="1:4" ht="40.5">
      <c r="A6270" s="798">
        <v>87344</v>
      </c>
      <c r="B6270" s="799" t="s">
        <v>3879</v>
      </c>
      <c r="C6270" s="798" t="s">
        <v>22</v>
      </c>
      <c r="D6270" s="800">
        <v>491.16</v>
      </c>
    </row>
    <row r="6271" spans="1:4" ht="40.5">
      <c r="A6271" s="798">
        <v>87345</v>
      </c>
      <c r="B6271" s="799" t="s">
        <v>3880</v>
      </c>
      <c r="C6271" s="798" t="s">
        <v>22</v>
      </c>
      <c r="D6271" s="800">
        <v>497.49</v>
      </c>
    </row>
    <row r="6272" spans="1:4" ht="40.5">
      <c r="A6272" s="798">
        <v>87346</v>
      </c>
      <c r="B6272" s="799" t="s">
        <v>3881</v>
      </c>
      <c r="C6272" s="798" t="s">
        <v>22</v>
      </c>
      <c r="D6272" s="800">
        <v>461.51</v>
      </c>
    </row>
    <row r="6273" spans="1:4" ht="40.5">
      <c r="A6273" s="798">
        <v>87347</v>
      </c>
      <c r="B6273" s="799" t="s">
        <v>3882</v>
      </c>
      <c r="C6273" s="798" t="s">
        <v>22</v>
      </c>
      <c r="D6273" s="800">
        <v>443.29</v>
      </c>
    </row>
    <row r="6274" spans="1:4" ht="40.5">
      <c r="A6274" s="798">
        <v>87348</v>
      </c>
      <c r="B6274" s="799" t="s">
        <v>3883</v>
      </c>
      <c r="C6274" s="798" t="s">
        <v>22</v>
      </c>
      <c r="D6274" s="800">
        <v>452.88</v>
      </c>
    </row>
    <row r="6275" spans="1:4" ht="40.5">
      <c r="A6275" s="798">
        <v>87349</v>
      </c>
      <c r="B6275" s="799" t="s">
        <v>3884</v>
      </c>
      <c r="C6275" s="798" t="s">
        <v>22</v>
      </c>
      <c r="D6275" s="800">
        <v>407.04</v>
      </c>
    </row>
    <row r="6276" spans="1:4" ht="54">
      <c r="A6276" s="798">
        <v>87350</v>
      </c>
      <c r="B6276" s="799" t="s">
        <v>3885</v>
      </c>
      <c r="C6276" s="798" t="s">
        <v>22</v>
      </c>
      <c r="D6276" s="800">
        <v>389.74</v>
      </c>
    </row>
    <row r="6277" spans="1:4" ht="54">
      <c r="A6277" s="798">
        <v>87351</v>
      </c>
      <c r="B6277" s="799" t="s">
        <v>3886</v>
      </c>
      <c r="C6277" s="798" t="s">
        <v>22</v>
      </c>
      <c r="D6277" s="800">
        <v>344.81</v>
      </c>
    </row>
    <row r="6278" spans="1:4" ht="54">
      <c r="A6278" s="798">
        <v>87352</v>
      </c>
      <c r="B6278" s="799" t="s">
        <v>3887</v>
      </c>
      <c r="C6278" s="798" t="s">
        <v>22</v>
      </c>
      <c r="D6278" s="800">
        <v>499.92</v>
      </c>
    </row>
    <row r="6279" spans="1:4" ht="54">
      <c r="A6279" s="798">
        <v>87353</v>
      </c>
      <c r="B6279" s="799" t="s">
        <v>3888</v>
      </c>
      <c r="C6279" s="798" t="s">
        <v>22</v>
      </c>
      <c r="D6279" s="800">
        <v>451.32</v>
      </c>
    </row>
    <row r="6280" spans="1:4" ht="54">
      <c r="A6280" s="798">
        <v>87354</v>
      </c>
      <c r="B6280" s="799" t="s">
        <v>3889</v>
      </c>
      <c r="C6280" s="798" t="s">
        <v>22</v>
      </c>
      <c r="D6280" s="800">
        <v>431.34</v>
      </c>
    </row>
    <row r="6281" spans="1:4" ht="54">
      <c r="A6281" s="798">
        <v>87355</v>
      </c>
      <c r="B6281" s="799" t="s">
        <v>3890</v>
      </c>
      <c r="C6281" s="798" t="s">
        <v>22</v>
      </c>
      <c r="D6281" s="800">
        <v>423.74</v>
      </c>
    </row>
    <row r="6282" spans="1:4" ht="54">
      <c r="A6282" s="798">
        <v>87356</v>
      </c>
      <c r="B6282" s="799" t="s">
        <v>3891</v>
      </c>
      <c r="C6282" s="798" t="s">
        <v>22</v>
      </c>
      <c r="D6282" s="800">
        <v>391.55</v>
      </c>
    </row>
    <row r="6283" spans="1:4" ht="54">
      <c r="A6283" s="798">
        <v>87357</v>
      </c>
      <c r="B6283" s="799" t="s">
        <v>3892</v>
      </c>
      <c r="C6283" s="798" t="s">
        <v>22</v>
      </c>
      <c r="D6283" s="800">
        <v>376.83</v>
      </c>
    </row>
    <row r="6284" spans="1:4" ht="54">
      <c r="A6284" s="798">
        <v>87358</v>
      </c>
      <c r="B6284" s="799" t="s">
        <v>3893</v>
      </c>
      <c r="C6284" s="798" t="s">
        <v>22</v>
      </c>
      <c r="D6284" s="800">
        <v>5257.23</v>
      </c>
    </row>
    <row r="6285" spans="1:4" ht="54">
      <c r="A6285" s="798">
        <v>87359</v>
      </c>
      <c r="B6285" s="799" t="s">
        <v>3894</v>
      </c>
      <c r="C6285" s="798" t="s">
        <v>22</v>
      </c>
      <c r="D6285" s="800">
        <v>5253.02</v>
      </c>
    </row>
    <row r="6286" spans="1:4" ht="54">
      <c r="A6286" s="798">
        <v>87360</v>
      </c>
      <c r="B6286" s="799" t="s">
        <v>3895</v>
      </c>
      <c r="C6286" s="798" t="s">
        <v>22</v>
      </c>
      <c r="D6286" s="800">
        <v>5350.34</v>
      </c>
    </row>
    <row r="6287" spans="1:4" ht="54">
      <c r="A6287" s="798">
        <v>87361</v>
      </c>
      <c r="B6287" s="799" t="s">
        <v>3896</v>
      </c>
      <c r="C6287" s="798" t="s">
        <v>22</v>
      </c>
      <c r="D6287" s="800">
        <v>5340.52</v>
      </c>
    </row>
    <row r="6288" spans="1:4" ht="54">
      <c r="A6288" s="798">
        <v>87362</v>
      </c>
      <c r="B6288" s="799" t="s">
        <v>3897</v>
      </c>
      <c r="C6288" s="798" t="s">
        <v>22</v>
      </c>
      <c r="D6288" s="800">
        <v>5363.69</v>
      </c>
    </row>
    <row r="6289" spans="1:4" ht="54">
      <c r="A6289" s="798">
        <v>87363</v>
      </c>
      <c r="B6289" s="799" t="s">
        <v>3898</v>
      </c>
      <c r="C6289" s="798" t="s">
        <v>22</v>
      </c>
      <c r="D6289" s="800">
        <v>5288.29</v>
      </c>
    </row>
    <row r="6290" spans="1:4" ht="54">
      <c r="A6290" s="798">
        <v>87364</v>
      </c>
      <c r="B6290" s="799" t="s">
        <v>3899</v>
      </c>
      <c r="C6290" s="798" t="s">
        <v>22</v>
      </c>
      <c r="D6290" s="800">
        <v>5304.06</v>
      </c>
    </row>
    <row r="6291" spans="1:4" ht="54">
      <c r="A6291" s="798">
        <v>87365</v>
      </c>
      <c r="B6291" s="799" t="s">
        <v>3900</v>
      </c>
      <c r="C6291" s="798" t="s">
        <v>22</v>
      </c>
      <c r="D6291" s="800">
        <v>448.41</v>
      </c>
    </row>
    <row r="6292" spans="1:4" ht="54">
      <c r="A6292" s="798">
        <v>87366</v>
      </c>
      <c r="B6292" s="799" t="s">
        <v>3901</v>
      </c>
      <c r="C6292" s="798" t="s">
        <v>22</v>
      </c>
      <c r="D6292" s="800">
        <v>475.85</v>
      </c>
    </row>
    <row r="6293" spans="1:4" ht="54">
      <c r="A6293" s="798">
        <v>87367</v>
      </c>
      <c r="B6293" s="799" t="s">
        <v>3902</v>
      </c>
      <c r="C6293" s="798" t="s">
        <v>22</v>
      </c>
      <c r="D6293" s="800">
        <v>554.6</v>
      </c>
    </row>
    <row r="6294" spans="1:4" ht="54">
      <c r="A6294" s="798">
        <v>87368</v>
      </c>
      <c r="B6294" s="799" t="s">
        <v>3903</v>
      </c>
      <c r="C6294" s="798" t="s">
        <v>22</v>
      </c>
      <c r="D6294" s="800">
        <v>536.09</v>
      </c>
    </row>
    <row r="6295" spans="1:4" ht="54">
      <c r="A6295" s="798">
        <v>87369</v>
      </c>
      <c r="B6295" s="799" t="s">
        <v>3904</v>
      </c>
      <c r="C6295" s="798" t="s">
        <v>22</v>
      </c>
      <c r="D6295" s="800">
        <v>547.53</v>
      </c>
    </row>
    <row r="6296" spans="1:4" ht="54">
      <c r="A6296" s="798">
        <v>87370</v>
      </c>
      <c r="B6296" s="799" t="s">
        <v>3905</v>
      </c>
      <c r="C6296" s="798" t="s">
        <v>22</v>
      </c>
      <c r="D6296" s="800">
        <v>525.74</v>
      </c>
    </row>
    <row r="6297" spans="1:4" ht="54">
      <c r="A6297" s="798">
        <v>87371</v>
      </c>
      <c r="B6297" s="799" t="s">
        <v>3906</v>
      </c>
      <c r="C6297" s="798" t="s">
        <v>22</v>
      </c>
      <c r="D6297" s="800">
        <v>511.6</v>
      </c>
    </row>
    <row r="6298" spans="1:4" ht="40.5">
      <c r="A6298" s="798">
        <v>87372</v>
      </c>
      <c r="B6298" s="799" t="s">
        <v>3907</v>
      </c>
      <c r="C6298" s="798" t="s">
        <v>22</v>
      </c>
      <c r="D6298" s="800">
        <v>686.76</v>
      </c>
    </row>
    <row r="6299" spans="1:4" ht="40.5">
      <c r="A6299" s="798">
        <v>87373</v>
      </c>
      <c r="B6299" s="799" t="s">
        <v>3908</v>
      </c>
      <c r="C6299" s="798" t="s">
        <v>22</v>
      </c>
      <c r="D6299" s="800">
        <v>607.07000000000005</v>
      </c>
    </row>
    <row r="6300" spans="1:4" ht="40.5">
      <c r="A6300" s="798">
        <v>87374</v>
      </c>
      <c r="B6300" s="799" t="s">
        <v>3909</v>
      </c>
      <c r="C6300" s="798" t="s">
        <v>22</v>
      </c>
      <c r="D6300" s="800">
        <v>560.24</v>
      </c>
    </row>
    <row r="6301" spans="1:4" ht="40.5">
      <c r="A6301" s="798">
        <v>87375</v>
      </c>
      <c r="B6301" s="799" t="s">
        <v>3910</v>
      </c>
      <c r="C6301" s="798" t="s">
        <v>22</v>
      </c>
      <c r="D6301" s="800">
        <v>529.36</v>
      </c>
    </row>
    <row r="6302" spans="1:4" ht="40.5">
      <c r="A6302" s="798">
        <v>87376</v>
      </c>
      <c r="B6302" s="799" t="s">
        <v>3911</v>
      </c>
      <c r="C6302" s="798" t="s">
        <v>22</v>
      </c>
      <c r="D6302" s="800">
        <v>458.55</v>
      </c>
    </row>
    <row r="6303" spans="1:4" ht="40.5">
      <c r="A6303" s="798">
        <v>87377</v>
      </c>
      <c r="B6303" s="799" t="s">
        <v>3912</v>
      </c>
      <c r="C6303" s="798" t="s">
        <v>22</v>
      </c>
      <c r="D6303" s="800">
        <v>550.86</v>
      </c>
    </row>
    <row r="6304" spans="1:4" ht="40.5">
      <c r="A6304" s="798">
        <v>87378</v>
      </c>
      <c r="B6304" s="799" t="s">
        <v>3913</v>
      </c>
      <c r="C6304" s="798" t="s">
        <v>22</v>
      </c>
      <c r="D6304" s="800">
        <v>492.12</v>
      </c>
    </row>
    <row r="6305" spans="1:4" ht="40.5">
      <c r="A6305" s="798">
        <v>87379</v>
      </c>
      <c r="B6305" s="799" t="s">
        <v>3914</v>
      </c>
      <c r="C6305" s="798" t="s">
        <v>22</v>
      </c>
      <c r="D6305" s="800">
        <v>5407.73</v>
      </c>
    </row>
    <row r="6306" spans="1:4" ht="40.5">
      <c r="A6306" s="798">
        <v>87380</v>
      </c>
      <c r="B6306" s="799" t="s">
        <v>3915</v>
      </c>
      <c r="C6306" s="798" t="s">
        <v>22</v>
      </c>
      <c r="D6306" s="800">
        <v>5508.76</v>
      </c>
    </row>
    <row r="6307" spans="1:4" ht="40.5">
      <c r="A6307" s="798">
        <v>87381</v>
      </c>
      <c r="B6307" s="799" t="s">
        <v>3916</v>
      </c>
      <c r="C6307" s="798" t="s">
        <v>22</v>
      </c>
      <c r="D6307" s="800">
        <v>5444.62</v>
      </c>
    </row>
    <row r="6308" spans="1:4" ht="40.5">
      <c r="A6308" s="798">
        <v>87382</v>
      </c>
      <c r="B6308" s="799" t="s">
        <v>3917</v>
      </c>
      <c r="C6308" s="798" t="s">
        <v>22</v>
      </c>
      <c r="D6308" s="800">
        <v>1705.37</v>
      </c>
    </row>
    <row r="6309" spans="1:4" ht="40.5">
      <c r="A6309" s="798">
        <v>87383</v>
      </c>
      <c r="B6309" s="799" t="s">
        <v>3918</v>
      </c>
      <c r="C6309" s="798" t="s">
        <v>22</v>
      </c>
      <c r="D6309" s="800">
        <v>1708.45</v>
      </c>
    </row>
    <row r="6310" spans="1:4" ht="40.5">
      <c r="A6310" s="798">
        <v>87384</v>
      </c>
      <c r="B6310" s="799" t="s">
        <v>3919</v>
      </c>
      <c r="C6310" s="798" t="s">
        <v>22</v>
      </c>
      <c r="D6310" s="800">
        <v>1707.88</v>
      </c>
    </row>
    <row r="6311" spans="1:4" ht="27">
      <c r="A6311" s="798">
        <v>87385</v>
      </c>
      <c r="B6311" s="799" t="s">
        <v>3920</v>
      </c>
      <c r="C6311" s="798" t="s">
        <v>22</v>
      </c>
      <c r="D6311" s="800">
        <v>1996.45</v>
      </c>
    </row>
    <row r="6312" spans="1:4" ht="27">
      <c r="A6312" s="798">
        <v>87386</v>
      </c>
      <c r="B6312" s="799" t="s">
        <v>3921</v>
      </c>
      <c r="C6312" s="798" t="s">
        <v>22</v>
      </c>
      <c r="D6312" s="800">
        <v>1997.27</v>
      </c>
    </row>
    <row r="6313" spans="1:4" ht="27">
      <c r="A6313" s="798">
        <v>87387</v>
      </c>
      <c r="B6313" s="799" t="s">
        <v>3922</v>
      </c>
      <c r="C6313" s="798" t="s">
        <v>22</v>
      </c>
      <c r="D6313" s="800">
        <v>1999.59</v>
      </c>
    </row>
    <row r="6314" spans="1:4" ht="40.5">
      <c r="A6314" s="798">
        <v>87388</v>
      </c>
      <c r="B6314" s="799" t="s">
        <v>3923</v>
      </c>
      <c r="C6314" s="798" t="s">
        <v>22</v>
      </c>
      <c r="D6314" s="800">
        <v>4811.7700000000004</v>
      </c>
    </row>
    <row r="6315" spans="1:4" ht="40.5">
      <c r="A6315" s="798">
        <v>87389</v>
      </c>
      <c r="B6315" s="799" t="s">
        <v>3924</v>
      </c>
      <c r="C6315" s="798" t="s">
        <v>22</v>
      </c>
      <c r="D6315" s="800">
        <v>4837.37</v>
      </c>
    </row>
    <row r="6316" spans="1:4" ht="40.5">
      <c r="A6316" s="798">
        <v>87390</v>
      </c>
      <c r="B6316" s="799" t="s">
        <v>3925</v>
      </c>
      <c r="C6316" s="798" t="s">
        <v>22</v>
      </c>
      <c r="D6316" s="800">
        <v>4868.67</v>
      </c>
    </row>
    <row r="6317" spans="1:4" ht="40.5">
      <c r="A6317" s="798">
        <v>87391</v>
      </c>
      <c r="B6317" s="799" t="s">
        <v>3926</v>
      </c>
      <c r="C6317" s="798" t="s">
        <v>22</v>
      </c>
      <c r="D6317" s="800">
        <v>5347.74</v>
      </c>
    </row>
    <row r="6318" spans="1:4" ht="40.5">
      <c r="A6318" s="798">
        <v>87393</v>
      </c>
      <c r="B6318" s="799" t="s">
        <v>3927</v>
      </c>
      <c r="C6318" s="798" t="s">
        <v>22</v>
      </c>
      <c r="D6318" s="800">
        <v>5403.08</v>
      </c>
    </row>
    <row r="6319" spans="1:4" ht="40.5">
      <c r="A6319" s="798">
        <v>87394</v>
      </c>
      <c r="B6319" s="799" t="s">
        <v>3928</v>
      </c>
      <c r="C6319" s="798" t="s">
        <v>22</v>
      </c>
      <c r="D6319" s="800">
        <v>5458.31</v>
      </c>
    </row>
    <row r="6320" spans="1:4" ht="40.5">
      <c r="A6320" s="798">
        <v>87395</v>
      </c>
      <c r="B6320" s="799" t="s">
        <v>3929</v>
      </c>
      <c r="C6320" s="798" t="s">
        <v>22</v>
      </c>
      <c r="D6320" s="800">
        <v>3353.67</v>
      </c>
    </row>
    <row r="6321" spans="1:4" ht="40.5">
      <c r="A6321" s="798">
        <v>87396</v>
      </c>
      <c r="B6321" s="799" t="s">
        <v>3930</v>
      </c>
      <c r="C6321" s="798" t="s">
        <v>22</v>
      </c>
      <c r="D6321" s="800">
        <v>3382.23</v>
      </c>
    </row>
    <row r="6322" spans="1:4" ht="40.5">
      <c r="A6322" s="798">
        <v>87397</v>
      </c>
      <c r="B6322" s="799" t="s">
        <v>3931</v>
      </c>
      <c r="C6322" s="798" t="s">
        <v>22</v>
      </c>
      <c r="D6322" s="800">
        <v>3411.87</v>
      </c>
    </row>
    <row r="6323" spans="1:4" ht="40.5">
      <c r="A6323" s="798">
        <v>87398</v>
      </c>
      <c r="B6323" s="799" t="s">
        <v>3932</v>
      </c>
      <c r="C6323" s="798" t="s">
        <v>22</v>
      </c>
      <c r="D6323" s="800">
        <v>1872.96</v>
      </c>
    </row>
    <row r="6324" spans="1:4" ht="27">
      <c r="A6324" s="798">
        <v>87399</v>
      </c>
      <c r="B6324" s="799" t="s">
        <v>3933</v>
      </c>
      <c r="C6324" s="798" t="s">
        <v>22</v>
      </c>
      <c r="D6324" s="800">
        <v>2168.61</v>
      </c>
    </row>
    <row r="6325" spans="1:4" ht="27">
      <c r="A6325" s="798">
        <v>87401</v>
      </c>
      <c r="B6325" s="799" t="s">
        <v>3934</v>
      </c>
      <c r="C6325" s="798" t="s">
        <v>22</v>
      </c>
      <c r="D6325" s="800">
        <v>5605.77</v>
      </c>
    </row>
    <row r="6326" spans="1:4" ht="27">
      <c r="A6326" s="798">
        <v>87402</v>
      </c>
      <c r="B6326" s="799" t="s">
        <v>3935</v>
      </c>
      <c r="C6326" s="798" t="s">
        <v>22</v>
      </c>
      <c r="D6326" s="800">
        <v>3570.87</v>
      </c>
    </row>
    <row r="6327" spans="1:4" ht="40.5">
      <c r="A6327" s="798">
        <v>87404</v>
      </c>
      <c r="B6327" s="799" t="s">
        <v>3936</v>
      </c>
      <c r="C6327" s="798" t="s">
        <v>22</v>
      </c>
      <c r="D6327" s="800">
        <v>4989.45</v>
      </c>
    </row>
    <row r="6328" spans="1:4" ht="40.5">
      <c r="A6328" s="798">
        <v>87405</v>
      </c>
      <c r="B6328" s="799" t="s">
        <v>88</v>
      </c>
      <c r="C6328" s="798" t="s">
        <v>22</v>
      </c>
      <c r="D6328" s="800">
        <v>5012.09</v>
      </c>
    </row>
    <row r="6329" spans="1:4" ht="27">
      <c r="A6329" s="798">
        <v>87407</v>
      </c>
      <c r="B6329" s="799" t="s">
        <v>3937</v>
      </c>
      <c r="C6329" s="798" t="s">
        <v>22</v>
      </c>
      <c r="D6329" s="800">
        <v>1742.38</v>
      </c>
    </row>
    <row r="6330" spans="1:4" ht="27">
      <c r="A6330" s="798">
        <v>87408</v>
      </c>
      <c r="B6330" s="799" t="s">
        <v>89</v>
      </c>
      <c r="C6330" s="798" t="s">
        <v>22</v>
      </c>
      <c r="D6330" s="800">
        <v>1737.88</v>
      </c>
    </row>
    <row r="6331" spans="1:4" ht="27">
      <c r="A6331" s="798">
        <v>87410</v>
      </c>
      <c r="B6331" s="799" t="s">
        <v>3938</v>
      </c>
      <c r="C6331" s="798" t="s">
        <v>22</v>
      </c>
      <c r="D6331" s="800">
        <v>845.21</v>
      </c>
    </row>
    <row r="6332" spans="1:4" ht="40.5">
      <c r="A6332" s="798">
        <v>88626</v>
      </c>
      <c r="B6332" s="799" t="s">
        <v>3939</v>
      </c>
      <c r="C6332" s="798" t="s">
        <v>22</v>
      </c>
      <c r="D6332" s="800">
        <v>458.97</v>
      </c>
    </row>
    <row r="6333" spans="1:4" ht="40.5">
      <c r="A6333" s="798">
        <v>88627</v>
      </c>
      <c r="B6333" s="799" t="s">
        <v>3940</v>
      </c>
      <c r="C6333" s="798" t="s">
        <v>22</v>
      </c>
      <c r="D6333" s="800">
        <v>536.11</v>
      </c>
    </row>
    <row r="6334" spans="1:4" ht="40.5">
      <c r="A6334" s="798">
        <v>88628</v>
      </c>
      <c r="B6334" s="799" t="s">
        <v>3941</v>
      </c>
      <c r="C6334" s="798" t="s">
        <v>22</v>
      </c>
      <c r="D6334" s="800">
        <v>486.93</v>
      </c>
    </row>
    <row r="6335" spans="1:4" ht="27">
      <c r="A6335" s="798">
        <v>88629</v>
      </c>
      <c r="B6335" s="799" t="s">
        <v>3942</v>
      </c>
      <c r="C6335" s="798" t="s">
        <v>22</v>
      </c>
      <c r="D6335" s="800">
        <v>566.99</v>
      </c>
    </row>
    <row r="6336" spans="1:4" ht="27">
      <c r="A6336" s="798">
        <v>88630</v>
      </c>
      <c r="B6336" s="799" t="s">
        <v>1029</v>
      </c>
      <c r="C6336" s="798" t="s">
        <v>22</v>
      </c>
      <c r="D6336" s="800">
        <v>406.78</v>
      </c>
    </row>
    <row r="6337" spans="1:4" ht="27">
      <c r="A6337" s="798">
        <v>88631</v>
      </c>
      <c r="B6337" s="799" t="s">
        <v>3943</v>
      </c>
      <c r="C6337" s="798" t="s">
        <v>22</v>
      </c>
      <c r="D6337" s="800">
        <v>502.15</v>
      </c>
    </row>
    <row r="6338" spans="1:4" ht="54">
      <c r="A6338" s="798">
        <v>88715</v>
      </c>
      <c r="B6338" s="799" t="s">
        <v>3944</v>
      </c>
      <c r="C6338" s="798" t="s">
        <v>22</v>
      </c>
      <c r="D6338" s="800">
        <v>424.66</v>
      </c>
    </row>
    <row r="6339" spans="1:4" ht="54">
      <c r="A6339" s="798">
        <v>95563</v>
      </c>
      <c r="B6339" s="799" t="s">
        <v>4889</v>
      </c>
      <c r="C6339" s="798" t="s">
        <v>22</v>
      </c>
      <c r="D6339" s="800">
        <v>713.17</v>
      </c>
    </row>
    <row r="6340" spans="1:4" ht="40.5">
      <c r="A6340" s="798">
        <v>100464</v>
      </c>
      <c r="B6340" s="799" t="s">
        <v>3945</v>
      </c>
      <c r="C6340" s="798" t="s">
        <v>22</v>
      </c>
      <c r="D6340" s="800">
        <v>473.76</v>
      </c>
    </row>
    <row r="6341" spans="1:4" ht="40.5">
      <c r="A6341" s="798">
        <v>100465</v>
      </c>
      <c r="B6341" s="799" t="s">
        <v>3946</v>
      </c>
      <c r="C6341" s="798" t="s">
        <v>22</v>
      </c>
      <c r="D6341" s="800">
        <v>450.21</v>
      </c>
    </row>
    <row r="6342" spans="1:4" ht="40.5">
      <c r="A6342" s="798">
        <v>100466</v>
      </c>
      <c r="B6342" s="799" t="s">
        <v>3947</v>
      </c>
      <c r="C6342" s="798" t="s">
        <v>22</v>
      </c>
      <c r="D6342" s="800">
        <v>439.54</v>
      </c>
    </row>
    <row r="6343" spans="1:4" ht="40.5">
      <c r="A6343" s="798">
        <v>100468</v>
      </c>
      <c r="B6343" s="799" t="s">
        <v>3948</v>
      </c>
      <c r="C6343" s="798" t="s">
        <v>22</v>
      </c>
      <c r="D6343" s="800">
        <v>573.03</v>
      </c>
    </row>
    <row r="6344" spans="1:4" ht="40.5">
      <c r="A6344" s="798">
        <v>100469</v>
      </c>
      <c r="B6344" s="799" t="s">
        <v>3949</v>
      </c>
      <c r="C6344" s="798" t="s">
        <v>22</v>
      </c>
      <c r="D6344" s="800">
        <v>479.25</v>
      </c>
    </row>
    <row r="6345" spans="1:4" ht="40.5">
      <c r="A6345" s="798">
        <v>100470</v>
      </c>
      <c r="B6345" s="799" t="s">
        <v>3950</v>
      </c>
      <c r="C6345" s="798" t="s">
        <v>22</v>
      </c>
      <c r="D6345" s="800">
        <v>423.01</v>
      </c>
    </row>
    <row r="6346" spans="1:4" ht="40.5">
      <c r="A6346" s="798">
        <v>100472</v>
      </c>
      <c r="B6346" s="799" t="s">
        <v>3951</v>
      </c>
      <c r="C6346" s="798" t="s">
        <v>22</v>
      </c>
      <c r="D6346" s="800">
        <v>454.03</v>
      </c>
    </row>
    <row r="6347" spans="1:4" ht="40.5">
      <c r="A6347" s="798">
        <v>100473</v>
      </c>
      <c r="B6347" s="799" t="s">
        <v>3952</v>
      </c>
      <c r="C6347" s="798" t="s">
        <v>22</v>
      </c>
      <c r="D6347" s="800">
        <v>423.54</v>
      </c>
    </row>
    <row r="6348" spans="1:4" ht="40.5">
      <c r="A6348" s="798">
        <v>100474</v>
      </c>
      <c r="B6348" s="799" t="s">
        <v>3953</v>
      </c>
      <c r="C6348" s="798" t="s">
        <v>22</v>
      </c>
      <c r="D6348" s="800">
        <v>411.78</v>
      </c>
    </row>
    <row r="6349" spans="1:4" ht="40.5">
      <c r="A6349" s="798">
        <v>100475</v>
      </c>
      <c r="B6349" s="799" t="s">
        <v>3954</v>
      </c>
      <c r="C6349" s="798" t="s">
        <v>22</v>
      </c>
      <c r="D6349" s="800">
        <v>600.33000000000004</v>
      </c>
    </row>
    <row r="6350" spans="1:4" ht="54">
      <c r="A6350" s="798">
        <v>100477</v>
      </c>
      <c r="B6350" s="799" t="s">
        <v>3955</v>
      </c>
      <c r="C6350" s="798" t="s">
        <v>22</v>
      </c>
      <c r="D6350" s="800">
        <v>636.45000000000005</v>
      </c>
    </row>
    <row r="6351" spans="1:4" ht="54">
      <c r="A6351" s="798">
        <v>100478</v>
      </c>
      <c r="B6351" s="799" t="s">
        <v>3956</v>
      </c>
      <c r="C6351" s="798" t="s">
        <v>22</v>
      </c>
      <c r="D6351" s="800">
        <v>589.88</v>
      </c>
    </row>
    <row r="6352" spans="1:4" ht="54">
      <c r="A6352" s="798">
        <v>100479</v>
      </c>
      <c r="B6352" s="799" t="s">
        <v>3957</v>
      </c>
      <c r="C6352" s="798" t="s">
        <v>22</v>
      </c>
      <c r="D6352" s="800">
        <v>581.42999999999995</v>
      </c>
    </row>
    <row r="6353" spans="1:4" ht="40.5">
      <c r="A6353" s="798">
        <v>100480</v>
      </c>
      <c r="B6353" s="799" t="s">
        <v>3958</v>
      </c>
      <c r="C6353" s="798" t="s">
        <v>22</v>
      </c>
      <c r="D6353" s="800">
        <v>679.92</v>
      </c>
    </row>
    <row r="6354" spans="1:4" ht="40.5">
      <c r="A6354" s="798">
        <v>100481</v>
      </c>
      <c r="B6354" s="799" t="s">
        <v>3959</v>
      </c>
      <c r="C6354" s="798" t="s">
        <v>22</v>
      </c>
      <c r="D6354" s="800">
        <v>513.94000000000005</v>
      </c>
    </row>
    <row r="6355" spans="1:4" ht="54">
      <c r="A6355" s="798">
        <v>100483</v>
      </c>
      <c r="B6355" s="799" t="s">
        <v>3960</v>
      </c>
      <c r="C6355" s="798" t="s">
        <v>22</v>
      </c>
      <c r="D6355" s="800">
        <v>541.23</v>
      </c>
    </row>
    <row r="6356" spans="1:4" ht="54">
      <c r="A6356" s="798">
        <v>100484</v>
      </c>
      <c r="B6356" s="799" t="s">
        <v>3961</v>
      </c>
      <c r="C6356" s="798" t="s">
        <v>22</v>
      </c>
      <c r="D6356" s="800">
        <v>511.62</v>
      </c>
    </row>
    <row r="6357" spans="1:4" ht="54">
      <c r="A6357" s="798">
        <v>100485</v>
      </c>
      <c r="B6357" s="799" t="s">
        <v>3962</v>
      </c>
      <c r="C6357" s="798" t="s">
        <v>22</v>
      </c>
      <c r="D6357" s="800">
        <v>501.58</v>
      </c>
    </row>
    <row r="6358" spans="1:4" ht="40.5">
      <c r="A6358" s="798">
        <v>100486</v>
      </c>
      <c r="B6358" s="799" t="s">
        <v>3963</v>
      </c>
      <c r="C6358" s="798" t="s">
        <v>22</v>
      </c>
      <c r="D6358" s="800">
        <v>597.73</v>
      </c>
    </row>
    <row r="6359" spans="1:4" ht="67.5">
      <c r="A6359" s="798">
        <v>100487</v>
      </c>
      <c r="B6359" s="799" t="s">
        <v>3964</v>
      </c>
      <c r="C6359" s="798" t="s">
        <v>22</v>
      </c>
      <c r="D6359" s="800">
        <v>409.13</v>
      </c>
    </row>
    <row r="6360" spans="1:4" ht="40.5">
      <c r="A6360" s="798">
        <v>100488</v>
      </c>
      <c r="B6360" s="799" t="s">
        <v>3965</v>
      </c>
      <c r="C6360" s="798" t="s">
        <v>22</v>
      </c>
      <c r="D6360" s="800">
        <v>456.62</v>
      </c>
    </row>
    <row r="6361" spans="1:4" ht="40.5">
      <c r="A6361" s="798">
        <v>100489</v>
      </c>
      <c r="B6361" s="799" t="s">
        <v>3966</v>
      </c>
      <c r="C6361" s="798" t="s">
        <v>22</v>
      </c>
      <c r="D6361" s="800">
        <v>488.31</v>
      </c>
    </row>
    <row r="6362" spans="1:4" ht="40.5">
      <c r="A6362" s="798">
        <v>100490</v>
      </c>
      <c r="B6362" s="799" t="s">
        <v>3967</v>
      </c>
      <c r="C6362" s="798" t="s">
        <v>22</v>
      </c>
      <c r="D6362" s="800">
        <v>425.61</v>
      </c>
    </row>
    <row r="6363" spans="1:4" ht="40.5">
      <c r="A6363" s="798">
        <v>100491</v>
      </c>
      <c r="B6363" s="799" t="s">
        <v>3968</v>
      </c>
      <c r="C6363" s="798" t="s">
        <v>22</v>
      </c>
      <c r="D6363" s="800">
        <v>602.75</v>
      </c>
    </row>
    <row r="6364" spans="1:4" ht="40.5">
      <c r="A6364" s="798">
        <v>100492</v>
      </c>
      <c r="B6364" s="799" t="s">
        <v>3969</v>
      </c>
      <c r="C6364" s="798" t="s">
        <v>22</v>
      </c>
      <c r="D6364" s="800">
        <v>516.79</v>
      </c>
    </row>
    <row r="6365" spans="1:4" ht="27">
      <c r="A6365" s="798">
        <v>92121</v>
      </c>
      <c r="B6365" s="799" t="s">
        <v>449</v>
      </c>
      <c r="C6365" s="798" t="s">
        <v>22</v>
      </c>
      <c r="D6365" s="800">
        <v>22.26</v>
      </c>
    </row>
    <row r="6366" spans="1:4" ht="13.5">
      <c r="A6366" s="798">
        <v>92122</v>
      </c>
      <c r="B6366" s="799" t="s">
        <v>450</v>
      </c>
      <c r="C6366" s="798" t="s">
        <v>22</v>
      </c>
      <c r="D6366" s="800">
        <v>36.35</v>
      </c>
    </row>
    <row r="6367" spans="1:4" ht="13.5">
      <c r="A6367" s="798">
        <v>92123</v>
      </c>
      <c r="B6367" s="799" t="s">
        <v>451</v>
      </c>
      <c r="C6367" s="798" t="s">
        <v>22</v>
      </c>
      <c r="D6367" s="800">
        <v>40.659999999999997</v>
      </c>
    </row>
    <row r="6368" spans="1:4" ht="27">
      <c r="A6368" s="798">
        <v>100195</v>
      </c>
      <c r="B6368" s="799" t="s">
        <v>3970</v>
      </c>
      <c r="C6368" s="798" t="s">
        <v>3971</v>
      </c>
      <c r="D6368" s="800">
        <v>0.55000000000000004</v>
      </c>
    </row>
    <row r="6369" spans="1:4" ht="27">
      <c r="A6369" s="798">
        <v>100196</v>
      </c>
      <c r="B6369" s="799" t="s">
        <v>3972</v>
      </c>
      <c r="C6369" s="798" t="s">
        <v>3971</v>
      </c>
      <c r="D6369" s="800">
        <v>0.92</v>
      </c>
    </row>
    <row r="6370" spans="1:4" ht="27">
      <c r="A6370" s="798">
        <v>100197</v>
      </c>
      <c r="B6370" s="799" t="s">
        <v>3973</v>
      </c>
      <c r="C6370" s="798" t="s">
        <v>3971</v>
      </c>
      <c r="D6370" s="800">
        <v>1.39</v>
      </c>
    </row>
    <row r="6371" spans="1:4" ht="27">
      <c r="A6371" s="798">
        <v>100198</v>
      </c>
      <c r="B6371" s="799" t="s">
        <v>3974</v>
      </c>
      <c r="C6371" s="798" t="s">
        <v>3971</v>
      </c>
      <c r="D6371" s="800">
        <v>0.19</v>
      </c>
    </row>
    <row r="6372" spans="1:4" ht="27">
      <c r="A6372" s="798">
        <v>100199</v>
      </c>
      <c r="B6372" s="799" t="s">
        <v>3975</v>
      </c>
      <c r="C6372" s="798" t="s">
        <v>3971</v>
      </c>
      <c r="D6372" s="800">
        <v>0.23</v>
      </c>
    </row>
    <row r="6373" spans="1:4" ht="27">
      <c r="A6373" s="798">
        <v>100200</v>
      </c>
      <c r="B6373" s="799" t="s">
        <v>3976</v>
      </c>
      <c r="C6373" s="798" t="s">
        <v>3971</v>
      </c>
      <c r="D6373" s="800">
        <v>0.28000000000000003</v>
      </c>
    </row>
    <row r="6374" spans="1:4" ht="27">
      <c r="A6374" s="798">
        <v>100201</v>
      </c>
      <c r="B6374" s="799" t="s">
        <v>3977</v>
      </c>
      <c r="C6374" s="798" t="s">
        <v>3971</v>
      </c>
      <c r="D6374" s="800">
        <v>0.56000000000000005</v>
      </c>
    </row>
    <row r="6375" spans="1:4" ht="27">
      <c r="A6375" s="798">
        <v>100202</v>
      </c>
      <c r="B6375" s="799" t="s">
        <v>3978</v>
      </c>
      <c r="C6375" s="798" t="s">
        <v>3971</v>
      </c>
      <c r="D6375" s="800">
        <v>0.66</v>
      </c>
    </row>
    <row r="6376" spans="1:4" ht="27">
      <c r="A6376" s="798">
        <v>100203</v>
      </c>
      <c r="B6376" s="799" t="s">
        <v>3979</v>
      </c>
      <c r="C6376" s="798" t="s">
        <v>3971</v>
      </c>
      <c r="D6376" s="800">
        <v>0.78</v>
      </c>
    </row>
    <row r="6377" spans="1:4" ht="27">
      <c r="A6377" s="798">
        <v>100204</v>
      </c>
      <c r="B6377" s="799" t="s">
        <v>3980</v>
      </c>
      <c r="C6377" s="798" t="s">
        <v>3971</v>
      </c>
      <c r="D6377" s="800">
        <v>0.09</v>
      </c>
    </row>
    <row r="6378" spans="1:4" ht="27">
      <c r="A6378" s="798">
        <v>100205</v>
      </c>
      <c r="B6378" s="799" t="s">
        <v>3981</v>
      </c>
      <c r="C6378" s="798" t="s">
        <v>80</v>
      </c>
      <c r="D6378" s="800">
        <v>1035.52</v>
      </c>
    </row>
    <row r="6379" spans="1:4" ht="27">
      <c r="A6379" s="798">
        <v>100206</v>
      </c>
      <c r="B6379" s="799" t="s">
        <v>3982</v>
      </c>
      <c r="C6379" s="798" t="s">
        <v>80</v>
      </c>
      <c r="D6379" s="800">
        <v>748.5</v>
      </c>
    </row>
    <row r="6380" spans="1:4" ht="27">
      <c r="A6380" s="798">
        <v>100207</v>
      </c>
      <c r="B6380" s="799" t="s">
        <v>3983</v>
      </c>
      <c r="C6380" s="798" t="s">
        <v>80</v>
      </c>
      <c r="D6380" s="800">
        <v>309.63</v>
      </c>
    </row>
    <row r="6381" spans="1:4" ht="40.5">
      <c r="A6381" s="798">
        <v>100208</v>
      </c>
      <c r="B6381" s="799" t="s">
        <v>3984</v>
      </c>
      <c r="C6381" s="798" t="s">
        <v>3985</v>
      </c>
      <c r="D6381" s="800">
        <v>13.7</v>
      </c>
    </row>
    <row r="6382" spans="1:4" ht="40.5">
      <c r="A6382" s="798">
        <v>100209</v>
      </c>
      <c r="B6382" s="799" t="s">
        <v>3986</v>
      </c>
      <c r="C6382" s="798" t="s">
        <v>3985</v>
      </c>
      <c r="D6382" s="800">
        <v>6.85</v>
      </c>
    </row>
    <row r="6383" spans="1:4" ht="40.5">
      <c r="A6383" s="798">
        <v>100210</v>
      </c>
      <c r="B6383" s="799" t="s">
        <v>3987</v>
      </c>
      <c r="C6383" s="798" t="s">
        <v>3985</v>
      </c>
      <c r="D6383" s="800">
        <v>12.62</v>
      </c>
    </row>
    <row r="6384" spans="1:4" ht="40.5">
      <c r="A6384" s="798">
        <v>100211</v>
      </c>
      <c r="B6384" s="799" t="s">
        <v>3988</v>
      </c>
      <c r="C6384" s="798" t="s">
        <v>3985</v>
      </c>
      <c r="D6384" s="800">
        <v>4.87</v>
      </c>
    </row>
    <row r="6385" spans="1:4" ht="40.5">
      <c r="A6385" s="798">
        <v>100212</v>
      </c>
      <c r="B6385" s="799" t="s">
        <v>3989</v>
      </c>
      <c r="C6385" s="798" t="s">
        <v>3985</v>
      </c>
      <c r="D6385" s="800">
        <v>5.37</v>
      </c>
    </row>
    <row r="6386" spans="1:4" ht="40.5">
      <c r="A6386" s="798">
        <v>100213</v>
      </c>
      <c r="B6386" s="799" t="s">
        <v>3990</v>
      </c>
      <c r="C6386" s="798" t="s">
        <v>3985</v>
      </c>
      <c r="D6386" s="800">
        <v>1.93</v>
      </c>
    </row>
    <row r="6387" spans="1:4" ht="40.5">
      <c r="A6387" s="798">
        <v>100214</v>
      </c>
      <c r="B6387" s="799" t="s">
        <v>3991</v>
      </c>
      <c r="C6387" s="798" t="s">
        <v>3985</v>
      </c>
      <c r="D6387" s="800">
        <v>2.96</v>
      </c>
    </row>
    <row r="6388" spans="1:4" ht="40.5">
      <c r="A6388" s="798">
        <v>100215</v>
      </c>
      <c r="B6388" s="799" t="s">
        <v>3992</v>
      </c>
      <c r="C6388" s="798" t="s">
        <v>3985</v>
      </c>
      <c r="D6388" s="800">
        <v>2.54</v>
      </c>
    </row>
    <row r="6389" spans="1:4" ht="40.5">
      <c r="A6389" s="798">
        <v>100216</v>
      </c>
      <c r="B6389" s="799" t="s">
        <v>3993</v>
      </c>
      <c r="C6389" s="798" t="s">
        <v>3985</v>
      </c>
      <c r="D6389" s="800">
        <v>0.68</v>
      </c>
    </row>
    <row r="6390" spans="1:4" ht="40.5">
      <c r="A6390" s="798">
        <v>100217</v>
      </c>
      <c r="B6390" s="799" t="s">
        <v>3994</v>
      </c>
      <c r="C6390" s="798" t="s">
        <v>3985</v>
      </c>
      <c r="D6390" s="800">
        <v>2.4300000000000002</v>
      </c>
    </row>
    <row r="6391" spans="1:4" ht="40.5">
      <c r="A6391" s="798">
        <v>100218</v>
      </c>
      <c r="B6391" s="799" t="s">
        <v>3995</v>
      </c>
      <c r="C6391" s="798" t="s">
        <v>3985</v>
      </c>
      <c r="D6391" s="800">
        <v>1.66</v>
      </c>
    </row>
    <row r="6392" spans="1:4" ht="40.5">
      <c r="A6392" s="798">
        <v>100219</v>
      </c>
      <c r="B6392" s="799" t="s">
        <v>3996</v>
      </c>
      <c r="C6392" s="798" t="s">
        <v>3985</v>
      </c>
      <c r="D6392" s="800">
        <v>0.36</v>
      </c>
    </row>
    <row r="6393" spans="1:4" ht="27">
      <c r="A6393" s="798">
        <v>100220</v>
      </c>
      <c r="B6393" s="799" t="s">
        <v>3997</v>
      </c>
      <c r="C6393" s="798" t="s">
        <v>3998</v>
      </c>
      <c r="D6393" s="800">
        <v>19.68</v>
      </c>
    </row>
    <row r="6394" spans="1:4" ht="40.5">
      <c r="A6394" s="798">
        <v>100221</v>
      </c>
      <c r="B6394" s="799" t="s">
        <v>3999</v>
      </c>
      <c r="C6394" s="798" t="s">
        <v>3998</v>
      </c>
      <c r="D6394" s="800">
        <v>22.3</v>
      </c>
    </row>
    <row r="6395" spans="1:4" ht="40.5">
      <c r="A6395" s="798">
        <v>100222</v>
      </c>
      <c r="B6395" s="799" t="s">
        <v>4000</v>
      </c>
      <c r="C6395" s="798" t="s">
        <v>3998</v>
      </c>
      <c r="D6395" s="800">
        <v>8.4499999999999993</v>
      </c>
    </row>
    <row r="6396" spans="1:4" ht="40.5">
      <c r="A6396" s="798">
        <v>100223</v>
      </c>
      <c r="B6396" s="799" t="s">
        <v>4001</v>
      </c>
      <c r="C6396" s="798" t="s">
        <v>3998</v>
      </c>
      <c r="D6396" s="800">
        <v>3.95</v>
      </c>
    </row>
    <row r="6397" spans="1:4" ht="40.5">
      <c r="A6397" s="798">
        <v>100224</v>
      </c>
      <c r="B6397" s="799" t="s">
        <v>4002</v>
      </c>
      <c r="C6397" s="798" t="s">
        <v>3998</v>
      </c>
      <c r="D6397" s="800">
        <v>2.4300000000000002</v>
      </c>
    </row>
    <row r="6398" spans="1:4" ht="27">
      <c r="A6398" s="798">
        <v>100225</v>
      </c>
      <c r="B6398" s="799" t="s">
        <v>4003</v>
      </c>
      <c r="C6398" s="798" t="s">
        <v>4004</v>
      </c>
      <c r="D6398" s="800">
        <v>1.54</v>
      </c>
    </row>
    <row r="6399" spans="1:4" ht="27">
      <c r="A6399" s="798">
        <v>100226</v>
      </c>
      <c r="B6399" s="799" t="s">
        <v>4005</v>
      </c>
      <c r="C6399" s="798" t="s">
        <v>4004</v>
      </c>
      <c r="D6399" s="800">
        <v>0.48</v>
      </c>
    </row>
    <row r="6400" spans="1:4" ht="27">
      <c r="A6400" s="798">
        <v>100227</v>
      </c>
      <c r="B6400" s="799" t="s">
        <v>4006</v>
      </c>
      <c r="C6400" s="798" t="s">
        <v>4004</v>
      </c>
      <c r="D6400" s="800">
        <v>0.71</v>
      </c>
    </row>
    <row r="6401" spans="1:4" ht="27">
      <c r="A6401" s="798">
        <v>100228</v>
      </c>
      <c r="B6401" s="799" t="s">
        <v>4007</v>
      </c>
      <c r="C6401" s="798" t="s">
        <v>4004</v>
      </c>
      <c r="D6401" s="800">
        <v>0.23</v>
      </c>
    </row>
    <row r="6402" spans="1:4" ht="27">
      <c r="A6402" s="798">
        <v>100229</v>
      </c>
      <c r="B6402" s="799" t="s">
        <v>4008</v>
      </c>
      <c r="C6402" s="798" t="s">
        <v>16</v>
      </c>
      <c r="D6402" s="800">
        <v>0.01</v>
      </c>
    </row>
    <row r="6403" spans="1:4" ht="27">
      <c r="A6403" s="798">
        <v>100230</v>
      </c>
      <c r="B6403" s="799" t="s">
        <v>4009</v>
      </c>
      <c r="C6403" s="798" t="s">
        <v>16</v>
      </c>
      <c r="D6403" s="800">
        <v>0.01</v>
      </c>
    </row>
    <row r="6404" spans="1:4" ht="27">
      <c r="A6404" s="798">
        <v>100231</v>
      </c>
      <c r="B6404" s="799" t="s">
        <v>4010</v>
      </c>
      <c r="C6404" s="798" t="s">
        <v>16</v>
      </c>
      <c r="D6404" s="800">
        <v>0.02</v>
      </c>
    </row>
    <row r="6405" spans="1:4" ht="40.5">
      <c r="A6405" s="798">
        <v>100232</v>
      </c>
      <c r="B6405" s="799" t="s">
        <v>4011</v>
      </c>
      <c r="C6405" s="798" t="s">
        <v>24</v>
      </c>
      <c r="D6405" s="800">
        <v>0.26</v>
      </c>
    </row>
    <row r="6406" spans="1:4" ht="40.5">
      <c r="A6406" s="798">
        <v>100233</v>
      </c>
      <c r="B6406" s="799" t="s">
        <v>4012</v>
      </c>
      <c r="C6406" s="798" t="s">
        <v>24</v>
      </c>
      <c r="D6406" s="800">
        <v>0.13</v>
      </c>
    </row>
    <row r="6407" spans="1:4" ht="27">
      <c r="A6407" s="798">
        <v>100234</v>
      </c>
      <c r="B6407" s="799" t="s">
        <v>4013</v>
      </c>
      <c r="C6407" s="798" t="s">
        <v>32</v>
      </c>
      <c r="D6407" s="800">
        <v>0.38</v>
      </c>
    </row>
    <row r="6408" spans="1:4" ht="27">
      <c r="A6408" s="798">
        <v>100235</v>
      </c>
      <c r="B6408" s="799" t="s">
        <v>4014</v>
      </c>
      <c r="C6408" s="798" t="s">
        <v>39</v>
      </c>
      <c r="D6408" s="800">
        <v>0.03</v>
      </c>
    </row>
    <row r="6409" spans="1:4" ht="40.5">
      <c r="A6409" s="798">
        <v>100236</v>
      </c>
      <c r="B6409" s="799" t="s">
        <v>4015</v>
      </c>
      <c r="C6409" s="798" t="s">
        <v>4016</v>
      </c>
      <c r="D6409" s="800">
        <v>1.96</v>
      </c>
    </row>
    <row r="6410" spans="1:4" ht="40.5">
      <c r="A6410" s="798">
        <v>100237</v>
      </c>
      <c r="B6410" s="799" t="s">
        <v>4017</v>
      </c>
      <c r="C6410" s="798" t="s">
        <v>4016</v>
      </c>
      <c r="D6410" s="800">
        <v>2.35</v>
      </c>
    </row>
    <row r="6411" spans="1:4" ht="40.5">
      <c r="A6411" s="798">
        <v>100238</v>
      </c>
      <c r="B6411" s="799" t="s">
        <v>4018</v>
      </c>
      <c r="C6411" s="798" t="s">
        <v>4016</v>
      </c>
      <c r="D6411" s="800">
        <v>3.76</v>
      </c>
    </row>
    <row r="6412" spans="1:4" ht="40.5">
      <c r="A6412" s="798">
        <v>100239</v>
      </c>
      <c r="B6412" s="799" t="s">
        <v>4019</v>
      </c>
      <c r="C6412" s="798" t="s">
        <v>4016</v>
      </c>
      <c r="D6412" s="800">
        <v>4.7</v>
      </c>
    </row>
    <row r="6413" spans="1:4" ht="40.5">
      <c r="A6413" s="798">
        <v>100240</v>
      </c>
      <c r="B6413" s="799" t="s">
        <v>4020</v>
      </c>
      <c r="C6413" s="798" t="s">
        <v>4016</v>
      </c>
      <c r="D6413" s="800">
        <v>2.82</v>
      </c>
    </row>
    <row r="6414" spans="1:4" ht="40.5">
      <c r="A6414" s="798">
        <v>100241</v>
      </c>
      <c r="B6414" s="799" t="s">
        <v>4021</v>
      </c>
      <c r="C6414" s="798" t="s">
        <v>4016</v>
      </c>
      <c r="D6414" s="800">
        <v>4.7</v>
      </c>
    </row>
    <row r="6415" spans="1:4" ht="40.5">
      <c r="A6415" s="798">
        <v>100242</v>
      </c>
      <c r="B6415" s="799" t="s">
        <v>4022</v>
      </c>
      <c r="C6415" s="798" t="s">
        <v>4016</v>
      </c>
      <c r="D6415" s="800">
        <v>13.91</v>
      </c>
    </row>
    <row r="6416" spans="1:4" ht="40.5">
      <c r="A6416" s="798">
        <v>100243</v>
      </c>
      <c r="B6416" s="799" t="s">
        <v>4023</v>
      </c>
      <c r="C6416" s="798" t="s">
        <v>4016</v>
      </c>
      <c r="D6416" s="800">
        <v>2.2599999999999998</v>
      </c>
    </row>
    <row r="6417" spans="1:4" ht="40.5">
      <c r="A6417" s="798">
        <v>100244</v>
      </c>
      <c r="B6417" s="799" t="s">
        <v>4024</v>
      </c>
      <c r="C6417" s="798" t="s">
        <v>4016</v>
      </c>
      <c r="D6417" s="800">
        <v>2.82</v>
      </c>
    </row>
    <row r="6418" spans="1:4" ht="40.5">
      <c r="A6418" s="798">
        <v>100245</v>
      </c>
      <c r="B6418" s="799" t="s">
        <v>4025</v>
      </c>
      <c r="C6418" s="798" t="s">
        <v>4016</v>
      </c>
      <c r="D6418" s="800">
        <v>5.65</v>
      </c>
    </row>
    <row r="6419" spans="1:4" ht="54">
      <c r="A6419" s="798">
        <v>100246</v>
      </c>
      <c r="B6419" s="799" t="s">
        <v>4026</v>
      </c>
      <c r="C6419" s="798" t="s">
        <v>4016</v>
      </c>
      <c r="D6419" s="800">
        <v>1.88</v>
      </c>
    </row>
    <row r="6420" spans="1:4" ht="54">
      <c r="A6420" s="798">
        <v>100247</v>
      </c>
      <c r="B6420" s="799" t="s">
        <v>4027</v>
      </c>
      <c r="C6420" s="798" t="s">
        <v>4016</v>
      </c>
      <c r="D6420" s="800">
        <v>2.35</v>
      </c>
    </row>
    <row r="6421" spans="1:4" ht="54">
      <c r="A6421" s="798">
        <v>100248</v>
      </c>
      <c r="B6421" s="799" t="s">
        <v>4028</v>
      </c>
      <c r="C6421" s="798" t="s">
        <v>4016</v>
      </c>
      <c r="D6421" s="800">
        <v>9.27</v>
      </c>
    </row>
    <row r="6422" spans="1:4" ht="40.5">
      <c r="A6422" s="798">
        <v>100249</v>
      </c>
      <c r="B6422" s="799" t="s">
        <v>4029</v>
      </c>
      <c r="C6422" s="798" t="s">
        <v>4016</v>
      </c>
      <c r="D6422" s="800">
        <v>1.88</v>
      </c>
    </row>
    <row r="6423" spans="1:4" ht="54">
      <c r="A6423" s="798">
        <v>100250</v>
      </c>
      <c r="B6423" s="799" t="s">
        <v>4030</v>
      </c>
      <c r="C6423" s="798" t="s">
        <v>4016</v>
      </c>
      <c r="D6423" s="800">
        <v>3.13</v>
      </c>
    </row>
    <row r="6424" spans="1:4" ht="54">
      <c r="A6424" s="798">
        <v>100251</v>
      </c>
      <c r="B6424" s="799" t="s">
        <v>4031</v>
      </c>
      <c r="C6424" s="798" t="s">
        <v>4016</v>
      </c>
      <c r="D6424" s="800">
        <v>9.27</v>
      </c>
    </row>
    <row r="6425" spans="1:4" ht="54">
      <c r="A6425" s="798">
        <v>100252</v>
      </c>
      <c r="B6425" s="799" t="s">
        <v>4032</v>
      </c>
      <c r="C6425" s="798" t="s">
        <v>4016</v>
      </c>
      <c r="D6425" s="800">
        <v>13.91</v>
      </c>
    </row>
    <row r="6426" spans="1:4" ht="54">
      <c r="A6426" s="798">
        <v>100253</v>
      </c>
      <c r="B6426" s="799" t="s">
        <v>4033</v>
      </c>
      <c r="C6426" s="798" t="s">
        <v>4016</v>
      </c>
      <c r="D6426" s="800">
        <v>18.54</v>
      </c>
    </row>
    <row r="6427" spans="1:4" ht="54">
      <c r="A6427" s="798">
        <v>100254</v>
      </c>
      <c r="B6427" s="799" t="s">
        <v>4034</v>
      </c>
      <c r="C6427" s="798" t="s">
        <v>4016</v>
      </c>
      <c r="D6427" s="800">
        <v>27.82</v>
      </c>
    </row>
    <row r="6428" spans="1:4" ht="40.5">
      <c r="A6428" s="798">
        <v>100255</v>
      </c>
      <c r="B6428" s="799" t="s">
        <v>4035</v>
      </c>
      <c r="C6428" s="798" t="s">
        <v>4016</v>
      </c>
      <c r="D6428" s="800">
        <v>9.41</v>
      </c>
    </row>
    <row r="6429" spans="1:4" ht="40.5">
      <c r="A6429" s="798">
        <v>100256</v>
      </c>
      <c r="B6429" s="799" t="s">
        <v>4036</v>
      </c>
      <c r="C6429" s="798" t="s">
        <v>4016</v>
      </c>
      <c r="D6429" s="800">
        <v>6.27</v>
      </c>
    </row>
    <row r="6430" spans="1:4" ht="40.5">
      <c r="A6430" s="798">
        <v>100257</v>
      </c>
      <c r="B6430" s="799" t="s">
        <v>4037</v>
      </c>
      <c r="C6430" s="798" t="s">
        <v>4016</v>
      </c>
      <c r="D6430" s="800">
        <v>3.76</v>
      </c>
    </row>
    <row r="6431" spans="1:4" ht="40.5">
      <c r="A6431" s="798">
        <v>100258</v>
      </c>
      <c r="B6431" s="799" t="s">
        <v>4038</v>
      </c>
      <c r="C6431" s="798" t="s">
        <v>4016</v>
      </c>
      <c r="D6431" s="800">
        <v>9.41</v>
      </c>
    </row>
    <row r="6432" spans="1:4" ht="40.5">
      <c r="A6432" s="798">
        <v>100259</v>
      </c>
      <c r="B6432" s="799" t="s">
        <v>4039</v>
      </c>
      <c r="C6432" s="798" t="s">
        <v>4016</v>
      </c>
      <c r="D6432" s="800">
        <v>18.54</v>
      </c>
    </row>
    <row r="6433" spans="1:4" ht="27">
      <c r="A6433" s="798">
        <v>100260</v>
      </c>
      <c r="B6433" s="799" t="s">
        <v>4040</v>
      </c>
      <c r="C6433" s="798" t="s">
        <v>3971</v>
      </c>
      <c r="D6433" s="800">
        <v>6.11</v>
      </c>
    </row>
    <row r="6434" spans="1:4" ht="27">
      <c r="A6434" s="798">
        <v>100261</v>
      </c>
      <c r="B6434" s="799" t="s">
        <v>4041</v>
      </c>
      <c r="C6434" s="798" t="s">
        <v>3971</v>
      </c>
      <c r="D6434" s="800">
        <v>3.84</v>
      </c>
    </row>
    <row r="6435" spans="1:4" ht="27">
      <c r="A6435" s="798">
        <v>100262</v>
      </c>
      <c r="B6435" s="799" t="s">
        <v>4042</v>
      </c>
      <c r="C6435" s="798" t="s">
        <v>3971</v>
      </c>
      <c r="D6435" s="800">
        <v>2.38</v>
      </c>
    </row>
    <row r="6436" spans="1:4" ht="40.5">
      <c r="A6436" s="798">
        <v>100263</v>
      </c>
      <c r="B6436" s="799" t="s">
        <v>4043</v>
      </c>
      <c r="C6436" s="798" t="s">
        <v>3971</v>
      </c>
      <c r="D6436" s="800">
        <v>1.52</v>
      </c>
    </row>
    <row r="6437" spans="1:4" ht="27">
      <c r="A6437" s="798">
        <v>100264</v>
      </c>
      <c r="B6437" s="799" t="s">
        <v>4044</v>
      </c>
      <c r="C6437" s="798" t="s">
        <v>3998</v>
      </c>
      <c r="D6437" s="800">
        <v>27.78</v>
      </c>
    </row>
    <row r="6438" spans="1:4" ht="27">
      <c r="A6438" s="798">
        <v>100265</v>
      </c>
      <c r="B6438" s="799" t="s">
        <v>4045</v>
      </c>
      <c r="C6438" s="798" t="s">
        <v>32</v>
      </c>
      <c r="D6438" s="800">
        <v>0.57999999999999996</v>
      </c>
    </row>
    <row r="6439" spans="1:4" ht="27">
      <c r="A6439" s="798">
        <v>100266</v>
      </c>
      <c r="B6439" s="799" t="s">
        <v>4046</v>
      </c>
      <c r="C6439" s="798" t="s">
        <v>3985</v>
      </c>
      <c r="D6439" s="800">
        <v>59.04</v>
      </c>
    </row>
    <row r="6440" spans="1:4" ht="27">
      <c r="A6440" s="798">
        <v>100267</v>
      </c>
      <c r="B6440" s="799" t="s">
        <v>4047</v>
      </c>
      <c r="C6440" s="798" t="s">
        <v>24</v>
      </c>
      <c r="D6440" s="800">
        <v>1.17</v>
      </c>
    </row>
    <row r="6441" spans="1:4" ht="54">
      <c r="A6441" s="798">
        <v>100268</v>
      </c>
      <c r="B6441" s="799" t="s">
        <v>4048</v>
      </c>
      <c r="C6441" s="798" t="s">
        <v>3985</v>
      </c>
      <c r="D6441" s="800">
        <v>59.04</v>
      </c>
    </row>
    <row r="6442" spans="1:4" ht="54">
      <c r="A6442" s="798">
        <v>100269</v>
      </c>
      <c r="B6442" s="799" t="s">
        <v>4049</v>
      </c>
      <c r="C6442" s="798" t="s">
        <v>24</v>
      </c>
      <c r="D6442" s="800">
        <v>1.17</v>
      </c>
    </row>
    <row r="6443" spans="1:4" ht="54">
      <c r="A6443" s="798">
        <v>100270</v>
      </c>
      <c r="B6443" s="799" t="s">
        <v>4050</v>
      </c>
      <c r="C6443" s="798" t="s">
        <v>3985</v>
      </c>
      <c r="D6443" s="800">
        <v>44.25</v>
      </c>
    </row>
    <row r="6444" spans="1:4" ht="27">
      <c r="A6444" s="798">
        <v>100271</v>
      </c>
      <c r="B6444" s="799" t="s">
        <v>4051</v>
      </c>
      <c r="C6444" s="798" t="s">
        <v>3998</v>
      </c>
      <c r="D6444" s="800">
        <v>44.28</v>
      </c>
    </row>
    <row r="6445" spans="1:4" ht="27">
      <c r="A6445" s="798">
        <v>100272</v>
      </c>
      <c r="B6445" s="799" t="s">
        <v>4052</v>
      </c>
      <c r="C6445" s="798" t="s">
        <v>32</v>
      </c>
      <c r="D6445" s="800">
        <v>0.87</v>
      </c>
    </row>
    <row r="6446" spans="1:4" ht="27">
      <c r="A6446" s="798">
        <v>100273</v>
      </c>
      <c r="B6446" s="799" t="s">
        <v>4053</v>
      </c>
      <c r="C6446" s="798" t="s">
        <v>3971</v>
      </c>
      <c r="D6446" s="800">
        <v>2.31</v>
      </c>
    </row>
    <row r="6447" spans="1:4" ht="27">
      <c r="A6447" s="798">
        <v>100274</v>
      </c>
      <c r="B6447" s="799" t="s">
        <v>4054</v>
      </c>
      <c r="C6447" s="798" t="s">
        <v>3998</v>
      </c>
      <c r="D6447" s="800">
        <v>19.690000000000001</v>
      </c>
    </row>
    <row r="6448" spans="1:4" ht="27">
      <c r="A6448" s="798">
        <v>100275</v>
      </c>
      <c r="B6448" s="799" t="s">
        <v>4055</v>
      </c>
      <c r="C6448" s="798" t="s">
        <v>3998</v>
      </c>
      <c r="D6448" s="800">
        <v>12.73</v>
      </c>
    </row>
    <row r="6449" spans="1:4" ht="40.5">
      <c r="A6449" s="798">
        <v>100276</v>
      </c>
      <c r="B6449" s="799" t="s">
        <v>4056</v>
      </c>
      <c r="C6449" s="798" t="s">
        <v>3998</v>
      </c>
      <c r="D6449" s="800">
        <v>23.23</v>
      </c>
    </row>
    <row r="6450" spans="1:4" ht="54">
      <c r="A6450" s="798">
        <v>100277</v>
      </c>
      <c r="B6450" s="799" t="s">
        <v>4057</v>
      </c>
      <c r="C6450" s="798" t="s">
        <v>3998</v>
      </c>
      <c r="D6450" s="800">
        <v>1.55</v>
      </c>
    </row>
    <row r="6451" spans="1:4" ht="40.5">
      <c r="A6451" s="798">
        <v>100278</v>
      </c>
      <c r="B6451" s="799" t="s">
        <v>4058</v>
      </c>
      <c r="C6451" s="798" t="s">
        <v>3985</v>
      </c>
      <c r="D6451" s="800">
        <v>28.24</v>
      </c>
    </row>
    <row r="6452" spans="1:4" ht="40.5">
      <c r="A6452" s="798">
        <v>100279</v>
      </c>
      <c r="B6452" s="799" t="s">
        <v>4059</v>
      </c>
      <c r="C6452" s="798" t="s">
        <v>24</v>
      </c>
      <c r="D6452" s="800">
        <v>0.54</v>
      </c>
    </row>
    <row r="6453" spans="1:4" ht="40.5">
      <c r="A6453" s="798">
        <v>100280</v>
      </c>
      <c r="B6453" s="799" t="s">
        <v>4060</v>
      </c>
      <c r="C6453" s="798" t="s">
        <v>3985</v>
      </c>
      <c r="D6453" s="800">
        <v>12.97</v>
      </c>
    </row>
    <row r="6454" spans="1:4" ht="40.5">
      <c r="A6454" s="798">
        <v>100281</v>
      </c>
      <c r="B6454" s="799" t="s">
        <v>4061</v>
      </c>
      <c r="C6454" s="798" t="s">
        <v>3985</v>
      </c>
      <c r="D6454" s="800">
        <v>2.99</v>
      </c>
    </row>
    <row r="6455" spans="1:4" ht="27">
      <c r="A6455" s="798">
        <v>100282</v>
      </c>
      <c r="B6455" s="799" t="s">
        <v>4062</v>
      </c>
      <c r="C6455" s="798" t="s">
        <v>3998</v>
      </c>
      <c r="D6455" s="800">
        <v>110.61</v>
      </c>
    </row>
    <row r="6456" spans="1:4" ht="40.5">
      <c r="A6456" s="798">
        <v>100283</v>
      </c>
      <c r="B6456" s="799" t="s">
        <v>4063</v>
      </c>
      <c r="C6456" s="798" t="s">
        <v>3998</v>
      </c>
      <c r="D6456" s="800">
        <v>17.87</v>
      </c>
    </row>
    <row r="6457" spans="1:4" ht="40.5">
      <c r="A6457" s="798">
        <v>100284</v>
      </c>
      <c r="B6457" s="799" t="s">
        <v>4064</v>
      </c>
      <c r="C6457" s="798" t="s">
        <v>3998</v>
      </c>
      <c r="D6457" s="800">
        <v>8.73</v>
      </c>
    </row>
    <row r="6458" spans="1:4" ht="27">
      <c r="A6458" s="798">
        <v>100285</v>
      </c>
      <c r="B6458" s="799" t="s">
        <v>4065</v>
      </c>
      <c r="C6458" s="798" t="s">
        <v>4016</v>
      </c>
      <c r="D6458" s="800">
        <v>29.72</v>
      </c>
    </row>
    <row r="6459" spans="1:4" ht="27">
      <c r="A6459" s="798">
        <v>100286</v>
      </c>
      <c r="B6459" s="799" t="s">
        <v>4066</v>
      </c>
      <c r="C6459" s="798" t="s">
        <v>4016</v>
      </c>
      <c r="D6459" s="800">
        <v>9.68</v>
      </c>
    </row>
    <row r="6460" spans="1:4" ht="27">
      <c r="A6460" s="798">
        <v>100287</v>
      </c>
      <c r="B6460" s="799" t="s">
        <v>4067</v>
      </c>
      <c r="C6460" s="798" t="s">
        <v>4016</v>
      </c>
      <c r="D6460" s="800">
        <v>9.27</v>
      </c>
    </row>
    <row r="6461" spans="1:4" ht="27">
      <c r="A6461" s="798">
        <v>99802</v>
      </c>
      <c r="B6461" s="799" t="s">
        <v>4068</v>
      </c>
      <c r="C6461" s="798" t="s">
        <v>32</v>
      </c>
      <c r="D6461" s="800">
        <v>0.37</v>
      </c>
    </row>
    <row r="6462" spans="1:4" ht="27">
      <c r="A6462" s="798">
        <v>99803</v>
      </c>
      <c r="B6462" s="799" t="s">
        <v>4069</v>
      </c>
      <c r="C6462" s="798" t="s">
        <v>32</v>
      </c>
      <c r="D6462" s="800">
        <v>1.47</v>
      </c>
    </row>
    <row r="6463" spans="1:4" ht="27">
      <c r="A6463" s="798">
        <v>99804</v>
      </c>
      <c r="B6463" s="799" t="s">
        <v>7666</v>
      </c>
      <c r="C6463" s="798" t="s">
        <v>32</v>
      </c>
      <c r="D6463" s="800">
        <v>3.8</v>
      </c>
    </row>
    <row r="6464" spans="1:4" ht="27">
      <c r="A6464" s="798">
        <v>99805</v>
      </c>
      <c r="B6464" s="799" t="s">
        <v>4070</v>
      </c>
      <c r="C6464" s="798" t="s">
        <v>32</v>
      </c>
      <c r="D6464" s="800">
        <v>7.93</v>
      </c>
    </row>
    <row r="6465" spans="1:4" ht="27">
      <c r="A6465" s="798">
        <v>99806</v>
      </c>
      <c r="B6465" s="799" t="s">
        <v>4071</v>
      </c>
      <c r="C6465" s="798" t="s">
        <v>32</v>
      </c>
      <c r="D6465" s="800">
        <v>0.6</v>
      </c>
    </row>
    <row r="6466" spans="1:4" ht="27">
      <c r="A6466" s="798">
        <v>99807</v>
      </c>
      <c r="B6466" s="799" t="s">
        <v>7667</v>
      </c>
      <c r="C6466" s="798" t="s">
        <v>32</v>
      </c>
      <c r="D6466" s="800">
        <v>1.1499999999999999</v>
      </c>
    </row>
    <row r="6467" spans="1:4" ht="27">
      <c r="A6467" s="798">
        <v>99808</v>
      </c>
      <c r="B6467" s="799" t="s">
        <v>4072</v>
      </c>
      <c r="C6467" s="798" t="s">
        <v>32</v>
      </c>
      <c r="D6467" s="800">
        <v>2.77</v>
      </c>
    </row>
    <row r="6468" spans="1:4" ht="27">
      <c r="A6468" s="798">
        <v>99809</v>
      </c>
      <c r="B6468" s="799" t="s">
        <v>4073</v>
      </c>
      <c r="C6468" s="798" t="s">
        <v>32</v>
      </c>
      <c r="D6468" s="800">
        <v>4.18</v>
      </c>
    </row>
    <row r="6469" spans="1:4" ht="27">
      <c r="A6469" s="798">
        <v>99810</v>
      </c>
      <c r="B6469" s="799" t="s">
        <v>7668</v>
      </c>
      <c r="C6469" s="798" t="s">
        <v>32</v>
      </c>
      <c r="D6469" s="800">
        <v>5.2</v>
      </c>
    </row>
    <row r="6470" spans="1:4" ht="13.5">
      <c r="A6470" s="798">
        <v>99811</v>
      </c>
      <c r="B6470" s="799" t="s">
        <v>4074</v>
      </c>
      <c r="C6470" s="798" t="s">
        <v>32</v>
      </c>
      <c r="D6470" s="800">
        <v>2.5</v>
      </c>
    </row>
    <row r="6471" spans="1:4" ht="27">
      <c r="A6471" s="798">
        <v>99812</v>
      </c>
      <c r="B6471" s="799" t="s">
        <v>4075</v>
      </c>
      <c r="C6471" s="798" t="s">
        <v>32</v>
      </c>
      <c r="D6471" s="800">
        <v>0.8</v>
      </c>
    </row>
    <row r="6472" spans="1:4" ht="27">
      <c r="A6472" s="798">
        <v>99813</v>
      </c>
      <c r="B6472" s="799" t="s">
        <v>7669</v>
      </c>
      <c r="C6472" s="798" t="s">
        <v>32</v>
      </c>
      <c r="D6472" s="800">
        <v>0.68</v>
      </c>
    </row>
    <row r="6473" spans="1:4" ht="27">
      <c r="A6473" s="798">
        <v>99814</v>
      </c>
      <c r="B6473" s="799" t="s">
        <v>4076</v>
      </c>
      <c r="C6473" s="798" t="s">
        <v>32</v>
      </c>
      <c r="D6473" s="800">
        <v>1.4</v>
      </c>
    </row>
    <row r="6474" spans="1:4" ht="27">
      <c r="A6474" s="798">
        <v>99815</v>
      </c>
      <c r="B6474" s="799" t="s">
        <v>7670</v>
      </c>
      <c r="C6474" s="798" t="s">
        <v>24</v>
      </c>
      <c r="D6474" s="800">
        <v>6.09</v>
      </c>
    </row>
    <row r="6475" spans="1:4" ht="27">
      <c r="A6475" s="798">
        <v>99816</v>
      </c>
      <c r="B6475" s="799" t="s">
        <v>7671</v>
      </c>
      <c r="C6475" s="798" t="s">
        <v>24</v>
      </c>
      <c r="D6475" s="800">
        <v>6.47</v>
      </c>
    </row>
    <row r="6476" spans="1:4" ht="27">
      <c r="A6476" s="798">
        <v>99817</v>
      </c>
      <c r="B6476" s="799" t="s">
        <v>7672</v>
      </c>
      <c r="C6476" s="798" t="s">
        <v>24</v>
      </c>
      <c r="D6476" s="800">
        <v>3.83</v>
      </c>
    </row>
    <row r="6477" spans="1:4" ht="27">
      <c r="A6477" s="798">
        <v>99818</v>
      </c>
      <c r="B6477" s="799" t="s">
        <v>7673</v>
      </c>
      <c r="C6477" s="798" t="s">
        <v>24</v>
      </c>
      <c r="D6477" s="800">
        <v>3.83</v>
      </c>
    </row>
    <row r="6478" spans="1:4" ht="27">
      <c r="A6478" s="798">
        <v>99819</v>
      </c>
      <c r="B6478" s="799" t="s">
        <v>7674</v>
      </c>
      <c r="C6478" s="798" t="s">
        <v>32</v>
      </c>
      <c r="D6478" s="800">
        <v>11.9</v>
      </c>
    </row>
    <row r="6479" spans="1:4" ht="13.5">
      <c r="A6479" s="798">
        <v>99820</v>
      </c>
      <c r="B6479" s="799" t="s">
        <v>7675</v>
      </c>
      <c r="C6479" s="798" t="s">
        <v>32</v>
      </c>
      <c r="D6479" s="800">
        <v>1.37</v>
      </c>
    </row>
    <row r="6480" spans="1:4" ht="27">
      <c r="A6480" s="798">
        <v>99821</v>
      </c>
      <c r="B6480" s="799" t="s">
        <v>7676</v>
      </c>
      <c r="C6480" s="798" t="s">
        <v>32</v>
      </c>
      <c r="D6480" s="800">
        <v>2.13</v>
      </c>
    </row>
    <row r="6481" spans="1:4" ht="13.5">
      <c r="A6481" s="798">
        <v>99822</v>
      </c>
      <c r="B6481" s="799" t="s">
        <v>4077</v>
      </c>
      <c r="C6481" s="798" t="s">
        <v>32</v>
      </c>
      <c r="D6481" s="800">
        <v>0.71</v>
      </c>
    </row>
    <row r="6482" spans="1:4" ht="13.5">
      <c r="A6482" s="798">
        <v>99823</v>
      </c>
      <c r="B6482" s="799" t="s">
        <v>7677</v>
      </c>
      <c r="C6482" s="798" t="s">
        <v>32</v>
      </c>
      <c r="D6482" s="800">
        <v>1.61</v>
      </c>
    </row>
    <row r="6483" spans="1:4" ht="13.5">
      <c r="A6483" s="798">
        <v>99824</v>
      </c>
      <c r="B6483" s="799" t="s">
        <v>7678</v>
      </c>
      <c r="C6483" s="798" t="s">
        <v>32</v>
      </c>
      <c r="D6483" s="800">
        <v>1.77</v>
      </c>
    </row>
    <row r="6484" spans="1:4" ht="27">
      <c r="A6484" s="798">
        <v>99825</v>
      </c>
      <c r="B6484" s="799" t="s">
        <v>7679</v>
      </c>
      <c r="C6484" s="798" t="s">
        <v>32</v>
      </c>
      <c r="D6484" s="800">
        <v>2.4900000000000002</v>
      </c>
    </row>
    <row r="6485" spans="1:4" ht="13.5">
      <c r="A6485" s="798">
        <v>99826</v>
      </c>
      <c r="B6485" s="799" t="s">
        <v>4078</v>
      </c>
      <c r="C6485" s="798" t="s">
        <v>32</v>
      </c>
      <c r="D6485" s="800">
        <v>1.0900000000000001</v>
      </c>
    </row>
    <row r="6486" spans="1:4" ht="54">
      <c r="A6486" s="798">
        <v>97010</v>
      </c>
      <c r="B6486" s="799" t="s">
        <v>3093</v>
      </c>
      <c r="C6486" s="798" t="s">
        <v>14</v>
      </c>
      <c r="D6486" s="800">
        <v>51.14</v>
      </c>
    </row>
    <row r="6487" spans="1:4" ht="54">
      <c r="A6487" s="798">
        <v>97011</v>
      </c>
      <c r="B6487" s="799" t="s">
        <v>3094</v>
      </c>
      <c r="C6487" s="798" t="s">
        <v>14</v>
      </c>
      <c r="D6487" s="800">
        <v>38.99</v>
      </c>
    </row>
    <row r="6488" spans="1:4" ht="54">
      <c r="A6488" s="798">
        <v>97012</v>
      </c>
      <c r="B6488" s="799" t="s">
        <v>3095</v>
      </c>
      <c r="C6488" s="798" t="s">
        <v>14</v>
      </c>
      <c r="D6488" s="800">
        <v>32.909999999999997</v>
      </c>
    </row>
    <row r="6489" spans="1:4" ht="54">
      <c r="A6489" s="798">
        <v>97013</v>
      </c>
      <c r="B6489" s="799" t="s">
        <v>3096</v>
      </c>
      <c r="C6489" s="798" t="s">
        <v>14</v>
      </c>
      <c r="D6489" s="800">
        <v>99.28</v>
      </c>
    </row>
    <row r="6490" spans="1:4" ht="54">
      <c r="A6490" s="798">
        <v>97014</v>
      </c>
      <c r="B6490" s="799" t="s">
        <v>3097</v>
      </c>
      <c r="C6490" s="798" t="s">
        <v>14</v>
      </c>
      <c r="D6490" s="800">
        <v>71.239999999999995</v>
      </c>
    </row>
    <row r="6491" spans="1:4" ht="54">
      <c r="A6491" s="798">
        <v>97015</v>
      </c>
      <c r="B6491" s="799" t="s">
        <v>3098</v>
      </c>
      <c r="C6491" s="798" t="s">
        <v>14</v>
      </c>
      <c r="D6491" s="800">
        <v>57.13</v>
      </c>
    </row>
    <row r="6492" spans="1:4" ht="54">
      <c r="A6492" s="798">
        <v>97016</v>
      </c>
      <c r="B6492" s="799" t="s">
        <v>3099</v>
      </c>
      <c r="C6492" s="798" t="s">
        <v>14</v>
      </c>
      <c r="D6492" s="800">
        <v>45.76</v>
      </c>
    </row>
    <row r="6493" spans="1:4" ht="54">
      <c r="A6493" s="798">
        <v>97017</v>
      </c>
      <c r="B6493" s="799" t="s">
        <v>3100</v>
      </c>
      <c r="C6493" s="798" t="s">
        <v>14</v>
      </c>
      <c r="D6493" s="800">
        <v>34.18</v>
      </c>
    </row>
    <row r="6494" spans="1:4" ht="54">
      <c r="A6494" s="798">
        <v>97018</v>
      </c>
      <c r="B6494" s="799" t="s">
        <v>3101</v>
      </c>
      <c r="C6494" s="798" t="s">
        <v>14</v>
      </c>
      <c r="D6494" s="800">
        <v>28.16</v>
      </c>
    </row>
    <row r="6495" spans="1:4" ht="81">
      <c r="A6495" s="798">
        <v>97031</v>
      </c>
      <c r="B6495" s="799" t="s">
        <v>3102</v>
      </c>
      <c r="C6495" s="798" t="s">
        <v>14</v>
      </c>
      <c r="D6495" s="800">
        <v>78.27</v>
      </c>
    </row>
    <row r="6496" spans="1:4" ht="67.5">
      <c r="A6496" s="798">
        <v>97032</v>
      </c>
      <c r="B6496" s="799" t="s">
        <v>4079</v>
      </c>
      <c r="C6496" s="798" t="s">
        <v>14</v>
      </c>
      <c r="D6496" s="800">
        <v>47.12</v>
      </c>
    </row>
    <row r="6497" spans="1:4" ht="67.5">
      <c r="A6497" s="798">
        <v>97033</v>
      </c>
      <c r="B6497" s="799" t="s">
        <v>3353</v>
      </c>
      <c r="C6497" s="798" t="s">
        <v>14</v>
      </c>
      <c r="D6497" s="800">
        <v>85.6</v>
      </c>
    </row>
    <row r="6498" spans="1:4" ht="67.5">
      <c r="A6498" s="798">
        <v>97034</v>
      </c>
      <c r="B6498" s="799" t="s">
        <v>3354</v>
      </c>
      <c r="C6498" s="798" t="s">
        <v>14</v>
      </c>
      <c r="D6498" s="800">
        <v>49.73</v>
      </c>
    </row>
    <row r="6499" spans="1:4" ht="27">
      <c r="A6499" s="798">
        <v>97039</v>
      </c>
      <c r="B6499" s="799" t="s">
        <v>3103</v>
      </c>
      <c r="C6499" s="798" t="s">
        <v>32</v>
      </c>
      <c r="D6499" s="800">
        <v>49.54</v>
      </c>
    </row>
    <row r="6500" spans="1:4" ht="27">
      <c r="A6500" s="798">
        <v>97040</v>
      </c>
      <c r="B6500" s="799" t="s">
        <v>3104</v>
      </c>
      <c r="C6500" s="798" t="s">
        <v>32</v>
      </c>
      <c r="D6500" s="800">
        <v>14.31</v>
      </c>
    </row>
    <row r="6501" spans="1:4" ht="27">
      <c r="A6501" s="798">
        <v>97041</v>
      </c>
      <c r="B6501" s="799" t="s">
        <v>3105</v>
      </c>
      <c r="C6501" s="798" t="s">
        <v>32</v>
      </c>
      <c r="D6501" s="800">
        <v>205.98</v>
      </c>
    </row>
    <row r="6502" spans="1:4" ht="27">
      <c r="A6502" s="798">
        <v>97046</v>
      </c>
      <c r="B6502" s="799" t="s">
        <v>3355</v>
      </c>
      <c r="C6502" s="798" t="s">
        <v>32</v>
      </c>
      <c r="D6502" s="800">
        <v>0.34</v>
      </c>
    </row>
    <row r="6503" spans="1:4" ht="40.5">
      <c r="A6503" s="798">
        <v>97047</v>
      </c>
      <c r="B6503" s="799" t="s">
        <v>3356</v>
      </c>
      <c r="C6503" s="798" t="s">
        <v>32</v>
      </c>
      <c r="D6503" s="800">
        <v>0.13</v>
      </c>
    </row>
    <row r="6504" spans="1:4" ht="27">
      <c r="A6504" s="798">
        <v>97048</v>
      </c>
      <c r="B6504" s="799" t="s">
        <v>3357</v>
      </c>
      <c r="C6504" s="798" t="s">
        <v>32</v>
      </c>
      <c r="D6504" s="800">
        <v>0.09</v>
      </c>
    </row>
    <row r="6505" spans="1:4" ht="13.5">
      <c r="A6505" s="798">
        <v>97054</v>
      </c>
      <c r="B6505" s="799" t="s">
        <v>5259</v>
      </c>
      <c r="C6505" s="798" t="s">
        <v>24</v>
      </c>
      <c r="D6505" s="800">
        <v>24.53</v>
      </c>
    </row>
    <row r="6506" spans="1:4" ht="13.5">
      <c r="A6506" s="798">
        <v>97062</v>
      </c>
      <c r="B6506" s="799" t="s">
        <v>3106</v>
      </c>
      <c r="C6506" s="798" t="s">
        <v>32</v>
      </c>
      <c r="D6506" s="800">
        <v>5.77</v>
      </c>
    </row>
    <row r="6507" spans="1:4" ht="40.5">
      <c r="A6507" s="798">
        <v>97063</v>
      </c>
      <c r="B6507" s="799" t="s">
        <v>3107</v>
      </c>
      <c r="C6507" s="798" t="s">
        <v>32</v>
      </c>
      <c r="D6507" s="800">
        <v>6.46</v>
      </c>
    </row>
    <row r="6508" spans="1:4" ht="27">
      <c r="A6508" s="798">
        <v>97064</v>
      </c>
      <c r="B6508" s="799" t="s">
        <v>3108</v>
      </c>
      <c r="C6508" s="798" t="s">
        <v>14</v>
      </c>
      <c r="D6508" s="800">
        <v>12.05</v>
      </c>
    </row>
    <row r="6509" spans="1:4" ht="27">
      <c r="A6509" s="798">
        <v>97065</v>
      </c>
      <c r="B6509" s="799" t="s">
        <v>3109</v>
      </c>
      <c r="C6509" s="798" t="s">
        <v>22</v>
      </c>
      <c r="D6509" s="800">
        <v>4.3</v>
      </c>
    </row>
    <row r="6510" spans="1:4" ht="40.5">
      <c r="A6510" s="798">
        <v>97066</v>
      </c>
      <c r="B6510" s="799" t="s">
        <v>3577</v>
      </c>
      <c r="C6510" s="798" t="s">
        <v>32</v>
      </c>
      <c r="D6510" s="800">
        <v>114.97</v>
      </c>
    </row>
    <row r="6511" spans="1:4" ht="40.5">
      <c r="A6511" s="798">
        <v>97067</v>
      </c>
      <c r="B6511" s="799" t="s">
        <v>3110</v>
      </c>
      <c r="C6511" s="798" t="s">
        <v>14</v>
      </c>
      <c r="D6511" s="800">
        <v>537.69000000000005</v>
      </c>
    </row>
    <row r="6512" spans="1:4" ht="27">
      <c r="A6512" s="798">
        <v>97621</v>
      </c>
      <c r="B6512" s="799" t="s">
        <v>3205</v>
      </c>
      <c r="C6512" s="798" t="s">
        <v>22</v>
      </c>
      <c r="D6512" s="800">
        <v>81</v>
      </c>
    </row>
    <row r="6513" spans="1:4" ht="27">
      <c r="A6513" s="798">
        <v>97622</v>
      </c>
      <c r="B6513" s="799" t="s">
        <v>3206</v>
      </c>
      <c r="C6513" s="798" t="s">
        <v>22</v>
      </c>
      <c r="D6513" s="800">
        <v>39.479999999999997</v>
      </c>
    </row>
    <row r="6514" spans="1:4" ht="27">
      <c r="A6514" s="798">
        <v>97623</v>
      </c>
      <c r="B6514" s="799" t="s">
        <v>3207</v>
      </c>
      <c r="C6514" s="798" t="s">
        <v>22</v>
      </c>
      <c r="D6514" s="800">
        <v>120.94</v>
      </c>
    </row>
    <row r="6515" spans="1:4" ht="27">
      <c r="A6515" s="798">
        <v>97624</v>
      </c>
      <c r="B6515" s="799" t="s">
        <v>3208</v>
      </c>
      <c r="C6515" s="798" t="s">
        <v>22</v>
      </c>
      <c r="D6515" s="800">
        <v>74.22</v>
      </c>
    </row>
    <row r="6516" spans="1:4" ht="27">
      <c r="A6516" s="798">
        <v>97625</v>
      </c>
      <c r="B6516" s="799" t="s">
        <v>3209</v>
      </c>
      <c r="C6516" s="798" t="s">
        <v>22</v>
      </c>
      <c r="D6516" s="800">
        <v>44.55</v>
      </c>
    </row>
    <row r="6517" spans="1:4" ht="27">
      <c r="A6517" s="798">
        <v>97626</v>
      </c>
      <c r="B6517" s="799" t="s">
        <v>3210</v>
      </c>
      <c r="C6517" s="798" t="s">
        <v>22</v>
      </c>
      <c r="D6517" s="800">
        <v>425.04</v>
      </c>
    </row>
    <row r="6518" spans="1:4" ht="40.5">
      <c r="A6518" s="798">
        <v>97627</v>
      </c>
      <c r="B6518" s="799" t="s">
        <v>3211</v>
      </c>
      <c r="C6518" s="798" t="s">
        <v>22</v>
      </c>
      <c r="D6518" s="800">
        <v>194.25</v>
      </c>
    </row>
    <row r="6519" spans="1:4" ht="27">
      <c r="A6519" s="798">
        <v>97628</v>
      </c>
      <c r="B6519" s="799" t="s">
        <v>3212</v>
      </c>
      <c r="C6519" s="798" t="s">
        <v>22</v>
      </c>
      <c r="D6519" s="800">
        <v>195.12</v>
      </c>
    </row>
    <row r="6520" spans="1:4" ht="27">
      <c r="A6520" s="798">
        <v>97629</v>
      </c>
      <c r="B6520" s="799" t="s">
        <v>3213</v>
      </c>
      <c r="C6520" s="798" t="s">
        <v>22</v>
      </c>
      <c r="D6520" s="800">
        <v>84.5</v>
      </c>
    </row>
    <row r="6521" spans="1:4" ht="27">
      <c r="A6521" s="798">
        <v>97631</v>
      </c>
      <c r="B6521" s="799" t="s">
        <v>3214</v>
      </c>
      <c r="C6521" s="798" t="s">
        <v>32</v>
      </c>
      <c r="D6521" s="800">
        <v>2.29</v>
      </c>
    </row>
    <row r="6522" spans="1:4" ht="27">
      <c r="A6522" s="798">
        <v>97632</v>
      </c>
      <c r="B6522" s="799" t="s">
        <v>3215</v>
      </c>
      <c r="C6522" s="798" t="s">
        <v>14</v>
      </c>
      <c r="D6522" s="800">
        <v>1.8</v>
      </c>
    </row>
    <row r="6523" spans="1:4" ht="27">
      <c r="A6523" s="798">
        <v>97633</v>
      </c>
      <c r="B6523" s="799" t="s">
        <v>3216</v>
      </c>
      <c r="C6523" s="798" t="s">
        <v>32</v>
      </c>
      <c r="D6523" s="800">
        <v>15.69</v>
      </c>
    </row>
    <row r="6524" spans="1:4" ht="40.5">
      <c r="A6524" s="798">
        <v>97634</v>
      </c>
      <c r="B6524" s="799" t="s">
        <v>3217</v>
      </c>
      <c r="C6524" s="798" t="s">
        <v>32</v>
      </c>
      <c r="D6524" s="800">
        <v>8.26</v>
      </c>
    </row>
    <row r="6525" spans="1:4" ht="27">
      <c r="A6525" s="798">
        <v>97635</v>
      </c>
      <c r="B6525" s="799" t="s">
        <v>3218</v>
      </c>
      <c r="C6525" s="798" t="s">
        <v>32</v>
      </c>
      <c r="D6525" s="800">
        <v>10.38</v>
      </c>
    </row>
    <row r="6526" spans="1:4" ht="27">
      <c r="A6526" s="798">
        <v>97636</v>
      </c>
      <c r="B6526" s="799" t="s">
        <v>3219</v>
      </c>
      <c r="C6526" s="798" t="s">
        <v>32</v>
      </c>
      <c r="D6526" s="800">
        <v>14.92</v>
      </c>
    </row>
    <row r="6527" spans="1:4" ht="27">
      <c r="A6527" s="798">
        <v>97637</v>
      </c>
      <c r="B6527" s="799" t="s">
        <v>3220</v>
      </c>
      <c r="C6527" s="798" t="s">
        <v>32</v>
      </c>
      <c r="D6527" s="800">
        <v>1.76</v>
      </c>
    </row>
    <row r="6528" spans="1:4" ht="27">
      <c r="A6528" s="798">
        <v>97638</v>
      </c>
      <c r="B6528" s="799" t="s">
        <v>3221</v>
      </c>
      <c r="C6528" s="798" t="s">
        <v>32</v>
      </c>
      <c r="D6528" s="800">
        <v>5.14</v>
      </c>
    </row>
    <row r="6529" spans="1:4" ht="27">
      <c r="A6529" s="798">
        <v>97639</v>
      </c>
      <c r="B6529" s="799" t="s">
        <v>3222</v>
      </c>
      <c r="C6529" s="798" t="s">
        <v>32</v>
      </c>
      <c r="D6529" s="800">
        <v>13.82</v>
      </c>
    </row>
    <row r="6530" spans="1:4" ht="27">
      <c r="A6530" s="798">
        <v>97640</v>
      </c>
      <c r="B6530" s="799" t="s">
        <v>3223</v>
      </c>
      <c r="C6530" s="798" t="s">
        <v>32</v>
      </c>
      <c r="D6530" s="800">
        <v>1.1100000000000001</v>
      </c>
    </row>
    <row r="6531" spans="1:4" ht="27">
      <c r="A6531" s="798">
        <v>97641</v>
      </c>
      <c r="B6531" s="799" t="s">
        <v>3224</v>
      </c>
      <c r="C6531" s="798" t="s">
        <v>32</v>
      </c>
      <c r="D6531" s="800">
        <v>3.41</v>
      </c>
    </row>
    <row r="6532" spans="1:4" ht="27">
      <c r="A6532" s="798">
        <v>97642</v>
      </c>
      <c r="B6532" s="799" t="s">
        <v>3225</v>
      </c>
      <c r="C6532" s="798" t="s">
        <v>32</v>
      </c>
      <c r="D6532" s="800">
        <v>1.99</v>
      </c>
    </row>
    <row r="6533" spans="1:4" ht="27">
      <c r="A6533" s="798">
        <v>97643</v>
      </c>
      <c r="B6533" s="799" t="s">
        <v>3226</v>
      </c>
      <c r="C6533" s="798" t="s">
        <v>32</v>
      </c>
      <c r="D6533" s="800">
        <v>16.940000000000001</v>
      </c>
    </row>
    <row r="6534" spans="1:4" ht="27">
      <c r="A6534" s="798">
        <v>97644</v>
      </c>
      <c r="B6534" s="799" t="s">
        <v>3227</v>
      </c>
      <c r="C6534" s="798" t="s">
        <v>32</v>
      </c>
      <c r="D6534" s="800">
        <v>6.39</v>
      </c>
    </row>
    <row r="6535" spans="1:4" ht="27">
      <c r="A6535" s="798">
        <v>97645</v>
      </c>
      <c r="B6535" s="799" t="s">
        <v>3228</v>
      </c>
      <c r="C6535" s="798" t="s">
        <v>32</v>
      </c>
      <c r="D6535" s="800">
        <v>23.93</v>
      </c>
    </row>
    <row r="6536" spans="1:4" ht="40.5">
      <c r="A6536" s="798">
        <v>97647</v>
      </c>
      <c r="B6536" s="799" t="s">
        <v>3229</v>
      </c>
      <c r="C6536" s="798" t="s">
        <v>32</v>
      </c>
      <c r="D6536" s="800">
        <v>2.38</v>
      </c>
    </row>
    <row r="6537" spans="1:4" ht="27">
      <c r="A6537" s="798">
        <v>97648</v>
      </c>
      <c r="B6537" s="799" t="s">
        <v>3230</v>
      </c>
      <c r="C6537" s="798" t="s">
        <v>32</v>
      </c>
      <c r="D6537" s="800">
        <v>1.36</v>
      </c>
    </row>
    <row r="6538" spans="1:4" ht="40.5">
      <c r="A6538" s="798">
        <v>97649</v>
      </c>
      <c r="B6538" s="799" t="s">
        <v>3231</v>
      </c>
      <c r="C6538" s="798" t="s">
        <v>32</v>
      </c>
      <c r="D6538" s="800">
        <v>3.07</v>
      </c>
    </row>
    <row r="6539" spans="1:4" ht="27">
      <c r="A6539" s="798">
        <v>97650</v>
      </c>
      <c r="B6539" s="799" t="s">
        <v>3232</v>
      </c>
      <c r="C6539" s="798" t="s">
        <v>32</v>
      </c>
      <c r="D6539" s="800">
        <v>5.12</v>
      </c>
    </row>
    <row r="6540" spans="1:4" ht="27">
      <c r="A6540" s="798">
        <v>97651</v>
      </c>
      <c r="B6540" s="799" t="s">
        <v>3233</v>
      </c>
      <c r="C6540" s="798" t="s">
        <v>24</v>
      </c>
      <c r="D6540" s="800">
        <v>56.65</v>
      </c>
    </row>
    <row r="6541" spans="1:4" ht="40.5">
      <c r="A6541" s="798">
        <v>97652</v>
      </c>
      <c r="B6541" s="799" t="s">
        <v>3234</v>
      </c>
      <c r="C6541" s="798" t="s">
        <v>24</v>
      </c>
      <c r="D6541" s="800">
        <v>128.41999999999999</v>
      </c>
    </row>
    <row r="6542" spans="1:4" ht="27">
      <c r="A6542" s="798">
        <v>97653</v>
      </c>
      <c r="B6542" s="799" t="s">
        <v>3235</v>
      </c>
      <c r="C6542" s="798" t="s">
        <v>24</v>
      </c>
      <c r="D6542" s="800">
        <v>102.09</v>
      </c>
    </row>
    <row r="6543" spans="1:4" ht="40.5">
      <c r="A6543" s="798">
        <v>97654</v>
      </c>
      <c r="B6543" s="799" t="s">
        <v>3236</v>
      </c>
      <c r="C6543" s="798" t="s">
        <v>24</v>
      </c>
      <c r="D6543" s="800">
        <v>121.74</v>
      </c>
    </row>
    <row r="6544" spans="1:4" ht="27">
      <c r="A6544" s="798">
        <v>97655</v>
      </c>
      <c r="B6544" s="799" t="s">
        <v>3237</v>
      </c>
      <c r="C6544" s="798" t="s">
        <v>32</v>
      </c>
      <c r="D6544" s="800">
        <v>17.37</v>
      </c>
    </row>
    <row r="6545" spans="1:4" ht="27">
      <c r="A6545" s="798">
        <v>97656</v>
      </c>
      <c r="B6545" s="799" t="s">
        <v>3238</v>
      </c>
      <c r="C6545" s="798" t="s">
        <v>24</v>
      </c>
      <c r="D6545" s="800">
        <v>168.44</v>
      </c>
    </row>
    <row r="6546" spans="1:4" ht="40.5">
      <c r="A6546" s="798">
        <v>97657</v>
      </c>
      <c r="B6546" s="799" t="s">
        <v>3239</v>
      </c>
      <c r="C6546" s="798" t="s">
        <v>24</v>
      </c>
      <c r="D6546" s="800">
        <v>333.87</v>
      </c>
    </row>
    <row r="6547" spans="1:4" ht="27">
      <c r="A6547" s="798">
        <v>97658</v>
      </c>
      <c r="B6547" s="799" t="s">
        <v>3240</v>
      </c>
      <c r="C6547" s="798" t="s">
        <v>24</v>
      </c>
      <c r="D6547" s="800">
        <v>143.15</v>
      </c>
    </row>
    <row r="6548" spans="1:4" ht="40.5">
      <c r="A6548" s="798">
        <v>97659</v>
      </c>
      <c r="B6548" s="799" t="s">
        <v>3241</v>
      </c>
      <c r="C6548" s="798" t="s">
        <v>24</v>
      </c>
      <c r="D6548" s="800">
        <v>189.03</v>
      </c>
    </row>
    <row r="6549" spans="1:4" ht="27">
      <c r="A6549" s="798">
        <v>97660</v>
      </c>
      <c r="B6549" s="799" t="s">
        <v>3242</v>
      </c>
      <c r="C6549" s="798" t="s">
        <v>24</v>
      </c>
      <c r="D6549" s="800">
        <v>0.46</v>
      </c>
    </row>
    <row r="6550" spans="1:4" ht="27">
      <c r="A6550" s="798">
        <v>97661</v>
      </c>
      <c r="B6550" s="799" t="s">
        <v>3243</v>
      </c>
      <c r="C6550" s="798" t="s">
        <v>14</v>
      </c>
      <c r="D6550" s="800">
        <v>0.46</v>
      </c>
    </row>
    <row r="6551" spans="1:4" ht="40.5">
      <c r="A6551" s="798">
        <v>97662</v>
      </c>
      <c r="B6551" s="799" t="s">
        <v>3244</v>
      </c>
      <c r="C6551" s="798" t="s">
        <v>14</v>
      </c>
      <c r="D6551" s="800">
        <v>0.34</v>
      </c>
    </row>
    <row r="6552" spans="1:4" ht="27">
      <c r="A6552" s="798">
        <v>97663</v>
      </c>
      <c r="B6552" s="799" t="s">
        <v>3245</v>
      </c>
      <c r="C6552" s="798" t="s">
        <v>24</v>
      </c>
      <c r="D6552" s="800">
        <v>8.5</v>
      </c>
    </row>
    <row r="6553" spans="1:4" ht="27">
      <c r="A6553" s="798">
        <v>97664</v>
      </c>
      <c r="B6553" s="799" t="s">
        <v>3246</v>
      </c>
      <c r="C6553" s="798" t="s">
        <v>24</v>
      </c>
      <c r="D6553" s="800">
        <v>1.05</v>
      </c>
    </row>
    <row r="6554" spans="1:4" ht="27">
      <c r="A6554" s="798">
        <v>97665</v>
      </c>
      <c r="B6554" s="799" t="s">
        <v>3247</v>
      </c>
      <c r="C6554" s="798" t="s">
        <v>24</v>
      </c>
      <c r="D6554" s="800">
        <v>0.89</v>
      </c>
    </row>
    <row r="6555" spans="1:4" ht="27">
      <c r="A6555" s="798">
        <v>97666</v>
      </c>
      <c r="B6555" s="799" t="s">
        <v>3248</v>
      </c>
      <c r="C6555" s="798" t="s">
        <v>24</v>
      </c>
      <c r="D6555" s="800">
        <v>6.2</v>
      </c>
    </row>
    <row r="6556" spans="1:4" ht="40.5">
      <c r="A6556" s="798">
        <v>95967</v>
      </c>
      <c r="B6556" s="799" t="s">
        <v>2729</v>
      </c>
      <c r="C6556" s="798" t="s">
        <v>19</v>
      </c>
      <c r="D6556" s="800">
        <v>112.71</v>
      </c>
    </row>
    <row r="6557" spans="1:4" ht="27">
      <c r="A6557" s="798">
        <v>99058</v>
      </c>
      <c r="B6557" s="799" t="s">
        <v>4080</v>
      </c>
      <c r="C6557" s="798" t="s">
        <v>24</v>
      </c>
      <c r="D6557" s="800">
        <v>5.64</v>
      </c>
    </row>
    <row r="6558" spans="1:4" ht="40.5">
      <c r="A6558" s="798">
        <v>99059</v>
      </c>
      <c r="B6558" s="799" t="s">
        <v>4081</v>
      </c>
      <c r="C6558" s="798" t="s">
        <v>14</v>
      </c>
      <c r="D6558" s="800">
        <v>45.02</v>
      </c>
    </row>
    <row r="6559" spans="1:4" ht="27">
      <c r="A6559" s="798">
        <v>99060</v>
      </c>
      <c r="B6559" s="799" t="s">
        <v>5012</v>
      </c>
      <c r="C6559" s="798" t="s">
        <v>24</v>
      </c>
      <c r="D6559" s="800">
        <v>116.14</v>
      </c>
    </row>
    <row r="6560" spans="1:4" ht="27">
      <c r="A6560" s="798">
        <v>99061</v>
      </c>
      <c r="B6560" s="799" t="s">
        <v>5013</v>
      </c>
      <c r="C6560" s="798" t="s">
        <v>24</v>
      </c>
      <c r="D6560" s="800">
        <v>77.959999999999994</v>
      </c>
    </row>
    <row r="6561" spans="1:4" ht="27">
      <c r="A6561" s="798">
        <v>99062</v>
      </c>
      <c r="B6561" s="799" t="s">
        <v>4082</v>
      </c>
      <c r="C6561" s="798" t="s">
        <v>24</v>
      </c>
      <c r="D6561" s="800">
        <v>1.79</v>
      </c>
    </row>
    <row r="6562" spans="1:4" ht="13.5">
      <c r="A6562" s="798">
        <v>99063</v>
      </c>
      <c r="B6562" s="799" t="s">
        <v>4083</v>
      </c>
      <c r="C6562" s="798" t="s">
        <v>14</v>
      </c>
      <c r="D6562" s="800">
        <v>3.89</v>
      </c>
    </row>
    <row r="6563" spans="1:4" ht="13.5">
      <c r="A6563" s="798">
        <v>99064</v>
      </c>
      <c r="B6563" s="799" t="s">
        <v>4084</v>
      </c>
      <c r="C6563" s="798" t="s">
        <v>14</v>
      </c>
      <c r="D6563" s="800">
        <v>0.28000000000000003</v>
      </c>
    </row>
    <row r="6564" spans="1:4" ht="27">
      <c r="A6564" s="798">
        <v>93588</v>
      </c>
      <c r="B6564" s="799" t="s">
        <v>5260</v>
      </c>
      <c r="C6564" s="798" t="s">
        <v>80</v>
      </c>
      <c r="D6564" s="800">
        <v>2.12</v>
      </c>
    </row>
    <row r="6565" spans="1:4" ht="40.5">
      <c r="A6565" s="798">
        <v>93589</v>
      </c>
      <c r="B6565" s="799" t="s">
        <v>5261</v>
      </c>
      <c r="C6565" s="798" t="s">
        <v>80</v>
      </c>
      <c r="D6565" s="800">
        <v>1.82</v>
      </c>
    </row>
    <row r="6566" spans="1:4" ht="40.5">
      <c r="A6566" s="798">
        <v>93590</v>
      </c>
      <c r="B6566" s="799" t="s">
        <v>5262</v>
      </c>
      <c r="C6566" s="798" t="s">
        <v>80</v>
      </c>
      <c r="D6566" s="800">
        <v>0.66</v>
      </c>
    </row>
    <row r="6567" spans="1:4" ht="27">
      <c r="A6567" s="798">
        <v>93591</v>
      </c>
      <c r="B6567" s="799" t="s">
        <v>5263</v>
      </c>
      <c r="C6567" s="798" t="s">
        <v>80</v>
      </c>
      <c r="D6567" s="800">
        <v>2.3199999999999998</v>
      </c>
    </row>
    <row r="6568" spans="1:4" ht="40.5">
      <c r="A6568" s="798">
        <v>93592</v>
      </c>
      <c r="B6568" s="799" t="s">
        <v>5264</v>
      </c>
      <c r="C6568" s="798" t="s">
        <v>80</v>
      </c>
      <c r="D6568" s="800">
        <v>2.02</v>
      </c>
    </row>
    <row r="6569" spans="1:4" ht="40.5">
      <c r="A6569" s="798">
        <v>93593</v>
      </c>
      <c r="B6569" s="799" t="s">
        <v>5265</v>
      </c>
      <c r="C6569" s="798" t="s">
        <v>80</v>
      </c>
      <c r="D6569" s="800">
        <v>0.73</v>
      </c>
    </row>
    <row r="6570" spans="1:4" ht="27">
      <c r="A6570" s="798">
        <v>93594</v>
      </c>
      <c r="B6570" s="799" t="s">
        <v>5266</v>
      </c>
      <c r="C6570" s="798" t="s">
        <v>79</v>
      </c>
      <c r="D6570" s="800">
        <v>1.41</v>
      </c>
    </row>
    <row r="6571" spans="1:4" ht="40.5">
      <c r="A6571" s="798">
        <v>93595</v>
      </c>
      <c r="B6571" s="799" t="s">
        <v>5267</v>
      </c>
      <c r="C6571" s="798" t="s">
        <v>79</v>
      </c>
      <c r="D6571" s="800">
        <v>1.23</v>
      </c>
    </row>
    <row r="6572" spans="1:4" ht="40.5">
      <c r="A6572" s="798">
        <v>93596</v>
      </c>
      <c r="B6572" s="799" t="s">
        <v>5268</v>
      </c>
      <c r="C6572" s="798" t="s">
        <v>79</v>
      </c>
      <c r="D6572" s="800">
        <v>0.44</v>
      </c>
    </row>
    <row r="6573" spans="1:4" ht="27">
      <c r="A6573" s="798">
        <v>93597</v>
      </c>
      <c r="B6573" s="799" t="s">
        <v>5269</v>
      </c>
      <c r="C6573" s="798" t="s">
        <v>79</v>
      </c>
      <c r="D6573" s="800">
        <v>1.55</v>
      </c>
    </row>
    <row r="6574" spans="1:4" ht="40.5">
      <c r="A6574" s="798">
        <v>93598</v>
      </c>
      <c r="B6574" s="799" t="s">
        <v>5270</v>
      </c>
      <c r="C6574" s="798" t="s">
        <v>79</v>
      </c>
      <c r="D6574" s="800">
        <v>1.33</v>
      </c>
    </row>
    <row r="6575" spans="1:4" ht="40.5">
      <c r="A6575" s="798">
        <v>93599</v>
      </c>
      <c r="B6575" s="799" t="s">
        <v>5271</v>
      </c>
      <c r="C6575" s="798" t="s">
        <v>79</v>
      </c>
      <c r="D6575" s="800">
        <v>0.49</v>
      </c>
    </row>
    <row r="6576" spans="1:4" ht="27">
      <c r="A6576" s="798">
        <v>95425</v>
      </c>
      <c r="B6576" s="799" t="s">
        <v>5272</v>
      </c>
      <c r="C6576" s="798" t="s">
        <v>80</v>
      </c>
      <c r="D6576" s="800">
        <v>2</v>
      </c>
    </row>
    <row r="6577" spans="1:4" ht="40.5">
      <c r="A6577" s="798">
        <v>95426</v>
      </c>
      <c r="B6577" s="799" t="s">
        <v>5273</v>
      </c>
      <c r="C6577" s="798" t="s">
        <v>80</v>
      </c>
      <c r="D6577" s="800">
        <v>1.73</v>
      </c>
    </row>
    <row r="6578" spans="1:4" ht="40.5">
      <c r="A6578" s="798">
        <v>95427</v>
      </c>
      <c r="B6578" s="799" t="s">
        <v>5274</v>
      </c>
      <c r="C6578" s="798" t="s">
        <v>80</v>
      </c>
      <c r="D6578" s="800">
        <v>0.64</v>
      </c>
    </row>
    <row r="6579" spans="1:4" ht="27">
      <c r="A6579" s="798">
        <v>95428</v>
      </c>
      <c r="B6579" s="799" t="s">
        <v>5275</v>
      </c>
      <c r="C6579" s="798" t="s">
        <v>79</v>
      </c>
      <c r="D6579" s="800">
        <v>1.34</v>
      </c>
    </row>
    <row r="6580" spans="1:4" ht="40.5">
      <c r="A6580" s="798">
        <v>95429</v>
      </c>
      <c r="B6580" s="799" t="s">
        <v>5276</v>
      </c>
      <c r="C6580" s="798" t="s">
        <v>79</v>
      </c>
      <c r="D6580" s="800">
        <v>1.1599999999999999</v>
      </c>
    </row>
    <row r="6581" spans="1:4" ht="40.5">
      <c r="A6581" s="798">
        <v>95430</v>
      </c>
      <c r="B6581" s="799" t="s">
        <v>5277</v>
      </c>
      <c r="C6581" s="798" t="s">
        <v>79</v>
      </c>
      <c r="D6581" s="800">
        <v>0.41</v>
      </c>
    </row>
    <row r="6582" spans="1:4" ht="40.5">
      <c r="A6582" s="798">
        <v>95875</v>
      </c>
      <c r="B6582" s="799" t="s">
        <v>5278</v>
      </c>
      <c r="C6582" s="798" t="s">
        <v>80</v>
      </c>
      <c r="D6582" s="800">
        <v>1.67</v>
      </c>
    </row>
    <row r="6583" spans="1:4" ht="40.5">
      <c r="A6583" s="798">
        <v>95876</v>
      </c>
      <c r="B6583" s="799" t="s">
        <v>5279</v>
      </c>
      <c r="C6583" s="798" t="s">
        <v>80</v>
      </c>
      <c r="D6583" s="800">
        <v>1.83</v>
      </c>
    </row>
    <row r="6584" spans="1:4" ht="40.5">
      <c r="A6584" s="798">
        <v>95877</v>
      </c>
      <c r="B6584" s="799" t="s">
        <v>5280</v>
      </c>
      <c r="C6584" s="798" t="s">
        <v>80</v>
      </c>
      <c r="D6584" s="800">
        <v>1.59</v>
      </c>
    </row>
    <row r="6585" spans="1:4" ht="40.5">
      <c r="A6585" s="798">
        <v>95878</v>
      </c>
      <c r="B6585" s="799" t="s">
        <v>5281</v>
      </c>
      <c r="C6585" s="798" t="s">
        <v>79</v>
      </c>
      <c r="D6585" s="800">
        <v>1.1299999999999999</v>
      </c>
    </row>
    <row r="6586" spans="1:4" ht="40.5">
      <c r="A6586" s="798">
        <v>95879</v>
      </c>
      <c r="B6586" s="799" t="s">
        <v>5282</v>
      </c>
      <c r="C6586" s="798" t="s">
        <v>79</v>
      </c>
      <c r="D6586" s="800">
        <v>1.23</v>
      </c>
    </row>
    <row r="6587" spans="1:4" ht="40.5">
      <c r="A6587" s="798">
        <v>95880</v>
      </c>
      <c r="B6587" s="799" t="s">
        <v>5283</v>
      </c>
      <c r="C6587" s="798" t="s">
        <v>79</v>
      </c>
      <c r="D6587" s="800">
        <v>1.06</v>
      </c>
    </row>
    <row r="6588" spans="1:4" ht="27">
      <c r="A6588" s="798">
        <v>97912</v>
      </c>
      <c r="B6588" s="799" t="s">
        <v>5284</v>
      </c>
      <c r="C6588" s="798" t="s">
        <v>80</v>
      </c>
      <c r="D6588" s="800">
        <v>2.97</v>
      </c>
    </row>
    <row r="6589" spans="1:4" ht="40.5">
      <c r="A6589" s="798">
        <v>97913</v>
      </c>
      <c r="B6589" s="799" t="s">
        <v>5285</v>
      </c>
      <c r="C6589" s="798" t="s">
        <v>80</v>
      </c>
      <c r="D6589" s="800">
        <v>2.57</v>
      </c>
    </row>
    <row r="6590" spans="1:4" ht="40.5">
      <c r="A6590" s="798">
        <v>97914</v>
      </c>
      <c r="B6590" s="799" t="s">
        <v>5286</v>
      </c>
      <c r="C6590" s="798" t="s">
        <v>80</v>
      </c>
      <c r="D6590" s="800">
        <v>2.36</v>
      </c>
    </row>
    <row r="6591" spans="1:4" ht="40.5">
      <c r="A6591" s="798">
        <v>97915</v>
      </c>
      <c r="B6591" s="799" t="s">
        <v>5287</v>
      </c>
      <c r="C6591" s="798" t="s">
        <v>80</v>
      </c>
      <c r="D6591" s="800">
        <v>0.94</v>
      </c>
    </row>
    <row r="6592" spans="1:4" ht="40.5">
      <c r="A6592" s="798">
        <v>100937</v>
      </c>
      <c r="B6592" s="799" t="s">
        <v>5288</v>
      </c>
      <c r="C6592" s="798" t="s">
        <v>80</v>
      </c>
      <c r="D6592" s="800">
        <v>7.09</v>
      </c>
    </row>
    <row r="6593" spans="1:4" ht="40.5">
      <c r="A6593" s="798">
        <v>100938</v>
      </c>
      <c r="B6593" s="799" t="s">
        <v>5289</v>
      </c>
      <c r="C6593" s="798" t="s">
        <v>80</v>
      </c>
      <c r="D6593" s="800">
        <v>5.0599999999999996</v>
      </c>
    </row>
    <row r="6594" spans="1:4" ht="40.5">
      <c r="A6594" s="798">
        <v>100939</v>
      </c>
      <c r="B6594" s="799" t="s">
        <v>5290</v>
      </c>
      <c r="C6594" s="798" t="s">
        <v>80</v>
      </c>
      <c r="D6594" s="800">
        <v>5.57</v>
      </c>
    </row>
    <row r="6595" spans="1:4" ht="40.5">
      <c r="A6595" s="798">
        <v>100940</v>
      </c>
      <c r="B6595" s="799" t="s">
        <v>5291</v>
      </c>
      <c r="C6595" s="798" t="s">
        <v>80</v>
      </c>
      <c r="D6595" s="800">
        <v>4.8099999999999996</v>
      </c>
    </row>
    <row r="6596" spans="1:4" ht="40.5">
      <c r="A6596" s="798">
        <v>100941</v>
      </c>
      <c r="B6596" s="799" t="s">
        <v>5292</v>
      </c>
      <c r="C6596" s="798" t="s">
        <v>79</v>
      </c>
      <c r="D6596" s="800">
        <v>4.7300000000000004</v>
      </c>
    </row>
    <row r="6597" spans="1:4" ht="27">
      <c r="A6597" s="798">
        <v>100942</v>
      </c>
      <c r="B6597" s="799" t="s">
        <v>5293</v>
      </c>
      <c r="C6597" s="798" t="s">
        <v>79</v>
      </c>
      <c r="D6597" s="800">
        <v>3.38</v>
      </c>
    </row>
    <row r="6598" spans="1:4" ht="40.5">
      <c r="A6598" s="798">
        <v>100943</v>
      </c>
      <c r="B6598" s="799" t="s">
        <v>5294</v>
      </c>
      <c r="C6598" s="798" t="s">
        <v>79</v>
      </c>
      <c r="D6598" s="800">
        <v>3.7</v>
      </c>
    </row>
    <row r="6599" spans="1:4" ht="40.5">
      <c r="A6599" s="798">
        <v>100944</v>
      </c>
      <c r="B6599" s="799" t="s">
        <v>5295</v>
      </c>
      <c r="C6599" s="798" t="s">
        <v>79</v>
      </c>
      <c r="D6599" s="800">
        <v>3.21</v>
      </c>
    </row>
    <row r="6600" spans="1:4" ht="27">
      <c r="A6600" s="798">
        <v>100945</v>
      </c>
      <c r="B6600" s="799" t="s">
        <v>5296</v>
      </c>
      <c r="C6600" s="798" t="s">
        <v>79</v>
      </c>
      <c r="D6600" s="800">
        <v>2.2000000000000002</v>
      </c>
    </row>
    <row r="6601" spans="1:4" ht="27">
      <c r="A6601" s="798">
        <v>100946</v>
      </c>
      <c r="B6601" s="799" t="s">
        <v>5297</v>
      </c>
      <c r="C6601" s="798" t="s">
        <v>79</v>
      </c>
      <c r="D6601" s="800">
        <v>1.9</v>
      </c>
    </row>
    <row r="6602" spans="1:4" ht="27">
      <c r="A6602" s="798">
        <v>100947</v>
      </c>
      <c r="B6602" s="799" t="s">
        <v>5298</v>
      </c>
      <c r="C6602" s="798" t="s">
        <v>79</v>
      </c>
      <c r="D6602" s="800">
        <v>1.75</v>
      </c>
    </row>
    <row r="6603" spans="1:4" ht="40.5">
      <c r="A6603" s="798">
        <v>100948</v>
      </c>
      <c r="B6603" s="799" t="s">
        <v>5299</v>
      </c>
      <c r="C6603" s="798" t="s">
        <v>79</v>
      </c>
      <c r="D6603" s="800">
        <v>0.69</v>
      </c>
    </row>
    <row r="6604" spans="1:4" ht="27">
      <c r="A6604" s="798">
        <v>100949</v>
      </c>
      <c r="B6604" s="799" t="s">
        <v>5300</v>
      </c>
      <c r="C6604" s="798" t="s">
        <v>79</v>
      </c>
      <c r="D6604" s="800">
        <v>5.25</v>
      </c>
    </row>
    <row r="6605" spans="1:4" ht="40.5">
      <c r="A6605" s="798">
        <v>100950</v>
      </c>
      <c r="B6605" s="799" t="s">
        <v>5301</v>
      </c>
      <c r="C6605" s="798" t="s">
        <v>79</v>
      </c>
      <c r="D6605" s="800">
        <v>2.89</v>
      </c>
    </row>
    <row r="6606" spans="1:4" ht="54">
      <c r="A6606" s="798">
        <v>100951</v>
      </c>
      <c r="B6606" s="799" t="s">
        <v>5302</v>
      </c>
      <c r="C6606" s="798" t="s">
        <v>79</v>
      </c>
      <c r="D6606" s="800">
        <v>2.5</v>
      </c>
    </row>
    <row r="6607" spans="1:4" ht="54">
      <c r="A6607" s="798">
        <v>100952</v>
      </c>
      <c r="B6607" s="799" t="s">
        <v>5303</v>
      </c>
      <c r="C6607" s="798" t="s">
        <v>79</v>
      </c>
      <c r="D6607" s="800">
        <v>2.29</v>
      </c>
    </row>
    <row r="6608" spans="1:4" ht="54">
      <c r="A6608" s="798">
        <v>100953</v>
      </c>
      <c r="B6608" s="799" t="s">
        <v>5304</v>
      </c>
      <c r="C6608" s="798" t="s">
        <v>79</v>
      </c>
      <c r="D6608" s="800">
        <v>0.91</v>
      </c>
    </row>
    <row r="6609" spans="1:4" ht="54">
      <c r="A6609" s="798">
        <v>100954</v>
      </c>
      <c r="B6609" s="799" t="s">
        <v>5305</v>
      </c>
      <c r="C6609" s="798" t="s">
        <v>79</v>
      </c>
      <c r="D6609" s="800">
        <v>6.88</v>
      </c>
    </row>
    <row r="6610" spans="1:4" ht="27">
      <c r="A6610" s="798">
        <v>100955</v>
      </c>
      <c r="B6610" s="799" t="s">
        <v>5306</v>
      </c>
      <c r="C6610" s="798" t="s">
        <v>80</v>
      </c>
      <c r="D6610" s="800">
        <v>4.2300000000000004</v>
      </c>
    </row>
    <row r="6611" spans="1:4" ht="27">
      <c r="A6611" s="798">
        <v>100956</v>
      </c>
      <c r="B6611" s="799" t="s">
        <v>5307</v>
      </c>
      <c r="C6611" s="798" t="s">
        <v>80</v>
      </c>
      <c r="D6611" s="800">
        <v>3.67</v>
      </c>
    </row>
    <row r="6612" spans="1:4" ht="40.5">
      <c r="A6612" s="798">
        <v>100957</v>
      </c>
      <c r="B6612" s="799" t="s">
        <v>5308</v>
      </c>
      <c r="C6612" s="798" t="s">
        <v>80</v>
      </c>
      <c r="D6612" s="800">
        <v>3.36</v>
      </c>
    </row>
    <row r="6613" spans="1:4" ht="40.5">
      <c r="A6613" s="798">
        <v>100958</v>
      </c>
      <c r="B6613" s="799" t="s">
        <v>5309</v>
      </c>
      <c r="C6613" s="798" t="s">
        <v>80</v>
      </c>
      <c r="D6613" s="800">
        <v>1.35</v>
      </c>
    </row>
    <row r="6614" spans="1:4" ht="27">
      <c r="A6614" s="798">
        <v>100959</v>
      </c>
      <c r="B6614" s="799" t="s">
        <v>5310</v>
      </c>
      <c r="C6614" s="798" t="s">
        <v>80</v>
      </c>
      <c r="D6614" s="800">
        <v>10.08</v>
      </c>
    </row>
    <row r="6615" spans="1:4" ht="27">
      <c r="A6615" s="798">
        <v>100960</v>
      </c>
      <c r="B6615" s="799" t="s">
        <v>5311</v>
      </c>
      <c r="C6615" s="798" t="s">
        <v>80</v>
      </c>
      <c r="D6615" s="800">
        <v>3.08</v>
      </c>
    </row>
    <row r="6616" spans="1:4" ht="27">
      <c r="A6616" s="798">
        <v>100961</v>
      </c>
      <c r="B6616" s="799" t="s">
        <v>5312</v>
      </c>
      <c r="C6616" s="798" t="s">
        <v>80</v>
      </c>
      <c r="D6616" s="800">
        <v>2.66</v>
      </c>
    </row>
    <row r="6617" spans="1:4" ht="40.5">
      <c r="A6617" s="798">
        <v>100962</v>
      </c>
      <c r="B6617" s="799" t="s">
        <v>5313</v>
      </c>
      <c r="C6617" s="798" t="s">
        <v>80</v>
      </c>
      <c r="D6617" s="800">
        <v>2.4300000000000002</v>
      </c>
    </row>
    <row r="6618" spans="1:4" ht="40.5">
      <c r="A6618" s="798">
        <v>100963</v>
      </c>
      <c r="B6618" s="799" t="s">
        <v>5314</v>
      </c>
      <c r="C6618" s="798" t="s">
        <v>80</v>
      </c>
      <c r="D6618" s="800">
        <v>0.96</v>
      </c>
    </row>
    <row r="6619" spans="1:4" ht="27">
      <c r="A6619" s="798">
        <v>100964</v>
      </c>
      <c r="B6619" s="799" t="s">
        <v>5315</v>
      </c>
      <c r="C6619" s="798" t="s">
        <v>80</v>
      </c>
      <c r="D6619" s="800">
        <v>7.39</v>
      </c>
    </row>
    <row r="6620" spans="1:4" ht="54">
      <c r="A6620" s="798">
        <v>100973</v>
      </c>
      <c r="B6620" s="799" t="s">
        <v>5316</v>
      </c>
      <c r="C6620" s="798" t="s">
        <v>22</v>
      </c>
      <c r="D6620" s="800">
        <v>6.95</v>
      </c>
    </row>
    <row r="6621" spans="1:4" ht="54">
      <c r="A6621" s="798">
        <v>100974</v>
      </c>
      <c r="B6621" s="799" t="s">
        <v>5317</v>
      </c>
      <c r="C6621" s="798" t="s">
        <v>22</v>
      </c>
      <c r="D6621" s="800">
        <v>6.07</v>
      </c>
    </row>
    <row r="6622" spans="1:4" ht="54">
      <c r="A6622" s="798">
        <v>100975</v>
      </c>
      <c r="B6622" s="799" t="s">
        <v>5318</v>
      </c>
      <c r="C6622" s="798" t="s">
        <v>22</v>
      </c>
      <c r="D6622" s="800">
        <v>7.19</v>
      </c>
    </row>
    <row r="6623" spans="1:4" ht="40.5">
      <c r="A6623" s="798">
        <v>100965</v>
      </c>
      <c r="B6623" s="799" t="s">
        <v>5319</v>
      </c>
      <c r="C6623" s="798" t="s">
        <v>79</v>
      </c>
      <c r="D6623" s="800">
        <v>1.55</v>
      </c>
    </row>
    <row r="6624" spans="1:4" ht="40.5">
      <c r="A6624" s="798">
        <v>100966</v>
      </c>
      <c r="B6624" s="799" t="s">
        <v>5320</v>
      </c>
      <c r="C6624" s="798" t="s">
        <v>79</v>
      </c>
      <c r="D6624" s="800">
        <v>1.33</v>
      </c>
    </row>
    <row r="6625" spans="1:4" ht="40.5">
      <c r="A6625" s="798">
        <v>100969</v>
      </c>
      <c r="B6625" s="799" t="s">
        <v>5323</v>
      </c>
      <c r="C6625" s="798" t="s">
        <v>79</v>
      </c>
      <c r="D6625" s="800">
        <v>2.04</v>
      </c>
    </row>
    <row r="6626" spans="1:4" ht="40.5">
      <c r="A6626" s="798">
        <v>100970</v>
      </c>
      <c r="B6626" s="799" t="s">
        <v>5324</v>
      </c>
      <c r="C6626" s="798" t="s">
        <v>79</v>
      </c>
      <c r="D6626" s="800">
        <v>1.73</v>
      </c>
    </row>
    <row r="6627" spans="1:4" ht="40.5">
      <c r="A6627" s="798">
        <v>102330</v>
      </c>
      <c r="B6627" s="799" t="s">
        <v>5321</v>
      </c>
      <c r="C6627" s="798" t="s">
        <v>79</v>
      </c>
      <c r="D6627" s="800">
        <v>1.24</v>
      </c>
    </row>
    <row r="6628" spans="1:4" ht="54">
      <c r="A6628" s="798">
        <v>102331</v>
      </c>
      <c r="B6628" s="799" t="s">
        <v>5322</v>
      </c>
      <c r="C6628" s="798" t="s">
        <v>79</v>
      </c>
      <c r="D6628" s="800">
        <v>0.48</v>
      </c>
    </row>
    <row r="6629" spans="1:4" ht="40.5">
      <c r="A6629" s="798">
        <v>102332</v>
      </c>
      <c r="B6629" s="799" t="s">
        <v>5325</v>
      </c>
      <c r="C6629" s="798" t="s">
        <v>79</v>
      </c>
      <c r="D6629" s="800">
        <v>1.62</v>
      </c>
    </row>
    <row r="6630" spans="1:4" ht="54">
      <c r="A6630" s="798">
        <v>102333</v>
      </c>
      <c r="B6630" s="799" t="s">
        <v>5326</v>
      </c>
      <c r="C6630" s="798" t="s">
        <v>79</v>
      </c>
      <c r="D6630" s="800">
        <v>0.65</v>
      </c>
    </row>
    <row r="6631" spans="1:4" ht="40.5">
      <c r="A6631" s="798">
        <v>101019</v>
      </c>
      <c r="B6631" s="799" t="s">
        <v>5327</v>
      </c>
      <c r="C6631" s="798" t="s">
        <v>40</v>
      </c>
      <c r="D6631" s="800">
        <v>436.24</v>
      </c>
    </row>
    <row r="6632" spans="1:4" ht="27">
      <c r="A6632" s="798">
        <v>101479</v>
      </c>
      <c r="B6632" s="799" t="s">
        <v>5328</v>
      </c>
      <c r="C6632" s="798" t="s">
        <v>40</v>
      </c>
      <c r="D6632" s="800">
        <v>127.1</v>
      </c>
    </row>
    <row r="6633" spans="1:4" ht="27">
      <c r="A6633" s="798">
        <v>102568</v>
      </c>
      <c r="B6633" s="799" t="s">
        <v>6934</v>
      </c>
      <c r="C6633" s="798" t="s">
        <v>40</v>
      </c>
      <c r="D6633" s="800">
        <v>216.53</v>
      </c>
    </row>
    <row r="6634" spans="1:4" ht="54">
      <c r="A6634" s="798">
        <v>100976</v>
      </c>
      <c r="B6634" s="799" t="s">
        <v>5329</v>
      </c>
      <c r="C6634" s="798" t="s">
        <v>22</v>
      </c>
      <c r="D6634" s="800">
        <v>7.12</v>
      </c>
    </row>
    <row r="6635" spans="1:4" ht="54">
      <c r="A6635" s="798">
        <v>100977</v>
      </c>
      <c r="B6635" s="799" t="s">
        <v>5330</v>
      </c>
      <c r="C6635" s="798" t="s">
        <v>22</v>
      </c>
      <c r="D6635" s="800">
        <v>6.09</v>
      </c>
    </row>
    <row r="6636" spans="1:4" ht="54">
      <c r="A6636" s="798">
        <v>100978</v>
      </c>
      <c r="B6636" s="799" t="s">
        <v>5331</v>
      </c>
      <c r="C6636" s="798" t="s">
        <v>22</v>
      </c>
      <c r="D6636" s="800">
        <v>4.99</v>
      </c>
    </row>
    <row r="6637" spans="1:4" ht="54">
      <c r="A6637" s="798">
        <v>100979</v>
      </c>
      <c r="B6637" s="799" t="s">
        <v>5332</v>
      </c>
      <c r="C6637" s="798" t="s">
        <v>22</v>
      </c>
      <c r="D6637" s="800">
        <v>5.59</v>
      </c>
    </row>
    <row r="6638" spans="1:4" ht="54">
      <c r="A6638" s="798">
        <v>100980</v>
      </c>
      <c r="B6638" s="799" t="s">
        <v>5333</v>
      </c>
      <c r="C6638" s="798" t="s">
        <v>22</v>
      </c>
      <c r="D6638" s="800">
        <v>5.36</v>
      </c>
    </row>
    <row r="6639" spans="1:4" ht="54">
      <c r="A6639" s="798">
        <v>100981</v>
      </c>
      <c r="B6639" s="799" t="s">
        <v>5334</v>
      </c>
      <c r="C6639" s="798" t="s">
        <v>22</v>
      </c>
      <c r="D6639" s="800">
        <v>7.48</v>
      </c>
    </row>
    <row r="6640" spans="1:4" ht="54">
      <c r="A6640" s="798">
        <v>100982</v>
      </c>
      <c r="B6640" s="799" t="s">
        <v>5335</v>
      </c>
      <c r="C6640" s="798" t="s">
        <v>22</v>
      </c>
      <c r="D6640" s="800">
        <v>6.52</v>
      </c>
    </row>
    <row r="6641" spans="1:4" ht="54">
      <c r="A6641" s="798">
        <v>100983</v>
      </c>
      <c r="B6641" s="799" t="s">
        <v>5336</v>
      </c>
      <c r="C6641" s="798" t="s">
        <v>22</v>
      </c>
      <c r="D6641" s="800">
        <v>7.61</v>
      </c>
    </row>
    <row r="6642" spans="1:4" ht="54">
      <c r="A6642" s="798">
        <v>100984</v>
      </c>
      <c r="B6642" s="799" t="s">
        <v>5337</v>
      </c>
      <c r="C6642" s="798" t="s">
        <v>22</v>
      </c>
      <c r="D6642" s="800">
        <v>7.52</v>
      </c>
    </row>
    <row r="6643" spans="1:4" ht="27">
      <c r="A6643" s="798">
        <v>100985</v>
      </c>
      <c r="B6643" s="799" t="s">
        <v>5338</v>
      </c>
      <c r="C6643" s="798" t="s">
        <v>22</v>
      </c>
      <c r="D6643" s="800">
        <v>5.88</v>
      </c>
    </row>
    <row r="6644" spans="1:4" ht="27">
      <c r="A6644" s="798">
        <v>100986</v>
      </c>
      <c r="B6644" s="799" t="s">
        <v>5339</v>
      </c>
      <c r="C6644" s="798" t="s">
        <v>22</v>
      </c>
      <c r="D6644" s="800">
        <v>6.11</v>
      </c>
    </row>
    <row r="6645" spans="1:4" ht="27">
      <c r="A6645" s="798">
        <v>100987</v>
      </c>
      <c r="B6645" s="799" t="s">
        <v>5340</v>
      </c>
      <c r="C6645" s="798" t="s">
        <v>22</v>
      </c>
      <c r="D6645" s="800">
        <v>8.77</v>
      </c>
    </row>
    <row r="6646" spans="1:4" ht="27">
      <c r="A6646" s="798">
        <v>100988</v>
      </c>
      <c r="B6646" s="799" t="s">
        <v>5341</v>
      </c>
      <c r="C6646" s="798" t="s">
        <v>22</v>
      </c>
      <c r="D6646" s="800">
        <v>9.41</v>
      </c>
    </row>
    <row r="6647" spans="1:4" ht="54">
      <c r="A6647" s="798">
        <v>100989</v>
      </c>
      <c r="B6647" s="799" t="s">
        <v>5342</v>
      </c>
      <c r="C6647" s="798" t="s">
        <v>40</v>
      </c>
      <c r="D6647" s="800">
        <v>4.63</v>
      </c>
    </row>
    <row r="6648" spans="1:4" ht="54">
      <c r="A6648" s="798">
        <v>100990</v>
      </c>
      <c r="B6648" s="799" t="s">
        <v>5343</v>
      </c>
      <c r="C6648" s="798" t="s">
        <v>40</v>
      </c>
      <c r="D6648" s="800">
        <v>4.05</v>
      </c>
    </row>
    <row r="6649" spans="1:4" ht="54">
      <c r="A6649" s="798">
        <v>100991</v>
      </c>
      <c r="B6649" s="799" t="s">
        <v>5344</v>
      </c>
      <c r="C6649" s="798" t="s">
        <v>40</v>
      </c>
      <c r="D6649" s="800">
        <v>4.8099999999999996</v>
      </c>
    </row>
    <row r="6650" spans="1:4" ht="54">
      <c r="A6650" s="798">
        <v>100992</v>
      </c>
      <c r="B6650" s="799" t="s">
        <v>5345</v>
      </c>
      <c r="C6650" s="798" t="s">
        <v>40</v>
      </c>
      <c r="D6650" s="800">
        <v>4.76</v>
      </c>
    </row>
    <row r="6651" spans="1:4" ht="54">
      <c r="A6651" s="798">
        <v>100993</v>
      </c>
      <c r="B6651" s="799" t="s">
        <v>5346</v>
      </c>
      <c r="C6651" s="798" t="s">
        <v>40</v>
      </c>
      <c r="D6651" s="800">
        <v>4.0599999999999996</v>
      </c>
    </row>
    <row r="6652" spans="1:4" ht="54">
      <c r="A6652" s="798">
        <v>100994</v>
      </c>
      <c r="B6652" s="799" t="s">
        <v>5347</v>
      </c>
      <c r="C6652" s="798" t="s">
        <v>40</v>
      </c>
      <c r="D6652" s="800">
        <v>3.32</v>
      </c>
    </row>
    <row r="6653" spans="1:4" ht="54">
      <c r="A6653" s="798">
        <v>100995</v>
      </c>
      <c r="B6653" s="799" t="s">
        <v>5348</v>
      </c>
      <c r="C6653" s="798" t="s">
        <v>40</v>
      </c>
      <c r="D6653" s="800">
        <v>3.74</v>
      </c>
    </row>
    <row r="6654" spans="1:4" ht="54">
      <c r="A6654" s="798">
        <v>100996</v>
      </c>
      <c r="B6654" s="799" t="s">
        <v>5349</v>
      </c>
      <c r="C6654" s="798" t="s">
        <v>40</v>
      </c>
      <c r="D6654" s="800">
        <v>3.56</v>
      </c>
    </row>
    <row r="6655" spans="1:4" ht="54">
      <c r="A6655" s="798">
        <v>100997</v>
      </c>
      <c r="B6655" s="799" t="s">
        <v>5350</v>
      </c>
      <c r="C6655" s="798" t="s">
        <v>40</v>
      </c>
      <c r="D6655" s="800">
        <v>4.99</v>
      </c>
    </row>
    <row r="6656" spans="1:4" ht="54">
      <c r="A6656" s="798">
        <v>100998</v>
      </c>
      <c r="B6656" s="799" t="s">
        <v>5351</v>
      </c>
      <c r="C6656" s="798" t="s">
        <v>40</v>
      </c>
      <c r="D6656" s="800">
        <v>4.34</v>
      </c>
    </row>
    <row r="6657" spans="1:4" ht="54">
      <c r="A6657" s="798">
        <v>100999</v>
      </c>
      <c r="B6657" s="799" t="s">
        <v>5352</v>
      </c>
      <c r="C6657" s="798" t="s">
        <v>40</v>
      </c>
      <c r="D6657" s="800">
        <v>5.09</v>
      </c>
    </row>
    <row r="6658" spans="1:4" ht="54">
      <c r="A6658" s="798">
        <v>101000</v>
      </c>
      <c r="B6658" s="799" t="s">
        <v>5353</v>
      </c>
      <c r="C6658" s="798" t="s">
        <v>40</v>
      </c>
      <c r="D6658" s="800">
        <v>5.0199999999999996</v>
      </c>
    </row>
    <row r="6659" spans="1:4" ht="27">
      <c r="A6659" s="798">
        <v>101001</v>
      </c>
      <c r="B6659" s="799" t="s">
        <v>5354</v>
      </c>
      <c r="C6659" s="798" t="s">
        <v>40</v>
      </c>
      <c r="D6659" s="800">
        <v>3.92</v>
      </c>
    </row>
    <row r="6660" spans="1:4" ht="27">
      <c r="A6660" s="798">
        <v>101002</v>
      </c>
      <c r="B6660" s="799" t="s">
        <v>5355</v>
      </c>
      <c r="C6660" s="798" t="s">
        <v>40</v>
      </c>
      <c r="D6660" s="800">
        <v>4.07</v>
      </c>
    </row>
    <row r="6661" spans="1:4" ht="27">
      <c r="A6661" s="798">
        <v>101003</v>
      </c>
      <c r="B6661" s="799" t="s">
        <v>5356</v>
      </c>
      <c r="C6661" s="798" t="s">
        <v>40</v>
      </c>
      <c r="D6661" s="800">
        <v>5.83</v>
      </c>
    </row>
    <row r="6662" spans="1:4" ht="27">
      <c r="A6662" s="798">
        <v>101004</v>
      </c>
      <c r="B6662" s="799" t="s">
        <v>5357</v>
      </c>
      <c r="C6662" s="798" t="s">
        <v>40</v>
      </c>
      <c r="D6662" s="800">
        <v>6.27</v>
      </c>
    </row>
    <row r="6663" spans="1:4" ht="27">
      <c r="A6663" s="798">
        <v>101005</v>
      </c>
      <c r="B6663" s="799" t="s">
        <v>5358</v>
      </c>
      <c r="C6663" s="798" t="s">
        <v>22</v>
      </c>
      <c r="D6663" s="800">
        <v>16.079999999999998</v>
      </c>
    </row>
    <row r="6664" spans="1:4" ht="27">
      <c r="A6664" s="798">
        <v>101006</v>
      </c>
      <c r="B6664" s="799" t="s">
        <v>5359</v>
      </c>
      <c r="C6664" s="798" t="s">
        <v>22</v>
      </c>
      <c r="D6664" s="800">
        <v>17.53</v>
      </c>
    </row>
    <row r="6665" spans="1:4" ht="13.5">
      <c r="A6665" s="798">
        <v>101007</v>
      </c>
      <c r="B6665" s="799" t="s">
        <v>5360</v>
      </c>
      <c r="C6665" s="798" t="s">
        <v>22</v>
      </c>
      <c r="D6665" s="800">
        <v>4.67</v>
      </c>
    </row>
    <row r="6666" spans="1:4" ht="13.5">
      <c r="A6666" s="798">
        <v>101008</v>
      </c>
      <c r="B6666" s="799" t="s">
        <v>5361</v>
      </c>
      <c r="C6666" s="798" t="s">
        <v>22</v>
      </c>
      <c r="D6666" s="800">
        <v>4.63</v>
      </c>
    </row>
    <row r="6667" spans="1:4" ht="40.5">
      <c r="A6667" s="798">
        <v>101009</v>
      </c>
      <c r="B6667" s="799" t="s">
        <v>5362</v>
      </c>
      <c r="C6667" s="798" t="s">
        <v>40</v>
      </c>
      <c r="D6667" s="800">
        <v>34.880000000000003</v>
      </c>
    </row>
    <row r="6668" spans="1:4" ht="40.5">
      <c r="A6668" s="798">
        <v>101010</v>
      </c>
      <c r="B6668" s="799" t="s">
        <v>5363</v>
      </c>
      <c r="C6668" s="798" t="s">
        <v>40</v>
      </c>
      <c r="D6668" s="800">
        <v>21.97</v>
      </c>
    </row>
    <row r="6669" spans="1:4" ht="40.5">
      <c r="A6669" s="798">
        <v>101013</v>
      </c>
      <c r="B6669" s="799" t="s">
        <v>5364</v>
      </c>
      <c r="C6669" s="798" t="s">
        <v>40</v>
      </c>
      <c r="D6669" s="800">
        <v>35.79</v>
      </c>
    </row>
    <row r="6670" spans="1:4" ht="40.5">
      <c r="A6670" s="798">
        <v>101014</v>
      </c>
      <c r="B6670" s="799" t="s">
        <v>5365</v>
      </c>
      <c r="C6670" s="798" t="s">
        <v>40</v>
      </c>
      <c r="D6670" s="800">
        <v>32.78</v>
      </c>
    </row>
    <row r="6671" spans="1:4" ht="40.5">
      <c r="A6671" s="798">
        <v>101015</v>
      </c>
      <c r="B6671" s="799" t="s">
        <v>5366</v>
      </c>
      <c r="C6671" s="798" t="s">
        <v>40</v>
      </c>
      <c r="D6671" s="800">
        <v>26.93</v>
      </c>
    </row>
    <row r="6672" spans="1:4" ht="40.5">
      <c r="A6672" s="798">
        <v>101016</v>
      </c>
      <c r="B6672" s="799" t="s">
        <v>5367</v>
      </c>
      <c r="C6672" s="798" t="s">
        <v>40</v>
      </c>
      <c r="D6672" s="800">
        <v>31.18</v>
      </c>
    </row>
    <row r="6673" spans="1:4" ht="40.5">
      <c r="A6673" s="798">
        <v>101017</v>
      </c>
      <c r="B6673" s="799" t="s">
        <v>5368</v>
      </c>
      <c r="C6673" s="798" t="s">
        <v>40</v>
      </c>
      <c r="D6673" s="800">
        <v>23.64</v>
      </c>
    </row>
    <row r="6674" spans="1:4" ht="40.5">
      <c r="A6674" s="798">
        <v>101018</v>
      </c>
      <c r="B6674" s="799" t="s">
        <v>5369</v>
      </c>
      <c r="C6674" s="798" t="s">
        <v>40</v>
      </c>
      <c r="D6674" s="800">
        <v>19.420000000000002</v>
      </c>
    </row>
    <row r="6675" spans="1:4" ht="40.5">
      <c r="A6675" s="798">
        <v>101463</v>
      </c>
      <c r="B6675" s="799" t="s">
        <v>5370</v>
      </c>
      <c r="C6675" s="798" t="s">
        <v>40</v>
      </c>
      <c r="D6675" s="800">
        <v>35.89</v>
      </c>
    </row>
    <row r="6676" spans="1:4" ht="40.5">
      <c r="A6676" s="798">
        <v>101464</v>
      </c>
      <c r="B6676" s="799" t="s">
        <v>5371</v>
      </c>
      <c r="C6676" s="798" t="s">
        <v>40</v>
      </c>
      <c r="D6676" s="800">
        <v>27.58</v>
      </c>
    </row>
    <row r="6677" spans="1:4" ht="40.5">
      <c r="A6677" s="798">
        <v>101465</v>
      </c>
      <c r="B6677" s="799" t="s">
        <v>5372</v>
      </c>
      <c r="C6677" s="798" t="s">
        <v>40</v>
      </c>
      <c r="D6677" s="800">
        <v>21.07</v>
      </c>
    </row>
    <row r="6678" spans="1:4" ht="40.5">
      <c r="A6678" s="798">
        <v>101466</v>
      </c>
      <c r="B6678" s="799" t="s">
        <v>5373</v>
      </c>
      <c r="C6678" s="798" t="s">
        <v>40</v>
      </c>
      <c r="D6678" s="800">
        <v>17.149999999999999</v>
      </c>
    </row>
    <row r="6679" spans="1:4" ht="40.5">
      <c r="A6679" s="798">
        <v>101467</v>
      </c>
      <c r="B6679" s="799" t="s">
        <v>5374</v>
      </c>
      <c r="C6679" s="798" t="s">
        <v>40</v>
      </c>
      <c r="D6679" s="800">
        <v>14.35</v>
      </c>
    </row>
    <row r="6680" spans="1:4" ht="40.5">
      <c r="A6680" s="798">
        <v>101468</v>
      </c>
      <c r="B6680" s="799" t="s">
        <v>5375</v>
      </c>
      <c r="C6680" s="798" t="s">
        <v>40</v>
      </c>
      <c r="D6680" s="800">
        <v>13.12</v>
      </c>
    </row>
    <row r="6681" spans="1:4" ht="40.5">
      <c r="A6681" s="798">
        <v>101469</v>
      </c>
      <c r="B6681" s="799" t="s">
        <v>5376</v>
      </c>
      <c r="C6681" s="798" t="s">
        <v>40</v>
      </c>
      <c r="D6681" s="800">
        <v>29.38</v>
      </c>
    </row>
    <row r="6682" spans="1:4" ht="40.5">
      <c r="A6682" s="798">
        <v>101470</v>
      </c>
      <c r="B6682" s="799" t="s">
        <v>5377</v>
      </c>
      <c r="C6682" s="798" t="s">
        <v>40</v>
      </c>
      <c r="D6682" s="800">
        <v>23.32</v>
      </c>
    </row>
    <row r="6683" spans="1:4" ht="40.5">
      <c r="A6683" s="798">
        <v>101471</v>
      </c>
      <c r="B6683" s="799" t="s">
        <v>5378</v>
      </c>
      <c r="C6683" s="798" t="s">
        <v>40</v>
      </c>
      <c r="D6683" s="800">
        <v>19.989999999999998</v>
      </c>
    </row>
    <row r="6684" spans="1:4" ht="40.5">
      <c r="A6684" s="798">
        <v>101472</v>
      </c>
      <c r="B6684" s="799" t="s">
        <v>5379</v>
      </c>
      <c r="C6684" s="798" t="s">
        <v>40</v>
      </c>
      <c r="D6684" s="800">
        <v>15.57</v>
      </c>
    </row>
    <row r="6685" spans="1:4" ht="40.5">
      <c r="A6685" s="798">
        <v>101473</v>
      </c>
      <c r="B6685" s="799" t="s">
        <v>5380</v>
      </c>
      <c r="C6685" s="798" t="s">
        <v>40</v>
      </c>
      <c r="D6685" s="800">
        <v>22.41</v>
      </c>
    </row>
    <row r="6686" spans="1:4" ht="40.5">
      <c r="A6686" s="798">
        <v>101474</v>
      </c>
      <c r="B6686" s="799" t="s">
        <v>5381</v>
      </c>
      <c r="C6686" s="798" t="s">
        <v>40</v>
      </c>
      <c r="D6686" s="800">
        <v>16.03</v>
      </c>
    </row>
    <row r="6687" spans="1:4" ht="40.5">
      <c r="A6687" s="798">
        <v>101475</v>
      </c>
      <c r="B6687" s="799" t="s">
        <v>5382</v>
      </c>
      <c r="C6687" s="798" t="s">
        <v>40</v>
      </c>
      <c r="D6687" s="800">
        <v>14.22</v>
      </c>
    </row>
    <row r="6688" spans="1:4" ht="40.5">
      <c r="A6688" s="798">
        <v>101476</v>
      </c>
      <c r="B6688" s="799" t="s">
        <v>5383</v>
      </c>
      <c r="C6688" s="798" t="s">
        <v>40</v>
      </c>
      <c r="D6688" s="800">
        <v>12.69</v>
      </c>
    </row>
    <row r="6689" spans="1:4" ht="40.5">
      <c r="A6689" s="798">
        <v>101477</v>
      </c>
      <c r="B6689" s="799" t="s">
        <v>5384</v>
      </c>
      <c r="C6689" s="798" t="s">
        <v>40</v>
      </c>
      <c r="D6689" s="800">
        <v>10.38</v>
      </c>
    </row>
    <row r="6690" spans="1:4" ht="40.5">
      <c r="A6690" s="798">
        <v>101478</v>
      </c>
      <c r="B6690" s="799" t="s">
        <v>5385</v>
      </c>
      <c r="C6690" s="798" t="s">
        <v>40</v>
      </c>
      <c r="D6690" s="800">
        <v>8.84</v>
      </c>
    </row>
    <row r="6691" spans="1:4" ht="40.5">
      <c r="A6691" s="798">
        <v>101480</v>
      </c>
      <c r="B6691" s="799" t="s">
        <v>5386</v>
      </c>
      <c r="C6691" s="798" t="s">
        <v>40</v>
      </c>
      <c r="D6691" s="800">
        <v>52.53</v>
      </c>
    </row>
    <row r="6692" spans="1:4" ht="40.5">
      <c r="A6692" s="798">
        <v>101481</v>
      </c>
      <c r="B6692" s="799" t="s">
        <v>5387</v>
      </c>
      <c r="C6692" s="798" t="s">
        <v>40</v>
      </c>
      <c r="D6692" s="800">
        <v>37.94</v>
      </c>
    </row>
    <row r="6693" spans="1:4" ht="40.5">
      <c r="A6693" s="798">
        <v>101482</v>
      </c>
      <c r="B6693" s="799" t="s">
        <v>7680</v>
      </c>
      <c r="C6693" s="798" t="s">
        <v>40</v>
      </c>
      <c r="D6693" s="800">
        <v>28.37</v>
      </c>
    </row>
    <row r="6694" spans="1:4" ht="40.5">
      <c r="A6694" s="798">
        <v>101483</v>
      </c>
      <c r="B6694" s="799" t="s">
        <v>5388</v>
      </c>
      <c r="C6694" s="798" t="s">
        <v>40</v>
      </c>
      <c r="D6694" s="800">
        <v>29.43</v>
      </c>
    </row>
    <row r="6695" spans="1:4" ht="40.5">
      <c r="A6695" s="798">
        <v>101484</v>
      </c>
      <c r="B6695" s="799" t="s">
        <v>5389</v>
      </c>
      <c r="C6695" s="798" t="s">
        <v>40</v>
      </c>
      <c r="D6695" s="800">
        <v>152.56</v>
      </c>
    </row>
    <row r="6696" spans="1:4" ht="40.5">
      <c r="A6696" s="798">
        <v>101485</v>
      </c>
      <c r="B6696" s="799" t="s">
        <v>5390</v>
      </c>
      <c r="C6696" s="798" t="s">
        <v>40</v>
      </c>
      <c r="D6696" s="800">
        <v>117.12</v>
      </c>
    </row>
    <row r="6697" spans="1:4" ht="40.5">
      <c r="A6697" s="798">
        <v>101486</v>
      </c>
      <c r="B6697" s="799" t="s">
        <v>5391</v>
      </c>
      <c r="C6697" s="798" t="s">
        <v>40</v>
      </c>
      <c r="D6697" s="800">
        <v>105.49</v>
      </c>
    </row>
    <row r="6698" spans="1:4" ht="40.5">
      <c r="A6698" s="798">
        <v>101487</v>
      </c>
      <c r="B6698" s="799" t="s">
        <v>5392</v>
      </c>
      <c r="C6698" s="798" t="s">
        <v>40</v>
      </c>
      <c r="D6698" s="800">
        <v>77.23</v>
      </c>
    </row>
    <row r="6699" spans="1:4" ht="40.5">
      <c r="A6699" s="798">
        <v>101488</v>
      </c>
      <c r="B6699" s="799" t="s">
        <v>5393</v>
      </c>
      <c r="C6699" s="798" t="s">
        <v>40</v>
      </c>
      <c r="D6699" s="800">
        <v>66.83</v>
      </c>
    </row>
    <row r="6700" spans="1:4" ht="40.5">
      <c r="A6700" s="798">
        <v>101188</v>
      </c>
      <c r="B6700" s="799" t="s">
        <v>5014</v>
      </c>
      <c r="C6700" s="798" t="s">
        <v>14</v>
      </c>
      <c r="D6700" s="800">
        <v>4.5</v>
      </c>
    </row>
    <row r="6701" spans="1:4" ht="54">
      <c r="A6701" s="798">
        <v>101189</v>
      </c>
      <c r="B6701" s="799" t="s">
        <v>5015</v>
      </c>
      <c r="C6701" s="798" t="s">
        <v>14</v>
      </c>
      <c r="D6701" s="800">
        <v>57.73</v>
      </c>
    </row>
    <row r="6702" spans="1:4" ht="54">
      <c r="A6702" s="798">
        <v>101190</v>
      </c>
      <c r="B6702" s="799" t="s">
        <v>5016</v>
      </c>
      <c r="C6702" s="798" t="s">
        <v>14</v>
      </c>
      <c r="D6702" s="800">
        <v>57.11</v>
      </c>
    </row>
    <row r="6703" spans="1:4" ht="40.5">
      <c r="A6703" s="798">
        <v>101191</v>
      </c>
      <c r="B6703" s="799" t="s">
        <v>5017</v>
      </c>
      <c r="C6703" s="798" t="s">
        <v>14</v>
      </c>
      <c r="D6703" s="800">
        <v>57.42</v>
      </c>
    </row>
    <row r="6704" spans="1:4" ht="54">
      <c r="A6704" s="798">
        <v>101192</v>
      </c>
      <c r="B6704" s="799" t="s">
        <v>5018</v>
      </c>
      <c r="C6704" s="798" t="s">
        <v>14</v>
      </c>
      <c r="D6704" s="800">
        <v>57.22</v>
      </c>
    </row>
    <row r="6705" spans="1:4" ht="54">
      <c r="A6705" s="798">
        <v>101193</v>
      </c>
      <c r="B6705" s="799" t="s">
        <v>5019</v>
      </c>
      <c r="C6705" s="798" t="s">
        <v>14</v>
      </c>
      <c r="D6705" s="800">
        <v>51.43</v>
      </c>
    </row>
    <row r="6706" spans="1:4" ht="40.5">
      <c r="A6706" s="798">
        <v>101194</v>
      </c>
      <c r="B6706" s="799" t="s">
        <v>5020</v>
      </c>
      <c r="C6706" s="798" t="s">
        <v>14</v>
      </c>
      <c r="D6706" s="800">
        <v>51.74</v>
      </c>
    </row>
    <row r="6707" spans="1:4" ht="54">
      <c r="A6707" s="798">
        <v>101197</v>
      </c>
      <c r="B6707" s="799" t="s">
        <v>5021</v>
      </c>
      <c r="C6707" s="798" t="s">
        <v>14</v>
      </c>
      <c r="D6707" s="800">
        <v>104.1</v>
      </c>
    </row>
    <row r="6708" spans="1:4" ht="54">
      <c r="A6708" s="798">
        <v>101198</v>
      </c>
      <c r="B6708" s="799" t="s">
        <v>5022</v>
      </c>
      <c r="C6708" s="798" t="s">
        <v>14</v>
      </c>
      <c r="D6708" s="800">
        <v>75.84</v>
      </c>
    </row>
    <row r="6709" spans="1:4" ht="54">
      <c r="A6709" s="798">
        <v>101199</v>
      </c>
      <c r="B6709" s="799" t="s">
        <v>5023</v>
      </c>
      <c r="C6709" s="798" t="s">
        <v>14</v>
      </c>
      <c r="D6709" s="800">
        <v>76.61</v>
      </c>
    </row>
    <row r="6710" spans="1:4" ht="54">
      <c r="A6710" s="798">
        <v>101200</v>
      </c>
      <c r="B6710" s="799" t="s">
        <v>5024</v>
      </c>
      <c r="C6710" s="798" t="s">
        <v>14</v>
      </c>
      <c r="D6710" s="800">
        <v>42.52</v>
      </c>
    </row>
    <row r="6711" spans="1:4" ht="54">
      <c r="A6711" s="798">
        <v>101201</v>
      </c>
      <c r="B6711" s="799" t="s">
        <v>5025</v>
      </c>
      <c r="C6711" s="798" t="s">
        <v>14</v>
      </c>
      <c r="D6711" s="800">
        <v>52.72</v>
      </c>
    </row>
    <row r="6712" spans="1:4" ht="54">
      <c r="A6712" s="798">
        <v>101202</v>
      </c>
      <c r="B6712" s="799" t="s">
        <v>5026</v>
      </c>
      <c r="C6712" s="798" t="s">
        <v>14</v>
      </c>
      <c r="D6712" s="800">
        <v>34.01</v>
      </c>
    </row>
    <row r="6713" spans="1:4" ht="54">
      <c r="A6713" s="798">
        <v>101203</v>
      </c>
      <c r="B6713" s="799" t="s">
        <v>5027</v>
      </c>
      <c r="C6713" s="798" t="s">
        <v>14</v>
      </c>
      <c r="D6713" s="800">
        <v>33.24</v>
      </c>
    </row>
    <row r="6714" spans="1:4" ht="54">
      <c r="A6714" s="798">
        <v>101204</v>
      </c>
      <c r="B6714" s="799" t="s">
        <v>5028</v>
      </c>
      <c r="C6714" s="798" t="s">
        <v>14</v>
      </c>
      <c r="D6714" s="800">
        <v>33.54</v>
      </c>
    </row>
    <row r="6715" spans="1:4" ht="40.5">
      <c r="A6715" s="798">
        <v>101205</v>
      </c>
      <c r="B6715" s="799" t="s">
        <v>5029</v>
      </c>
      <c r="C6715" s="798" t="s">
        <v>14</v>
      </c>
      <c r="D6715" s="800">
        <v>34.01</v>
      </c>
    </row>
    <row r="6716" spans="1:4" ht="67.5">
      <c r="A6716" s="798">
        <v>102362</v>
      </c>
      <c r="B6716" s="799" t="s">
        <v>6935</v>
      </c>
      <c r="C6716" s="798" t="s">
        <v>32</v>
      </c>
      <c r="D6716" s="800">
        <v>167.33</v>
      </c>
    </row>
    <row r="6717" spans="1:4" ht="67.5">
      <c r="A6717" s="798">
        <v>102363</v>
      </c>
      <c r="B6717" s="799" t="s">
        <v>6936</v>
      </c>
      <c r="C6717" s="798" t="s">
        <v>32</v>
      </c>
      <c r="D6717" s="800">
        <v>180.07</v>
      </c>
    </row>
    <row r="6718" spans="1:4" ht="67.5">
      <c r="A6718" s="798">
        <v>102364</v>
      </c>
      <c r="B6718" s="799" t="s">
        <v>6937</v>
      </c>
      <c r="C6718" s="798" t="s">
        <v>32</v>
      </c>
      <c r="D6718" s="800">
        <v>203.12</v>
      </c>
    </row>
    <row r="6719" spans="1:4" ht="13.5">
      <c r="A6719" s="798">
        <v>98509</v>
      </c>
      <c r="B6719" s="799" t="s">
        <v>3358</v>
      </c>
      <c r="C6719" s="798" t="s">
        <v>24</v>
      </c>
      <c r="D6719" s="800">
        <v>55.39</v>
      </c>
    </row>
    <row r="6720" spans="1:4" ht="27">
      <c r="A6720" s="798">
        <v>98510</v>
      </c>
      <c r="B6720" s="799" t="s">
        <v>3359</v>
      </c>
      <c r="C6720" s="798" t="s">
        <v>24</v>
      </c>
      <c r="D6720" s="800">
        <v>77.790000000000006</v>
      </c>
    </row>
    <row r="6721" spans="1:4" ht="27">
      <c r="A6721" s="798">
        <v>98511</v>
      </c>
      <c r="B6721" s="799" t="s">
        <v>3360</v>
      </c>
      <c r="C6721" s="798" t="s">
        <v>24</v>
      </c>
      <c r="D6721" s="800">
        <v>151.05000000000001</v>
      </c>
    </row>
    <row r="6722" spans="1:4" ht="27">
      <c r="A6722" s="798">
        <v>98516</v>
      </c>
      <c r="B6722" s="799" t="s">
        <v>3361</v>
      </c>
      <c r="C6722" s="798" t="s">
        <v>24</v>
      </c>
      <c r="D6722" s="800">
        <v>322.37</v>
      </c>
    </row>
    <row r="6723" spans="1:4" ht="13.5">
      <c r="A6723" s="798">
        <v>98519</v>
      </c>
      <c r="B6723" s="799" t="s">
        <v>3362</v>
      </c>
      <c r="C6723" s="798" t="s">
        <v>32</v>
      </c>
      <c r="D6723" s="800">
        <v>1.46</v>
      </c>
    </row>
    <row r="6724" spans="1:4" ht="13.5">
      <c r="A6724" s="798">
        <v>98520</v>
      </c>
      <c r="B6724" s="799" t="s">
        <v>3363</v>
      </c>
      <c r="C6724" s="798" t="s">
        <v>32</v>
      </c>
      <c r="D6724" s="800">
        <v>4.3899999999999997</v>
      </c>
    </row>
    <row r="6725" spans="1:4" ht="27">
      <c r="A6725" s="798">
        <v>98521</v>
      </c>
      <c r="B6725" s="799" t="s">
        <v>3364</v>
      </c>
      <c r="C6725" s="798" t="s">
        <v>32</v>
      </c>
      <c r="D6725" s="800">
        <v>0.26</v>
      </c>
    </row>
    <row r="6726" spans="1:4" ht="40.5">
      <c r="A6726" s="798">
        <v>98522</v>
      </c>
      <c r="B6726" s="799" t="s">
        <v>3365</v>
      </c>
      <c r="C6726" s="798" t="s">
        <v>14</v>
      </c>
      <c r="D6726" s="800">
        <v>139.93</v>
      </c>
    </row>
    <row r="6727" spans="1:4" ht="27">
      <c r="A6727" s="798">
        <v>98524</v>
      </c>
      <c r="B6727" s="799" t="s">
        <v>3366</v>
      </c>
      <c r="C6727" s="798" t="s">
        <v>32</v>
      </c>
      <c r="D6727" s="800">
        <v>2.25</v>
      </c>
    </row>
    <row r="6728" spans="1:4" ht="13.5">
      <c r="A6728" s="798">
        <v>98503</v>
      </c>
      <c r="B6728" s="799" t="s">
        <v>3367</v>
      </c>
      <c r="C6728" s="798" t="s">
        <v>32</v>
      </c>
      <c r="D6728" s="800">
        <v>19.64</v>
      </c>
    </row>
    <row r="6729" spans="1:4" ht="13.5">
      <c r="A6729" s="798">
        <v>98504</v>
      </c>
      <c r="B6729" s="799" t="s">
        <v>3368</v>
      </c>
      <c r="C6729" s="798" t="s">
        <v>32</v>
      </c>
      <c r="D6729" s="800">
        <v>13.72</v>
      </c>
    </row>
    <row r="6730" spans="1:4" ht="13.5">
      <c r="A6730" s="798">
        <v>98505</v>
      </c>
      <c r="B6730" s="799" t="s">
        <v>3369</v>
      </c>
      <c r="C6730" s="798" t="s">
        <v>32</v>
      </c>
      <c r="D6730" s="800">
        <v>79.05</v>
      </c>
    </row>
    <row r="6731" spans="1:4" ht="54">
      <c r="A6731" s="798">
        <v>103185</v>
      </c>
      <c r="B6731" s="799" t="s">
        <v>7858</v>
      </c>
      <c r="C6731" s="798" t="s">
        <v>24</v>
      </c>
      <c r="D6731" s="800">
        <v>6004.96</v>
      </c>
    </row>
    <row r="6732" spans="1:4" ht="67.5">
      <c r="A6732" s="798">
        <v>103186</v>
      </c>
      <c r="B6732" s="799" t="s">
        <v>7859</v>
      </c>
      <c r="C6732" s="798" t="s">
        <v>24</v>
      </c>
      <c r="D6732" s="800">
        <v>6354.37</v>
      </c>
    </row>
    <row r="6733" spans="1:4" ht="67.5">
      <c r="A6733" s="798">
        <v>103187</v>
      </c>
      <c r="B6733" s="799" t="s">
        <v>7860</v>
      </c>
      <c r="C6733" s="798" t="s">
        <v>24</v>
      </c>
      <c r="D6733" s="800">
        <v>4763.3500000000004</v>
      </c>
    </row>
    <row r="6734" spans="1:4" ht="67.5">
      <c r="A6734" s="798">
        <v>103188</v>
      </c>
      <c r="B6734" s="799" t="s">
        <v>7861</v>
      </c>
      <c r="C6734" s="798" t="s">
        <v>24</v>
      </c>
      <c r="D6734" s="800">
        <v>5128.59</v>
      </c>
    </row>
    <row r="6735" spans="1:4" ht="67.5">
      <c r="A6735" s="798">
        <v>103189</v>
      </c>
      <c r="B6735" s="799" t="s">
        <v>7862</v>
      </c>
      <c r="C6735" s="798" t="s">
        <v>24</v>
      </c>
      <c r="D6735" s="800">
        <v>2566.81</v>
      </c>
    </row>
    <row r="6736" spans="1:4" ht="54">
      <c r="A6736" s="798">
        <v>103190</v>
      </c>
      <c r="B6736" s="799" t="s">
        <v>7863</v>
      </c>
      <c r="C6736" s="798" t="s">
        <v>24</v>
      </c>
      <c r="D6736" s="800">
        <v>3980.88</v>
      </c>
    </row>
    <row r="6737" spans="1:4" ht="54">
      <c r="A6737" s="798">
        <v>103191</v>
      </c>
      <c r="B6737" s="799" t="s">
        <v>7864</v>
      </c>
      <c r="C6737" s="798" t="s">
        <v>24</v>
      </c>
      <c r="D6737" s="800">
        <v>2313.41</v>
      </c>
    </row>
    <row r="6738" spans="1:4" ht="67.5">
      <c r="A6738" s="798">
        <v>103192</v>
      </c>
      <c r="B6738" s="799" t="s">
        <v>7865</v>
      </c>
      <c r="C6738" s="798" t="s">
        <v>24</v>
      </c>
      <c r="D6738" s="800">
        <v>2464.27</v>
      </c>
    </row>
    <row r="6739" spans="1:4" ht="54">
      <c r="A6739" s="798">
        <v>103193</v>
      </c>
      <c r="B6739" s="799" t="s">
        <v>7866</v>
      </c>
      <c r="C6739" s="798" t="s">
        <v>24</v>
      </c>
      <c r="D6739" s="800">
        <v>1893.5</v>
      </c>
    </row>
    <row r="6740" spans="1:4" ht="54">
      <c r="A6740" s="798">
        <v>103194</v>
      </c>
      <c r="B6740" s="799" t="s">
        <v>7867</v>
      </c>
      <c r="C6740" s="798" t="s">
        <v>24</v>
      </c>
      <c r="D6740" s="800">
        <v>2735.98</v>
      </c>
    </row>
    <row r="6741" spans="1:4" ht="54">
      <c r="A6741" s="798">
        <v>103195</v>
      </c>
      <c r="B6741" s="799" t="s">
        <v>7868</v>
      </c>
      <c r="C6741" s="798" t="s">
        <v>24</v>
      </c>
      <c r="D6741" s="800">
        <v>2130.4</v>
      </c>
    </row>
    <row r="6742" spans="1:4" ht="67.5">
      <c r="A6742" s="798">
        <v>103205</v>
      </c>
      <c r="B6742" s="799" t="s">
        <v>7869</v>
      </c>
      <c r="C6742" s="798" t="s">
        <v>24</v>
      </c>
      <c r="D6742" s="800">
        <v>3985.01</v>
      </c>
    </row>
    <row r="6743" spans="1:4" ht="67.5">
      <c r="A6743" s="798">
        <v>103206</v>
      </c>
      <c r="B6743" s="799" t="s">
        <v>7870</v>
      </c>
      <c r="C6743" s="798" t="s">
        <v>24</v>
      </c>
      <c r="D6743" s="800">
        <v>2317.56</v>
      </c>
    </row>
    <row r="6744" spans="1:4" ht="67.5">
      <c r="A6744" s="798">
        <v>103207</v>
      </c>
      <c r="B6744" s="799" t="s">
        <v>7871</v>
      </c>
      <c r="C6744" s="798" t="s">
        <v>24</v>
      </c>
      <c r="D6744" s="800">
        <v>2468.42</v>
      </c>
    </row>
    <row r="6745" spans="1:4" ht="67.5">
      <c r="A6745" s="798">
        <v>103208</v>
      </c>
      <c r="B6745" s="799" t="s">
        <v>7872</v>
      </c>
      <c r="C6745" s="798" t="s">
        <v>24</v>
      </c>
      <c r="D6745" s="800">
        <v>1897.65</v>
      </c>
    </row>
    <row r="6746" spans="1:4" ht="54">
      <c r="A6746" s="798">
        <v>103209</v>
      </c>
      <c r="B6746" s="799" t="s">
        <v>7873</v>
      </c>
      <c r="C6746" s="798" t="s">
        <v>24</v>
      </c>
      <c r="D6746" s="800">
        <v>2740.13</v>
      </c>
    </row>
    <row r="6747" spans="1:4" ht="67.5">
      <c r="A6747" s="798">
        <v>103210</v>
      </c>
      <c r="B6747" s="799" t="s">
        <v>7874</v>
      </c>
      <c r="C6747" s="798" t="s">
        <v>24</v>
      </c>
      <c r="D6747" s="800">
        <v>2197.4699999999998</v>
      </c>
    </row>
    <row r="6748" spans="1:4" ht="54">
      <c r="A6748" s="798">
        <v>103304</v>
      </c>
      <c r="B6748" s="799" t="s">
        <v>7875</v>
      </c>
      <c r="C6748" s="798" t="s">
        <v>24</v>
      </c>
      <c r="D6748" s="800">
        <v>1214.1199999999999</v>
      </c>
    </row>
    <row r="6749" spans="1:4" ht="54">
      <c r="A6749" s="798">
        <v>103307</v>
      </c>
      <c r="B6749" s="799" t="s">
        <v>7876</v>
      </c>
      <c r="C6749" s="798" t="s">
        <v>24</v>
      </c>
      <c r="D6749" s="800">
        <v>1284.74</v>
      </c>
    </row>
    <row r="6750" spans="1:4" ht="40.5">
      <c r="A6750" s="798">
        <v>103310</v>
      </c>
      <c r="B6750" s="799" t="s">
        <v>7877</v>
      </c>
      <c r="C6750" s="798" t="s">
        <v>24</v>
      </c>
      <c r="D6750" s="800">
        <v>1250.67</v>
      </c>
    </row>
    <row r="6751" spans="1:4" ht="40.5">
      <c r="A6751" s="798">
        <v>103314</v>
      </c>
      <c r="B6751" s="799" t="s">
        <v>7878</v>
      </c>
      <c r="C6751" s="798" t="s">
        <v>32</v>
      </c>
      <c r="D6751" s="800">
        <v>204.12</v>
      </c>
    </row>
    <row r="6752" spans="1:4" ht="40.5">
      <c r="A6752" s="798">
        <v>103315</v>
      </c>
      <c r="B6752" s="799" t="s">
        <v>7879</v>
      </c>
      <c r="C6752" s="798" t="s">
        <v>32</v>
      </c>
      <c r="D6752" s="800">
        <v>198.4</v>
      </c>
    </row>
    <row r="6753" spans="1:4" ht="40.5">
      <c r="A6753" s="798">
        <v>98525</v>
      </c>
      <c r="B6753" s="799" t="s">
        <v>3370</v>
      </c>
      <c r="C6753" s="798" t="s">
        <v>32</v>
      </c>
      <c r="D6753" s="800">
        <v>0.28000000000000003</v>
      </c>
    </row>
    <row r="6754" spans="1:4" ht="40.5">
      <c r="A6754" s="798">
        <v>98526</v>
      </c>
      <c r="B6754" s="799" t="s">
        <v>3371</v>
      </c>
      <c r="C6754" s="798" t="s">
        <v>24</v>
      </c>
      <c r="D6754" s="800">
        <v>58.61</v>
      </c>
    </row>
    <row r="6755" spans="1:4" ht="40.5">
      <c r="A6755" s="798">
        <v>98527</v>
      </c>
      <c r="B6755" s="799" t="s">
        <v>3372</v>
      </c>
      <c r="C6755" s="798" t="s">
        <v>24</v>
      </c>
      <c r="D6755" s="800">
        <v>126.2</v>
      </c>
    </row>
    <row r="6756" spans="1:4" ht="27">
      <c r="A6756" s="798">
        <v>98528</v>
      </c>
      <c r="B6756" s="799" t="s">
        <v>3373</v>
      </c>
      <c r="C6756" s="798" t="s">
        <v>24</v>
      </c>
      <c r="D6756" s="800">
        <v>184.55</v>
      </c>
    </row>
    <row r="6757" spans="1:4" ht="27">
      <c r="A6757" s="798">
        <v>98529</v>
      </c>
      <c r="B6757" s="799" t="s">
        <v>3374</v>
      </c>
      <c r="C6757" s="798" t="s">
        <v>24</v>
      </c>
      <c r="D6757" s="800">
        <v>48.75</v>
      </c>
    </row>
    <row r="6758" spans="1:4" ht="27">
      <c r="A6758" s="798">
        <v>98530</v>
      </c>
      <c r="B6758" s="799" t="s">
        <v>3375</v>
      </c>
      <c r="C6758" s="798" t="s">
        <v>24</v>
      </c>
      <c r="D6758" s="800">
        <v>86.84</v>
      </c>
    </row>
    <row r="6759" spans="1:4" ht="27">
      <c r="A6759" s="798">
        <v>98531</v>
      </c>
      <c r="B6759" s="799" t="s">
        <v>3376</v>
      </c>
      <c r="C6759" s="798" t="s">
        <v>24</v>
      </c>
      <c r="D6759" s="800">
        <v>208.51</v>
      </c>
    </row>
    <row r="6760" spans="1:4" ht="27">
      <c r="A6760" s="798">
        <v>98532</v>
      </c>
      <c r="B6760" s="799" t="s">
        <v>3377</v>
      </c>
      <c r="C6760" s="798" t="s">
        <v>24</v>
      </c>
      <c r="D6760" s="800">
        <v>89.54</v>
      </c>
    </row>
    <row r="6761" spans="1:4" ht="27">
      <c r="A6761" s="798">
        <v>98533</v>
      </c>
      <c r="B6761" s="799" t="s">
        <v>3378</v>
      </c>
      <c r="C6761" s="798" t="s">
        <v>24</v>
      </c>
      <c r="D6761" s="800">
        <v>236.46</v>
      </c>
    </row>
    <row r="6762" spans="1:4" ht="27">
      <c r="A6762" s="798">
        <v>98534</v>
      </c>
      <c r="B6762" s="799" t="s">
        <v>3379</v>
      </c>
      <c r="C6762" s="798" t="s">
        <v>24</v>
      </c>
      <c r="D6762" s="800">
        <v>616.22</v>
      </c>
    </row>
    <row r="6763" spans="1:4" ht="27">
      <c r="A6763" s="798">
        <v>98535</v>
      </c>
      <c r="B6763" s="799" t="s">
        <v>3380</v>
      </c>
      <c r="C6763" s="798" t="s">
        <v>24</v>
      </c>
      <c r="D6763" s="800">
        <v>957.51</v>
      </c>
    </row>
    <row r="6764" spans="1:4" ht="13.5">
      <c r="A6764" s="798">
        <v>88238</v>
      </c>
      <c r="B6764" s="799" t="s">
        <v>107</v>
      </c>
      <c r="C6764" s="798" t="s">
        <v>19</v>
      </c>
      <c r="D6764" s="800">
        <v>15.19</v>
      </c>
    </row>
    <row r="6765" spans="1:4" ht="13.5">
      <c r="A6765" s="798">
        <v>88239</v>
      </c>
      <c r="B6765" s="799" t="s">
        <v>29</v>
      </c>
      <c r="C6765" s="798" t="s">
        <v>19</v>
      </c>
      <c r="D6765" s="800">
        <v>15.96</v>
      </c>
    </row>
    <row r="6766" spans="1:4" ht="27">
      <c r="A6766" s="798">
        <v>88240</v>
      </c>
      <c r="B6766" s="799" t="s">
        <v>108</v>
      </c>
      <c r="C6766" s="798" t="s">
        <v>19</v>
      </c>
      <c r="D6766" s="800">
        <v>11.23</v>
      </c>
    </row>
    <row r="6767" spans="1:4" ht="27">
      <c r="A6767" s="798">
        <v>88241</v>
      </c>
      <c r="B6767" s="799" t="s">
        <v>109</v>
      </c>
      <c r="C6767" s="798" t="s">
        <v>19</v>
      </c>
      <c r="D6767" s="800">
        <v>15.19</v>
      </c>
    </row>
    <row r="6768" spans="1:4" ht="13.5">
      <c r="A6768" s="798">
        <v>88242</v>
      </c>
      <c r="B6768" s="799" t="s">
        <v>110</v>
      </c>
      <c r="C6768" s="798" t="s">
        <v>19</v>
      </c>
      <c r="D6768" s="800">
        <v>15.22</v>
      </c>
    </row>
    <row r="6769" spans="1:4" ht="13.5">
      <c r="A6769" s="798">
        <v>88243</v>
      </c>
      <c r="B6769" s="799" t="s">
        <v>111</v>
      </c>
      <c r="C6769" s="798" t="s">
        <v>19</v>
      </c>
      <c r="D6769" s="800">
        <v>15.93</v>
      </c>
    </row>
    <row r="6770" spans="1:4" ht="13.5">
      <c r="A6770" s="798">
        <v>88245</v>
      </c>
      <c r="B6770" s="799" t="s">
        <v>112</v>
      </c>
      <c r="C6770" s="798" t="s">
        <v>19</v>
      </c>
      <c r="D6770" s="800">
        <v>18.75</v>
      </c>
    </row>
    <row r="6771" spans="1:4" ht="13.5">
      <c r="A6771" s="798">
        <v>88246</v>
      </c>
      <c r="B6771" s="799" t="s">
        <v>113</v>
      </c>
      <c r="C6771" s="798" t="s">
        <v>19</v>
      </c>
      <c r="D6771" s="800">
        <v>15.89</v>
      </c>
    </row>
    <row r="6772" spans="1:4" ht="13.5">
      <c r="A6772" s="798">
        <v>88247</v>
      </c>
      <c r="B6772" s="799" t="s">
        <v>37</v>
      </c>
      <c r="C6772" s="798" t="s">
        <v>19</v>
      </c>
      <c r="D6772" s="800">
        <v>15.19</v>
      </c>
    </row>
    <row r="6773" spans="1:4" ht="27">
      <c r="A6773" s="798">
        <v>88248</v>
      </c>
      <c r="B6773" s="799" t="s">
        <v>986</v>
      </c>
      <c r="C6773" s="798" t="s">
        <v>19</v>
      </c>
      <c r="D6773" s="800">
        <v>15.54</v>
      </c>
    </row>
    <row r="6774" spans="1:4" ht="13.5">
      <c r="A6774" s="798">
        <v>88249</v>
      </c>
      <c r="B6774" s="799" t="s">
        <v>114</v>
      </c>
      <c r="C6774" s="798" t="s">
        <v>19</v>
      </c>
      <c r="D6774" s="800">
        <v>20.56</v>
      </c>
    </row>
    <row r="6775" spans="1:4" ht="13.5">
      <c r="A6775" s="798">
        <v>88250</v>
      </c>
      <c r="B6775" s="799" t="s">
        <v>115</v>
      </c>
      <c r="C6775" s="798" t="s">
        <v>19</v>
      </c>
      <c r="D6775" s="800">
        <v>12.8</v>
      </c>
    </row>
    <row r="6776" spans="1:4" ht="13.5">
      <c r="A6776" s="798">
        <v>88251</v>
      </c>
      <c r="B6776" s="799" t="s">
        <v>116</v>
      </c>
      <c r="C6776" s="798" t="s">
        <v>19</v>
      </c>
      <c r="D6776" s="800">
        <v>16.05</v>
      </c>
    </row>
    <row r="6777" spans="1:4" ht="27">
      <c r="A6777" s="798">
        <v>88252</v>
      </c>
      <c r="B6777" s="799" t="s">
        <v>117</v>
      </c>
      <c r="C6777" s="798" t="s">
        <v>19</v>
      </c>
      <c r="D6777" s="800">
        <v>15.08</v>
      </c>
    </row>
    <row r="6778" spans="1:4" ht="13.5">
      <c r="A6778" s="798">
        <v>88253</v>
      </c>
      <c r="B6778" s="799" t="s">
        <v>118</v>
      </c>
      <c r="C6778" s="798" t="s">
        <v>19</v>
      </c>
      <c r="D6778" s="800">
        <v>7.18</v>
      </c>
    </row>
    <row r="6779" spans="1:4" ht="27">
      <c r="A6779" s="798">
        <v>88255</v>
      </c>
      <c r="B6779" s="799" t="s">
        <v>119</v>
      </c>
      <c r="C6779" s="798" t="s">
        <v>19</v>
      </c>
      <c r="D6779" s="800">
        <v>21.94</v>
      </c>
    </row>
    <row r="6780" spans="1:4" ht="13.5">
      <c r="A6780" s="798">
        <v>88256</v>
      </c>
      <c r="B6780" s="799" t="s">
        <v>20</v>
      </c>
      <c r="C6780" s="798" t="s">
        <v>19</v>
      </c>
      <c r="D6780" s="800">
        <v>18.79</v>
      </c>
    </row>
    <row r="6781" spans="1:4" ht="27">
      <c r="A6781" s="798">
        <v>88257</v>
      </c>
      <c r="B6781" s="799" t="s">
        <v>120</v>
      </c>
      <c r="C6781" s="798" t="s">
        <v>19</v>
      </c>
      <c r="D6781" s="800">
        <v>13.73</v>
      </c>
    </row>
    <row r="6782" spans="1:4" ht="27">
      <c r="A6782" s="798">
        <v>88258</v>
      </c>
      <c r="B6782" s="799" t="s">
        <v>552</v>
      </c>
      <c r="C6782" s="798" t="s">
        <v>19</v>
      </c>
      <c r="D6782" s="800">
        <v>10.73</v>
      </c>
    </row>
    <row r="6783" spans="1:4" ht="13.5">
      <c r="A6783" s="798">
        <v>88260</v>
      </c>
      <c r="B6783" s="799" t="s">
        <v>121</v>
      </c>
      <c r="C6783" s="798" t="s">
        <v>19</v>
      </c>
      <c r="D6783" s="800">
        <v>17.420000000000002</v>
      </c>
    </row>
    <row r="6784" spans="1:4" ht="13.5">
      <c r="A6784" s="798">
        <v>88261</v>
      </c>
      <c r="B6784" s="799" t="s">
        <v>36</v>
      </c>
      <c r="C6784" s="798" t="s">
        <v>19</v>
      </c>
      <c r="D6784" s="800">
        <v>17.84</v>
      </c>
    </row>
    <row r="6785" spans="1:4" ht="13.5">
      <c r="A6785" s="798">
        <v>88262</v>
      </c>
      <c r="B6785" s="799" t="s">
        <v>30</v>
      </c>
      <c r="C6785" s="798" t="s">
        <v>19</v>
      </c>
      <c r="D6785" s="800">
        <v>18.63</v>
      </c>
    </row>
    <row r="6786" spans="1:4" ht="27">
      <c r="A6786" s="798">
        <v>88263</v>
      </c>
      <c r="B6786" s="799" t="s">
        <v>987</v>
      </c>
      <c r="C6786" s="798" t="s">
        <v>19</v>
      </c>
      <c r="D6786" s="800">
        <v>12.35</v>
      </c>
    </row>
    <row r="6787" spans="1:4" ht="13.5">
      <c r="A6787" s="798">
        <v>88264</v>
      </c>
      <c r="B6787" s="799" t="s">
        <v>35</v>
      </c>
      <c r="C6787" s="798" t="s">
        <v>19</v>
      </c>
      <c r="D6787" s="800">
        <v>19.53</v>
      </c>
    </row>
    <row r="6788" spans="1:4" ht="13.5">
      <c r="A6788" s="798">
        <v>88265</v>
      </c>
      <c r="B6788" s="799" t="s">
        <v>122</v>
      </c>
      <c r="C6788" s="798" t="s">
        <v>19</v>
      </c>
      <c r="D6788" s="800">
        <v>19.53</v>
      </c>
    </row>
    <row r="6789" spans="1:4" ht="13.5">
      <c r="A6789" s="798">
        <v>88266</v>
      </c>
      <c r="B6789" s="799" t="s">
        <v>123</v>
      </c>
      <c r="C6789" s="798" t="s">
        <v>19</v>
      </c>
      <c r="D6789" s="800">
        <v>19.61</v>
      </c>
    </row>
    <row r="6790" spans="1:4" ht="27">
      <c r="A6790" s="798">
        <v>88267</v>
      </c>
      <c r="B6790" s="799" t="s">
        <v>34</v>
      </c>
      <c r="C6790" s="798" t="s">
        <v>19</v>
      </c>
      <c r="D6790" s="800">
        <v>18.72</v>
      </c>
    </row>
    <row r="6791" spans="1:4" ht="13.5">
      <c r="A6791" s="798">
        <v>88269</v>
      </c>
      <c r="B6791" s="799" t="s">
        <v>124</v>
      </c>
      <c r="C6791" s="798" t="s">
        <v>19</v>
      </c>
      <c r="D6791" s="800">
        <v>18.14</v>
      </c>
    </row>
    <row r="6792" spans="1:4" ht="13.5">
      <c r="A6792" s="798">
        <v>88270</v>
      </c>
      <c r="B6792" s="799" t="s">
        <v>125</v>
      </c>
      <c r="C6792" s="798" t="s">
        <v>19</v>
      </c>
      <c r="D6792" s="800">
        <v>17.14</v>
      </c>
    </row>
    <row r="6793" spans="1:4" ht="13.5">
      <c r="A6793" s="798">
        <v>88272</v>
      </c>
      <c r="B6793" s="799" t="s">
        <v>126</v>
      </c>
      <c r="C6793" s="798" t="s">
        <v>19</v>
      </c>
      <c r="D6793" s="800">
        <v>19.79</v>
      </c>
    </row>
    <row r="6794" spans="1:4" ht="13.5">
      <c r="A6794" s="798">
        <v>88273</v>
      </c>
      <c r="B6794" s="799" t="s">
        <v>127</v>
      </c>
      <c r="C6794" s="798" t="s">
        <v>19</v>
      </c>
      <c r="D6794" s="800">
        <v>17.64</v>
      </c>
    </row>
    <row r="6795" spans="1:4" ht="13.5">
      <c r="A6795" s="798">
        <v>88274</v>
      </c>
      <c r="B6795" s="799" t="s">
        <v>128</v>
      </c>
      <c r="C6795" s="798" t="s">
        <v>19</v>
      </c>
      <c r="D6795" s="800">
        <v>18.79</v>
      </c>
    </row>
    <row r="6796" spans="1:4" ht="27">
      <c r="A6796" s="798">
        <v>88275</v>
      </c>
      <c r="B6796" s="799" t="s">
        <v>129</v>
      </c>
      <c r="C6796" s="798" t="s">
        <v>19</v>
      </c>
      <c r="D6796" s="800">
        <v>19.489999999999998</v>
      </c>
    </row>
    <row r="6797" spans="1:4" ht="27">
      <c r="A6797" s="798">
        <v>88277</v>
      </c>
      <c r="B6797" s="799" t="s">
        <v>130</v>
      </c>
      <c r="C6797" s="798" t="s">
        <v>19</v>
      </c>
      <c r="D6797" s="800">
        <v>14.49</v>
      </c>
    </row>
    <row r="6798" spans="1:4" ht="27">
      <c r="A6798" s="798">
        <v>88278</v>
      </c>
      <c r="B6798" s="799" t="s">
        <v>131</v>
      </c>
      <c r="C6798" s="798" t="s">
        <v>19</v>
      </c>
      <c r="D6798" s="800">
        <v>13.65</v>
      </c>
    </row>
    <row r="6799" spans="1:4" ht="13.5">
      <c r="A6799" s="798">
        <v>88279</v>
      </c>
      <c r="B6799" s="799" t="s">
        <v>132</v>
      </c>
      <c r="C6799" s="798" t="s">
        <v>19</v>
      </c>
      <c r="D6799" s="800">
        <v>20.74</v>
      </c>
    </row>
    <row r="6800" spans="1:4" ht="13.5">
      <c r="A6800" s="798">
        <v>88281</v>
      </c>
      <c r="B6800" s="799" t="s">
        <v>133</v>
      </c>
      <c r="C6800" s="798" t="s">
        <v>19</v>
      </c>
      <c r="D6800" s="800">
        <v>14.52</v>
      </c>
    </row>
    <row r="6801" spans="1:4" ht="13.5">
      <c r="A6801" s="798">
        <v>88282</v>
      </c>
      <c r="B6801" s="799" t="s">
        <v>134</v>
      </c>
      <c r="C6801" s="798" t="s">
        <v>19</v>
      </c>
      <c r="D6801" s="800">
        <v>15.17</v>
      </c>
    </row>
    <row r="6802" spans="1:4" ht="27">
      <c r="A6802" s="798">
        <v>88283</v>
      </c>
      <c r="B6802" s="799" t="s">
        <v>135</v>
      </c>
      <c r="C6802" s="798" t="s">
        <v>19</v>
      </c>
      <c r="D6802" s="800">
        <v>18.97</v>
      </c>
    </row>
    <row r="6803" spans="1:4" ht="27">
      <c r="A6803" s="798">
        <v>88284</v>
      </c>
      <c r="B6803" s="799" t="s">
        <v>136</v>
      </c>
      <c r="C6803" s="798" t="s">
        <v>19</v>
      </c>
      <c r="D6803" s="800">
        <v>14.33</v>
      </c>
    </row>
    <row r="6804" spans="1:4" ht="27">
      <c r="A6804" s="798">
        <v>88285</v>
      </c>
      <c r="B6804" s="799" t="s">
        <v>137</v>
      </c>
      <c r="C6804" s="798" t="s">
        <v>19</v>
      </c>
      <c r="D6804" s="800">
        <v>16.190000000000001</v>
      </c>
    </row>
    <row r="6805" spans="1:4" ht="27">
      <c r="A6805" s="798">
        <v>88286</v>
      </c>
      <c r="B6805" s="799" t="s">
        <v>138</v>
      </c>
      <c r="C6805" s="798" t="s">
        <v>19</v>
      </c>
      <c r="D6805" s="800">
        <v>17.22</v>
      </c>
    </row>
    <row r="6806" spans="1:4" ht="13.5">
      <c r="A6806" s="798">
        <v>88288</v>
      </c>
      <c r="B6806" s="799" t="s">
        <v>139</v>
      </c>
      <c r="C6806" s="798" t="s">
        <v>19</v>
      </c>
      <c r="D6806" s="800">
        <v>8.65</v>
      </c>
    </row>
    <row r="6807" spans="1:4" ht="27">
      <c r="A6807" s="798">
        <v>88291</v>
      </c>
      <c r="B6807" s="799" t="s">
        <v>140</v>
      </c>
      <c r="C6807" s="798" t="s">
        <v>19</v>
      </c>
      <c r="D6807" s="800">
        <v>14.08</v>
      </c>
    </row>
    <row r="6808" spans="1:4" ht="27">
      <c r="A6808" s="798">
        <v>88292</v>
      </c>
      <c r="B6808" s="799" t="s">
        <v>141</v>
      </c>
      <c r="C6808" s="798" t="s">
        <v>19</v>
      </c>
      <c r="D6808" s="800">
        <v>14.6</v>
      </c>
    </row>
    <row r="6809" spans="1:4" ht="27">
      <c r="A6809" s="798">
        <v>88293</v>
      </c>
      <c r="B6809" s="799" t="s">
        <v>142</v>
      </c>
      <c r="C6809" s="798" t="s">
        <v>19</v>
      </c>
      <c r="D6809" s="800">
        <v>16.440000000000001</v>
      </c>
    </row>
    <row r="6810" spans="1:4" ht="13.5">
      <c r="A6810" s="798">
        <v>88294</v>
      </c>
      <c r="B6810" s="799" t="s">
        <v>143</v>
      </c>
      <c r="C6810" s="798" t="s">
        <v>19</v>
      </c>
      <c r="D6810" s="800">
        <v>17.690000000000001</v>
      </c>
    </row>
    <row r="6811" spans="1:4" ht="13.5">
      <c r="A6811" s="798">
        <v>88295</v>
      </c>
      <c r="B6811" s="799" t="s">
        <v>144</v>
      </c>
      <c r="C6811" s="798" t="s">
        <v>19</v>
      </c>
      <c r="D6811" s="800">
        <v>13.83</v>
      </c>
    </row>
    <row r="6812" spans="1:4" ht="13.5">
      <c r="A6812" s="798">
        <v>88296</v>
      </c>
      <c r="B6812" s="799" t="s">
        <v>145</v>
      </c>
      <c r="C6812" s="798" t="s">
        <v>19</v>
      </c>
      <c r="D6812" s="800">
        <v>13.89</v>
      </c>
    </row>
    <row r="6813" spans="1:4" ht="27">
      <c r="A6813" s="798">
        <v>88297</v>
      </c>
      <c r="B6813" s="799" t="s">
        <v>146</v>
      </c>
      <c r="C6813" s="798" t="s">
        <v>19</v>
      </c>
      <c r="D6813" s="800">
        <v>14.38</v>
      </c>
    </row>
    <row r="6814" spans="1:4" ht="27">
      <c r="A6814" s="798">
        <v>88298</v>
      </c>
      <c r="B6814" s="799" t="s">
        <v>147</v>
      </c>
      <c r="C6814" s="798" t="s">
        <v>19</v>
      </c>
      <c r="D6814" s="800">
        <v>12.13</v>
      </c>
    </row>
    <row r="6815" spans="1:4" ht="27">
      <c r="A6815" s="798">
        <v>88299</v>
      </c>
      <c r="B6815" s="799" t="s">
        <v>148</v>
      </c>
      <c r="C6815" s="798" t="s">
        <v>19</v>
      </c>
      <c r="D6815" s="800">
        <v>16.649999999999999</v>
      </c>
    </row>
    <row r="6816" spans="1:4" ht="27">
      <c r="A6816" s="798">
        <v>88300</v>
      </c>
      <c r="B6816" s="799" t="s">
        <v>149</v>
      </c>
      <c r="C6816" s="798" t="s">
        <v>19</v>
      </c>
      <c r="D6816" s="800">
        <v>19.57</v>
      </c>
    </row>
    <row r="6817" spans="1:4" ht="27">
      <c r="A6817" s="798">
        <v>88301</v>
      </c>
      <c r="B6817" s="799" t="s">
        <v>150</v>
      </c>
      <c r="C6817" s="798" t="s">
        <v>19</v>
      </c>
      <c r="D6817" s="800">
        <v>15.33</v>
      </c>
    </row>
    <row r="6818" spans="1:4" ht="13.5">
      <c r="A6818" s="798">
        <v>88302</v>
      </c>
      <c r="B6818" s="799" t="s">
        <v>151</v>
      </c>
      <c r="C6818" s="798" t="s">
        <v>19</v>
      </c>
      <c r="D6818" s="800">
        <v>17.07</v>
      </c>
    </row>
    <row r="6819" spans="1:4" ht="27">
      <c r="A6819" s="798">
        <v>88303</v>
      </c>
      <c r="B6819" s="799" t="s">
        <v>152</v>
      </c>
      <c r="C6819" s="798" t="s">
        <v>19</v>
      </c>
      <c r="D6819" s="800">
        <v>14.36</v>
      </c>
    </row>
    <row r="6820" spans="1:4" ht="27">
      <c r="A6820" s="798">
        <v>88304</v>
      </c>
      <c r="B6820" s="799" t="s">
        <v>988</v>
      </c>
      <c r="C6820" s="798" t="s">
        <v>19</v>
      </c>
      <c r="D6820" s="800">
        <v>15.2</v>
      </c>
    </row>
    <row r="6821" spans="1:4" ht="27">
      <c r="A6821" s="798">
        <v>88306</v>
      </c>
      <c r="B6821" s="799" t="s">
        <v>153</v>
      </c>
      <c r="C6821" s="798" t="s">
        <v>19</v>
      </c>
      <c r="D6821" s="800">
        <v>16.23</v>
      </c>
    </row>
    <row r="6822" spans="1:4" ht="27">
      <c r="A6822" s="798">
        <v>88307</v>
      </c>
      <c r="B6822" s="799" t="s">
        <v>154</v>
      </c>
      <c r="C6822" s="798" t="s">
        <v>19</v>
      </c>
      <c r="D6822" s="800">
        <v>15.77</v>
      </c>
    </row>
    <row r="6823" spans="1:4" ht="13.5">
      <c r="A6823" s="798">
        <v>88308</v>
      </c>
      <c r="B6823" s="799" t="s">
        <v>155</v>
      </c>
      <c r="C6823" s="798" t="s">
        <v>19</v>
      </c>
      <c r="D6823" s="800">
        <v>18.79</v>
      </c>
    </row>
    <row r="6824" spans="1:4" ht="13.5">
      <c r="A6824" s="798">
        <v>88309</v>
      </c>
      <c r="B6824" s="799" t="s">
        <v>31</v>
      </c>
      <c r="C6824" s="798" t="s">
        <v>19</v>
      </c>
      <c r="D6824" s="800">
        <v>18.86</v>
      </c>
    </row>
    <row r="6825" spans="1:4" ht="13.5">
      <c r="A6825" s="798">
        <v>88310</v>
      </c>
      <c r="B6825" s="799" t="s">
        <v>156</v>
      </c>
      <c r="C6825" s="798" t="s">
        <v>19</v>
      </c>
      <c r="D6825" s="800">
        <v>19.940000000000001</v>
      </c>
    </row>
    <row r="6826" spans="1:4" ht="13.5">
      <c r="A6826" s="798">
        <v>88311</v>
      </c>
      <c r="B6826" s="799" t="s">
        <v>157</v>
      </c>
      <c r="C6826" s="798" t="s">
        <v>19</v>
      </c>
      <c r="D6826" s="800">
        <v>19.52</v>
      </c>
    </row>
    <row r="6827" spans="1:4" ht="13.5">
      <c r="A6827" s="798">
        <v>88312</v>
      </c>
      <c r="B6827" s="799" t="s">
        <v>158</v>
      </c>
      <c r="C6827" s="798" t="s">
        <v>19</v>
      </c>
      <c r="D6827" s="800">
        <v>19.940000000000001</v>
      </c>
    </row>
    <row r="6828" spans="1:4" ht="13.5">
      <c r="A6828" s="798">
        <v>88313</v>
      </c>
      <c r="B6828" s="799" t="s">
        <v>159</v>
      </c>
      <c r="C6828" s="798" t="s">
        <v>19</v>
      </c>
      <c r="D6828" s="800">
        <v>13.86</v>
      </c>
    </row>
    <row r="6829" spans="1:4" ht="13.5">
      <c r="A6829" s="798">
        <v>88314</v>
      </c>
      <c r="B6829" s="799" t="s">
        <v>160</v>
      </c>
      <c r="C6829" s="798" t="s">
        <v>19</v>
      </c>
      <c r="D6829" s="800">
        <v>12.75</v>
      </c>
    </row>
    <row r="6830" spans="1:4" ht="13.5">
      <c r="A6830" s="798">
        <v>88315</v>
      </c>
      <c r="B6830" s="799" t="s">
        <v>33</v>
      </c>
      <c r="C6830" s="798" t="s">
        <v>19</v>
      </c>
      <c r="D6830" s="800">
        <v>18.75</v>
      </c>
    </row>
    <row r="6831" spans="1:4" ht="13.5">
      <c r="A6831" s="798">
        <v>88316</v>
      </c>
      <c r="B6831" s="799" t="s">
        <v>21</v>
      </c>
      <c r="C6831" s="798" t="s">
        <v>19</v>
      </c>
      <c r="D6831" s="800">
        <v>15.16</v>
      </c>
    </row>
    <row r="6832" spans="1:4" ht="13.5">
      <c r="A6832" s="798">
        <v>88317</v>
      </c>
      <c r="B6832" s="799" t="s">
        <v>161</v>
      </c>
      <c r="C6832" s="798" t="s">
        <v>19</v>
      </c>
      <c r="D6832" s="800">
        <v>19.57</v>
      </c>
    </row>
    <row r="6833" spans="1:4" ht="27">
      <c r="A6833" s="798">
        <v>88318</v>
      </c>
      <c r="B6833" s="799" t="s">
        <v>989</v>
      </c>
      <c r="C6833" s="798" t="s">
        <v>19</v>
      </c>
      <c r="D6833" s="800">
        <v>24.29</v>
      </c>
    </row>
    <row r="6834" spans="1:4" ht="13.5">
      <c r="A6834" s="798">
        <v>88320</v>
      </c>
      <c r="B6834" s="799" t="s">
        <v>162</v>
      </c>
      <c r="C6834" s="798" t="s">
        <v>19</v>
      </c>
      <c r="D6834" s="800">
        <v>18.63</v>
      </c>
    </row>
    <row r="6835" spans="1:4" ht="13.5">
      <c r="A6835" s="798">
        <v>88321</v>
      </c>
      <c r="B6835" s="799" t="s">
        <v>163</v>
      </c>
      <c r="C6835" s="798" t="s">
        <v>19</v>
      </c>
      <c r="D6835" s="800">
        <v>21.49</v>
      </c>
    </row>
    <row r="6836" spans="1:4" ht="13.5">
      <c r="A6836" s="798">
        <v>88322</v>
      </c>
      <c r="B6836" s="799" t="s">
        <v>164</v>
      </c>
      <c r="C6836" s="798" t="s">
        <v>19</v>
      </c>
      <c r="D6836" s="800">
        <v>20.010000000000002</v>
      </c>
    </row>
    <row r="6837" spans="1:4" ht="13.5">
      <c r="A6837" s="798">
        <v>88323</v>
      </c>
      <c r="B6837" s="799" t="s">
        <v>165</v>
      </c>
      <c r="C6837" s="798" t="s">
        <v>19</v>
      </c>
      <c r="D6837" s="800">
        <v>18.46</v>
      </c>
    </row>
    <row r="6838" spans="1:4" ht="13.5">
      <c r="A6838" s="798">
        <v>88324</v>
      </c>
      <c r="B6838" s="799" t="s">
        <v>166</v>
      </c>
      <c r="C6838" s="798" t="s">
        <v>19</v>
      </c>
      <c r="D6838" s="800">
        <v>14.46</v>
      </c>
    </row>
    <row r="6839" spans="1:4" ht="13.5">
      <c r="A6839" s="798">
        <v>88325</v>
      </c>
      <c r="B6839" s="799" t="s">
        <v>167</v>
      </c>
      <c r="C6839" s="798" t="s">
        <v>19</v>
      </c>
      <c r="D6839" s="800">
        <v>16.86</v>
      </c>
    </row>
    <row r="6840" spans="1:4" ht="13.5">
      <c r="A6840" s="798">
        <v>88326</v>
      </c>
      <c r="B6840" s="799" t="s">
        <v>168</v>
      </c>
      <c r="C6840" s="798" t="s">
        <v>19</v>
      </c>
      <c r="D6840" s="800">
        <v>18.829999999999998</v>
      </c>
    </row>
    <row r="6841" spans="1:4" ht="27">
      <c r="A6841" s="798">
        <v>88377</v>
      </c>
      <c r="B6841" s="799" t="s">
        <v>990</v>
      </c>
      <c r="C6841" s="798" t="s">
        <v>19</v>
      </c>
      <c r="D6841" s="800">
        <v>13.71</v>
      </c>
    </row>
    <row r="6842" spans="1:4" ht="13.5">
      <c r="A6842" s="798">
        <v>88441</v>
      </c>
      <c r="B6842" s="799" t="s">
        <v>179</v>
      </c>
      <c r="C6842" s="798" t="s">
        <v>19</v>
      </c>
      <c r="D6842" s="800">
        <v>16.41</v>
      </c>
    </row>
    <row r="6843" spans="1:4" ht="13.5">
      <c r="A6843" s="798">
        <v>88597</v>
      </c>
      <c r="B6843" s="799" t="s">
        <v>186</v>
      </c>
      <c r="C6843" s="798" t="s">
        <v>19</v>
      </c>
      <c r="D6843" s="800">
        <v>23</v>
      </c>
    </row>
    <row r="6844" spans="1:4" ht="13.5">
      <c r="A6844" s="798">
        <v>90766</v>
      </c>
      <c r="B6844" s="799" t="s">
        <v>356</v>
      </c>
      <c r="C6844" s="798" t="s">
        <v>19</v>
      </c>
      <c r="D6844" s="800">
        <v>15.39</v>
      </c>
    </row>
    <row r="6845" spans="1:4" ht="13.5">
      <c r="A6845" s="798">
        <v>90767</v>
      </c>
      <c r="B6845" s="799" t="s">
        <v>357</v>
      </c>
      <c r="C6845" s="798" t="s">
        <v>19</v>
      </c>
      <c r="D6845" s="800">
        <v>15.02</v>
      </c>
    </row>
    <row r="6846" spans="1:4" ht="13.5">
      <c r="A6846" s="798">
        <v>90768</v>
      </c>
      <c r="B6846" s="799" t="s">
        <v>358</v>
      </c>
      <c r="C6846" s="798" t="s">
        <v>19</v>
      </c>
      <c r="D6846" s="800">
        <v>59.79</v>
      </c>
    </row>
    <row r="6847" spans="1:4" ht="13.5">
      <c r="A6847" s="798">
        <v>90769</v>
      </c>
      <c r="B6847" s="799" t="s">
        <v>359</v>
      </c>
      <c r="C6847" s="798" t="s">
        <v>19</v>
      </c>
      <c r="D6847" s="800">
        <v>84.3</v>
      </c>
    </row>
    <row r="6848" spans="1:4" ht="13.5">
      <c r="A6848" s="798">
        <v>90770</v>
      </c>
      <c r="B6848" s="799" t="s">
        <v>360</v>
      </c>
      <c r="C6848" s="798" t="s">
        <v>19</v>
      </c>
      <c r="D6848" s="800">
        <v>110.95</v>
      </c>
    </row>
    <row r="6849" spans="1:4" ht="13.5">
      <c r="A6849" s="798">
        <v>90771</v>
      </c>
      <c r="B6849" s="799" t="s">
        <v>361</v>
      </c>
      <c r="C6849" s="798" t="s">
        <v>19</v>
      </c>
      <c r="D6849" s="800">
        <v>18.670000000000002</v>
      </c>
    </row>
    <row r="6850" spans="1:4" ht="13.5">
      <c r="A6850" s="798">
        <v>90772</v>
      </c>
      <c r="B6850" s="799" t="s">
        <v>362</v>
      </c>
      <c r="C6850" s="798" t="s">
        <v>19</v>
      </c>
      <c r="D6850" s="800">
        <v>12.71</v>
      </c>
    </row>
    <row r="6851" spans="1:4" ht="13.5">
      <c r="A6851" s="798">
        <v>90773</v>
      </c>
      <c r="B6851" s="799" t="s">
        <v>363</v>
      </c>
      <c r="C6851" s="798" t="s">
        <v>19</v>
      </c>
      <c r="D6851" s="800">
        <v>17.73</v>
      </c>
    </row>
    <row r="6852" spans="1:4" ht="13.5">
      <c r="A6852" s="798">
        <v>90775</v>
      </c>
      <c r="B6852" s="799" t="s">
        <v>364</v>
      </c>
      <c r="C6852" s="798" t="s">
        <v>19</v>
      </c>
      <c r="D6852" s="800">
        <v>18.690000000000001</v>
      </c>
    </row>
    <row r="6853" spans="1:4" ht="13.5">
      <c r="A6853" s="798">
        <v>90776</v>
      </c>
      <c r="B6853" s="799" t="s">
        <v>365</v>
      </c>
      <c r="C6853" s="798" t="s">
        <v>19</v>
      </c>
      <c r="D6853" s="800">
        <v>20.72</v>
      </c>
    </row>
    <row r="6854" spans="1:4" ht="27">
      <c r="A6854" s="798">
        <v>90777</v>
      </c>
      <c r="B6854" s="799" t="s">
        <v>366</v>
      </c>
      <c r="C6854" s="798" t="s">
        <v>19</v>
      </c>
      <c r="D6854" s="800">
        <v>81.02</v>
      </c>
    </row>
    <row r="6855" spans="1:4" ht="27">
      <c r="A6855" s="798">
        <v>90778</v>
      </c>
      <c r="B6855" s="799" t="s">
        <v>367</v>
      </c>
      <c r="C6855" s="798" t="s">
        <v>19</v>
      </c>
      <c r="D6855" s="800">
        <v>91.99</v>
      </c>
    </row>
    <row r="6856" spans="1:4" ht="27">
      <c r="A6856" s="798">
        <v>90779</v>
      </c>
      <c r="B6856" s="799" t="s">
        <v>368</v>
      </c>
      <c r="C6856" s="798" t="s">
        <v>19</v>
      </c>
      <c r="D6856" s="800">
        <v>125.18</v>
      </c>
    </row>
    <row r="6857" spans="1:4" ht="13.5">
      <c r="A6857" s="798">
        <v>90780</v>
      </c>
      <c r="B6857" s="799" t="s">
        <v>369</v>
      </c>
      <c r="C6857" s="798" t="s">
        <v>19</v>
      </c>
      <c r="D6857" s="800">
        <v>30.38</v>
      </c>
    </row>
    <row r="6858" spans="1:4" ht="13.5">
      <c r="A6858" s="798">
        <v>90781</v>
      </c>
      <c r="B6858" s="799" t="s">
        <v>370</v>
      </c>
      <c r="C6858" s="798" t="s">
        <v>19</v>
      </c>
      <c r="D6858" s="800">
        <v>15.38</v>
      </c>
    </row>
    <row r="6859" spans="1:4" ht="13.5">
      <c r="A6859" s="798">
        <v>91677</v>
      </c>
      <c r="B6859" s="799" t="s">
        <v>404</v>
      </c>
      <c r="C6859" s="798" t="s">
        <v>19</v>
      </c>
      <c r="D6859" s="800">
        <v>78.489999999999995</v>
      </c>
    </row>
    <row r="6860" spans="1:4" ht="13.5">
      <c r="A6860" s="798">
        <v>91678</v>
      </c>
      <c r="B6860" s="799" t="s">
        <v>405</v>
      </c>
      <c r="C6860" s="798" t="s">
        <v>19</v>
      </c>
      <c r="D6860" s="800">
        <v>76</v>
      </c>
    </row>
    <row r="6861" spans="1:4" ht="13.5">
      <c r="A6861" s="798">
        <v>93558</v>
      </c>
      <c r="B6861" s="799" t="s">
        <v>488</v>
      </c>
      <c r="C6861" s="798" t="s">
        <v>74</v>
      </c>
      <c r="D6861" s="800">
        <v>2722.82</v>
      </c>
    </row>
    <row r="6862" spans="1:4" ht="13.5">
      <c r="A6862" s="798">
        <v>93559</v>
      </c>
      <c r="B6862" s="799" t="s">
        <v>186</v>
      </c>
      <c r="C6862" s="798" t="s">
        <v>74</v>
      </c>
      <c r="D6862" s="800">
        <v>4078.65</v>
      </c>
    </row>
    <row r="6863" spans="1:4" ht="13.5">
      <c r="A6863" s="798">
        <v>93560</v>
      </c>
      <c r="B6863" s="799" t="s">
        <v>363</v>
      </c>
      <c r="C6863" s="798" t="s">
        <v>74</v>
      </c>
      <c r="D6863" s="800">
        <v>3148.87</v>
      </c>
    </row>
    <row r="6864" spans="1:4" ht="13.5">
      <c r="A6864" s="798">
        <v>93561</v>
      </c>
      <c r="B6864" s="799" t="s">
        <v>364</v>
      </c>
      <c r="C6864" s="798" t="s">
        <v>74</v>
      </c>
      <c r="D6864" s="800">
        <v>3319.28</v>
      </c>
    </row>
    <row r="6865" spans="1:4" ht="13.5">
      <c r="A6865" s="798">
        <v>93562</v>
      </c>
      <c r="B6865" s="799" t="s">
        <v>361</v>
      </c>
      <c r="C6865" s="798" t="s">
        <v>74</v>
      </c>
      <c r="D6865" s="800">
        <v>3318.43</v>
      </c>
    </row>
    <row r="6866" spans="1:4" ht="13.5">
      <c r="A6866" s="798">
        <v>93563</v>
      </c>
      <c r="B6866" s="799" t="s">
        <v>356</v>
      </c>
      <c r="C6866" s="798" t="s">
        <v>74</v>
      </c>
      <c r="D6866" s="800">
        <v>2735.73</v>
      </c>
    </row>
    <row r="6867" spans="1:4" ht="13.5">
      <c r="A6867" s="798">
        <v>93564</v>
      </c>
      <c r="B6867" s="799" t="s">
        <v>357</v>
      </c>
      <c r="C6867" s="798" t="s">
        <v>74</v>
      </c>
      <c r="D6867" s="800">
        <v>2667.04</v>
      </c>
    </row>
    <row r="6868" spans="1:4" ht="27">
      <c r="A6868" s="798">
        <v>93565</v>
      </c>
      <c r="B6868" s="799" t="s">
        <v>366</v>
      </c>
      <c r="C6868" s="798" t="s">
        <v>74</v>
      </c>
      <c r="D6868" s="800">
        <v>14283.7</v>
      </c>
    </row>
    <row r="6869" spans="1:4" ht="13.5">
      <c r="A6869" s="798">
        <v>93566</v>
      </c>
      <c r="B6869" s="799" t="s">
        <v>362</v>
      </c>
      <c r="C6869" s="798" t="s">
        <v>74</v>
      </c>
      <c r="D6869" s="800">
        <v>2264.5700000000002</v>
      </c>
    </row>
    <row r="6870" spans="1:4" ht="27">
      <c r="A6870" s="798">
        <v>93567</v>
      </c>
      <c r="B6870" s="799" t="s">
        <v>367</v>
      </c>
      <c r="C6870" s="798" t="s">
        <v>74</v>
      </c>
      <c r="D6870" s="800">
        <v>16217.76</v>
      </c>
    </row>
    <row r="6871" spans="1:4" ht="27">
      <c r="A6871" s="798">
        <v>93568</v>
      </c>
      <c r="B6871" s="799" t="s">
        <v>368</v>
      </c>
      <c r="C6871" s="798" t="s">
        <v>74</v>
      </c>
      <c r="D6871" s="800">
        <v>22062.98</v>
      </c>
    </row>
    <row r="6872" spans="1:4" ht="13.5">
      <c r="A6872" s="798">
        <v>93569</v>
      </c>
      <c r="B6872" s="799" t="s">
        <v>489</v>
      </c>
      <c r="C6872" s="798" t="s">
        <v>74</v>
      </c>
      <c r="D6872" s="800">
        <v>10563.77</v>
      </c>
    </row>
    <row r="6873" spans="1:4" ht="13.5">
      <c r="A6873" s="798">
        <v>93570</v>
      </c>
      <c r="B6873" s="799" t="s">
        <v>490</v>
      </c>
      <c r="C6873" s="798" t="s">
        <v>74</v>
      </c>
      <c r="D6873" s="800">
        <v>14883.19</v>
      </c>
    </row>
    <row r="6874" spans="1:4" ht="13.5">
      <c r="A6874" s="798">
        <v>93571</v>
      </c>
      <c r="B6874" s="799" t="s">
        <v>491</v>
      </c>
      <c r="C6874" s="798" t="s">
        <v>74</v>
      </c>
      <c r="D6874" s="800">
        <v>19583.64</v>
      </c>
    </row>
    <row r="6875" spans="1:4" ht="27">
      <c r="A6875" s="798">
        <v>93572</v>
      </c>
      <c r="B6875" s="799" t="s">
        <v>492</v>
      </c>
      <c r="C6875" s="798" t="s">
        <v>74</v>
      </c>
      <c r="D6875" s="800">
        <v>3671.61</v>
      </c>
    </row>
    <row r="6876" spans="1:4" ht="13.5">
      <c r="A6876" s="798">
        <v>94295</v>
      </c>
      <c r="B6876" s="799" t="s">
        <v>369</v>
      </c>
      <c r="C6876" s="798" t="s">
        <v>74</v>
      </c>
      <c r="D6876" s="800">
        <v>5372.9</v>
      </c>
    </row>
    <row r="6877" spans="1:4" ht="13.5">
      <c r="A6877" s="798">
        <v>94296</v>
      </c>
      <c r="B6877" s="799" t="s">
        <v>370</v>
      </c>
      <c r="C6877" s="798" t="s">
        <v>74</v>
      </c>
      <c r="D6877" s="800">
        <v>2731.27</v>
      </c>
    </row>
    <row r="6878" spans="1:4" ht="27">
      <c r="A6878" s="798">
        <v>95308</v>
      </c>
      <c r="B6878" s="799" t="s">
        <v>2504</v>
      </c>
      <c r="C6878" s="798" t="s">
        <v>19</v>
      </c>
      <c r="D6878" s="800">
        <v>0.09</v>
      </c>
    </row>
    <row r="6879" spans="1:4" ht="27">
      <c r="A6879" s="798">
        <v>95309</v>
      </c>
      <c r="B6879" s="799" t="s">
        <v>2505</v>
      </c>
      <c r="C6879" s="798" t="s">
        <v>19</v>
      </c>
      <c r="D6879" s="800">
        <v>0.13</v>
      </c>
    </row>
    <row r="6880" spans="1:4" ht="27">
      <c r="A6880" s="798">
        <v>95310</v>
      </c>
      <c r="B6880" s="799" t="s">
        <v>2506</v>
      </c>
      <c r="C6880" s="798" t="s">
        <v>19</v>
      </c>
      <c r="D6880" s="800">
        <v>0.06</v>
      </c>
    </row>
    <row r="6881" spans="1:4" ht="27">
      <c r="A6881" s="798">
        <v>95311</v>
      </c>
      <c r="B6881" s="799" t="s">
        <v>2507</v>
      </c>
      <c r="C6881" s="798" t="s">
        <v>19</v>
      </c>
      <c r="D6881" s="800">
        <v>0.09</v>
      </c>
    </row>
    <row r="6882" spans="1:4" ht="27">
      <c r="A6882" s="798">
        <v>95312</v>
      </c>
      <c r="B6882" s="799" t="s">
        <v>2508</v>
      </c>
      <c r="C6882" s="798" t="s">
        <v>19</v>
      </c>
      <c r="D6882" s="800">
        <v>0.12</v>
      </c>
    </row>
    <row r="6883" spans="1:4" ht="27">
      <c r="A6883" s="798">
        <v>95313</v>
      </c>
      <c r="B6883" s="799" t="s">
        <v>2509</v>
      </c>
      <c r="C6883" s="798" t="s">
        <v>19</v>
      </c>
      <c r="D6883" s="800">
        <v>0.1</v>
      </c>
    </row>
    <row r="6884" spans="1:4" ht="27">
      <c r="A6884" s="798">
        <v>95314</v>
      </c>
      <c r="B6884" s="799" t="s">
        <v>533</v>
      </c>
      <c r="C6884" s="798" t="s">
        <v>19</v>
      </c>
      <c r="D6884" s="800">
        <v>0.12</v>
      </c>
    </row>
    <row r="6885" spans="1:4" ht="27">
      <c r="A6885" s="798">
        <v>95315</v>
      </c>
      <c r="B6885" s="799" t="s">
        <v>2510</v>
      </c>
      <c r="C6885" s="798" t="s">
        <v>19</v>
      </c>
      <c r="D6885" s="800">
        <v>0.14000000000000001</v>
      </c>
    </row>
    <row r="6886" spans="1:4" ht="27">
      <c r="A6886" s="798">
        <v>95316</v>
      </c>
      <c r="B6886" s="799" t="s">
        <v>2511</v>
      </c>
      <c r="C6886" s="798" t="s">
        <v>19</v>
      </c>
      <c r="D6886" s="800">
        <v>0.3</v>
      </c>
    </row>
    <row r="6887" spans="1:4" ht="40.5">
      <c r="A6887" s="798">
        <v>95317</v>
      </c>
      <c r="B6887" s="799" t="s">
        <v>2512</v>
      </c>
      <c r="C6887" s="798" t="s">
        <v>19</v>
      </c>
      <c r="D6887" s="800">
        <v>0.16</v>
      </c>
    </row>
    <row r="6888" spans="1:4" ht="27">
      <c r="A6888" s="798">
        <v>95318</v>
      </c>
      <c r="B6888" s="799" t="s">
        <v>2513</v>
      </c>
      <c r="C6888" s="798" t="s">
        <v>19</v>
      </c>
      <c r="D6888" s="800">
        <v>0.12</v>
      </c>
    </row>
    <row r="6889" spans="1:4" ht="27">
      <c r="A6889" s="798">
        <v>95319</v>
      </c>
      <c r="B6889" s="799" t="s">
        <v>2514</v>
      </c>
      <c r="C6889" s="798" t="s">
        <v>19</v>
      </c>
      <c r="D6889" s="800">
        <v>0.08</v>
      </c>
    </row>
    <row r="6890" spans="1:4" ht="27">
      <c r="A6890" s="798">
        <v>95320</v>
      </c>
      <c r="B6890" s="799" t="s">
        <v>2515</v>
      </c>
      <c r="C6890" s="798" t="s">
        <v>19</v>
      </c>
      <c r="D6890" s="800">
        <v>0.1</v>
      </c>
    </row>
    <row r="6891" spans="1:4" ht="27">
      <c r="A6891" s="798">
        <v>95321</v>
      </c>
      <c r="B6891" s="799" t="s">
        <v>2516</v>
      </c>
      <c r="C6891" s="798" t="s">
        <v>19</v>
      </c>
      <c r="D6891" s="800">
        <v>0.09</v>
      </c>
    </row>
    <row r="6892" spans="1:4" ht="27">
      <c r="A6892" s="798">
        <v>95322</v>
      </c>
      <c r="B6892" s="799" t="s">
        <v>2517</v>
      </c>
      <c r="C6892" s="798" t="s">
        <v>19</v>
      </c>
      <c r="D6892" s="800">
        <v>0.03</v>
      </c>
    </row>
    <row r="6893" spans="1:4" ht="27">
      <c r="A6893" s="798">
        <v>95323</v>
      </c>
      <c r="B6893" s="799" t="s">
        <v>2518</v>
      </c>
      <c r="C6893" s="798" t="s">
        <v>19</v>
      </c>
      <c r="D6893" s="800">
        <v>0.13</v>
      </c>
    </row>
    <row r="6894" spans="1:4" ht="27">
      <c r="A6894" s="798">
        <v>95324</v>
      </c>
      <c r="B6894" s="799" t="s">
        <v>2519</v>
      </c>
      <c r="C6894" s="798" t="s">
        <v>19</v>
      </c>
      <c r="D6894" s="800">
        <v>0.16</v>
      </c>
    </row>
    <row r="6895" spans="1:4" ht="27">
      <c r="A6895" s="798">
        <v>95325</v>
      </c>
      <c r="B6895" s="799" t="s">
        <v>2520</v>
      </c>
      <c r="C6895" s="798" t="s">
        <v>19</v>
      </c>
      <c r="D6895" s="800">
        <v>0.14000000000000001</v>
      </c>
    </row>
    <row r="6896" spans="1:4" ht="27">
      <c r="A6896" s="798">
        <v>95326</v>
      </c>
      <c r="B6896" s="799" t="s">
        <v>2521</v>
      </c>
      <c r="C6896" s="798" t="s">
        <v>19</v>
      </c>
      <c r="D6896" s="800">
        <v>0.03</v>
      </c>
    </row>
    <row r="6897" spans="1:4" ht="27">
      <c r="A6897" s="798">
        <v>95328</v>
      </c>
      <c r="B6897" s="799" t="s">
        <v>2522</v>
      </c>
      <c r="C6897" s="798" t="s">
        <v>19</v>
      </c>
      <c r="D6897" s="800">
        <v>0.11</v>
      </c>
    </row>
    <row r="6898" spans="1:4" ht="27">
      <c r="A6898" s="798">
        <v>95329</v>
      </c>
      <c r="B6898" s="799" t="s">
        <v>2523</v>
      </c>
      <c r="C6898" s="798" t="s">
        <v>19</v>
      </c>
      <c r="D6898" s="800">
        <v>0.15</v>
      </c>
    </row>
    <row r="6899" spans="1:4" ht="27">
      <c r="A6899" s="798">
        <v>95330</v>
      </c>
      <c r="B6899" s="799" t="s">
        <v>2524</v>
      </c>
      <c r="C6899" s="798" t="s">
        <v>19</v>
      </c>
      <c r="D6899" s="800">
        <v>0.12</v>
      </c>
    </row>
    <row r="6900" spans="1:4" ht="40.5">
      <c r="A6900" s="798">
        <v>95331</v>
      </c>
      <c r="B6900" s="799" t="s">
        <v>2525</v>
      </c>
      <c r="C6900" s="798" t="s">
        <v>19</v>
      </c>
      <c r="D6900" s="800">
        <v>7.0000000000000007E-2</v>
      </c>
    </row>
    <row r="6901" spans="1:4" ht="27">
      <c r="A6901" s="798">
        <v>95332</v>
      </c>
      <c r="B6901" s="799" t="s">
        <v>2526</v>
      </c>
      <c r="C6901" s="798" t="s">
        <v>19</v>
      </c>
      <c r="D6901" s="800">
        <v>0.42</v>
      </c>
    </row>
    <row r="6902" spans="1:4" ht="27">
      <c r="A6902" s="798">
        <v>95333</v>
      </c>
      <c r="B6902" s="799" t="s">
        <v>2527</v>
      </c>
      <c r="C6902" s="798" t="s">
        <v>19</v>
      </c>
      <c r="D6902" s="800">
        <v>0.42</v>
      </c>
    </row>
    <row r="6903" spans="1:4" ht="27">
      <c r="A6903" s="798">
        <v>95334</v>
      </c>
      <c r="B6903" s="799" t="s">
        <v>2528</v>
      </c>
      <c r="C6903" s="798" t="s">
        <v>19</v>
      </c>
      <c r="D6903" s="800">
        <v>0.35</v>
      </c>
    </row>
    <row r="6904" spans="1:4" ht="27">
      <c r="A6904" s="798">
        <v>95335</v>
      </c>
      <c r="B6904" s="799" t="s">
        <v>2529</v>
      </c>
      <c r="C6904" s="798" t="s">
        <v>19</v>
      </c>
      <c r="D6904" s="800">
        <v>0.2</v>
      </c>
    </row>
    <row r="6905" spans="1:4" ht="27">
      <c r="A6905" s="798">
        <v>95337</v>
      </c>
      <c r="B6905" s="799" t="s">
        <v>534</v>
      </c>
      <c r="C6905" s="798" t="s">
        <v>19</v>
      </c>
      <c r="D6905" s="800">
        <v>0.12</v>
      </c>
    </row>
    <row r="6906" spans="1:4" ht="27">
      <c r="A6906" s="798">
        <v>95338</v>
      </c>
      <c r="B6906" s="799" t="s">
        <v>2530</v>
      </c>
      <c r="C6906" s="798" t="s">
        <v>19</v>
      </c>
      <c r="D6906" s="800">
        <v>0.2</v>
      </c>
    </row>
    <row r="6907" spans="1:4" ht="27">
      <c r="A6907" s="798">
        <v>95339</v>
      </c>
      <c r="B6907" s="799" t="s">
        <v>2531</v>
      </c>
      <c r="C6907" s="798" t="s">
        <v>19</v>
      </c>
      <c r="D6907" s="800">
        <v>0.2</v>
      </c>
    </row>
    <row r="6908" spans="1:4" ht="27">
      <c r="A6908" s="798">
        <v>95340</v>
      </c>
      <c r="B6908" s="799" t="s">
        <v>2532</v>
      </c>
      <c r="C6908" s="798" t="s">
        <v>19</v>
      </c>
      <c r="D6908" s="800">
        <v>0.15</v>
      </c>
    </row>
    <row r="6909" spans="1:4" ht="27">
      <c r="A6909" s="798">
        <v>95341</v>
      </c>
      <c r="B6909" s="799" t="s">
        <v>2533</v>
      </c>
      <c r="C6909" s="798" t="s">
        <v>19</v>
      </c>
      <c r="D6909" s="800">
        <v>0.16</v>
      </c>
    </row>
    <row r="6910" spans="1:4" ht="27">
      <c r="A6910" s="798">
        <v>95342</v>
      </c>
      <c r="B6910" s="799" t="s">
        <v>2534</v>
      </c>
      <c r="C6910" s="798" t="s">
        <v>19</v>
      </c>
      <c r="D6910" s="800">
        <v>0.09</v>
      </c>
    </row>
    <row r="6911" spans="1:4" ht="27">
      <c r="A6911" s="798">
        <v>95343</v>
      </c>
      <c r="B6911" s="799" t="s">
        <v>2535</v>
      </c>
      <c r="C6911" s="798" t="s">
        <v>19</v>
      </c>
      <c r="D6911" s="800">
        <v>0.12</v>
      </c>
    </row>
    <row r="6912" spans="1:4" ht="27">
      <c r="A6912" s="798">
        <v>95344</v>
      </c>
      <c r="B6912" s="799" t="s">
        <v>2536</v>
      </c>
      <c r="C6912" s="798" t="s">
        <v>19</v>
      </c>
      <c r="D6912" s="800">
        <v>0.09</v>
      </c>
    </row>
    <row r="6913" spans="1:4" ht="27">
      <c r="A6913" s="798">
        <v>95345</v>
      </c>
      <c r="B6913" s="799" t="s">
        <v>2537</v>
      </c>
      <c r="C6913" s="798" t="s">
        <v>19</v>
      </c>
      <c r="D6913" s="800">
        <v>0.38</v>
      </c>
    </row>
    <row r="6914" spans="1:4" ht="27">
      <c r="A6914" s="798">
        <v>95346</v>
      </c>
      <c r="B6914" s="799" t="s">
        <v>2538</v>
      </c>
      <c r="C6914" s="798" t="s">
        <v>19</v>
      </c>
      <c r="D6914" s="800">
        <v>0.04</v>
      </c>
    </row>
    <row r="6915" spans="1:4" ht="27">
      <c r="A6915" s="798">
        <v>95347</v>
      </c>
      <c r="B6915" s="799" t="s">
        <v>2539</v>
      </c>
      <c r="C6915" s="798" t="s">
        <v>19</v>
      </c>
      <c r="D6915" s="800">
        <v>0.04</v>
      </c>
    </row>
    <row r="6916" spans="1:4" ht="27">
      <c r="A6916" s="798">
        <v>95348</v>
      </c>
      <c r="B6916" s="799" t="s">
        <v>2540</v>
      </c>
      <c r="C6916" s="798" t="s">
        <v>19</v>
      </c>
      <c r="D6916" s="800">
        <v>0.06</v>
      </c>
    </row>
    <row r="6917" spans="1:4" ht="27">
      <c r="A6917" s="798">
        <v>95349</v>
      </c>
      <c r="B6917" s="799" t="s">
        <v>2541</v>
      </c>
      <c r="C6917" s="798" t="s">
        <v>19</v>
      </c>
      <c r="D6917" s="800">
        <v>0.04</v>
      </c>
    </row>
    <row r="6918" spans="1:4" ht="27">
      <c r="A6918" s="798">
        <v>95350</v>
      </c>
      <c r="B6918" s="799" t="s">
        <v>2542</v>
      </c>
      <c r="C6918" s="798" t="s">
        <v>19</v>
      </c>
      <c r="D6918" s="800">
        <v>0.05</v>
      </c>
    </row>
    <row r="6919" spans="1:4" ht="27">
      <c r="A6919" s="798">
        <v>95351</v>
      </c>
      <c r="B6919" s="799" t="s">
        <v>2543</v>
      </c>
      <c r="C6919" s="798" t="s">
        <v>19</v>
      </c>
      <c r="D6919" s="800">
        <v>0.17</v>
      </c>
    </row>
    <row r="6920" spans="1:4" ht="27">
      <c r="A6920" s="798">
        <v>95352</v>
      </c>
      <c r="B6920" s="799" t="s">
        <v>2544</v>
      </c>
      <c r="C6920" s="798" t="s">
        <v>19</v>
      </c>
      <c r="D6920" s="800">
        <v>0.04</v>
      </c>
    </row>
    <row r="6921" spans="1:4" ht="27">
      <c r="A6921" s="798">
        <v>95354</v>
      </c>
      <c r="B6921" s="799" t="s">
        <v>2545</v>
      </c>
      <c r="C6921" s="798" t="s">
        <v>19</v>
      </c>
      <c r="D6921" s="800">
        <v>0.06</v>
      </c>
    </row>
    <row r="6922" spans="1:4" ht="27">
      <c r="A6922" s="798">
        <v>95355</v>
      </c>
      <c r="B6922" s="799" t="s">
        <v>2546</v>
      </c>
      <c r="C6922" s="798" t="s">
        <v>19</v>
      </c>
      <c r="D6922" s="800">
        <v>7.0000000000000007E-2</v>
      </c>
    </row>
    <row r="6923" spans="1:4" ht="27">
      <c r="A6923" s="798">
        <v>95356</v>
      </c>
      <c r="B6923" s="799" t="s">
        <v>2547</v>
      </c>
      <c r="C6923" s="798" t="s">
        <v>19</v>
      </c>
      <c r="D6923" s="800">
        <v>0.08</v>
      </c>
    </row>
    <row r="6924" spans="1:4" ht="27">
      <c r="A6924" s="798">
        <v>95357</v>
      </c>
      <c r="B6924" s="799" t="s">
        <v>2548</v>
      </c>
      <c r="C6924" s="798" t="s">
        <v>19</v>
      </c>
      <c r="D6924" s="800">
        <v>0.12</v>
      </c>
    </row>
    <row r="6925" spans="1:4" ht="27">
      <c r="A6925" s="798">
        <v>95358</v>
      </c>
      <c r="B6925" s="799" t="s">
        <v>2549</v>
      </c>
      <c r="C6925" s="798" t="s">
        <v>19</v>
      </c>
      <c r="D6925" s="800">
        <v>0.13</v>
      </c>
    </row>
    <row r="6926" spans="1:4" ht="27">
      <c r="A6926" s="798">
        <v>95359</v>
      </c>
      <c r="B6926" s="799" t="s">
        <v>2550</v>
      </c>
      <c r="C6926" s="798" t="s">
        <v>19</v>
      </c>
      <c r="D6926" s="800">
        <v>0.13</v>
      </c>
    </row>
    <row r="6927" spans="1:4" ht="27">
      <c r="A6927" s="798">
        <v>95360</v>
      </c>
      <c r="B6927" s="799" t="s">
        <v>2551</v>
      </c>
      <c r="C6927" s="798" t="s">
        <v>19</v>
      </c>
      <c r="D6927" s="800">
        <v>0.09</v>
      </c>
    </row>
    <row r="6928" spans="1:4" ht="27">
      <c r="A6928" s="798">
        <v>95361</v>
      </c>
      <c r="B6928" s="799" t="s">
        <v>2552</v>
      </c>
      <c r="C6928" s="798" t="s">
        <v>19</v>
      </c>
      <c r="D6928" s="800">
        <v>0.05</v>
      </c>
    </row>
    <row r="6929" spans="1:4" ht="27">
      <c r="A6929" s="798">
        <v>95362</v>
      </c>
      <c r="B6929" s="799" t="s">
        <v>2553</v>
      </c>
      <c r="C6929" s="798" t="s">
        <v>19</v>
      </c>
      <c r="D6929" s="800">
        <v>0.08</v>
      </c>
    </row>
    <row r="6930" spans="1:4" ht="27">
      <c r="A6930" s="798">
        <v>95363</v>
      </c>
      <c r="B6930" s="799" t="s">
        <v>2554</v>
      </c>
      <c r="C6930" s="798" t="s">
        <v>19</v>
      </c>
      <c r="D6930" s="800">
        <v>0.1</v>
      </c>
    </row>
    <row r="6931" spans="1:4" ht="27">
      <c r="A6931" s="798">
        <v>95364</v>
      </c>
      <c r="B6931" s="799" t="s">
        <v>2555</v>
      </c>
      <c r="C6931" s="798" t="s">
        <v>19</v>
      </c>
      <c r="D6931" s="800">
        <v>7.0000000000000007E-2</v>
      </c>
    </row>
    <row r="6932" spans="1:4" ht="27">
      <c r="A6932" s="798">
        <v>95365</v>
      </c>
      <c r="B6932" s="799" t="s">
        <v>2556</v>
      </c>
      <c r="C6932" s="798" t="s">
        <v>19</v>
      </c>
      <c r="D6932" s="800">
        <v>0.08</v>
      </c>
    </row>
    <row r="6933" spans="1:4" ht="27">
      <c r="A6933" s="798">
        <v>95366</v>
      </c>
      <c r="B6933" s="799" t="s">
        <v>2557</v>
      </c>
      <c r="C6933" s="798" t="s">
        <v>19</v>
      </c>
      <c r="D6933" s="800">
        <v>7.0000000000000007E-2</v>
      </c>
    </row>
    <row r="6934" spans="1:4" ht="40.5">
      <c r="A6934" s="798">
        <v>95367</v>
      </c>
      <c r="B6934" s="799" t="s">
        <v>2558</v>
      </c>
      <c r="C6934" s="798" t="s">
        <v>19</v>
      </c>
      <c r="D6934" s="800">
        <v>7.0000000000000007E-2</v>
      </c>
    </row>
    <row r="6935" spans="1:4" ht="27">
      <c r="A6935" s="798">
        <v>95368</v>
      </c>
      <c r="B6935" s="799" t="s">
        <v>2559</v>
      </c>
      <c r="C6935" s="798" t="s">
        <v>19</v>
      </c>
      <c r="D6935" s="800">
        <v>0.11</v>
      </c>
    </row>
    <row r="6936" spans="1:4" ht="27">
      <c r="A6936" s="798">
        <v>95369</v>
      </c>
      <c r="B6936" s="799" t="s">
        <v>2560</v>
      </c>
      <c r="C6936" s="798" t="s">
        <v>19</v>
      </c>
      <c r="D6936" s="800">
        <v>7.0000000000000007E-2</v>
      </c>
    </row>
    <row r="6937" spans="1:4" ht="27">
      <c r="A6937" s="798">
        <v>95370</v>
      </c>
      <c r="B6937" s="799" t="s">
        <v>2561</v>
      </c>
      <c r="C6937" s="798" t="s">
        <v>19</v>
      </c>
      <c r="D6937" s="800">
        <v>0.16</v>
      </c>
    </row>
    <row r="6938" spans="1:4" ht="27">
      <c r="A6938" s="798">
        <v>95371</v>
      </c>
      <c r="B6938" s="799" t="s">
        <v>535</v>
      </c>
      <c r="C6938" s="798" t="s">
        <v>19</v>
      </c>
      <c r="D6938" s="800">
        <v>0.23</v>
      </c>
    </row>
    <row r="6939" spans="1:4" ht="27">
      <c r="A6939" s="798">
        <v>95372</v>
      </c>
      <c r="B6939" s="799" t="s">
        <v>536</v>
      </c>
      <c r="C6939" s="798" t="s">
        <v>19</v>
      </c>
      <c r="D6939" s="800">
        <v>0.16</v>
      </c>
    </row>
    <row r="6940" spans="1:4" ht="27">
      <c r="A6940" s="798">
        <v>95373</v>
      </c>
      <c r="B6940" s="799" t="s">
        <v>2562</v>
      </c>
      <c r="C6940" s="798" t="s">
        <v>19</v>
      </c>
      <c r="D6940" s="800">
        <v>0.15</v>
      </c>
    </row>
    <row r="6941" spans="1:4" ht="27">
      <c r="A6941" s="798">
        <v>95374</v>
      </c>
      <c r="B6941" s="799" t="s">
        <v>2563</v>
      </c>
      <c r="C6941" s="798" t="s">
        <v>19</v>
      </c>
      <c r="D6941" s="800">
        <v>0.16</v>
      </c>
    </row>
    <row r="6942" spans="1:4" ht="27">
      <c r="A6942" s="798">
        <v>95375</v>
      </c>
      <c r="B6942" s="799" t="s">
        <v>537</v>
      </c>
      <c r="C6942" s="798" t="s">
        <v>19</v>
      </c>
      <c r="D6942" s="800">
        <v>0.16</v>
      </c>
    </row>
    <row r="6943" spans="1:4" ht="27">
      <c r="A6943" s="798">
        <v>95376</v>
      </c>
      <c r="B6943" s="799" t="s">
        <v>2564</v>
      </c>
      <c r="C6943" s="798" t="s">
        <v>19</v>
      </c>
      <c r="D6943" s="800">
        <v>0.03</v>
      </c>
    </row>
    <row r="6944" spans="1:4" ht="27">
      <c r="A6944" s="798">
        <v>95377</v>
      </c>
      <c r="B6944" s="799" t="s">
        <v>2565</v>
      </c>
      <c r="C6944" s="798" t="s">
        <v>19</v>
      </c>
      <c r="D6944" s="800">
        <v>0.12</v>
      </c>
    </row>
    <row r="6945" spans="1:4" ht="27">
      <c r="A6945" s="798">
        <v>95378</v>
      </c>
      <c r="B6945" s="799" t="s">
        <v>538</v>
      </c>
      <c r="C6945" s="798" t="s">
        <v>19</v>
      </c>
      <c r="D6945" s="800">
        <v>0.17</v>
      </c>
    </row>
    <row r="6946" spans="1:4" ht="27">
      <c r="A6946" s="798">
        <v>95379</v>
      </c>
      <c r="B6946" s="799" t="s">
        <v>539</v>
      </c>
      <c r="C6946" s="798" t="s">
        <v>19</v>
      </c>
      <c r="D6946" s="800">
        <v>0.12</v>
      </c>
    </row>
    <row r="6947" spans="1:4" ht="40.5">
      <c r="A6947" s="798">
        <v>95380</v>
      </c>
      <c r="B6947" s="799" t="s">
        <v>2566</v>
      </c>
      <c r="C6947" s="798" t="s">
        <v>19</v>
      </c>
      <c r="D6947" s="800">
        <v>0.17</v>
      </c>
    </row>
    <row r="6948" spans="1:4" ht="27">
      <c r="A6948" s="798">
        <v>95382</v>
      </c>
      <c r="B6948" s="799" t="s">
        <v>2567</v>
      </c>
      <c r="C6948" s="798" t="s">
        <v>19</v>
      </c>
      <c r="D6948" s="800">
        <v>0.12</v>
      </c>
    </row>
    <row r="6949" spans="1:4" ht="27">
      <c r="A6949" s="798">
        <v>95383</v>
      </c>
      <c r="B6949" s="799" t="s">
        <v>2568</v>
      </c>
      <c r="C6949" s="798" t="s">
        <v>19</v>
      </c>
      <c r="D6949" s="800">
        <v>0.13</v>
      </c>
    </row>
    <row r="6950" spans="1:4" ht="27">
      <c r="A6950" s="798">
        <v>95384</v>
      </c>
      <c r="B6950" s="799" t="s">
        <v>2569</v>
      </c>
      <c r="C6950" s="798" t="s">
        <v>19</v>
      </c>
      <c r="D6950" s="800">
        <v>0.17</v>
      </c>
    </row>
    <row r="6951" spans="1:4" ht="27">
      <c r="A6951" s="798">
        <v>95385</v>
      </c>
      <c r="B6951" s="799" t="s">
        <v>2570</v>
      </c>
      <c r="C6951" s="798" t="s">
        <v>19</v>
      </c>
      <c r="D6951" s="800">
        <v>0.12</v>
      </c>
    </row>
    <row r="6952" spans="1:4" ht="27">
      <c r="A6952" s="798">
        <v>95386</v>
      </c>
      <c r="B6952" s="799" t="s">
        <v>2571</v>
      </c>
      <c r="C6952" s="798" t="s">
        <v>19</v>
      </c>
      <c r="D6952" s="800">
        <v>0.09</v>
      </c>
    </row>
    <row r="6953" spans="1:4" ht="27">
      <c r="A6953" s="798">
        <v>95387</v>
      </c>
      <c r="B6953" s="799" t="s">
        <v>2572</v>
      </c>
      <c r="C6953" s="798" t="s">
        <v>19</v>
      </c>
      <c r="D6953" s="800">
        <v>0.14000000000000001</v>
      </c>
    </row>
    <row r="6954" spans="1:4" ht="27">
      <c r="A6954" s="798">
        <v>95388</v>
      </c>
      <c r="B6954" s="799" t="s">
        <v>2573</v>
      </c>
      <c r="C6954" s="798" t="s">
        <v>19</v>
      </c>
      <c r="D6954" s="800">
        <v>0.05</v>
      </c>
    </row>
    <row r="6955" spans="1:4" ht="40.5">
      <c r="A6955" s="798">
        <v>95389</v>
      </c>
      <c r="B6955" s="799" t="s">
        <v>2574</v>
      </c>
      <c r="C6955" s="798" t="s">
        <v>19</v>
      </c>
      <c r="D6955" s="800">
        <v>0.06</v>
      </c>
    </row>
    <row r="6956" spans="1:4" ht="27">
      <c r="A6956" s="798">
        <v>95390</v>
      </c>
      <c r="B6956" s="799" t="s">
        <v>2575</v>
      </c>
      <c r="C6956" s="798" t="s">
        <v>19</v>
      </c>
      <c r="D6956" s="800">
        <v>0.04</v>
      </c>
    </row>
    <row r="6957" spans="1:4" ht="27">
      <c r="A6957" s="798">
        <v>95391</v>
      </c>
      <c r="B6957" s="799" t="s">
        <v>2576</v>
      </c>
      <c r="C6957" s="798" t="s">
        <v>19</v>
      </c>
      <c r="D6957" s="800">
        <v>0.08</v>
      </c>
    </row>
    <row r="6958" spans="1:4" ht="27">
      <c r="A6958" s="798">
        <v>95392</v>
      </c>
      <c r="B6958" s="799" t="s">
        <v>2577</v>
      </c>
      <c r="C6958" s="798" t="s">
        <v>19</v>
      </c>
      <c r="D6958" s="800">
        <v>0.05</v>
      </c>
    </row>
    <row r="6959" spans="1:4" ht="27">
      <c r="A6959" s="798">
        <v>95393</v>
      </c>
      <c r="B6959" s="799" t="s">
        <v>2578</v>
      </c>
      <c r="C6959" s="798" t="s">
        <v>19</v>
      </c>
      <c r="D6959" s="800">
        <v>0.22</v>
      </c>
    </row>
    <row r="6960" spans="1:4" ht="27">
      <c r="A6960" s="798">
        <v>95394</v>
      </c>
      <c r="B6960" s="799" t="s">
        <v>2579</v>
      </c>
      <c r="C6960" s="798" t="s">
        <v>19</v>
      </c>
      <c r="D6960" s="800">
        <v>0.38</v>
      </c>
    </row>
    <row r="6961" spans="1:4" ht="27">
      <c r="A6961" s="798">
        <v>95395</v>
      </c>
      <c r="B6961" s="799" t="s">
        <v>2580</v>
      </c>
      <c r="C6961" s="798" t="s">
        <v>19</v>
      </c>
      <c r="D6961" s="800">
        <v>0.55000000000000004</v>
      </c>
    </row>
    <row r="6962" spans="1:4" ht="27">
      <c r="A6962" s="798">
        <v>95396</v>
      </c>
      <c r="B6962" s="799" t="s">
        <v>2581</v>
      </c>
      <c r="C6962" s="798" t="s">
        <v>19</v>
      </c>
      <c r="D6962" s="800">
        <v>0.72</v>
      </c>
    </row>
    <row r="6963" spans="1:4" ht="27">
      <c r="A6963" s="798">
        <v>95397</v>
      </c>
      <c r="B6963" s="799" t="s">
        <v>2582</v>
      </c>
      <c r="C6963" s="798" t="s">
        <v>19</v>
      </c>
      <c r="D6963" s="800">
        <v>0.06</v>
      </c>
    </row>
    <row r="6964" spans="1:4" ht="27">
      <c r="A6964" s="798">
        <v>95398</v>
      </c>
      <c r="B6964" s="799" t="s">
        <v>2583</v>
      </c>
      <c r="C6964" s="798" t="s">
        <v>19</v>
      </c>
      <c r="D6964" s="800">
        <v>0.04</v>
      </c>
    </row>
    <row r="6965" spans="1:4" ht="27">
      <c r="A6965" s="798">
        <v>95399</v>
      </c>
      <c r="B6965" s="799" t="s">
        <v>2584</v>
      </c>
      <c r="C6965" s="798" t="s">
        <v>19</v>
      </c>
      <c r="D6965" s="800">
        <v>0.06</v>
      </c>
    </row>
    <row r="6966" spans="1:4" ht="27">
      <c r="A6966" s="798">
        <v>95400</v>
      </c>
      <c r="B6966" s="799" t="s">
        <v>2585</v>
      </c>
      <c r="C6966" s="798" t="s">
        <v>19</v>
      </c>
      <c r="D6966" s="800">
        <v>0.06</v>
      </c>
    </row>
    <row r="6967" spans="1:4" ht="27">
      <c r="A6967" s="798">
        <v>95401</v>
      </c>
      <c r="B6967" s="799" t="s">
        <v>2586</v>
      </c>
      <c r="C6967" s="798" t="s">
        <v>19</v>
      </c>
      <c r="D6967" s="800">
        <v>0.31</v>
      </c>
    </row>
    <row r="6968" spans="1:4" ht="27">
      <c r="A6968" s="798">
        <v>95402</v>
      </c>
      <c r="B6968" s="799" t="s">
        <v>2587</v>
      </c>
      <c r="C6968" s="798" t="s">
        <v>19</v>
      </c>
      <c r="D6968" s="800">
        <v>0.94</v>
      </c>
    </row>
    <row r="6969" spans="1:4" ht="27">
      <c r="A6969" s="798">
        <v>95403</v>
      </c>
      <c r="B6969" s="799" t="s">
        <v>2588</v>
      </c>
      <c r="C6969" s="798" t="s">
        <v>19</v>
      </c>
      <c r="D6969" s="800">
        <v>1.07</v>
      </c>
    </row>
    <row r="6970" spans="1:4" ht="27">
      <c r="A6970" s="798">
        <v>95404</v>
      </c>
      <c r="B6970" s="799" t="s">
        <v>2589</v>
      </c>
      <c r="C6970" s="798" t="s">
        <v>19</v>
      </c>
      <c r="D6970" s="800">
        <v>1.46</v>
      </c>
    </row>
    <row r="6971" spans="1:4" ht="27">
      <c r="A6971" s="798">
        <v>95405</v>
      </c>
      <c r="B6971" s="799" t="s">
        <v>2590</v>
      </c>
      <c r="C6971" s="798" t="s">
        <v>19</v>
      </c>
      <c r="D6971" s="800">
        <v>0.47</v>
      </c>
    </row>
    <row r="6972" spans="1:4" ht="27">
      <c r="A6972" s="798">
        <v>95406</v>
      </c>
      <c r="B6972" s="799" t="s">
        <v>2591</v>
      </c>
      <c r="C6972" s="798" t="s">
        <v>19</v>
      </c>
      <c r="D6972" s="800">
        <v>0.09</v>
      </c>
    </row>
    <row r="6973" spans="1:4" ht="27">
      <c r="A6973" s="798">
        <v>95407</v>
      </c>
      <c r="B6973" s="799" t="s">
        <v>2592</v>
      </c>
      <c r="C6973" s="798" t="s">
        <v>19</v>
      </c>
      <c r="D6973" s="800">
        <v>2.06</v>
      </c>
    </row>
    <row r="6974" spans="1:4" ht="27">
      <c r="A6974" s="798">
        <v>95408</v>
      </c>
      <c r="B6974" s="799" t="s">
        <v>2593</v>
      </c>
      <c r="C6974" s="798" t="s">
        <v>74</v>
      </c>
      <c r="D6974" s="800">
        <v>6.18</v>
      </c>
    </row>
    <row r="6975" spans="1:4" ht="27">
      <c r="A6975" s="798">
        <v>95409</v>
      </c>
      <c r="B6975" s="799" t="s">
        <v>2594</v>
      </c>
      <c r="C6975" s="798" t="s">
        <v>74</v>
      </c>
      <c r="D6975" s="800">
        <v>11.69</v>
      </c>
    </row>
    <row r="6976" spans="1:4" ht="27">
      <c r="A6976" s="798">
        <v>95410</v>
      </c>
      <c r="B6976" s="799" t="s">
        <v>2595</v>
      </c>
      <c r="C6976" s="798" t="s">
        <v>74</v>
      </c>
      <c r="D6976" s="800">
        <v>8.82</v>
      </c>
    </row>
    <row r="6977" spans="1:4" ht="27">
      <c r="A6977" s="798">
        <v>95411</v>
      </c>
      <c r="B6977" s="799" t="s">
        <v>2596</v>
      </c>
      <c r="C6977" s="798" t="s">
        <v>74</v>
      </c>
      <c r="D6977" s="800">
        <v>9.34</v>
      </c>
    </row>
    <row r="6978" spans="1:4" ht="27">
      <c r="A6978" s="798">
        <v>95412</v>
      </c>
      <c r="B6978" s="799" t="s">
        <v>2597</v>
      </c>
      <c r="C6978" s="798" t="s">
        <v>74</v>
      </c>
      <c r="D6978" s="800">
        <v>9.34</v>
      </c>
    </row>
    <row r="6979" spans="1:4" ht="27">
      <c r="A6979" s="798">
        <v>95413</v>
      </c>
      <c r="B6979" s="799" t="s">
        <v>2598</v>
      </c>
      <c r="C6979" s="798" t="s">
        <v>74</v>
      </c>
      <c r="D6979" s="800">
        <v>7.51</v>
      </c>
    </row>
    <row r="6980" spans="1:4" ht="27">
      <c r="A6980" s="798">
        <v>95414</v>
      </c>
      <c r="B6980" s="799" t="s">
        <v>2599</v>
      </c>
      <c r="C6980" s="798" t="s">
        <v>74</v>
      </c>
      <c r="D6980" s="800">
        <v>30.55</v>
      </c>
    </row>
    <row r="6981" spans="1:4" ht="27">
      <c r="A6981" s="798">
        <v>95415</v>
      </c>
      <c r="B6981" s="799" t="s">
        <v>2600</v>
      </c>
      <c r="C6981" s="798" t="s">
        <v>74</v>
      </c>
      <c r="D6981" s="800">
        <v>126.19</v>
      </c>
    </row>
    <row r="6982" spans="1:4" ht="27">
      <c r="A6982" s="798">
        <v>95416</v>
      </c>
      <c r="B6982" s="799" t="s">
        <v>2601</v>
      </c>
      <c r="C6982" s="798" t="s">
        <v>74</v>
      </c>
      <c r="D6982" s="800">
        <v>6.05</v>
      </c>
    </row>
    <row r="6983" spans="1:4" ht="27">
      <c r="A6983" s="798">
        <v>95417</v>
      </c>
      <c r="B6983" s="799" t="s">
        <v>2602</v>
      </c>
      <c r="C6983" s="798" t="s">
        <v>74</v>
      </c>
      <c r="D6983" s="800">
        <v>143.63</v>
      </c>
    </row>
    <row r="6984" spans="1:4" ht="27">
      <c r="A6984" s="798">
        <v>95418</v>
      </c>
      <c r="B6984" s="799" t="s">
        <v>2603</v>
      </c>
      <c r="C6984" s="798" t="s">
        <v>74</v>
      </c>
      <c r="D6984" s="800">
        <v>196.35</v>
      </c>
    </row>
    <row r="6985" spans="1:4" ht="27">
      <c r="A6985" s="798">
        <v>95419</v>
      </c>
      <c r="B6985" s="799" t="s">
        <v>2604</v>
      </c>
      <c r="C6985" s="798" t="s">
        <v>74</v>
      </c>
      <c r="D6985" s="800">
        <v>52.13</v>
      </c>
    </row>
    <row r="6986" spans="1:4" ht="27">
      <c r="A6986" s="798">
        <v>95420</v>
      </c>
      <c r="B6986" s="799" t="s">
        <v>2605</v>
      </c>
      <c r="C6986" s="798" t="s">
        <v>74</v>
      </c>
      <c r="D6986" s="800">
        <v>74.040000000000006</v>
      </c>
    </row>
    <row r="6987" spans="1:4" ht="27">
      <c r="A6987" s="798">
        <v>95421</v>
      </c>
      <c r="B6987" s="799" t="s">
        <v>2606</v>
      </c>
      <c r="C6987" s="798" t="s">
        <v>74</v>
      </c>
      <c r="D6987" s="800">
        <v>97.9</v>
      </c>
    </row>
    <row r="6988" spans="1:4" ht="27">
      <c r="A6988" s="798">
        <v>95422</v>
      </c>
      <c r="B6988" s="799" t="s">
        <v>2607</v>
      </c>
      <c r="C6988" s="798" t="s">
        <v>74</v>
      </c>
      <c r="D6988" s="800">
        <v>42.48</v>
      </c>
    </row>
    <row r="6989" spans="1:4" ht="27">
      <c r="A6989" s="798">
        <v>95423</v>
      </c>
      <c r="B6989" s="799" t="s">
        <v>2608</v>
      </c>
      <c r="C6989" s="798" t="s">
        <v>74</v>
      </c>
      <c r="D6989" s="800">
        <v>64.48</v>
      </c>
    </row>
    <row r="6990" spans="1:4" ht="27">
      <c r="A6990" s="798">
        <v>95424</v>
      </c>
      <c r="B6990" s="799" t="s">
        <v>2609</v>
      </c>
      <c r="C6990" s="798" t="s">
        <v>74</v>
      </c>
      <c r="D6990" s="800">
        <v>12.36</v>
      </c>
    </row>
    <row r="6991" spans="1:4" ht="27">
      <c r="A6991" s="798">
        <v>100288</v>
      </c>
      <c r="B6991" s="799" t="s">
        <v>4085</v>
      </c>
      <c r="C6991" s="798" t="s">
        <v>19</v>
      </c>
      <c r="D6991" s="800">
        <v>0.04</v>
      </c>
    </row>
    <row r="6992" spans="1:4" ht="13.5">
      <c r="A6992" s="798">
        <v>100289</v>
      </c>
      <c r="B6992" s="799" t="s">
        <v>4086</v>
      </c>
      <c r="C6992" s="798" t="s">
        <v>19</v>
      </c>
      <c r="D6992" s="800">
        <v>15.03</v>
      </c>
    </row>
    <row r="6993" spans="1:4" ht="27">
      <c r="A6993" s="798">
        <v>100290</v>
      </c>
      <c r="B6993" s="799" t="s">
        <v>4087</v>
      </c>
      <c r="C6993" s="798" t="s">
        <v>19</v>
      </c>
      <c r="D6993" s="800">
        <v>0.04</v>
      </c>
    </row>
    <row r="6994" spans="1:4" ht="27">
      <c r="A6994" s="798">
        <v>100291</v>
      </c>
      <c r="B6994" s="799" t="s">
        <v>4088</v>
      </c>
      <c r="C6994" s="798" t="s">
        <v>19</v>
      </c>
      <c r="D6994" s="800">
        <v>0.13</v>
      </c>
    </row>
    <row r="6995" spans="1:4" ht="27">
      <c r="A6995" s="798">
        <v>100292</v>
      </c>
      <c r="B6995" s="799" t="s">
        <v>4089</v>
      </c>
      <c r="C6995" s="798" t="s">
        <v>19</v>
      </c>
      <c r="D6995" s="800">
        <v>0.47</v>
      </c>
    </row>
    <row r="6996" spans="1:4" ht="27">
      <c r="A6996" s="798">
        <v>100293</v>
      </c>
      <c r="B6996" s="799" t="s">
        <v>4090</v>
      </c>
      <c r="C6996" s="798" t="s">
        <v>19</v>
      </c>
      <c r="D6996" s="800">
        <v>0.12</v>
      </c>
    </row>
    <row r="6997" spans="1:4" ht="27">
      <c r="A6997" s="798">
        <v>100294</v>
      </c>
      <c r="B6997" s="799" t="s">
        <v>4091</v>
      </c>
      <c r="C6997" s="798" t="s">
        <v>19</v>
      </c>
      <c r="D6997" s="800">
        <v>0.22</v>
      </c>
    </row>
    <row r="6998" spans="1:4" ht="27">
      <c r="A6998" s="798">
        <v>100295</v>
      </c>
      <c r="B6998" s="799" t="s">
        <v>4092</v>
      </c>
      <c r="C6998" s="798" t="s">
        <v>19</v>
      </c>
      <c r="D6998" s="800">
        <v>0.34</v>
      </c>
    </row>
    <row r="6999" spans="1:4" ht="27">
      <c r="A6999" s="798">
        <v>100296</v>
      </c>
      <c r="B6999" s="799" t="s">
        <v>4093</v>
      </c>
      <c r="C6999" s="798" t="s">
        <v>19</v>
      </c>
      <c r="D6999" s="800">
        <v>0.74</v>
      </c>
    </row>
    <row r="7000" spans="1:4" ht="27">
      <c r="A7000" s="798">
        <v>100297</v>
      </c>
      <c r="B7000" s="799" t="s">
        <v>4094</v>
      </c>
      <c r="C7000" s="798" t="s">
        <v>19</v>
      </c>
      <c r="D7000" s="800">
        <v>0.84</v>
      </c>
    </row>
    <row r="7001" spans="1:4" ht="27">
      <c r="A7001" s="798">
        <v>100298</v>
      </c>
      <c r="B7001" s="799" t="s">
        <v>4095</v>
      </c>
      <c r="C7001" s="798" t="s">
        <v>19</v>
      </c>
      <c r="D7001" s="800">
        <v>0.34</v>
      </c>
    </row>
    <row r="7002" spans="1:4" ht="27">
      <c r="A7002" s="798">
        <v>100299</v>
      </c>
      <c r="B7002" s="799" t="s">
        <v>4096</v>
      </c>
      <c r="C7002" s="798" t="s">
        <v>19</v>
      </c>
      <c r="D7002" s="800">
        <v>0.3</v>
      </c>
    </row>
    <row r="7003" spans="1:4" ht="13.5">
      <c r="A7003" s="798">
        <v>100300</v>
      </c>
      <c r="B7003" s="799" t="s">
        <v>4097</v>
      </c>
      <c r="C7003" s="798" t="s">
        <v>19</v>
      </c>
      <c r="D7003" s="800">
        <v>12.16</v>
      </c>
    </row>
    <row r="7004" spans="1:4" ht="13.5">
      <c r="A7004" s="798">
        <v>100301</v>
      </c>
      <c r="B7004" s="799" t="s">
        <v>4098</v>
      </c>
      <c r="C7004" s="798" t="s">
        <v>19</v>
      </c>
      <c r="D7004" s="800">
        <v>17.23</v>
      </c>
    </row>
    <row r="7005" spans="1:4" ht="27">
      <c r="A7005" s="798">
        <v>100302</v>
      </c>
      <c r="B7005" s="799" t="s">
        <v>4099</v>
      </c>
      <c r="C7005" s="798" t="s">
        <v>19</v>
      </c>
      <c r="D7005" s="800">
        <v>117.14</v>
      </c>
    </row>
    <row r="7006" spans="1:4" ht="13.5">
      <c r="A7006" s="798">
        <v>100303</v>
      </c>
      <c r="B7006" s="799" t="s">
        <v>4100</v>
      </c>
      <c r="C7006" s="798" t="s">
        <v>19</v>
      </c>
      <c r="D7006" s="800">
        <v>15.22</v>
      </c>
    </row>
    <row r="7007" spans="1:4" ht="13.5">
      <c r="A7007" s="798">
        <v>100304</v>
      </c>
      <c r="B7007" s="799" t="s">
        <v>4101</v>
      </c>
      <c r="C7007" s="798" t="s">
        <v>19</v>
      </c>
      <c r="D7007" s="800">
        <v>56.42</v>
      </c>
    </row>
    <row r="7008" spans="1:4" ht="13.5">
      <c r="A7008" s="798">
        <v>100305</v>
      </c>
      <c r="B7008" s="799" t="s">
        <v>4102</v>
      </c>
      <c r="C7008" s="798" t="s">
        <v>19</v>
      </c>
      <c r="D7008" s="800">
        <v>81.96</v>
      </c>
    </row>
    <row r="7009" spans="1:4" ht="13.5">
      <c r="A7009" s="798">
        <v>100306</v>
      </c>
      <c r="B7009" s="799" t="s">
        <v>4103</v>
      </c>
      <c r="C7009" s="798" t="s">
        <v>19</v>
      </c>
      <c r="D7009" s="800">
        <v>92.26</v>
      </c>
    </row>
    <row r="7010" spans="1:4" ht="27">
      <c r="A7010" s="798">
        <v>100307</v>
      </c>
      <c r="B7010" s="799" t="s">
        <v>4104</v>
      </c>
      <c r="C7010" s="798" t="s">
        <v>19</v>
      </c>
      <c r="D7010" s="800">
        <v>19.12</v>
      </c>
    </row>
    <row r="7011" spans="1:4" ht="13.5">
      <c r="A7011" s="798">
        <v>100308</v>
      </c>
      <c r="B7011" s="799" t="s">
        <v>4105</v>
      </c>
      <c r="C7011" s="798" t="s">
        <v>19</v>
      </c>
      <c r="D7011" s="800">
        <v>20.87</v>
      </c>
    </row>
    <row r="7012" spans="1:4" ht="27">
      <c r="A7012" s="798">
        <v>100309</v>
      </c>
      <c r="B7012" s="799" t="s">
        <v>4113</v>
      </c>
      <c r="C7012" s="798" t="s">
        <v>19</v>
      </c>
      <c r="D7012" s="800">
        <v>22.71</v>
      </c>
    </row>
    <row r="7013" spans="1:4" ht="27">
      <c r="A7013" s="798">
        <v>100310</v>
      </c>
      <c r="B7013" s="799" t="s">
        <v>4106</v>
      </c>
      <c r="C7013" s="798" t="s">
        <v>74</v>
      </c>
      <c r="D7013" s="800">
        <v>5.75</v>
      </c>
    </row>
    <row r="7014" spans="1:4" ht="27">
      <c r="A7014" s="798">
        <v>100311</v>
      </c>
      <c r="B7014" s="799" t="s">
        <v>4107</v>
      </c>
      <c r="C7014" s="798" t="s">
        <v>74</v>
      </c>
      <c r="D7014" s="800">
        <v>63.02</v>
      </c>
    </row>
    <row r="7015" spans="1:4" ht="27">
      <c r="A7015" s="798">
        <v>100312</v>
      </c>
      <c r="B7015" s="799" t="s">
        <v>4108</v>
      </c>
      <c r="C7015" s="798" t="s">
        <v>74</v>
      </c>
      <c r="D7015" s="800">
        <v>78.180000000000007</v>
      </c>
    </row>
    <row r="7016" spans="1:4" ht="27">
      <c r="A7016" s="798">
        <v>100313</v>
      </c>
      <c r="B7016" s="799" t="s">
        <v>4109</v>
      </c>
      <c r="C7016" s="798" t="s">
        <v>74</v>
      </c>
      <c r="D7016" s="800">
        <v>99.89</v>
      </c>
    </row>
    <row r="7017" spans="1:4" ht="27">
      <c r="A7017" s="798">
        <v>100314</v>
      </c>
      <c r="B7017" s="799" t="s">
        <v>4110</v>
      </c>
      <c r="C7017" s="798" t="s">
        <v>74</v>
      </c>
      <c r="D7017" s="800">
        <v>112.7</v>
      </c>
    </row>
    <row r="7018" spans="1:4" ht="27">
      <c r="A7018" s="798">
        <v>100315</v>
      </c>
      <c r="B7018" s="799" t="s">
        <v>4111</v>
      </c>
      <c r="C7018" s="798" t="s">
        <v>74</v>
      </c>
      <c r="D7018" s="800">
        <v>40.799999999999997</v>
      </c>
    </row>
    <row r="7019" spans="1:4" ht="13.5">
      <c r="A7019" s="798">
        <v>100316</v>
      </c>
      <c r="B7019" s="799" t="s">
        <v>4097</v>
      </c>
      <c r="C7019" s="798" t="s">
        <v>74</v>
      </c>
      <c r="D7019" s="800">
        <v>2167.2600000000002</v>
      </c>
    </row>
    <row r="7020" spans="1:4" ht="27">
      <c r="A7020" s="798">
        <v>100317</v>
      </c>
      <c r="B7020" s="799" t="s">
        <v>4112</v>
      </c>
      <c r="C7020" s="798" t="s">
        <v>74</v>
      </c>
      <c r="D7020" s="800">
        <v>20681.72</v>
      </c>
    </row>
    <row r="7021" spans="1:4" ht="13.5">
      <c r="A7021" s="798">
        <v>100318</v>
      </c>
      <c r="B7021" s="799" t="s">
        <v>4101</v>
      </c>
      <c r="C7021" s="798" t="s">
        <v>74</v>
      </c>
      <c r="D7021" s="800">
        <v>10019.870000000001</v>
      </c>
    </row>
    <row r="7022" spans="1:4" ht="13.5">
      <c r="A7022" s="798">
        <v>100319</v>
      </c>
      <c r="B7022" s="799" t="s">
        <v>4102</v>
      </c>
      <c r="C7022" s="798" t="s">
        <v>74</v>
      </c>
      <c r="D7022" s="800">
        <v>14459.7</v>
      </c>
    </row>
    <row r="7023" spans="1:4" ht="13.5">
      <c r="A7023" s="798">
        <v>100320</v>
      </c>
      <c r="B7023" s="799" t="s">
        <v>4103</v>
      </c>
      <c r="C7023" s="798" t="s">
        <v>74</v>
      </c>
      <c r="D7023" s="800">
        <v>16276.28</v>
      </c>
    </row>
    <row r="7024" spans="1:4" ht="27">
      <c r="A7024" s="798">
        <v>100321</v>
      </c>
      <c r="B7024" s="799" t="s">
        <v>4113</v>
      </c>
      <c r="C7024" s="798" t="s">
        <v>74</v>
      </c>
      <c r="D7024" s="800">
        <v>4020.56</v>
      </c>
    </row>
    <row r="7025" spans="1:4" ht="13.5">
      <c r="A7025" s="798">
        <v>100533</v>
      </c>
      <c r="B7025" s="799" t="s">
        <v>4114</v>
      </c>
      <c r="C7025" s="798" t="s">
        <v>19</v>
      </c>
      <c r="D7025" s="800">
        <v>14.83</v>
      </c>
    </row>
    <row r="7026" spans="1:4" ht="13.5">
      <c r="A7026" s="798">
        <v>100534</v>
      </c>
      <c r="B7026" s="799" t="s">
        <v>4114</v>
      </c>
      <c r="C7026" s="798" t="s">
        <v>74</v>
      </c>
      <c r="D7026" s="800">
        <v>2642.15</v>
      </c>
    </row>
    <row r="7027" spans="1:4" ht="27">
      <c r="A7027" s="798">
        <v>100535</v>
      </c>
      <c r="B7027" s="799" t="s">
        <v>4115</v>
      </c>
      <c r="C7027" s="798" t="s">
        <v>19</v>
      </c>
      <c r="D7027" s="800">
        <v>0.19</v>
      </c>
    </row>
    <row r="7028" spans="1:4" ht="27">
      <c r="A7028" s="798">
        <v>100536</v>
      </c>
      <c r="B7028" s="799" t="s">
        <v>4116</v>
      </c>
      <c r="C7028" s="798" t="s">
        <v>74</v>
      </c>
      <c r="D7028" s="800">
        <v>25.67</v>
      </c>
    </row>
    <row r="7029" spans="1:4" ht="27">
      <c r="A7029" s="798">
        <v>101284</v>
      </c>
      <c r="B7029" s="799" t="s">
        <v>5035</v>
      </c>
      <c r="C7029" s="798" t="s">
        <v>19</v>
      </c>
      <c r="D7029" s="800">
        <v>1.1499999999999999</v>
      </c>
    </row>
    <row r="7030" spans="1:4" ht="27">
      <c r="A7030" s="798">
        <v>101285</v>
      </c>
      <c r="B7030" s="799" t="s">
        <v>5036</v>
      </c>
      <c r="C7030" s="798" t="s">
        <v>19</v>
      </c>
      <c r="D7030" s="800">
        <v>0.3</v>
      </c>
    </row>
    <row r="7031" spans="1:4" ht="27">
      <c r="A7031" s="798">
        <v>101286</v>
      </c>
      <c r="B7031" s="799" t="s">
        <v>5037</v>
      </c>
      <c r="C7031" s="798" t="s">
        <v>74</v>
      </c>
      <c r="D7031" s="800">
        <v>12.8</v>
      </c>
    </row>
    <row r="7032" spans="1:4" ht="27">
      <c r="A7032" s="798">
        <v>101287</v>
      </c>
      <c r="B7032" s="799" t="s">
        <v>5038</v>
      </c>
      <c r="C7032" s="798" t="s">
        <v>74</v>
      </c>
      <c r="D7032" s="800">
        <v>40.72</v>
      </c>
    </row>
    <row r="7033" spans="1:4" ht="27">
      <c r="A7033" s="798">
        <v>101288</v>
      </c>
      <c r="B7033" s="799" t="s">
        <v>5039</v>
      </c>
      <c r="C7033" s="798" t="s">
        <v>74</v>
      </c>
      <c r="D7033" s="800">
        <v>9.1999999999999993</v>
      </c>
    </row>
    <row r="7034" spans="1:4" ht="27">
      <c r="A7034" s="798">
        <v>101289</v>
      </c>
      <c r="B7034" s="799" t="s">
        <v>5040</v>
      </c>
      <c r="C7034" s="798" t="s">
        <v>74</v>
      </c>
      <c r="D7034" s="800">
        <v>12.8</v>
      </c>
    </row>
    <row r="7035" spans="1:4" ht="27">
      <c r="A7035" s="798">
        <v>101290</v>
      </c>
      <c r="B7035" s="799" t="s">
        <v>5041</v>
      </c>
      <c r="C7035" s="798" t="s">
        <v>74</v>
      </c>
      <c r="D7035" s="800">
        <v>17.77</v>
      </c>
    </row>
    <row r="7036" spans="1:4" ht="27">
      <c r="A7036" s="798">
        <v>101291</v>
      </c>
      <c r="B7036" s="799" t="s">
        <v>5042</v>
      </c>
      <c r="C7036" s="798" t="s">
        <v>74</v>
      </c>
      <c r="D7036" s="800">
        <v>13.86</v>
      </c>
    </row>
    <row r="7037" spans="1:4" ht="27">
      <c r="A7037" s="798">
        <v>101292</v>
      </c>
      <c r="B7037" s="799" t="s">
        <v>5043</v>
      </c>
      <c r="C7037" s="798" t="s">
        <v>74</v>
      </c>
      <c r="D7037" s="800">
        <v>13.86</v>
      </c>
    </row>
    <row r="7038" spans="1:4" ht="27">
      <c r="A7038" s="798">
        <v>101293</v>
      </c>
      <c r="B7038" s="799" t="s">
        <v>5044</v>
      </c>
      <c r="C7038" s="798" t="s">
        <v>74</v>
      </c>
      <c r="D7038" s="800">
        <v>17.21</v>
      </c>
    </row>
    <row r="7039" spans="1:4" ht="27">
      <c r="A7039" s="798">
        <v>101294</v>
      </c>
      <c r="B7039" s="799" t="s">
        <v>5045</v>
      </c>
      <c r="C7039" s="798" t="s">
        <v>74</v>
      </c>
      <c r="D7039" s="800">
        <v>19.16</v>
      </c>
    </row>
    <row r="7040" spans="1:4" ht="27">
      <c r="A7040" s="798">
        <v>101295</v>
      </c>
      <c r="B7040" s="799" t="s">
        <v>5046</v>
      </c>
      <c r="C7040" s="798" t="s">
        <v>74</v>
      </c>
      <c r="D7040" s="800">
        <v>16.41</v>
      </c>
    </row>
    <row r="7041" spans="1:4" ht="40.5">
      <c r="A7041" s="798">
        <v>101296</v>
      </c>
      <c r="B7041" s="799" t="s">
        <v>5047</v>
      </c>
      <c r="C7041" s="798" t="s">
        <v>74</v>
      </c>
      <c r="D7041" s="800">
        <v>21.68</v>
      </c>
    </row>
    <row r="7042" spans="1:4" ht="27">
      <c r="A7042" s="798">
        <v>101297</v>
      </c>
      <c r="B7042" s="799" t="s">
        <v>5048</v>
      </c>
      <c r="C7042" s="798" t="s">
        <v>74</v>
      </c>
      <c r="D7042" s="800">
        <v>16.96</v>
      </c>
    </row>
    <row r="7043" spans="1:4" ht="27">
      <c r="A7043" s="798">
        <v>101298</v>
      </c>
      <c r="B7043" s="799" t="s">
        <v>5049</v>
      </c>
      <c r="C7043" s="798" t="s">
        <v>74</v>
      </c>
      <c r="D7043" s="800">
        <v>11.16</v>
      </c>
    </row>
    <row r="7044" spans="1:4" ht="27">
      <c r="A7044" s="798">
        <v>101299</v>
      </c>
      <c r="B7044" s="799" t="s">
        <v>5050</v>
      </c>
      <c r="C7044" s="798" t="s">
        <v>74</v>
      </c>
      <c r="D7044" s="800">
        <v>16.41</v>
      </c>
    </row>
    <row r="7045" spans="1:4" ht="27">
      <c r="A7045" s="798">
        <v>101300</v>
      </c>
      <c r="B7045" s="799" t="s">
        <v>5051</v>
      </c>
      <c r="C7045" s="798" t="s">
        <v>74</v>
      </c>
      <c r="D7045" s="800">
        <v>12.81</v>
      </c>
    </row>
    <row r="7046" spans="1:4" ht="27">
      <c r="A7046" s="798">
        <v>101301</v>
      </c>
      <c r="B7046" s="799" t="s">
        <v>5052</v>
      </c>
      <c r="C7046" s="798" t="s">
        <v>74</v>
      </c>
      <c r="D7046" s="800">
        <v>5.05</v>
      </c>
    </row>
    <row r="7047" spans="1:4" ht="27">
      <c r="A7047" s="798">
        <v>101302</v>
      </c>
      <c r="B7047" s="799" t="s">
        <v>5053</v>
      </c>
      <c r="C7047" s="798" t="s">
        <v>74</v>
      </c>
      <c r="D7047" s="800">
        <v>18.27</v>
      </c>
    </row>
    <row r="7048" spans="1:4" ht="40.5">
      <c r="A7048" s="798">
        <v>101303</v>
      </c>
      <c r="B7048" s="799" t="s">
        <v>5054</v>
      </c>
      <c r="C7048" s="798" t="s">
        <v>74</v>
      </c>
      <c r="D7048" s="800">
        <v>46.75</v>
      </c>
    </row>
    <row r="7049" spans="1:4" ht="27">
      <c r="A7049" s="798">
        <v>101304</v>
      </c>
      <c r="B7049" s="799" t="s">
        <v>5055</v>
      </c>
      <c r="C7049" s="798" t="s">
        <v>74</v>
      </c>
      <c r="D7049" s="800">
        <v>22.06</v>
      </c>
    </row>
    <row r="7050" spans="1:4" ht="27">
      <c r="A7050" s="798">
        <v>101305</v>
      </c>
      <c r="B7050" s="799" t="s">
        <v>5056</v>
      </c>
      <c r="C7050" s="798" t="s">
        <v>74</v>
      </c>
      <c r="D7050" s="800">
        <v>19.14</v>
      </c>
    </row>
    <row r="7051" spans="1:4" ht="27">
      <c r="A7051" s="798">
        <v>101307</v>
      </c>
      <c r="B7051" s="799" t="s">
        <v>5057</v>
      </c>
      <c r="C7051" s="798" t="s">
        <v>74</v>
      </c>
      <c r="D7051" s="800">
        <v>15.59</v>
      </c>
    </row>
    <row r="7052" spans="1:4" ht="27">
      <c r="A7052" s="798">
        <v>101308</v>
      </c>
      <c r="B7052" s="799" t="s">
        <v>5058</v>
      </c>
      <c r="C7052" s="798" t="s">
        <v>74</v>
      </c>
      <c r="D7052" s="800">
        <v>12.19</v>
      </c>
    </row>
    <row r="7053" spans="1:4" ht="27">
      <c r="A7053" s="798">
        <v>101309</v>
      </c>
      <c r="B7053" s="799" t="s">
        <v>5059</v>
      </c>
      <c r="C7053" s="798" t="s">
        <v>74</v>
      </c>
      <c r="D7053" s="800">
        <v>17.77</v>
      </c>
    </row>
    <row r="7054" spans="1:4" ht="27">
      <c r="A7054" s="798">
        <v>101310</v>
      </c>
      <c r="B7054" s="799" t="s">
        <v>5060</v>
      </c>
      <c r="C7054" s="798" t="s">
        <v>74</v>
      </c>
      <c r="D7054" s="800">
        <v>20.77</v>
      </c>
    </row>
    <row r="7055" spans="1:4" ht="27">
      <c r="A7055" s="798">
        <v>101311</v>
      </c>
      <c r="B7055" s="799" t="s">
        <v>5061</v>
      </c>
      <c r="C7055" s="798" t="s">
        <v>74</v>
      </c>
      <c r="D7055" s="800">
        <v>17.21</v>
      </c>
    </row>
    <row r="7056" spans="1:4" ht="27">
      <c r="A7056" s="798">
        <v>101312</v>
      </c>
      <c r="B7056" s="799" t="s">
        <v>5062</v>
      </c>
      <c r="C7056" s="798" t="s">
        <v>74</v>
      </c>
      <c r="D7056" s="800">
        <v>10.59</v>
      </c>
    </row>
    <row r="7057" spans="1:4" ht="27">
      <c r="A7057" s="798">
        <v>101313</v>
      </c>
      <c r="B7057" s="799" t="s">
        <v>5063</v>
      </c>
      <c r="C7057" s="798" t="s">
        <v>74</v>
      </c>
      <c r="D7057" s="800">
        <v>57.88</v>
      </c>
    </row>
    <row r="7058" spans="1:4" ht="27">
      <c r="A7058" s="798">
        <v>101314</v>
      </c>
      <c r="B7058" s="799" t="s">
        <v>5064</v>
      </c>
      <c r="C7058" s="798" t="s">
        <v>74</v>
      </c>
      <c r="D7058" s="800">
        <v>57.88</v>
      </c>
    </row>
    <row r="7059" spans="1:4" ht="27">
      <c r="A7059" s="798">
        <v>101315</v>
      </c>
      <c r="B7059" s="799" t="s">
        <v>5065</v>
      </c>
      <c r="C7059" s="798" t="s">
        <v>74</v>
      </c>
      <c r="D7059" s="800">
        <v>48.39</v>
      </c>
    </row>
    <row r="7060" spans="1:4" ht="27">
      <c r="A7060" s="798">
        <v>101316</v>
      </c>
      <c r="B7060" s="799" t="s">
        <v>5066</v>
      </c>
      <c r="C7060" s="798" t="s">
        <v>74</v>
      </c>
      <c r="D7060" s="800">
        <v>27.81</v>
      </c>
    </row>
    <row r="7061" spans="1:4" ht="27">
      <c r="A7061" s="798">
        <v>101317</v>
      </c>
      <c r="B7061" s="799" t="s">
        <v>5067</v>
      </c>
      <c r="C7061" s="798" t="s">
        <v>74</v>
      </c>
      <c r="D7061" s="800">
        <v>154.44999999999999</v>
      </c>
    </row>
    <row r="7062" spans="1:4" ht="27">
      <c r="A7062" s="798">
        <v>101318</v>
      </c>
      <c r="B7062" s="799" t="s">
        <v>5068</v>
      </c>
      <c r="C7062" s="798" t="s">
        <v>74</v>
      </c>
      <c r="D7062" s="800">
        <v>277.77999999999997</v>
      </c>
    </row>
    <row r="7063" spans="1:4" ht="27">
      <c r="A7063" s="798">
        <v>101319</v>
      </c>
      <c r="B7063" s="799" t="s">
        <v>5069</v>
      </c>
      <c r="C7063" s="798" t="s">
        <v>74</v>
      </c>
      <c r="D7063" s="800">
        <v>40.6</v>
      </c>
    </row>
    <row r="7064" spans="1:4" ht="27">
      <c r="A7064" s="798">
        <v>101320</v>
      </c>
      <c r="B7064" s="799" t="s">
        <v>5070</v>
      </c>
      <c r="C7064" s="798" t="s">
        <v>74</v>
      </c>
      <c r="D7064" s="800">
        <v>13.91</v>
      </c>
    </row>
    <row r="7065" spans="1:4" ht="27">
      <c r="A7065" s="798">
        <v>101322</v>
      </c>
      <c r="B7065" s="799" t="s">
        <v>5071</v>
      </c>
      <c r="C7065" s="798" t="s">
        <v>74</v>
      </c>
      <c r="D7065" s="800">
        <v>16.45</v>
      </c>
    </row>
    <row r="7066" spans="1:4" ht="27">
      <c r="A7066" s="798">
        <v>101323</v>
      </c>
      <c r="B7066" s="799" t="s">
        <v>5072</v>
      </c>
      <c r="C7066" s="798" t="s">
        <v>74</v>
      </c>
      <c r="D7066" s="800">
        <v>27.88</v>
      </c>
    </row>
    <row r="7067" spans="1:4" ht="27">
      <c r="A7067" s="798">
        <v>101324</v>
      </c>
      <c r="B7067" s="799" t="s">
        <v>5073</v>
      </c>
      <c r="C7067" s="798" t="s">
        <v>74</v>
      </c>
      <c r="D7067" s="800">
        <v>5.83</v>
      </c>
    </row>
    <row r="7068" spans="1:4" ht="27">
      <c r="A7068" s="798">
        <v>101325</v>
      </c>
      <c r="B7068" s="799" t="s">
        <v>5074</v>
      </c>
      <c r="C7068" s="798" t="s">
        <v>74</v>
      </c>
      <c r="D7068" s="800">
        <v>16.95</v>
      </c>
    </row>
    <row r="7069" spans="1:4" ht="27">
      <c r="A7069" s="798">
        <v>101326</v>
      </c>
      <c r="B7069" s="799" t="s">
        <v>5075</v>
      </c>
      <c r="C7069" s="798" t="s">
        <v>74</v>
      </c>
      <c r="D7069" s="800">
        <v>6.29</v>
      </c>
    </row>
    <row r="7070" spans="1:4" ht="40.5">
      <c r="A7070" s="798">
        <v>101327</v>
      </c>
      <c r="B7070" s="799" t="s">
        <v>5076</v>
      </c>
      <c r="C7070" s="798" t="s">
        <v>74</v>
      </c>
      <c r="D7070" s="800">
        <v>4.97</v>
      </c>
    </row>
    <row r="7071" spans="1:4" ht="27">
      <c r="A7071" s="798">
        <v>101328</v>
      </c>
      <c r="B7071" s="799" t="s">
        <v>5077</v>
      </c>
      <c r="C7071" s="798" t="s">
        <v>74</v>
      </c>
      <c r="D7071" s="800">
        <v>8.25</v>
      </c>
    </row>
    <row r="7072" spans="1:4" ht="27">
      <c r="A7072" s="798">
        <v>101329</v>
      </c>
      <c r="B7072" s="799" t="s">
        <v>5078</v>
      </c>
      <c r="C7072" s="798" t="s">
        <v>74</v>
      </c>
      <c r="D7072" s="800">
        <v>27.23</v>
      </c>
    </row>
    <row r="7073" spans="1:4" ht="27">
      <c r="A7073" s="798">
        <v>101330</v>
      </c>
      <c r="B7073" s="799" t="s">
        <v>5079</v>
      </c>
      <c r="C7073" s="798" t="s">
        <v>74</v>
      </c>
      <c r="D7073" s="800">
        <v>20.440000000000001</v>
      </c>
    </row>
    <row r="7074" spans="1:4" ht="27">
      <c r="A7074" s="798">
        <v>101331</v>
      </c>
      <c r="B7074" s="799" t="s">
        <v>5080</v>
      </c>
      <c r="C7074" s="798" t="s">
        <v>74</v>
      </c>
      <c r="D7074" s="800">
        <v>22.06</v>
      </c>
    </row>
    <row r="7075" spans="1:4" ht="27">
      <c r="A7075" s="798">
        <v>101332</v>
      </c>
      <c r="B7075" s="799" t="s">
        <v>5081</v>
      </c>
      <c r="C7075" s="798" t="s">
        <v>74</v>
      </c>
      <c r="D7075" s="800">
        <v>5.72</v>
      </c>
    </row>
    <row r="7076" spans="1:4" ht="27">
      <c r="A7076" s="798">
        <v>101333</v>
      </c>
      <c r="B7076" s="799" t="s">
        <v>5082</v>
      </c>
      <c r="C7076" s="798" t="s">
        <v>74</v>
      </c>
      <c r="D7076" s="800">
        <v>14.01</v>
      </c>
    </row>
    <row r="7077" spans="1:4" ht="27">
      <c r="A7077" s="798">
        <v>101334</v>
      </c>
      <c r="B7077" s="799" t="s">
        <v>5083</v>
      </c>
      <c r="C7077" s="798" t="s">
        <v>74</v>
      </c>
      <c r="D7077" s="800">
        <v>47.17</v>
      </c>
    </row>
    <row r="7078" spans="1:4" ht="27">
      <c r="A7078" s="798">
        <v>101335</v>
      </c>
      <c r="B7078" s="799" t="s">
        <v>5084</v>
      </c>
      <c r="C7078" s="798" t="s">
        <v>74</v>
      </c>
      <c r="D7078" s="800">
        <v>6.74</v>
      </c>
    </row>
    <row r="7079" spans="1:4" ht="40.5">
      <c r="A7079" s="798">
        <v>101336</v>
      </c>
      <c r="B7079" s="799" t="s">
        <v>5085</v>
      </c>
      <c r="C7079" s="798" t="s">
        <v>74</v>
      </c>
      <c r="D7079" s="800">
        <v>23.58</v>
      </c>
    </row>
    <row r="7080" spans="1:4" ht="27">
      <c r="A7080" s="798">
        <v>101337</v>
      </c>
      <c r="B7080" s="799" t="s">
        <v>5086</v>
      </c>
      <c r="C7080" s="798" t="s">
        <v>74</v>
      </c>
      <c r="D7080" s="800">
        <v>6.36</v>
      </c>
    </row>
    <row r="7081" spans="1:4" ht="27">
      <c r="A7081" s="798">
        <v>101338</v>
      </c>
      <c r="B7081" s="799" t="s">
        <v>5087</v>
      </c>
      <c r="C7081" s="798" t="s">
        <v>74</v>
      </c>
      <c r="D7081" s="800">
        <v>10.69</v>
      </c>
    </row>
    <row r="7082" spans="1:4" ht="27">
      <c r="A7082" s="798">
        <v>101339</v>
      </c>
      <c r="B7082" s="799" t="s">
        <v>5088</v>
      </c>
      <c r="C7082" s="798" t="s">
        <v>74</v>
      </c>
      <c r="D7082" s="800">
        <v>9.17</v>
      </c>
    </row>
    <row r="7083" spans="1:4" ht="40.5">
      <c r="A7083" s="798">
        <v>101340</v>
      </c>
      <c r="B7083" s="799" t="s">
        <v>5089</v>
      </c>
      <c r="C7083" s="798" t="s">
        <v>74</v>
      </c>
      <c r="D7083" s="800">
        <v>8.85</v>
      </c>
    </row>
    <row r="7084" spans="1:4" ht="40.5">
      <c r="A7084" s="798">
        <v>101341</v>
      </c>
      <c r="B7084" s="799" t="s">
        <v>5090</v>
      </c>
      <c r="C7084" s="798" t="s">
        <v>74</v>
      </c>
      <c r="D7084" s="800">
        <v>9.64</v>
      </c>
    </row>
    <row r="7085" spans="1:4" ht="40.5">
      <c r="A7085" s="798">
        <v>101342</v>
      </c>
      <c r="B7085" s="799" t="s">
        <v>5091</v>
      </c>
      <c r="C7085" s="798" t="s">
        <v>74</v>
      </c>
      <c r="D7085" s="800">
        <v>11.28</v>
      </c>
    </row>
    <row r="7086" spans="1:4" ht="27">
      <c r="A7086" s="798">
        <v>101343</v>
      </c>
      <c r="B7086" s="799" t="s">
        <v>5092</v>
      </c>
      <c r="C7086" s="798" t="s">
        <v>74</v>
      </c>
      <c r="D7086" s="800">
        <v>17.21</v>
      </c>
    </row>
    <row r="7087" spans="1:4" ht="27">
      <c r="A7087" s="798">
        <v>101344</v>
      </c>
      <c r="B7087" s="799" t="s">
        <v>5093</v>
      </c>
      <c r="C7087" s="798" t="s">
        <v>74</v>
      </c>
      <c r="D7087" s="800">
        <v>17.61</v>
      </c>
    </row>
    <row r="7088" spans="1:4" ht="27">
      <c r="A7088" s="798">
        <v>101345</v>
      </c>
      <c r="B7088" s="799" t="s">
        <v>5094</v>
      </c>
      <c r="C7088" s="798" t="s">
        <v>74</v>
      </c>
      <c r="D7088" s="800">
        <v>17.71</v>
      </c>
    </row>
    <row r="7089" spans="1:4" ht="27">
      <c r="A7089" s="798">
        <v>101346</v>
      </c>
      <c r="B7089" s="799" t="s">
        <v>5095</v>
      </c>
      <c r="C7089" s="798" t="s">
        <v>74</v>
      </c>
      <c r="D7089" s="800">
        <v>15.4</v>
      </c>
    </row>
    <row r="7090" spans="1:4" ht="40.5">
      <c r="A7090" s="798">
        <v>101347</v>
      </c>
      <c r="B7090" s="799" t="s">
        <v>5096</v>
      </c>
      <c r="C7090" s="798" t="s">
        <v>74</v>
      </c>
      <c r="D7090" s="800">
        <v>13.12</v>
      </c>
    </row>
    <row r="7091" spans="1:4" ht="27">
      <c r="A7091" s="798">
        <v>101348</v>
      </c>
      <c r="B7091" s="799" t="s">
        <v>5097</v>
      </c>
      <c r="C7091" s="798" t="s">
        <v>74</v>
      </c>
      <c r="D7091" s="800">
        <v>7.43</v>
      </c>
    </row>
    <row r="7092" spans="1:4" ht="27">
      <c r="A7092" s="798">
        <v>101349</v>
      </c>
      <c r="B7092" s="799" t="s">
        <v>5098</v>
      </c>
      <c r="C7092" s="798" t="s">
        <v>74</v>
      </c>
      <c r="D7092" s="800">
        <v>11.47</v>
      </c>
    </row>
    <row r="7093" spans="1:4" ht="27">
      <c r="A7093" s="798">
        <v>101350</v>
      </c>
      <c r="B7093" s="799" t="s">
        <v>5099</v>
      </c>
      <c r="C7093" s="798" t="s">
        <v>74</v>
      </c>
      <c r="D7093" s="800">
        <v>14.08</v>
      </c>
    </row>
    <row r="7094" spans="1:4" ht="27">
      <c r="A7094" s="798">
        <v>101351</v>
      </c>
      <c r="B7094" s="799" t="s">
        <v>5100</v>
      </c>
      <c r="C7094" s="798" t="s">
        <v>74</v>
      </c>
      <c r="D7094" s="800">
        <v>10.28</v>
      </c>
    </row>
    <row r="7095" spans="1:4" ht="40.5">
      <c r="A7095" s="798">
        <v>101352</v>
      </c>
      <c r="B7095" s="799" t="s">
        <v>5101</v>
      </c>
      <c r="C7095" s="798" t="s">
        <v>74</v>
      </c>
      <c r="D7095" s="800">
        <v>11.85</v>
      </c>
    </row>
    <row r="7096" spans="1:4" ht="27">
      <c r="A7096" s="798">
        <v>101353</v>
      </c>
      <c r="B7096" s="799" t="s">
        <v>5102</v>
      </c>
      <c r="C7096" s="798" t="s">
        <v>74</v>
      </c>
      <c r="D7096" s="800">
        <v>9.42</v>
      </c>
    </row>
    <row r="7097" spans="1:4" ht="40.5">
      <c r="A7097" s="798">
        <v>101354</v>
      </c>
      <c r="B7097" s="799" t="s">
        <v>5103</v>
      </c>
      <c r="C7097" s="798" t="s">
        <v>74</v>
      </c>
      <c r="D7097" s="800">
        <v>13.22</v>
      </c>
    </row>
    <row r="7098" spans="1:4" ht="40.5">
      <c r="A7098" s="798">
        <v>101355</v>
      </c>
      <c r="B7098" s="799" t="s">
        <v>5104</v>
      </c>
      <c r="C7098" s="798" t="s">
        <v>74</v>
      </c>
      <c r="D7098" s="800">
        <v>10.17</v>
      </c>
    </row>
    <row r="7099" spans="1:4" ht="27">
      <c r="A7099" s="798">
        <v>101356</v>
      </c>
      <c r="B7099" s="799" t="s">
        <v>5105</v>
      </c>
      <c r="C7099" s="798" t="s">
        <v>74</v>
      </c>
      <c r="D7099" s="800">
        <v>22.06</v>
      </c>
    </row>
    <row r="7100" spans="1:4" ht="27">
      <c r="A7100" s="798">
        <v>101357</v>
      </c>
      <c r="B7100" s="799" t="s">
        <v>5106</v>
      </c>
      <c r="C7100" s="798" t="s">
        <v>74</v>
      </c>
      <c r="D7100" s="800">
        <v>31.76</v>
      </c>
    </row>
    <row r="7101" spans="1:4" ht="27">
      <c r="A7101" s="798">
        <v>101358</v>
      </c>
      <c r="B7101" s="799" t="s">
        <v>5107</v>
      </c>
      <c r="C7101" s="798" t="s">
        <v>74</v>
      </c>
      <c r="D7101" s="800">
        <v>22.06</v>
      </c>
    </row>
    <row r="7102" spans="1:4" ht="27">
      <c r="A7102" s="798">
        <v>101359</v>
      </c>
      <c r="B7102" s="799" t="s">
        <v>5108</v>
      </c>
      <c r="C7102" s="798" t="s">
        <v>74</v>
      </c>
      <c r="D7102" s="800">
        <v>21.42</v>
      </c>
    </row>
    <row r="7103" spans="1:4" ht="27">
      <c r="A7103" s="798">
        <v>101360</v>
      </c>
      <c r="B7103" s="799" t="s">
        <v>5109</v>
      </c>
      <c r="C7103" s="798" t="s">
        <v>74</v>
      </c>
      <c r="D7103" s="800">
        <v>22.06</v>
      </c>
    </row>
    <row r="7104" spans="1:4" ht="40.5">
      <c r="A7104" s="798">
        <v>101361</v>
      </c>
      <c r="B7104" s="799" t="s">
        <v>5110</v>
      </c>
      <c r="C7104" s="798" t="s">
        <v>74</v>
      </c>
      <c r="D7104" s="800">
        <v>22.84</v>
      </c>
    </row>
    <row r="7105" spans="1:4" ht="27">
      <c r="A7105" s="798">
        <v>101362</v>
      </c>
      <c r="B7105" s="799" t="s">
        <v>5111</v>
      </c>
      <c r="C7105" s="798" t="s">
        <v>74</v>
      </c>
      <c r="D7105" s="800">
        <v>4.87</v>
      </c>
    </row>
    <row r="7106" spans="1:4" ht="27">
      <c r="A7106" s="798">
        <v>101363</v>
      </c>
      <c r="B7106" s="799" t="s">
        <v>5112</v>
      </c>
      <c r="C7106" s="798" t="s">
        <v>74</v>
      </c>
      <c r="D7106" s="800">
        <v>17.21</v>
      </c>
    </row>
    <row r="7107" spans="1:4" ht="27">
      <c r="A7107" s="798">
        <v>101364</v>
      </c>
      <c r="B7107" s="799" t="s">
        <v>5113</v>
      </c>
      <c r="C7107" s="798" t="s">
        <v>74</v>
      </c>
      <c r="D7107" s="800">
        <v>23.63</v>
      </c>
    </row>
    <row r="7108" spans="1:4" ht="27">
      <c r="A7108" s="798">
        <v>101365</v>
      </c>
      <c r="B7108" s="799" t="s">
        <v>5114</v>
      </c>
      <c r="C7108" s="798" t="s">
        <v>74</v>
      </c>
      <c r="D7108" s="800">
        <v>17.21</v>
      </c>
    </row>
    <row r="7109" spans="1:4" ht="27">
      <c r="A7109" s="798">
        <v>101366</v>
      </c>
      <c r="B7109" s="799" t="s">
        <v>5115</v>
      </c>
      <c r="C7109" s="798" t="s">
        <v>74</v>
      </c>
      <c r="D7109" s="800">
        <v>23.07</v>
      </c>
    </row>
    <row r="7110" spans="1:4" ht="27">
      <c r="A7110" s="798">
        <v>101367</v>
      </c>
      <c r="B7110" s="799" t="s">
        <v>5116</v>
      </c>
      <c r="C7110" s="798" t="s">
        <v>74</v>
      </c>
      <c r="D7110" s="800">
        <v>17.21</v>
      </c>
    </row>
    <row r="7111" spans="1:4" ht="40.5">
      <c r="A7111" s="798">
        <v>101368</v>
      </c>
      <c r="B7111" s="799" t="s">
        <v>5117</v>
      </c>
      <c r="C7111" s="798" t="s">
        <v>74</v>
      </c>
      <c r="D7111" s="800">
        <v>17.8</v>
      </c>
    </row>
    <row r="7112" spans="1:4" ht="27">
      <c r="A7112" s="798">
        <v>101369</v>
      </c>
      <c r="B7112" s="799" t="s">
        <v>5118</v>
      </c>
      <c r="C7112" s="798" t="s">
        <v>74</v>
      </c>
      <c r="D7112" s="800">
        <v>22.82</v>
      </c>
    </row>
    <row r="7113" spans="1:4" ht="27">
      <c r="A7113" s="798">
        <v>101370</v>
      </c>
      <c r="B7113" s="799" t="s">
        <v>5119</v>
      </c>
      <c r="C7113" s="798" t="s">
        <v>74</v>
      </c>
      <c r="D7113" s="800">
        <v>17</v>
      </c>
    </row>
    <row r="7114" spans="1:4" ht="27">
      <c r="A7114" s="798">
        <v>101371</v>
      </c>
      <c r="B7114" s="799" t="s">
        <v>5120</v>
      </c>
      <c r="C7114" s="798" t="s">
        <v>74</v>
      </c>
      <c r="D7114" s="800">
        <v>19.02</v>
      </c>
    </row>
    <row r="7115" spans="1:4" ht="27">
      <c r="A7115" s="798">
        <v>101372</v>
      </c>
      <c r="B7115" s="799" t="s">
        <v>5121</v>
      </c>
      <c r="C7115" s="798" t="s">
        <v>74</v>
      </c>
      <c r="D7115" s="800">
        <v>5.59</v>
      </c>
    </row>
    <row r="7116" spans="1:4" ht="13.5">
      <c r="A7116" s="798">
        <v>101373</v>
      </c>
      <c r="B7116" s="799" t="s">
        <v>5122</v>
      </c>
      <c r="C7116" s="798" t="s">
        <v>19</v>
      </c>
      <c r="D7116" s="800">
        <v>125.87</v>
      </c>
    </row>
    <row r="7117" spans="1:4" ht="13.5">
      <c r="A7117" s="798">
        <v>101374</v>
      </c>
      <c r="B7117" s="799" t="s">
        <v>107</v>
      </c>
      <c r="C7117" s="798" t="s">
        <v>74</v>
      </c>
      <c r="D7117" s="800">
        <v>2739.75</v>
      </c>
    </row>
    <row r="7118" spans="1:4" ht="13.5">
      <c r="A7118" s="798">
        <v>101375</v>
      </c>
      <c r="B7118" s="799" t="s">
        <v>5123</v>
      </c>
      <c r="C7118" s="798" t="s">
        <v>74</v>
      </c>
      <c r="D7118" s="800">
        <v>2731.11</v>
      </c>
    </row>
    <row r="7119" spans="1:4" ht="27">
      <c r="A7119" s="798">
        <v>101376</v>
      </c>
      <c r="B7119" s="799" t="s">
        <v>5124</v>
      </c>
      <c r="C7119" s="798" t="s">
        <v>74</v>
      </c>
      <c r="D7119" s="800">
        <v>2027.25</v>
      </c>
    </row>
    <row r="7120" spans="1:4" ht="27">
      <c r="A7120" s="798">
        <v>101377</v>
      </c>
      <c r="B7120" s="799" t="s">
        <v>109</v>
      </c>
      <c r="C7120" s="798" t="s">
        <v>74</v>
      </c>
      <c r="D7120" s="800">
        <v>2739.75</v>
      </c>
    </row>
    <row r="7121" spans="1:4" ht="13.5">
      <c r="A7121" s="798">
        <v>101378</v>
      </c>
      <c r="B7121" s="799" t="s">
        <v>4098</v>
      </c>
      <c r="C7121" s="798" t="s">
        <v>74</v>
      </c>
      <c r="D7121" s="800">
        <v>3112.11</v>
      </c>
    </row>
    <row r="7122" spans="1:4" ht="13.5">
      <c r="A7122" s="798">
        <v>101379</v>
      </c>
      <c r="B7122" s="799" t="s">
        <v>5125</v>
      </c>
      <c r="C7122" s="798" t="s">
        <v>74</v>
      </c>
      <c r="D7122" s="800">
        <v>2890.35</v>
      </c>
    </row>
    <row r="7123" spans="1:4" ht="13.5">
      <c r="A7123" s="798">
        <v>101380</v>
      </c>
      <c r="B7123" s="799" t="s">
        <v>111</v>
      </c>
      <c r="C7123" s="798" t="s">
        <v>74</v>
      </c>
      <c r="D7123" s="800">
        <v>2867.76</v>
      </c>
    </row>
    <row r="7124" spans="1:4" ht="13.5">
      <c r="A7124" s="798">
        <v>101381</v>
      </c>
      <c r="B7124" s="799" t="s">
        <v>112</v>
      </c>
      <c r="C7124" s="798" t="s">
        <v>74</v>
      </c>
      <c r="D7124" s="800">
        <v>3364.7</v>
      </c>
    </row>
    <row r="7125" spans="1:4" ht="13.5">
      <c r="A7125" s="798">
        <v>101382</v>
      </c>
      <c r="B7125" s="799" t="s">
        <v>5126</v>
      </c>
      <c r="C7125" s="798" t="s">
        <v>74</v>
      </c>
      <c r="D7125" s="800">
        <v>2847.08</v>
      </c>
    </row>
    <row r="7126" spans="1:4" ht="13.5">
      <c r="A7126" s="798">
        <v>101383</v>
      </c>
      <c r="B7126" s="799" t="s">
        <v>4100</v>
      </c>
      <c r="C7126" s="798" t="s">
        <v>74</v>
      </c>
      <c r="D7126" s="800">
        <v>2743.36</v>
      </c>
    </row>
    <row r="7127" spans="1:4" ht="27">
      <c r="A7127" s="798">
        <v>101384</v>
      </c>
      <c r="B7127" s="799" t="s">
        <v>986</v>
      </c>
      <c r="C7127" s="798" t="s">
        <v>74</v>
      </c>
      <c r="D7127" s="800">
        <v>2792.18</v>
      </c>
    </row>
    <row r="7128" spans="1:4" ht="27">
      <c r="A7128" s="798">
        <v>101385</v>
      </c>
      <c r="B7128" s="799" t="s">
        <v>5127</v>
      </c>
      <c r="C7128" s="798" t="s">
        <v>74</v>
      </c>
      <c r="D7128" s="800">
        <v>3647.27</v>
      </c>
    </row>
    <row r="7129" spans="1:4" ht="13.5">
      <c r="A7129" s="798">
        <v>101386</v>
      </c>
      <c r="B7129" s="799" t="s">
        <v>115</v>
      </c>
      <c r="C7129" s="798" t="s">
        <v>74</v>
      </c>
      <c r="D7129" s="800">
        <v>2305.2800000000002</v>
      </c>
    </row>
    <row r="7130" spans="1:4" ht="13.5">
      <c r="A7130" s="798">
        <v>101387</v>
      </c>
      <c r="B7130" s="799" t="s">
        <v>5128</v>
      </c>
      <c r="C7130" s="798" t="s">
        <v>74</v>
      </c>
      <c r="D7130" s="800">
        <v>2743.36</v>
      </c>
    </row>
    <row r="7131" spans="1:4" ht="27">
      <c r="A7131" s="798">
        <v>101388</v>
      </c>
      <c r="B7131" s="799" t="s">
        <v>117</v>
      </c>
      <c r="C7131" s="798" t="s">
        <v>74</v>
      </c>
      <c r="D7131" s="800">
        <v>2718.87</v>
      </c>
    </row>
    <row r="7132" spans="1:4" ht="13.5">
      <c r="A7132" s="798">
        <v>101389</v>
      </c>
      <c r="B7132" s="799" t="s">
        <v>118</v>
      </c>
      <c r="C7132" s="798" t="s">
        <v>74</v>
      </c>
      <c r="D7132" s="800">
        <v>1289.8699999999999</v>
      </c>
    </row>
    <row r="7133" spans="1:4" ht="27">
      <c r="A7133" s="798">
        <v>101390</v>
      </c>
      <c r="B7133" s="799" t="s">
        <v>5129</v>
      </c>
      <c r="C7133" s="798" t="s">
        <v>74</v>
      </c>
      <c r="D7133" s="800">
        <v>3890.63</v>
      </c>
    </row>
    <row r="7134" spans="1:4" ht="13.5">
      <c r="A7134" s="798">
        <v>101391</v>
      </c>
      <c r="B7134" s="799" t="s">
        <v>5130</v>
      </c>
      <c r="C7134" s="798" t="s">
        <v>74</v>
      </c>
      <c r="D7134" s="800">
        <v>3369.55</v>
      </c>
    </row>
    <row r="7135" spans="1:4" ht="27">
      <c r="A7135" s="798">
        <v>101392</v>
      </c>
      <c r="B7135" s="799" t="s">
        <v>5131</v>
      </c>
      <c r="C7135" s="798" t="s">
        <v>74</v>
      </c>
      <c r="D7135" s="800">
        <v>2465.9699999999998</v>
      </c>
    </row>
    <row r="7136" spans="1:4" ht="13.5">
      <c r="A7136" s="798">
        <v>101394</v>
      </c>
      <c r="B7136" s="799" t="s">
        <v>121</v>
      </c>
      <c r="C7136" s="798" t="s">
        <v>74</v>
      </c>
      <c r="D7136" s="800">
        <v>3134.55</v>
      </c>
    </row>
    <row r="7137" spans="1:4" ht="13.5">
      <c r="A7137" s="798">
        <v>101395</v>
      </c>
      <c r="B7137" s="799" t="s">
        <v>5132</v>
      </c>
      <c r="C7137" s="798" t="s">
        <v>74</v>
      </c>
      <c r="D7137" s="800">
        <v>2872.5</v>
      </c>
    </row>
    <row r="7138" spans="1:4" ht="13.5">
      <c r="A7138" s="798">
        <v>101396</v>
      </c>
      <c r="B7138" s="799" t="s">
        <v>5133</v>
      </c>
      <c r="C7138" s="798" t="s">
        <v>74</v>
      </c>
      <c r="D7138" s="800">
        <v>3205.04</v>
      </c>
    </row>
    <row r="7139" spans="1:4" ht="13.5">
      <c r="A7139" s="798">
        <v>101397</v>
      </c>
      <c r="B7139" s="799" t="s">
        <v>30</v>
      </c>
      <c r="C7139" s="798" t="s">
        <v>74</v>
      </c>
      <c r="D7139" s="800">
        <v>3342.94</v>
      </c>
    </row>
    <row r="7140" spans="1:4" ht="27">
      <c r="A7140" s="798">
        <v>101398</v>
      </c>
      <c r="B7140" s="799" t="s">
        <v>5134</v>
      </c>
      <c r="C7140" s="798" t="s">
        <v>74</v>
      </c>
      <c r="D7140" s="800">
        <v>2224.9499999999998</v>
      </c>
    </row>
    <row r="7141" spans="1:4" ht="13.5">
      <c r="A7141" s="798">
        <v>101399</v>
      </c>
      <c r="B7141" s="799" t="s">
        <v>35</v>
      </c>
      <c r="C7141" s="798" t="s">
        <v>74</v>
      </c>
      <c r="D7141" s="800">
        <v>3491.44</v>
      </c>
    </row>
    <row r="7142" spans="1:4" ht="27">
      <c r="A7142" s="798">
        <v>101400</v>
      </c>
      <c r="B7142" s="799" t="s">
        <v>5135</v>
      </c>
      <c r="C7142" s="798" t="s">
        <v>74</v>
      </c>
      <c r="D7142" s="800">
        <v>3491.44</v>
      </c>
    </row>
    <row r="7143" spans="1:4" ht="13.5">
      <c r="A7143" s="798">
        <v>101401</v>
      </c>
      <c r="B7143" s="799" t="s">
        <v>123</v>
      </c>
      <c r="C7143" s="798" t="s">
        <v>74</v>
      </c>
      <c r="D7143" s="800">
        <v>3509.8</v>
      </c>
    </row>
    <row r="7144" spans="1:4" ht="27">
      <c r="A7144" s="798">
        <v>101402</v>
      </c>
      <c r="B7144" s="799" t="s">
        <v>34</v>
      </c>
      <c r="C7144" s="798" t="s">
        <v>74</v>
      </c>
      <c r="D7144" s="800">
        <v>3350.85</v>
      </c>
    </row>
    <row r="7145" spans="1:4" ht="13.5">
      <c r="A7145" s="798">
        <v>101403</v>
      </c>
      <c r="B7145" s="799" t="s">
        <v>5122</v>
      </c>
      <c r="C7145" s="798" t="s">
        <v>74</v>
      </c>
      <c r="D7145" s="800">
        <v>22197.83</v>
      </c>
    </row>
    <row r="7146" spans="1:4" ht="13.5">
      <c r="A7146" s="798">
        <v>101404</v>
      </c>
      <c r="B7146" s="799" t="s">
        <v>404</v>
      </c>
      <c r="C7146" s="798" t="s">
        <v>74</v>
      </c>
      <c r="D7146" s="800">
        <v>13795.11</v>
      </c>
    </row>
    <row r="7147" spans="1:4" ht="13.5">
      <c r="A7147" s="798">
        <v>101405</v>
      </c>
      <c r="B7147" s="799" t="s">
        <v>405</v>
      </c>
      <c r="C7147" s="798" t="s">
        <v>74</v>
      </c>
      <c r="D7147" s="800">
        <v>13427.66</v>
      </c>
    </row>
    <row r="7148" spans="1:4" ht="13.5">
      <c r="A7148" s="798">
        <v>101407</v>
      </c>
      <c r="B7148" s="799" t="s">
        <v>124</v>
      </c>
      <c r="C7148" s="798" t="s">
        <v>74</v>
      </c>
      <c r="D7148" s="800">
        <v>3256.87</v>
      </c>
    </row>
    <row r="7149" spans="1:4" ht="13.5">
      <c r="A7149" s="798">
        <v>101408</v>
      </c>
      <c r="B7149" s="799" t="s">
        <v>125</v>
      </c>
      <c r="C7149" s="798" t="s">
        <v>74</v>
      </c>
      <c r="D7149" s="800">
        <v>3079.7</v>
      </c>
    </row>
    <row r="7150" spans="1:4" ht="13.5">
      <c r="A7150" s="798">
        <v>101409</v>
      </c>
      <c r="B7150" s="799" t="s">
        <v>5136</v>
      </c>
      <c r="C7150" s="798" t="s">
        <v>74</v>
      </c>
      <c r="D7150" s="800">
        <v>2601.91</v>
      </c>
    </row>
    <row r="7151" spans="1:4" ht="13.5">
      <c r="A7151" s="798">
        <v>101410</v>
      </c>
      <c r="B7151" s="799" t="s">
        <v>179</v>
      </c>
      <c r="C7151" s="798" t="s">
        <v>74</v>
      </c>
      <c r="D7151" s="800">
        <v>2958.59</v>
      </c>
    </row>
    <row r="7152" spans="1:4" ht="27">
      <c r="A7152" s="798">
        <v>101411</v>
      </c>
      <c r="B7152" s="799" t="s">
        <v>5137</v>
      </c>
      <c r="C7152" s="798" t="s">
        <v>74</v>
      </c>
      <c r="D7152" s="800">
        <v>1915.03</v>
      </c>
    </row>
    <row r="7153" spans="1:4" ht="13.5">
      <c r="A7153" s="798">
        <v>101412</v>
      </c>
      <c r="B7153" s="799" t="s">
        <v>5138</v>
      </c>
      <c r="C7153" s="798" t="s">
        <v>74</v>
      </c>
      <c r="D7153" s="800">
        <v>3558.68</v>
      </c>
    </row>
    <row r="7154" spans="1:4" ht="13.5">
      <c r="A7154" s="798">
        <v>101413</v>
      </c>
      <c r="B7154" s="799" t="s">
        <v>127</v>
      </c>
      <c r="C7154" s="798" t="s">
        <v>74</v>
      </c>
      <c r="D7154" s="800">
        <v>3168.66</v>
      </c>
    </row>
    <row r="7155" spans="1:4" ht="13.5">
      <c r="A7155" s="798">
        <v>101414</v>
      </c>
      <c r="B7155" s="799" t="s">
        <v>5139</v>
      </c>
      <c r="C7155" s="798" t="s">
        <v>74</v>
      </c>
      <c r="D7155" s="800">
        <v>3369.55</v>
      </c>
    </row>
    <row r="7156" spans="1:4" ht="27">
      <c r="A7156" s="798">
        <v>101415</v>
      </c>
      <c r="B7156" s="799" t="s">
        <v>5140</v>
      </c>
      <c r="C7156" s="798" t="s">
        <v>74</v>
      </c>
      <c r="D7156" s="800">
        <v>3483.89</v>
      </c>
    </row>
    <row r="7157" spans="1:4" ht="13.5">
      <c r="A7157" s="798">
        <v>101416</v>
      </c>
      <c r="B7157" s="799" t="s">
        <v>4105</v>
      </c>
      <c r="C7157" s="798" t="s">
        <v>74</v>
      </c>
      <c r="D7157" s="800">
        <v>3733.56</v>
      </c>
    </row>
    <row r="7158" spans="1:4" ht="27">
      <c r="A7158" s="798">
        <v>101417</v>
      </c>
      <c r="B7158" s="799" t="s">
        <v>5141</v>
      </c>
      <c r="C7158" s="798" t="s">
        <v>74</v>
      </c>
      <c r="D7158" s="800">
        <v>3421.96</v>
      </c>
    </row>
    <row r="7159" spans="1:4" ht="27">
      <c r="A7159" s="798">
        <v>101418</v>
      </c>
      <c r="B7159" s="799" t="s">
        <v>5142</v>
      </c>
      <c r="C7159" s="798" t="s">
        <v>74</v>
      </c>
      <c r="D7159" s="800">
        <v>2452.36</v>
      </c>
    </row>
    <row r="7160" spans="1:4" ht="13.5">
      <c r="A7160" s="798">
        <v>101419</v>
      </c>
      <c r="B7160" s="799" t="s">
        <v>5143</v>
      </c>
      <c r="C7160" s="798" t="s">
        <v>74</v>
      </c>
      <c r="D7160" s="800">
        <v>3669.83</v>
      </c>
    </row>
    <row r="7161" spans="1:4" ht="27">
      <c r="A7161" s="798">
        <v>101420</v>
      </c>
      <c r="B7161" s="799" t="s">
        <v>5144</v>
      </c>
      <c r="C7161" s="798" t="s">
        <v>74</v>
      </c>
      <c r="D7161" s="800">
        <v>2609.3000000000002</v>
      </c>
    </row>
    <row r="7162" spans="1:4" ht="27">
      <c r="A7162" s="798">
        <v>101421</v>
      </c>
      <c r="B7162" s="799" t="s">
        <v>5145</v>
      </c>
      <c r="C7162" s="798" t="s">
        <v>74</v>
      </c>
      <c r="D7162" s="800">
        <v>3393.87</v>
      </c>
    </row>
    <row r="7163" spans="1:4" ht="27">
      <c r="A7163" s="798">
        <v>101422</v>
      </c>
      <c r="B7163" s="799" t="s">
        <v>5146</v>
      </c>
      <c r="C7163" s="798" t="s">
        <v>74</v>
      </c>
      <c r="D7163" s="800">
        <v>2576.14</v>
      </c>
    </row>
    <row r="7164" spans="1:4" ht="27">
      <c r="A7164" s="798">
        <v>101423</v>
      </c>
      <c r="B7164" s="799" t="s">
        <v>5147</v>
      </c>
      <c r="C7164" s="798" t="s">
        <v>74</v>
      </c>
      <c r="D7164" s="800">
        <v>2904.86</v>
      </c>
    </row>
    <row r="7165" spans="1:4" ht="27">
      <c r="A7165" s="798">
        <v>101424</v>
      </c>
      <c r="B7165" s="799" t="s">
        <v>5148</v>
      </c>
      <c r="C7165" s="798" t="s">
        <v>74</v>
      </c>
      <c r="D7165" s="800">
        <v>3080.89</v>
      </c>
    </row>
    <row r="7166" spans="1:4" ht="13.5">
      <c r="A7166" s="798">
        <v>101425</v>
      </c>
      <c r="B7166" s="799" t="s">
        <v>5149</v>
      </c>
      <c r="C7166" s="798" t="s">
        <v>74</v>
      </c>
      <c r="D7166" s="800">
        <v>1548.41</v>
      </c>
    </row>
    <row r="7167" spans="1:4" ht="13.5">
      <c r="A7167" s="798">
        <v>101426</v>
      </c>
      <c r="B7167" s="799" t="s">
        <v>5150</v>
      </c>
      <c r="C7167" s="798" t="s">
        <v>74</v>
      </c>
      <c r="D7167" s="800">
        <v>2829.71</v>
      </c>
    </row>
    <row r="7168" spans="1:4" ht="27">
      <c r="A7168" s="798">
        <v>101427</v>
      </c>
      <c r="B7168" s="799" t="s">
        <v>140</v>
      </c>
      <c r="C7168" s="798" t="s">
        <v>74</v>
      </c>
      <c r="D7168" s="800">
        <v>2529.64</v>
      </c>
    </row>
    <row r="7169" spans="1:4" ht="27">
      <c r="A7169" s="798">
        <v>101428</v>
      </c>
      <c r="B7169" s="799" t="s">
        <v>5151</v>
      </c>
      <c r="C7169" s="798" t="s">
        <v>74</v>
      </c>
      <c r="D7169" s="800">
        <v>2466.44</v>
      </c>
    </row>
    <row r="7170" spans="1:4" ht="27">
      <c r="A7170" s="798">
        <v>101429</v>
      </c>
      <c r="B7170" s="799" t="s">
        <v>5152</v>
      </c>
      <c r="C7170" s="798" t="s">
        <v>74</v>
      </c>
      <c r="D7170" s="800">
        <v>2623.16</v>
      </c>
    </row>
    <row r="7171" spans="1:4" ht="27">
      <c r="A7171" s="798">
        <v>101430</v>
      </c>
      <c r="B7171" s="799" t="s">
        <v>5153</v>
      </c>
      <c r="C7171" s="798" t="s">
        <v>74</v>
      </c>
      <c r="D7171" s="800">
        <v>2946.72</v>
      </c>
    </row>
    <row r="7172" spans="1:4" ht="13.5">
      <c r="A7172" s="798">
        <v>101431</v>
      </c>
      <c r="B7172" s="799" t="s">
        <v>143</v>
      </c>
      <c r="C7172" s="798" t="s">
        <v>74</v>
      </c>
      <c r="D7172" s="800">
        <v>3163.91</v>
      </c>
    </row>
    <row r="7173" spans="1:4" ht="27">
      <c r="A7173" s="798">
        <v>101432</v>
      </c>
      <c r="B7173" s="799" t="s">
        <v>5154</v>
      </c>
      <c r="C7173" s="798" t="s">
        <v>74</v>
      </c>
      <c r="D7173" s="800">
        <v>2483.79</v>
      </c>
    </row>
    <row r="7174" spans="1:4" ht="13.5">
      <c r="A7174" s="798">
        <v>101433</v>
      </c>
      <c r="B7174" s="799" t="s">
        <v>145</v>
      </c>
      <c r="C7174" s="798" t="s">
        <v>74</v>
      </c>
      <c r="D7174" s="800">
        <v>2493.46</v>
      </c>
    </row>
    <row r="7175" spans="1:4" ht="27">
      <c r="A7175" s="798">
        <v>101434</v>
      </c>
      <c r="B7175" s="799" t="s">
        <v>5155</v>
      </c>
      <c r="C7175" s="798" t="s">
        <v>74</v>
      </c>
      <c r="D7175" s="800">
        <v>2908.09</v>
      </c>
    </row>
    <row r="7176" spans="1:4" ht="27">
      <c r="A7176" s="798">
        <v>101435</v>
      </c>
      <c r="B7176" s="799" t="s">
        <v>5156</v>
      </c>
      <c r="C7176" s="798" t="s">
        <v>74</v>
      </c>
      <c r="D7176" s="800">
        <v>2583.54</v>
      </c>
    </row>
    <row r="7177" spans="1:4" ht="27">
      <c r="A7177" s="798">
        <v>101436</v>
      </c>
      <c r="B7177" s="799" t="s">
        <v>147</v>
      </c>
      <c r="C7177" s="798" t="s">
        <v>74</v>
      </c>
      <c r="D7177" s="800">
        <v>2186.67</v>
      </c>
    </row>
    <row r="7178" spans="1:4" ht="13.5">
      <c r="A7178" s="798">
        <v>101437</v>
      </c>
      <c r="B7178" s="799" t="s">
        <v>5157</v>
      </c>
      <c r="C7178" s="798" t="s">
        <v>74</v>
      </c>
      <c r="D7178" s="800">
        <v>2984.64</v>
      </c>
    </row>
    <row r="7179" spans="1:4" ht="27">
      <c r="A7179" s="798">
        <v>101438</v>
      </c>
      <c r="B7179" s="799" t="s">
        <v>149</v>
      </c>
      <c r="C7179" s="798" t="s">
        <v>74</v>
      </c>
      <c r="D7179" s="800">
        <v>3497.78</v>
      </c>
    </row>
    <row r="7180" spans="1:4" ht="27">
      <c r="A7180" s="798">
        <v>101439</v>
      </c>
      <c r="B7180" s="799" t="s">
        <v>150</v>
      </c>
      <c r="C7180" s="798" t="s">
        <v>74</v>
      </c>
      <c r="D7180" s="800">
        <v>2749.12</v>
      </c>
    </row>
    <row r="7181" spans="1:4" ht="27">
      <c r="A7181" s="798">
        <v>101440</v>
      </c>
      <c r="B7181" s="799" t="s">
        <v>5158</v>
      </c>
      <c r="C7181" s="798" t="s">
        <v>74</v>
      </c>
      <c r="D7181" s="800">
        <v>3057.95</v>
      </c>
    </row>
    <row r="7182" spans="1:4" ht="27">
      <c r="A7182" s="798">
        <v>101441</v>
      </c>
      <c r="B7182" s="799" t="s">
        <v>152</v>
      </c>
      <c r="C7182" s="798" t="s">
        <v>74</v>
      </c>
      <c r="D7182" s="800">
        <v>2579.84</v>
      </c>
    </row>
    <row r="7183" spans="1:4" ht="27">
      <c r="A7183" s="798">
        <v>101442</v>
      </c>
      <c r="B7183" s="799" t="s">
        <v>5159</v>
      </c>
      <c r="C7183" s="798" t="s">
        <v>74</v>
      </c>
      <c r="D7183" s="800">
        <v>2598.1799999999998</v>
      </c>
    </row>
    <row r="7184" spans="1:4" ht="27">
      <c r="A7184" s="798">
        <v>101443</v>
      </c>
      <c r="B7184" s="799" t="s">
        <v>988</v>
      </c>
      <c r="C7184" s="798" t="s">
        <v>74</v>
      </c>
      <c r="D7184" s="800">
        <v>2728.07</v>
      </c>
    </row>
    <row r="7185" spans="1:4" ht="13.5">
      <c r="A7185" s="798">
        <v>101444</v>
      </c>
      <c r="B7185" s="799" t="s">
        <v>155</v>
      </c>
      <c r="C7185" s="798" t="s">
        <v>74</v>
      </c>
      <c r="D7185" s="800">
        <v>3369.55</v>
      </c>
    </row>
    <row r="7186" spans="1:4" ht="13.5">
      <c r="A7186" s="798">
        <v>101445</v>
      </c>
      <c r="B7186" s="799" t="s">
        <v>31</v>
      </c>
      <c r="C7186" s="798" t="s">
        <v>74</v>
      </c>
      <c r="D7186" s="800">
        <v>3379.25</v>
      </c>
    </row>
    <row r="7187" spans="1:4" ht="13.5">
      <c r="A7187" s="798">
        <v>101446</v>
      </c>
      <c r="B7187" s="799" t="s">
        <v>156</v>
      </c>
      <c r="C7187" s="798" t="s">
        <v>74</v>
      </c>
      <c r="D7187" s="800">
        <v>3587.4</v>
      </c>
    </row>
    <row r="7188" spans="1:4" ht="13.5">
      <c r="A7188" s="798">
        <v>101447</v>
      </c>
      <c r="B7188" s="799" t="s">
        <v>157</v>
      </c>
      <c r="C7188" s="798" t="s">
        <v>74</v>
      </c>
      <c r="D7188" s="800">
        <v>3516.61</v>
      </c>
    </row>
    <row r="7189" spans="1:4" ht="13.5">
      <c r="A7189" s="798">
        <v>101448</v>
      </c>
      <c r="B7189" s="799" t="s">
        <v>158</v>
      </c>
      <c r="C7189" s="798" t="s">
        <v>74</v>
      </c>
      <c r="D7189" s="800">
        <v>3587.4</v>
      </c>
    </row>
    <row r="7190" spans="1:4" ht="27">
      <c r="A7190" s="798">
        <v>101449</v>
      </c>
      <c r="B7190" s="799" t="s">
        <v>5160</v>
      </c>
      <c r="C7190" s="798" t="s">
        <v>74</v>
      </c>
      <c r="D7190" s="800">
        <v>2489.02</v>
      </c>
    </row>
    <row r="7191" spans="1:4" ht="13.5">
      <c r="A7191" s="798">
        <v>101450</v>
      </c>
      <c r="B7191" s="799" t="s">
        <v>160</v>
      </c>
      <c r="C7191" s="798" t="s">
        <v>74</v>
      </c>
      <c r="D7191" s="800">
        <v>2298.9899999999998</v>
      </c>
    </row>
    <row r="7192" spans="1:4" ht="13.5">
      <c r="A7192" s="798">
        <v>101451</v>
      </c>
      <c r="B7192" s="799" t="s">
        <v>33</v>
      </c>
      <c r="C7192" s="798" t="s">
        <v>74</v>
      </c>
      <c r="D7192" s="800">
        <v>3364.7</v>
      </c>
    </row>
    <row r="7193" spans="1:4" ht="13.5">
      <c r="A7193" s="798">
        <v>101452</v>
      </c>
      <c r="B7193" s="799" t="s">
        <v>5161</v>
      </c>
      <c r="C7193" s="798" t="s">
        <v>74</v>
      </c>
      <c r="D7193" s="800">
        <v>2729.69</v>
      </c>
    </row>
    <row r="7194" spans="1:4" ht="13.5">
      <c r="A7194" s="798">
        <v>101453</v>
      </c>
      <c r="B7194" s="799" t="s">
        <v>161</v>
      </c>
      <c r="C7194" s="798" t="s">
        <v>74</v>
      </c>
      <c r="D7194" s="800">
        <v>3519.57</v>
      </c>
    </row>
    <row r="7195" spans="1:4" ht="13.5">
      <c r="A7195" s="798">
        <v>101454</v>
      </c>
      <c r="B7195" s="799" t="s">
        <v>5162</v>
      </c>
      <c r="C7195" s="798" t="s">
        <v>74</v>
      </c>
      <c r="D7195" s="800">
        <v>4351.1899999999996</v>
      </c>
    </row>
    <row r="7196" spans="1:4" ht="13.5">
      <c r="A7196" s="798">
        <v>101455</v>
      </c>
      <c r="B7196" s="799" t="s">
        <v>162</v>
      </c>
      <c r="C7196" s="798" t="s">
        <v>74</v>
      </c>
      <c r="D7196" s="800">
        <v>3342.94</v>
      </c>
    </row>
    <row r="7197" spans="1:4" ht="27">
      <c r="A7197" s="798">
        <v>101456</v>
      </c>
      <c r="B7197" s="799" t="s">
        <v>5163</v>
      </c>
      <c r="C7197" s="798" t="s">
        <v>74</v>
      </c>
      <c r="D7197" s="800">
        <v>3812.09</v>
      </c>
    </row>
    <row r="7198" spans="1:4" ht="13.5">
      <c r="A7198" s="798">
        <v>101457</v>
      </c>
      <c r="B7198" s="799" t="s">
        <v>5164</v>
      </c>
      <c r="C7198" s="798" t="s">
        <v>74</v>
      </c>
      <c r="D7198" s="800">
        <v>3960.56</v>
      </c>
    </row>
    <row r="7199" spans="1:4" ht="13.5">
      <c r="A7199" s="798">
        <v>101458</v>
      </c>
      <c r="B7199" s="799" t="s">
        <v>5165</v>
      </c>
      <c r="C7199" s="798" t="s">
        <v>74</v>
      </c>
      <c r="D7199" s="800">
        <v>3313.92</v>
      </c>
    </row>
    <row r="7200" spans="1:4" ht="13.5">
      <c r="A7200" s="798">
        <v>101459</v>
      </c>
      <c r="B7200" s="799" t="s">
        <v>167</v>
      </c>
      <c r="C7200" s="798" t="s">
        <v>74</v>
      </c>
      <c r="D7200" s="800">
        <v>3032.62</v>
      </c>
    </row>
    <row r="7201" spans="1:4" ht="13.5">
      <c r="A7201" s="798">
        <v>101460</v>
      </c>
      <c r="B7201" s="799" t="s">
        <v>4086</v>
      </c>
      <c r="C7201" s="798" t="s">
        <v>74</v>
      </c>
      <c r="D7201" s="800">
        <v>2711.65</v>
      </c>
    </row>
    <row r="7202" spans="1:4" ht="38.25">
      <c r="A7202" s="801">
        <v>2418</v>
      </c>
      <c r="B7202" s="802" t="s">
        <v>8380</v>
      </c>
      <c r="C7202" s="801" t="s">
        <v>656</v>
      </c>
      <c r="D7202" s="803">
        <v>9.99</v>
      </c>
    </row>
    <row r="7203" spans="1:4" ht="38.25">
      <c r="A7203" s="801">
        <v>3378</v>
      </c>
      <c r="B7203" s="802" t="s">
        <v>8381</v>
      </c>
      <c r="C7203" s="801" t="s">
        <v>656</v>
      </c>
      <c r="D7203" s="803">
        <v>76.37</v>
      </c>
    </row>
    <row r="7204" spans="1:4" ht="38.25">
      <c r="A7204" s="801">
        <v>3380</v>
      </c>
      <c r="B7204" s="802" t="s">
        <v>8382</v>
      </c>
      <c r="C7204" s="801" t="s">
        <v>656</v>
      </c>
      <c r="D7204" s="803">
        <v>53.46</v>
      </c>
    </row>
    <row r="7205" spans="1:4" ht="38.25">
      <c r="A7205" s="801">
        <v>3379</v>
      </c>
      <c r="B7205" s="802" t="s">
        <v>5455</v>
      </c>
      <c r="C7205" s="801" t="s">
        <v>656</v>
      </c>
      <c r="D7205" s="803">
        <v>51.61</v>
      </c>
    </row>
    <row r="7206" spans="1:4" ht="25.5">
      <c r="A7206" s="801">
        <v>615</v>
      </c>
      <c r="B7206" s="802" t="s">
        <v>8383</v>
      </c>
      <c r="C7206" s="801" t="s">
        <v>661</v>
      </c>
      <c r="D7206" s="803">
        <v>561.08000000000004</v>
      </c>
    </row>
    <row r="7207" spans="1:4" ht="51">
      <c r="A7207" s="801">
        <v>606</v>
      </c>
      <c r="B7207" s="802" t="s">
        <v>8384</v>
      </c>
      <c r="C7207" s="801" t="s">
        <v>661</v>
      </c>
      <c r="D7207" s="803">
        <v>881.39</v>
      </c>
    </row>
    <row r="7208" spans="1:4" ht="38.25">
      <c r="A7208" s="801">
        <v>13382</v>
      </c>
      <c r="B7208" s="802" t="s">
        <v>8385</v>
      </c>
      <c r="C7208" s="801" t="s">
        <v>656</v>
      </c>
      <c r="D7208" s="803">
        <v>587.27</v>
      </c>
    </row>
    <row r="7209" spans="1:4" ht="51">
      <c r="A7209" s="801">
        <v>11199</v>
      </c>
      <c r="B7209" s="802" t="s">
        <v>8386</v>
      </c>
      <c r="C7209" s="801" t="s">
        <v>656</v>
      </c>
      <c r="D7209" s="803">
        <v>1264.72</v>
      </c>
    </row>
    <row r="7210" spans="1:4" ht="38.25">
      <c r="A7210" s="801">
        <v>21136</v>
      </c>
      <c r="B7210" s="802" t="s">
        <v>8387</v>
      </c>
      <c r="C7210" s="801" t="s">
        <v>660</v>
      </c>
      <c r="D7210" s="803">
        <v>13.96</v>
      </c>
    </row>
    <row r="7211" spans="1:4" ht="38.25">
      <c r="A7211" s="801">
        <v>21128</v>
      </c>
      <c r="B7211" s="802" t="s">
        <v>8388</v>
      </c>
      <c r="C7211" s="801" t="s">
        <v>660</v>
      </c>
      <c r="D7211" s="803">
        <v>10.8</v>
      </c>
    </row>
    <row r="7212" spans="1:4" ht="38.25">
      <c r="A7212" s="801">
        <v>21130</v>
      </c>
      <c r="B7212" s="802" t="s">
        <v>8389</v>
      </c>
      <c r="C7212" s="801" t="s">
        <v>660</v>
      </c>
      <c r="D7212" s="803">
        <v>27.27</v>
      </c>
    </row>
    <row r="7213" spans="1:4" ht="38.25">
      <c r="A7213" s="801">
        <v>21135</v>
      </c>
      <c r="B7213" s="802" t="s">
        <v>8390</v>
      </c>
      <c r="C7213" s="801" t="s">
        <v>660</v>
      </c>
      <c r="D7213" s="803">
        <v>26.85</v>
      </c>
    </row>
    <row r="7214" spans="1:4" ht="25.5">
      <c r="A7214" s="801">
        <v>38605</v>
      </c>
      <c r="B7214" s="802" t="s">
        <v>8391</v>
      </c>
      <c r="C7214" s="801" t="s">
        <v>656</v>
      </c>
      <c r="D7214" s="803">
        <v>136.82</v>
      </c>
    </row>
    <row r="7215" spans="1:4" ht="25.5">
      <c r="A7215" s="801">
        <v>11270</v>
      </c>
      <c r="B7215" s="802" t="s">
        <v>8392</v>
      </c>
      <c r="C7215" s="801" t="s">
        <v>656</v>
      </c>
      <c r="D7215" s="803">
        <v>2.96</v>
      </c>
    </row>
    <row r="7216" spans="1:4" ht="25.5">
      <c r="A7216" s="801">
        <v>412</v>
      </c>
      <c r="B7216" s="802" t="s">
        <v>8393</v>
      </c>
      <c r="C7216" s="801" t="s">
        <v>656</v>
      </c>
      <c r="D7216" s="803">
        <v>1.28</v>
      </c>
    </row>
    <row r="7217" spans="1:4" ht="25.5">
      <c r="A7217" s="801">
        <v>414</v>
      </c>
      <c r="B7217" s="802" t="s">
        <v>8394</v>
      </c>
      <c r="C7217" s="801" t="s">
        <v>656</v>
      </c>
      <c r="D7217" s="803">
        <v>0.08</v>
      </c>
    </row>
    <row r="7218" spans="1:4" ht="25.5">
      <c r="A7218" s="801">
        <v>410</v>
      </c>
      <c r="B7218" s="802" t="s">
        <v>8395</v>
      </c>
      <c r="C7218" s="801" t="s">
        <v>656</v>
      </c>
      <c r="D7218" s="803">
        <v>0.19</v>
      </c>
    </row>
    <row r="7219" spans="1:4" ht="25.5">
      <c r="A7219" s="801">
        <v>411</v>
      </c>
      <c r="B7219" s="802" t="s">
        <v>8396</v>
      </c>
      <c r="C7219" s="801" t="s">
        <v>656</v>
      </c>
      <c r="D7219" s="803">
        <v>0.25</v>
      </c>
    </row>
    <row r="7220" spans="1:4" ht="25.5">
      <c r="A7220" s="801">
        <v>408</v>
      </c>
      <c r="B7220" s="802" t="s">
        <v>8397</v>
      </c>
      <c r="C7220" s="801" t="s">
        <v>656</v>
      </c>
      <c r="D7220" s="803">
        <v>1.24</v>
      </c>
    </row>
    <row r="7221" spans="1:4" ht="25.5">
      <c r="A7221" s="801">
        <v>39131</v>
      </c>
      <c r="B7221" s="802" t="s">
        <v>8398</v>
      </c>
      <c r="C7221" s="801" t="s">
        <v>656</v>
      </c>
      <c r="D7221" s="803">
        <v>4.28</v>
      </c>
    </row>
    <row r="7222" spans="1:4" ht="25.5">
      <c r="A7222" s="801">
        <v>394</v>
      </c>
      <c r="B7222" s="802" t="s">
        <v>8399</v>
      </c>
      <c r="C7222" s="801" t="s">
        <v>656</v>
      </c>
      <c r="D7222" s="803">
        <v>4.34</v>
      </c>
    </row>
    <row r="7223" spans="1:4" ht="25.5">
      <c r="A7223" s="801">
        <v>39130</v>
      </c>
      <c r="B7223" s="802" t="s">
        <v>8400</v>
      </c>
      <c r="C7223" s="801" t="s">
        <v>656</v>
      </c>
      <c r="D7223" s="803">
        <v>3.91</v>
      </c>
    </row>
    <row r="7224" spans="1:4" ht="25.5">
      <c r="A7224" s="801">
        <v>395</v>
      </c>
      <c r="B7224" s="802" t="s">
        <v>8401</v>
      </c>
      <c r="C7224" s="801" t="s">
        <v>656</v>
      </c>
      <c r="D7224" s="803">
        <v>4.18</v>
      </c>
    </row>
    <row r="7225" spans="1:4" ht="25.5">
      <c r="A7225" s="801">
        <v>39127</v>
      </c>
      <c r="B7225" s="802" t="s">
        <v>8402</v>
      </c>
      <c r="C7225" s="801" t="s">
        <v>656</v>
      </c>
      <c r="D7225" s="803">
        <v>2.06</v>
      </c>
    </row>
    <row r="7226" spans="1:4" ht="25.5">
      <c r="A7226" s="801">
        <v>392</v>
      </c>
      <c r="B7226" s="802" t="s">
        <v>4566</v>
      </c>
      <c r="C7226" s="801" t="s">
        <v>656</v>
      </c>
      <c r="D7226" s="803">
        <v>2.11</v>
      </c>
    </row>
    <row r="7227" spans="1:4" ht="25.5">
      <c r="A7227" s="801">
        <v>39129</v>
      </c>
      <c r="B7227" s="802" t="s">
        <v>8403</v>
      </c>
      <c r="C7227" s="801" t="s">
        <v>656</v>
      </c>
      <c r="D7227" s="803">
        <v>2.41</v>
      </c>
    </row>
    <row r="7228" spans="1:4" ht="25.5">
      <c r="A7228" s="801">
        <v>393</v>
      </c>
      <c r="B7228" s="802" t="s">
        <v>8404</v>
      </c>
      <c r="C7228" s="801" t="s">
        <v>656</v>
      </c>
      <c r="D7228" s="803">
        <v>2.52</v>
      </c>
    </row>
    <row r="7229" spans="1:4" ht="25.5">
      <c r="A7229" s="801">
        <v>39133</v>
      </c>
      <c r="B7229" s="802" t="s">
        <v>8405</v>
      </c>
      <c r="C7229" s="801" t="s">
        <v>656</v>
      </c>
      <c r="D7229" s="803">
        <v>5.62</v>
      </c>
    </row>
    <row r="7230" spans="1:4" ht="25.5">
      <c r="A7230" s="801">
        <v>397</v>
      </c>
      <c r="B7230" s="802" t="s">
        <v>8406</v>
      </c>
      <c r="C7230" s="801" t="s">
        <v>656</v>
      </c>
      <c r="D7230" s="803">
        <v>6.21</v>
      </c>
    </row>
    <row r="7231" spans="1:4" ht="25.5">
      <c r="A7231" s="801">
        <v>39132</v>
      </c>
      <c r="B7231" s="802" t="s">
        <v>8407</v>
      </c>
      <c r="C7231" s="801" t="s">
        <v>656</v>
      </c>
      <c r="D7231" s="803">
        <v>4.5</v>
      </c>
    </row>
    <row r="7232" spans="1:4" ht="25.5">
      <c r="A7232" s="801">
        <v>396</v>
      </c>
      <c r="B7232" s="802" t="s">
        <v>8408</v>
      </c>
      <c r="C7232" s="801" t="s">
        <v>656</v>
      </c>
      <c r="D7232" s="803">
        <v>4.82</v>
      </c>
    </row>
    <row r="7233" spans="1:4" ht="25.5">
      <c r="A7233" s="801">
        <v>39135</v>
      </c>
      <c r="B7233" s="802" t="s">
        <v>8409</v>
      </c>
      <c r="C7233" s="801" t="s">
        <v>656</v>
      </c>
      <c r="D7233" s="803">
        <v>9</v>
      </c>
    </row>
    <row r="7234" spans="1:4" ht="25.5">
      <c r="A7234" s="801">
        <v>39128</v>
      </c>
      <c r="B7234" s="802" t="s">
        <v>8410</v>
      </c>
      <c r="C7234" s="801" t="s">
        <v>656</v>
      </c>
      <c r="D7234" s="803">
        <v>2.25</v>
      </c>
    </row>
    <row r="7235" spans="1:4" ht="25.5">
      <c r="A7235" s="801">
        <v>400</v>
      </c>
      <c r="B7235" s="802" t="s">
        <v>8411</v>
      </c>
      <c r="C7235" s="801" t="s">
        <v>656</v>
      </c>
      <c r="D7235" s="803">
        <v>2.19</v>
      </c>
    </row>
    <row r="7236" spans="1:4" ht="25.5">
      <c r="A7236" s="801">
        <v>39125</v>
      </c>
      <c r="B7236" s="802" t="s">
        <v>8412</v>
      </c>
      <c r="C7236" s="801" t="s">
        <v>656</v>
      </c>
      <c r="D7236" s="803">
        <v>2.25</v>
      </c>
    </row>
    <row r="7237" spans="1:4" ht="25.5">
      <c r="A7237" s="801">
        <v>39134</v>
      </c>
      <c r="B7237" s="802" t="s">
        <v>8413</v>
      </c>
      <c r="C7237" s="801" t="s">
        <v>656</v>
      </c>
      <c r="D7237" s="803">
        <v>7.5</v>
      </c>
    </row>
    <row r="7238" spans="1:4" ht="25.5">
      <c r="A7238" s="801">
        <v>398</v>
      </c>
      <c r="B7238" s="802" t="s">
        <v>8414</v>
      </c>
      <c r="C7238" s="801" t="s">
        <v>656</v>
      </c>
      <c r="D7238" s="803">
        <v>6.91</v>
      </c>
    </row>
    <row r="7239" spans="1:4" ht="25.5">
      <c r="A7239" s="801">
        <v>39126</v>
      </c>
      <c r="B7239" s="802" t="s">
        <v>8415</v>
      </c>
      <c r="C7239" s="801" t="s">
        <v>656</v>
      </c>
      <c r="D7239" s="803">
        <v>10.130000000000001</v>
      </c>
    </row>
    <row r="7240" spans="1:4" ht="25.5">
      <c r="A7240" s="801">
        <v>399</v>
      </c>
      <c r="B7240" s="802" t="s">
        <v>8416</v>
      </c>
      <c r="C7240" s="801" t="s">
        <v>656</v>
      </c>
      <c r="D7240" s="803">
        <v>8.92</v>
      </c>
    </row>
    <row r="7241" spans="1:4" ht="25.5">
      <c r="A7241" s="801">
        <v>39158</v>
      </c>
      <c r="B7241" s="802" t="s">
        <v>8417</v>
      </c>
      <c r="C7241" s="801" t="s">
        <v>656</v>
      </c>
      <c r="D7241" s="803">
        <v>23.96</v>
      </c>
    </row>
    <row r="7242" spans="1:4" ht="25.5">
      <c r="A7242" s="801">
        <v>39141</v>
      </c>
      <c r="B7242" s="802" t="s">
        <v>8418</v>
      </c>
      <c r="C7242" s="801" t="s">
        <v>656</v>
      </c>
      <c r="D7242" s="803">
        <v>1.74</v>
      </c>
    </row>
    <row r="7243" spans="1:4" ht="25.5">
      <c r="A7243" s="801">
        <v>39140</v>
      </c>
      <c r="B7243" s="802" t="s">
        <v>8419</v>
      </c>
      <c r="C7243" s="801" t="s">
        <v>656</v>
      </c>
      <c r="D7243" s="803">
        <v>1.58</v>
      </c>
    </row>
    <row r="7244" spans="1:4" ht="25.5">
      <c r="A7244" s="801">
        <v>39137</v>
      </c>
      <c r="B7244" s="802" t="s">
        <v>8420</v>
      </c>
      <c r="C7244" s="801" t="s">
        <v>656</v>
      </c>
      <c r="D7244" s="803">
        <v>0.91</v>
      </c>
    </row>
    <row r="7245" spans="1:4" ht="25.5">
      <c r="A7245" s="801">
        <v>39139</v>
      </c>
      <c r="B7245" s="802" t="s">
        <v>8421</v>
      </c>
      <c r="C7245" s="801" t="s">
        <v>656</v>
      </c>
      <c r="D7245" s="803">
        <v>1.31</v>
      </c>
    </row>
    <row r="7246" spans="1:4" ht="25.5">
      <c r="A7246" s="801">
        <v>39143</v>
      </c>
      <c r="B7246" s="802" t="s">
        <v>8422</v>
      </c>
      <c r="C7246" s="801" t="s">
        <v>656</v>
      </c>
      <c r="D7246" s="803">
        <v>3.59</v>
      </c>
    </row>
    <row r="7247" spans="1:4" ht="25.5">
      <c r="A7247" s="801">
        <v>39142</v>
      </c>
      <c r="B7247" s="802" t="s">
        <v>8423</v>
      </c>
      <c r="C7247" s="801" t="s">
        <v>656</v>
      </c>
      <c r="D7247" s="803">
        <v>2.57</v>
      </c>
    </row>
    <row r="7248" spans="1:4" ht="25.5">
      <c r="A7248" s="801">
        <v>39138</v>
      </c>
      <c r="B7248" s="802" t="s">
        <v>8424</v>
      </c>
      <c r="C7248" s="801" t="s">
        <v>656</v>
      </c>
      <c r="D7248" s="803">
        <v>0.96</v>
      </c>
    </row>
    <row r="7249" spans="1:4" ht="25.5">
      <c r="A7249" s="801">
        <v>39136</v>
      </c>
      <c r="B7249" s="802" t="s">
        <v>8425</v>
      </c>
      <c r="C7249" s="801" t="s">
        <v>656</v>
      </c>
      <c r="D7249" s="803">
        <v>0.64</v>
      </c>
    </row>
    <row r="7250" spans="1:4" ht="25.5">
      <c r="A7250" s="801">
        <v>39144</v>
      </c>
      <c r="B7250" s="802" t="s">
        <v>8426</v>
      </c>
      <c r="C7250" s="801" t="s">
        <v>656</v>
      </c>
      <c r="D7250" s="803">
        <v>4.18</v>
      </c>
    </row>
    <row r="7251" spans="1:4" ht="25.5">
      <c r="A7251" s="801">
        <v>39145</v>
      </c>
      <c r="B7251" s="802" t="s">
        <v>8427</v>
      </c>
      <c r="C7251" s="801" t="s">
        <v>656</v>
      </c>
      <c r="D7251" s="803">
        <v>6.88</v>
      </c>
    </row>
    <row r="7252" spans="1:4" ht="25.5">
      <c r="A7252" s="801">
        <v>12615</v>
      </c>
      <c r="B7252" s="802" t="s">
        <v>8428</v>
      </c>
      <c r="C7252" s="801" t="s">
        <v>656</v>
      </c>
      <c r="D7252" s="803">
        <v>4.46</v>
      </c>
    </row>
    <row r="7253" spans="1:4" ht="25.5">
      <c r="A7253" s="801">
        <v>11927</v>
      </c>
      <c r="B7253" s="802" t="s">
        <v>8429</v>
      </c>
      <c r="C7253" s="801" t="s">
        <v>656</v>
      </c>
      <c r="D7253" s="803">
        <v>8.84</v>
      </c>
    </row>
    <row r="7254" spans="1:4" ht="25.5">
      <c r="A7254" s="801">
        <v>11928</v>
      </c>
      <c r="B7254" s="802" t="s">
        <v>8430</v>
      </c>
      <c r="C7254" s="801" t="s">
        <v>656</v>
      </c>
      <c r="D7254" s="803">
        <v>10.130000000000001</v>
      </c>
    </row>
    <row r="7255" spans="1:4" ht="25.5">
      <c r="A7255" s="801">
        <v>11929</v>
      </c>
      <c r="B7255" s="802" t="s">
        <v>8431</v>
      </c>
      <c r="C7255" s="801" t="s">
        <v>656</v>
      </c>
      <c r="D7255" s="803">
        <v>15.67</v>
      </c>
    </row>
    <row r="7256" spans="1:4" ht="25.5">
      <c r="A7256" s="801">
        <v>36801</v>
      </c>
      <c r="B7256" s="802" t="s">
        <v>8432</v>
      </c>
      <c r="C7256" s="801" t="s">
        <v>656</v>
      </c>
      <c r="D7256" s="803">
        <v>30.46</v>
      </c>
    </row>
    <row r="7257" spans="1:4" ht="25.5">
      <c r="A7257" s="801">
        <v>36246</v>
      </c>
      <c r="B7257" s="802" t="s">
        <v>8433</v>
      </c>
      <c r="C7257" s="801" t="s">
        <v>660</v>
      </c>
      <c r="D7257" s="803">
        <v>5</v>
      </c>
    </row>
    <row r="7258" spans="1:4" ht="25.5">
      <c r="A7258" s="801">
        <v>37600</v>
      </c>
      <c r="B7258" s="802" t="s">
        <v>8434</v>
      </c>
      <c r="C7258" s="801" t="s">
        <v>656</v>
      </c>
      <c r="D7258" s="803">
        <v>123.71</v>
      </c>
    </row>
    <row r="7259" spans="1:4" ht="25.5">
      <c r="A7259" s="801">
        <v>37599</v>
      </c>
      <c r="B7259" s="802" t="s">
        <v>8435</v>
      </c>
      <c r="C7259" s="801" t="s">
        <v>656</v>
      </c>
      <c r="D7259" s="803">
        <v>115.15</v>
      </c>
    </row>
    <row r="7260" spans="1:4" ht="38.25">
      <c r="A7260" s="801">
        <v>1</v>
      </c>
      <c r="B7260" s="802" t="s">
        <v>13444</v>
      </c>
      <c r="C7260" s="801" t="s">
        <v>653</v>
      </c>
      <c r="D7260" s="803">
        <v>76.47</v>
      </c>
    </row>
    <row r="7261" spans="1:4" ht="25.5">
      <c r="A7261" s="801">
        <v>3</v>
      </c>
      <c r="B7261" s="802" t="s">
        <v>8436</v>
      </c>
      <c r="C7261" s="801" t="s">
        <v>655</v>
      </c>
      <c r="D7261" s="803">
        <v>10.61</v>
      </c>
    </row>
    <row r="7262" spans="1:4" ht="25.5">
      <c r="A7262" s="801">
        <v>43054</v>
      </c>
      <c r="B7262" s="802" t="s">
        <v>8437</v>
      </c>
      <c r="C7262" s="801" t="s">
        <v>653</v>
      </c>
      <c r="D7262" s="803">
        <v>11.25</v>
      </c>
    </row>
    <row r="7263" spans="1:4">
      <c r="A7263" s="801">
        <v>42402</v>
      </c>
      <c r="B7263" s="802" t="s">
        <v>8438</v>
      </c>
      <c r="C7263" s="801" t="s">
        <v>653</v>
      </c>
      <c r="D7263" s="803">
        <v>10.75</v>
      </c>
    </row>
    <row r="7264" spans="1:4">
      <c r="A7264" s="801">
        <v>42403</v>
      </c>
      <c r="B7264" s="802" t="s">
        <v>8439</v>
      </c>
      <c r="C7264" s="801" t="s">
        <v>653</v>
      </c>
      <c r="D7264" s="803">
        <v>13.79</v>
      </c>
    </row>
    <row r="7265" spans="1:4">
      <c r="A7265" s="801">
        <v>42404</v>
      </c>
      <c r="B7265" s="802" t="s">
        <v>8440</v>
      </c>
      <c r="C7265" s="801" t="s">
        <v>653</v>
      </c>
      <c r="D7265" s="803">
        <v>13.71</v>
      </c>
    </row>
    <row r="7266" spans="1:4">
      <c r="A7266" s="801">
        <v>42405</v>
      </c>
      <c r="B7266" s="802" t="s">
        <v>8441</v>
      </c>
      <c r="C7266" s="801" t="s">
        <v>653</v>
      </c>
      <c r="D7266" s="803">
        <v>14.61</v>
      </c>
    </row>
    <row r="7267" spans="1:4">
      <c r="A7267" s="801">
        <v>34341</v>
      </c>
      <c r="B7267" s="802" t="s">
        <v>8442</v>
      </c>
      <c r="C7267" s="801" t="s">
        <v>653</v>
      </c>
      <c r="D7267" s="803">
        <v>12.68</v>
      </c>
    </row>
    <row r="7268" spans="1:4">
      <c r="A7268" s="801">
        <v>43053</v>
      </c>
      <c r="B7268" s="802" t="s">
        <v>4567</v>
      </c>
      <c r="C7268" s="801" t="s">
        <v>653</v>
      </c>
      <c r="D7268" s="803">
        <v>10.050000000000001</v>
      </c>
    </row>
    <row r="7269" spans="1:4" ht="25.5">
      <c r="A7269" s="801">
        <v>43058</v>
      </c>
      <c r="B7269" s="802" t="s">
        <v>8443</v>
      </c>
      <c r="C7269" s="801" t="s">
        <v>653</v>
      </c>
      <c r="D7269" s="803">
        <v>10.42</v>
      </c>
    </row>
    <row r="7270" spans="1:4">
      <c r="A7270" s="801">
        <v>34</v>
      </c>
      <c r="B7270" s="802" t="s">
        <v>4568</v>
      </c>
      <c r="C7270" s="801" t="s">
        <v>653</v>
      </c>
      <c r="D7270" s="803">
        <v>10.47</v>
      </c>
    </row>
    <row r="7271" spans="1:4">
      <c r="A7271" s="801">
        <v>43055</v>
      </c>
      <c r="B7271" s="802" t="s">
        <v>4569</v>
      </c>
      <c r="C7271" s="801" t="s">
        <v>653</v>
      </c>
      <c r="D7271" s="803">
        <v>9.07</v>
      </c>
    </row>
    <row r="7272" spans="1:4">
      <c r="A7272" s="801">
        <v>43056</v>
      </c>
      <c r="B7272" s="802" t="s">
        <v>4570</v>
      </c>
      <c r="C7272" s="801" t="s">
        <v>653</v>
      </c>
      <c r="D7272" s="803">
        <v>10.46</v>
      </c>
    </row>
    <row r="7273" spans="1:4">
      <c r="A7273" s="801">
        <v>43057</v>
      </c>
      <c r="B7273" s="802" t="s">
        <v>8444</v>
      </c>
      <c r="C7273" s="801" t="s">
        <v>653</v>
      </c>
      <c r="D7273" s="803">
        <v>11.49</v>
      </c>
    </row>
    <row r="7274" spans="1:4">
      <c r="A7274" s="801">
        <v>34449</v>
      </c>
      <c r="B7274" s="802" t="s">
        <v>8445</v>
      </c>
      <c r="C7274" s="801" t="s">
        <v>653</v>
      </c>
      <c r="D7274" s="803">
        <v>12.28</v>
      </c>
    </row>
    <row r="7275" spans="1:4">
      <c r="A7275" s="801">
        <v>32</v>
      </c>
      <c r="B7275" s="802" t="s">
        <v>8446</v>
      </c>
      <c r="C7275" s="801" t="s">
        <v>653</v>
      </c>
      <c r="D7275" s="803">
        <v>11.05</v>
      </c>
    </row>
    <row r="7276" spans="1:4">
      <c r="A7276" s="801">
        <v>33</v>
      </c>
      <c r="B7276" s="802" t="s">
        <v>4571</v>
      </c>
      <c r="C7276" s="801" t="s">
        <v>653</v>
      </c>
      <c r="D7276" s="803">
        <v>11.11</v>
      </c>
    </row>
    <row r="7277" spans="1:4">
      <c r="A7277" s="801">
        <v>43061</v>
      </c>
      <c r="B7277" s="802" t="s">
        <v>8447</v>
      </c>
      <c r="C7277" s="801" t="s">
        <v>653</v>
      </c>
      <c r="D7277" s="803">
        <v>10.38</v>
      </c>
    </row>
    <row r="7278" spans="1:4" ht="25.5">
      <c r="A7278" s="801">
        <v>43059</v>
      </c>
      <c r="B7278" s="802" t="s">
        <v>4572</v>
      </c>
      <c r="C7278" s="801" t="s">
        <v>653</v>
      </c>
      <c r="D7278" s="803">
        <v>9.91</v>
      </c>
    </row>
    <row r="7279" spans="1:4">
      <c r="A7279" s="801">
        <v>43062</v>
      </c>
      <c r="B7279" s="802" t="s">
        <v>8448</v>
      </c>
      <c r="C7279" s="801" t="s">
        <v>653</v>
      </c>
      <c r="D7279" s="803">
        <v>10.98</v>
      </c>
    </row>
    <row r="7280" spans="1:4">
      <c r="A7280" s="801">
        <v>43060</v>
      </c>
      <c r="B7280" s="802" t="s">
        <v>8449</v>
      </c>
      <c r="C7280" s="801" t="s">
        <v>653</v>
      </c>
      <c r="D7280" s="803">
        <v>8.6300000000000008</v>
      </c>
    </row>
    <row r="7281" spans="1:4" ht="25.5">
      <c r="A7281" s="801">
        <v>20063</v>
      </c>
      <c r="B7281" s="802" t="s">
        <v>8450</v>
      </c>
      <c r="C7281" s="801" t="s">
        <v>656</v>
      </c>
      <c r="D7281" s="803">
        <v>4.4400000000000004</v>
      </c>
    </row>
    <row r="7282" spans="1:4" ht="25.5">
      <c r="A7282" s="801">
        <v>40410</v>
      </c>
      <c r="B7282" s="802" t="s">
        <v>8451</v>
      </c>
      <c r="C7282" s="801" t="s">
        <v>656</v>
      </c>
      <c r="D7282" s="803">
        <v>31.27</v>
      </c>
    </row>
    <row r="7283" spans="1:4" ht="25.5">
      <c r="A7283" s="801">
        <v>40411</v>
      </c>
      <c r="B7283" s="802" t="s">
        <v>8452</v>
      </c>
      <c r="C7283" s="801" t="s">
        <v>656</v>
      </c>
      <c r="D7283" s="803">
        <v>33.93</v>
      </c>
    </row>
    <row r="7284" spans="1:4" ht="25.5">
      <c r="A7284" s="801">
        <v>40412</v>
      </c>
      <c r="B7284" s="802" t="s">
        <v>8453</v>
      </c>
      <c r="C7284" s="801" t="s">
        <v>656</v>
      </c>
      <c r="D7284" s="803">
        <v>38.090000000000003</v>
      </c>
    </row>
    <row r="7285" spans="1:4">
      <c r="A7285" s="801">
        <v>38838</v>
      </c>
      <c r="B7285" s="802" t="s">
        <v>8454</v>
      </c>
      <c r="C7285" s="801" t="s">
        <v>656</v>
      </c>
      <c r="D7285" s="803">
        <v>11.14</v>
      </c>
    </row>
    <row r="7286" spans="1:4">
      <c r="A7286" s="801">
        <v>38839</v>
      </c>
      <c r="B7286" s="802" t="s">
        <v>8455</v>
      </c>
      <c r="C7286" s="801" t="s">
        <v>656</v>
      </c>
      <c r="D7286" s="803">
        <v>13.11</v>
      </c>
    </row>
    <row r="7287" spans="1:4" ht="38.25">
      <c r="A7287" s="801">
        <v>55</v>
      </c>
      <c r="B7287" s="802" t="s">
        <v>8456</v>
      </c>
      <c r="C7287" s="801" t="s">
        <v>656</v>
      </c>
      <c r="D7287" s="803">
        <v>5</v>
      </c>
    </row>
    <row r="7288" spans="1:4" ht="38.25">
      <c r="A7288" s="801">
        <v>61</v>
      </c>
      <c r="B7288" s="802" t="s">
        <v>8457</v>
      </c>
      <c r="C7288" s="801" t="s">
        <v>656</v>
      </c>
      <c r="D7288" s="803">
        <v>4.7300000000000004</v>
      </c>
    </row>
    <row r="7289" spans="1:4" ht="38.25">
      <c r="A7289" s="801">
        <v>62</v>
      </c>
      <c r="B7289" s="802" t="s">
        <v>8458</v>
      </c>
      <c r="C7289" s="801" t="s">
        <v>656</v>
      </c>
      <c r="D7289" s="803">
        <v>9.8000000000000007</v>
      </c>
    </row>
    <row r="7290" spans="1:4" ht="25.5">
      <c r="A7290" s="801">
        <v>77</v>
      </c>
      <c r="B7290" s="802" t="s">
        <v>8459</v>
      </c>
      <c r="C7290" s="801" t="s">
        <v>656</v>
      </c>
      <c r="D7290" s="803">
        <v>1.22</v>
      </c>
    </row>
    <row r="7291" spans="1:4">
      <c r="A7291" s="801">
        <v>76</v>
      </c>
      <c r="B7291" s="802" t="s">
        <v>8460</v>
      </c>
      <c r="C7291" s="801" t="s">
        <v>656</v>
      </c>
      <c r="D7291" s="803">
        <v>1.25</v>
      </c>
    </row>
    <row r="7292" spans="1:4" ht="25.5">
      <c r="A7292" s="801">
        <v>67</v>
      </c>
      <c r="B7292" s="802" t="s">
        <v>8461</v>
      </c>
      <c r="C7292" s="801" t="s">
        <v>656</v>
      </c>
      <c r="D7292" s="803">
        <v>12.03</v>
      </c>
    </row>
    <row r="7293" spans="1:4" ht="25.5">
      <c r="A7293" s="801">
        <v>71</v>
      </c>
      <c r="B7293" s="802" t="s">
        <v>8462</v>
      </c>
      <c r="C7293" s="801" t="s">
        <v>656</v>
      </c>
      <c r="D7293" s="803">
        <v>22.11</v>
      </c>
    </row>
    <row r="7294" spans="1:4" ht="25.5">
      <c r="A7294" s="801">
        <v>73</v>
      </c>
      <c r="B7294" s="802" t="s">
        <v>8463</v>
      </c>
      <c r="C7294" s="801" t="s">
        <v>656</v>
      </c>
      <c r="D7294" s="803">
        <v>16.510000000000002</v>
      </c>
    </row>
    <row r="7295" spans="1:4" ht="25.5">
      <c r="A7295" s="801">
        <v>103</v>
      </c>
      <c r="B7295" s="802" t="s">
        <v>8464</v>
      </c>
      <c r="C7295" s="801" t="s">
        <v>656</v>
      </c>
      <c r="D7295" s="803">
        <v>49.11</v>
      </c>
    </row>
    <row r="7296" spans="1:4" ht="25.5">
      <c r="A7296" s="801">
        <v>107</v>
      </c>
      <c r="B7296" s="802" t="s">
        <v>8465</v>
      </c>
      <c r="C7296" s="801" t="s">
        <v>656</v>
      </c>
      <c r="D7296" s="803">
        <v>0.77</v>
      </c>
    </row>
    <row r="7297" spans="1:4" ht="25.5">
      <c r="A7297" s="801">
        <v>65</v>
      </c>
      <c r="B7297" s="802" t="s">
        <v>4573</v>
      </c>
      <c r="C7297" s="801" t="s">
        <v>656</v>
      </c>
      <c r="D7297" s="803">
        <v>0.95</v>
      </c>
    </row>
    <row r="7298" spans="1:4" ht="25.5">
      <c r="A7298" s="801">
        <v>108</v>
      </c>
      <c r="B7298" s="802" t="s">
        <v>8466</v>
      </c>
      <c r="C7298" s="801" t="s">
        <v>656</v>
      </c>
      <c r="D7298" s="803">
        <v>1.96</v>
      </c>
    </row>
    <row r="7299" spans="1:4" ht="25.5">
      <c r="A7299" s="801">
        <v>110</v>
      </c>
      <c r="B7299" s="802" t="s">
        <v>8467</v>
      </c>
      <c r="C7299" s="801" t="s">
        <v>656</v>
      </c>
      <c r="D7299" s="803">
        <v>7.58</v>
      </c>
    </row>
    <row r="7300" spans="1:4" ht="25.5">
      <c r="A7300" s="801">
        <v>109</v>
      </c>
      <c r="B7300" s="802" t="s">
        <v>8468</v>
      </c>
      <c r="C7300" s="801" t="s">
        <v>656</v>
      </c>
      <c r="D7300" s="803">
        <v>3.74</v>
      </c>
    </row>
    <row r="7301" spans="1:4" ht="25.5">
      <c r="A7301" s="801">
        <v>111</v>
      </c>
      <c r="B7301" s="802" t="s">
        <v>8469</v>
      </c>
      <c r="C7301" s="801" t="s">
        <v>656</v>
      </c>
      <c r="D7301" s="803">
        <v>8.74</v>
      </c>
    </row>
    <row r="7302" spans="1:4" ht="25.5">
      <c r="A7302" s="801">
        <v>112</v>
      </c>
      <c r="B7302" s="802" t="s">
        <v>4574</v>
      </c>
      <c r="C7302" s="801" t="s">
        <v>656</v>
      </c>
      <c r="D7302" s="803">
        <v>4.76</v>
      </c>
    </row>
    <row r="7303" spans="1:4" ht="25.5">
      <c r="A7303" s="801">
        <v>113</v>
      </c>
      <c r="B7303" s="802" t="s">
        <v>4575</v>
      </c>
      <c r="C7303" s="801" t="s">
        <v>656</v>
      </c>
      <c r="D7303" s="803">
        <v>12.92</v>
      </c>
    </row>
    <row r="7304" spans="1:4" ht="25.5">
      <c r="A7304" s="801">
        <v>104</v>
      </c>
      <c r="B7304" s="802" t="s">
        <v>8470</v>
      </c>
      <c r="C7304" s="801" t="s">
        <v>656</v>
      </c>
      <c r="D7304" s="803">
        <v>18.79</v>
      </c>
    </row>
    <row r="7305" spans="1:4" ht="25.5">
      <c r="A7305" s="801">
        <v>102</v>
      </c>
      <c r="B7305" s="802" t="s">
        <v>8471</v>
      </c>
      <c r="C7305" s="801" t="s">
        <v>656</v>
      </c>
      <c r="D7305" s="803">
        <v>30.84</v>
      </c>
    </row>
    <row r="7306" spans="1:4" ht="25.5">
      <c r="A7306" s="801">
        <v>95</v>
      </c>
      <c r="B7306" s="802" t="s">
        <v>8472</v>
      </c>
      <c r="C7306" s="801" t="s">
        <v>656</v>
      </c>
      <c r="D7306" s="803">
        <v>10.44</v>
      </c>
    </row>
    <row r="7307" spans="1:4" ht="25.5">
      <c r="A7307" s="801">
        <v>96</v>
      </c>
      <c r="B7307" s="802" t="s">
        <v>8473</v>
      </c>
      <c r="C7307" s="801" t="s">
        <v>656</v>
      </c>
      <c r="D7307" s="803">
        <v>12.01</v>
      </c>
    </row>
    <row r="7308" spans="1:4" ht="25.5">
      <c r="A7308" s="801">
        <v>97</v>
      </c>
      <c r="B7308" s="802" t="s">
        <v>8474</v>
      </c>
      <c r="C7308" s="801" t="s">
        <v>656</v>
      </c>
      <c r="D7308" s="803">
        <v>15.59</v>
      </c>
    </row>
    <row r="7309" spans="1:4" ht="25.5">
      <c r="A7309" s="801">
        <v>98</v>
      </c>
      <c r="B7309" s="802" t="s">
        <v>8475</v>
      </c>
      <c r="C7309" s="801" t="s">
        <v>656</v>
      </c>
      <c r="D7309" s="803">
        <v>21.01</v>
      </c>
    </row>
    <row r="7310" spans="1:4" ht="25.5">
      <c r="A7310" s="801">
        <v>99</v>
      </c>
      <c r="B7310" s="802" t="s">
        <v>8476</v>
      </c>
      <c r="C7310" s="801" t="s">
        <v>656</v>
      </c>
      <c r="D7310" s="803">
        <v>25.49</v>
      </c>
    </row>
    <row r="7311" spans="1:4" ht="25.5">
      <c r="A7311" s="801">
        <v>100</v>
      </c>
      <c r="B7311" s="802" t="s">
        <v>8477</v>
      </c>
      <c r="C7311" s="801" t="s">
        <v>656</v>
      </c>
      <c r="D7311" s="803">
        <v>35.56</v>
      </c>
    </row>
    <row r="7312" spans="1:4" ht="25.5">
      <c r="A7312" s="801">
        <v>75</v>
      </c>
      <c r="B7312" s="802" t="s">
        <v>8478</v>
      </c>
      <c r="C7312" s="801" t="s">
        <v>656</v>
      </c>
      <c r="D7312" s="803">
        <v>370.58</v>
      </c>
    </row>
    <row r="7313" spans="1:4" ht="25.5">
      <c r="A7313" s="801">
        <v>114</v>
      </c>
      <c r="B7313" s="802" t="s">
        <v>8479</v>
      </c>
      <c r="C7313" s="801" t="s">
        <v>656</v>
      </c>
      <c r="D7313" s="803">
        <v>13.5</v>
      </c>
    </row>
    <row r="7314" spans="1:4" ht="25.5">
      <c r="A7314" s="801">
        <v>68</v>
      </c>
      <c r="B7314" s="802" t="s">
        <v>8480</v>
      </c>
      <c r="C7314" s="801" t="s">
        <v>656</v>
      </c>
      <c r="D7314" s="803">
        <v>20.65</v>
      </c>
    </row>
    <row r="7315" spans="1:4" ht="25.5">
      <c r="A7315" s="801">
        <v>86</v>
      </c>
      <c r="B7315" s="802" t="s">
        <v>8481</v>
      </c>
      <c r="C7315" s="801" t="s">
        <v>656</v>
      </c>
      <c r="D7315" s="803">
        <v>38.39</v>
      </c>
    </row>
    <row r="7316" spans="1:4" ht="25.5">
      <c r="A7316" s="801">
        <v>66</v>
      </c>
      <c r="B7316" s="802" t="s">
        <v>8482</v>
      </c>
      <c r="C7316" s="801" t="s">
        <v>656</v>
      </c>
      <c r="D7316" s="803">
        <v>38.520000000000003</v>
      </c>
    </row>
    <row r="7317" spans="1:4" ht="25.5">
      <c r="A7317" s="801">
        <v>69</v>
      </c>
      <c r="B7317" s="802" t="s">
        <v>8483</v>
      </c>
      <c r="C7317" s="801" t="s">
        <v>656</v>
      </c>
      <c r="D7317" s="803">
        <v>58.88</v>
      </c>
    </row>
    <row r="7318" spans="1:4" ht="25.5">
      <c r="A7318" s="801">
        <v>83</v>
      </c>
      <c r="B7318" s="802" t="s">
        <v>8484</v>
      </c>
      <c r="C7318" s="801" t="s">
        <v>656</v>
      </c>
      <c r="D7318" s="803">
        <v>188.07</v>
      </c>
    </row>
    <row r="7319" spans="1:4" ht="25.5">
      <c r="A7319" s="801">
        <v>74</v>
      </c>
      <c r="B7319" s="802" t="s">
        <v>8485</v>
      </c>
      <c r="C7319" s="801" t="s">
        <v>656</v>
      </c>
      <c r="D7319" s="803">
        <v>262.56</v>
      </c>
    </row>
    <row r="7320" spans="1:4" ht="25.5">
      <c r="A7320" s="801">
        <v>106</v>
      </c>
      <c r="B7320" s="802" t="s">
        <v>8486</v>
      </c>
      <c r="C7320" s="801" t="s">
        <v>656</v>
      </c>
      <c r="D7320" s="803">
        <v>398.88</v>
      </c>
    </row>
    <row r="7321" spans="1:4" ht="25.5">
      <c r="A7321" s="801">
        <v>87</v>
      </c>
      <c r="B7321" s="802" t="s">
        <v>8487</v>
      </c>
      <c r="C7321" s="801" t="s">
        <v>656</v>
      </c>
      <c r="D7321" s="803">
        <v>18.96</v>
      </c>
    </row>
    <row r="7322" spans="1:4" ht="25.5">
      <c r="A7322" s="801">
        <v>88</v>
      </c>
      <c r="B7322" s="802" t="s">
        <v>8488</v>
      </c>
      <c r="C7322" s="801" t="s">
        <v>656</v>
      </c>
      <c r="D7322" s="803">
        <v>21.16</v>
      </c>
    </row>
    <row r="7323" spans="1:4" ht="25.5">
      <c r="A7323" s="801">
        <v>89</v>
      </c>
      <c r="B7323" s="802" t="s">
        <v>8489</v>
      </c>
      <c r="C7323" s="801" t="s">
        <v>656</v>
      </c>
      <c r="D7323" s="803">
        <v>31.29</v>
      </c>
    </row>
    <row r="7324" spans="1:4" ht="25.5">
      <c r="A7324" s="801">
        <v>90</v>
      </c>
      <c r="B7324" s="802" t="s">
        <v>8490</v>
      </c>
      <c r="C7324" s="801" t="s">
        <v>656</v>
      </c>
      <c r="D7324" s="803">
        <v>35.840000000000003</v>
      </c>
    </row>
    <row r="7325" spans="1:4" ht="25.5">
      <c r="A7325" s="801">
        <v>81</v>
      </c>
      <c r="B7325" s="802" t="s">
        <v>8491</v>
      </c>
      <c r="C7325" s="801" t="s">
        <v>656</v>
      </c>
      <c r="D7325" s="803">
        <v>61.31</v>
      </c>
    </row>
    <row r="7326" spans="1:4" ht="25.5">
      <c r="A7326" s="801">
        <v>82</v>
      </c>
      <c r="B7326" s="802" t="s">
        <v>8492</v>
      </c>
      <c r="C7326" s="801" t="s">
        <v>656</v>
      </c>
      <c r="D7326" s="803">
        <v>238</v>
      </c>
    </row>
    <row r="7327" spans="1:4" ht="25.5">
      <c r="A7327" s="801">
        <v>105</v>
      </c>
      <c r="B7327" s="802" t="s">
        <v>8493</v>
      </c>
      <c r="C7327" s="801" t="s">
        <v>656</v>
      </c>
      <c r="D7327" s="803">
        <v>278.64</v>
      </c>
    </row>
    <row r="7328" spans="1:4" ht="25.5">
      <c r="A7328" s="801">
        <v>60</v>
      </c>
      <c r="B7328" s="802" t="s">
        <v>8494</v>
      </c>
      <c r="C7328" s="801" t="s">
        <v>656</v>
      </c>
      <c r="D7328" s="803">
        <v>6.49</v>
      </c>
    </row>
    <row r="7329" spans="1:4" ht="25.5">
      <c r="A7329" s="801">
        <v>72</v>
      </c>
      <c r="B7329" s="802" t="s">
        <v>8495</v>
      </c>
      <c r="C7329" s="801" t="s">
        <v>656</v>
      </c>
      <c r="D7329" s="803">
        <v>37.479999999999997</v>
      </c>
    </row>
    <row r="7330" spans="1:4" ht="25.5">
      <c r="A7330" s="801">
        <v>70</v>
      </c>
      <c r="B7330" s="802" t="s">
        <v>8496</v>
      </c>
      <c r="C7330" s="801" t="s">
        <v>656</v>
      </c>
      <c r="D7330" s="803">
        <v>31.34</v>
      </c>
    </row>
    <row r="7331" spans="1:4" ht="25.5">
      <c r="A7331" s="801">
        <v>85</v>
      </c>
      <c r="B7331" s="802" t="s">
        <v>8497</v>
      </c>
      <c r="C7331" s="801" t="s">
        <v>656</v>
      </c>
      <c r="D7331" s="803">
        <v>45.49</v>
      </c>
    </row>
    <row r="7332" spans="1:4" ht="25.5">
      <c r="A7332" s="801">
        <v>84</v>
      </c>
      <c r="B7332" s="802" t="s">
        <v>8498</v>
      </c>
      <c r="C7332" s="801" t="s">
        <v>656</v>
      </c>
      <c r="D7332" s="803">
        <v>0.52</v>
      </c>
    </row>
    <row r="7333" spans="1:4">
      <c r="A7333" s="801">
        <v>37997</v>
      </c>
      <c r="B7333" s="802" t="s">
        <v>8499</v>
      </c>
      <c r="C7333" s="801" t="s">
        <v>656</v>
      </c>
      <c r="D7333" s="803">
        <v>8.9499999999999993</v>
      </c>
    </row>
    <row r="7334" spans="1:4">
      <c r="A7334" s="801">
        <v>37998</v>
      </c>
      <c r="B7334" s="802" t="s">
        <v>8500</v>
      </c>
      <c r="C7334" s="801" t="s">
        <v>656</v>
      </c>
      <c r="D7334" s="803">
        <v>9.27</v>
      </c>
    </row>
    <row r="7335" spans="1:4" ht="38.25">
      <c r="A7335" s="801">
        <v>10899</v>
      </c>
      <c r="B7335" s="802" t="s">
        <v>8501</v>
      </c>
      <c r="C7335" s="801" t="s">
        <v>656</v>
      </c>
      <c r="D7335" s="803">
        <v>68.12</v>
      </c>
    </row>
    <row r="7336" spans="1:4" ht="38.25">
      <c r="A7336" s="801">
        <v>10900</v>
      </c>
      <c r="B7336" s="802" t="s">
        <v>8502</v>
      </c>
      <c r="C7336" s="801" t="s">
        <v>656</v>
      </c>
      <c r="D7336" s="803">
        <v>53.31</v>
      </c>
    </row>
    <row r="7337" spans="1:4">
      <c r="A7337" s="801">
        <v>46</v>
      </c>
      <c r="B7337" s="802" t="s">
        <v>8503</v>
      </c>
      <c r="C7337" s="801" t="s">
        <v>656</v>
      </c>
      <c r="D7337" s="803">
        <v>58.46</v>
      </c>
    </row>
    <row r="7338" spans="1:4">
      <c r="A7338" s="801">
        <v>51</v>
      </c>
      <c r="B7338" s="802" t="s">
        <v>8504</v>
      </c>
      <c r="C7338" s="801" t="s">
        <v>656</v>
      </c>
      <c r="D7338" s="803">
        <v>161.27000000000001</v>
      </c>
    </row>
    <row r="7339" spans="1:4">
      <c r="A7339" s="801">
        <v>12863</v>
      </c>
      <c r="B7339" s="802" t="s">
        <v>8505</v>
      </c>
      <c r="C7339" s="801" t="s">
        <v>656</v>
      </c>
      <c r="D7339" s="803">
        <v>37.14</v>
      </c>
    </row>
    <row r="7340" spans="1:4">
      <c r="A7340" s="801">
        <v>50</v>
      </c>
      <c r="B7340" s="802" t="s">
        <v>8506</v>
      </c>
      <c r="C7340" s="801" t="s">
        <v>656</v>
      </c>
      <c r="D7340" s="803">
        <v>84.21</v>
      </c>
    </row>
    <row r="7341" spans="1:4">
      <c r="A7341" s="801">
        <v>47</v>
      </c>
      <c r="B7341" s="802" t="s">
        <v>8507</v>
      </c>
      <c r="C7341" s="801" t="s">
        <v>656</v>
      </c>
      <c r="D7341" s="803">
        <v>99.95</v>
      </c>
    </row>
    <row r="7342" spans="1:4">
      <c r="A7342" s="801">
        <v>48</v>
      </c>
      <c r="B7342" s="802" t="s">
        <v>8508</v>
      </c>
      <c r="C7342" s="801" t="s">
        <v>656</v>
      </c>
      <c r="D7342" s="803">
        <v>26.07</v>
      </c>
    </row>
    <row r="7343" spans="1:4">
      <c r="A7343" s="801">
        <v>52</v>
      </c>
      <c r="B7343" s="802" t="s">
        <v>8509</v>
      </c>
      <c r="C7343" s="801" t="s">
        <v>656</v>
      </c>
      <c r="D7343" s="803">
        <v>19.809999999999999</v>
      </c>
    </row>
    <row r="7344" spans="1:4">
      <c r="A7344" s="801">
        <v>43</v>
      </c>
      <c r="B7344" s="802" t="s">
        <v>8510</v>
      </c>
      <c r="C7344" s="801" t="s">
        <v>656</v>
      </c>
      <c r="D7344" s="803">
        <v>66.849999999999994</v>
      </c>
    </row>
    <row r="7345" spans="1:4" ht="38.25">
      <c r="A7345" s="801">
        <v>39719</v>
      </c>
      <c r="B7345" s="802" t="s">
        <v>8511</v>
      </c>
      <c r="C7345" s="801" t="s">
        <v>655</v>
      </c>
      <c r="D7345" s="803">
        <v>200.15</v>
      </c>
    </row>
    <row r="7346" spans="1:4">
      <c r="A7346" s="801">
        <v>3410</v>
      </c>
      <c r="B7346" s="802" t="s">
        <v>8512</v>
      </c>
      <c r="C7346" s="801" t="s">
        <v>653</v>
      </c>
      <c r="D7346" s="803">
        <v>45.02</v>
      </c>
    </row>
    <row r="7347" spans="1:4">
      <c r="A7347" s="801">
        <v>4791</v>
      </c>
      <c r="B7347" s="802" t="s">
        <v>8513</v>
      </c>
      <c r="C7347" s="801" t="s">
        <v>653</v>
      </c>
      <c r="D7347" s="803">
        <v>19.12</v>
      </c>
    </row>
    <row r="7348" spans="1:4" ht="25.5">
      <c r="A7348" s="801">
        <v>157</v>
      </c>
      <c r="B7348" s="802" t="s">
        <v>8514</v>
      </c>
      <c r="C7348" s="801" t="s">
        <v>653</v>
      </c>
      <c r="D7348" s="803">
        <v>113.65</v>
      </c>
    </row>
    <row r="7349" spans="1:4" ht="25.5">
      <c r="A7349" s="801">
        <v>156</v>
      </c>
      <c r="B7349" s="802" t="s">
        <v>8515</v>
      </c>
      <c r="C7349" s="801" t="s">
        <v>653</v>
      </c>
      <c r="D7349" s="803">
        <v>40.46</v>
      </c>
    </row>
    <row r="7350" spans="1:4" ht="25.5">
      <c r="A7350" s="801">
        <v>131</v>
      </c>
      <c r="B7350" s="802" t="s">
        <v>8516</v>
      </c>
      <c r="C7350" s="801" t="s">
        <v>653</v>
      </c>
      <c r="D7350" s="803">
        <v>34.6</v>
      </c>
    </row>
    <row r="7351" spans="1:4">
      <c r="A7351" s="801">
        <v>21114</v>
      </c>
      <c r="B7351" s="802" t="s">
        <v>8517</v>
      </c>
      <c r="C7351" s="801" t="s">
        <v>656</v>
      </c>
      <c r="D7351" s="803">
        <v>39.450000000000003</v>
      </c>
    </row>
    <row r="7352" spans="1:4">
      <c r="A7352" s="801">
        <v>119</v>
      </c>
      <c r="B7352" s="802" t="s">
        <v>8518</v>
      </c>
      <c r="C7352" s="801" t="s">
        <v>656</v>
      </c>
      <c r="D7352" s="803">
        <v>10</v>
      </c>
    </row>
    <row r="7353" spans="1:4">
      <c r="A7353" s="801">
        <v>122</v>
      </c>
      <c r="B7353" s="802" t="s">
        <v>8519</v>
      </c>
      <c r="C7353" s="801" t="s">
        <v>656</v>
      </c>
      <c r="D7353" s="803">
        <v>76.94</v>
      </c>
    </row>
    <row r="7354" spans="1:4">
      <c r="A7354" s="801">
        <v>20080</v>
      </c>
      <c r="B7354" s="802" t="s">
        <v>4576</v>
      </c>
      <c r="C7354" s="801" t="s">
        <v>656</v>
      </c>
      <c r="D7354" s="803">
        <v>25.11</v>
      </c>
    </row>
    <row r="7355" spans="1:4" ht="25.5">
      <c r="A7355" s="801">
        <v>124</v>
      </c>
      <c r="B7355" s="802" t="s">
        <v>8520</v>
      </c>
      <c r="C7355" s="801" t="s">
        <v>655</v>
      </c>
      <c r="D7355" s="803">
        <v>13.34</v>
      </c>
    </row>
    <row r="7356" spans="1:4" ht="25.5">
      <c r="A7356" s="801">
        <v>7334</v>
      </c>
      <c r="B7356" s="802" t="s">
        <v>4577</v>
      </c>
      <c r="C7356" s="801" t="s">
        <v>655</v>
      </c>
      <c r="D7356" s="803">
        <v>26.6</v>
      </c>
    </row>
    <row r="7357" spans="1:4" ht="38.25">
      <c r="A7357" s="801">
        <v>123</v>
      </c>
      <c r="B7357" s="802" t="s">
        <v>4578</v>
      </c>
      <c r="C7357" s="801" t="s">
        <v>655</v>
      </c>
      <c r="D7357" s="803">
        <v>5.46</v>
      </c>
    </row>
    <row r="7358" spans="1:4" ht="25.5">
      <c r="A7358" s="801">
        <v>127</v>
      </c>
      <c r="B7358" s="802" t="s">
        <v>8521</v>
      </c>
      <c r="C7358" s="801" t="s">
        <v>655</v>
      </c>
      <c r="D7358" s="803">
        <v>13.03</v>
      </c>
    </row>
    <row r="7359" spans="1:4">
      <c r="A7359" s="801">
        <v>41373</v>
      </c>
      <c r="B7359" s="802" t="s">
        <v>8522</v>
      </c>
      <c r="C7359" s="801" t="s">
        <v>655</v>
      </c>
      <c r="D7359" s="803">
        <v>18.16</v>
      </c>
    </row>
    <row r="7360" spans="1:4" ht="25.5">
      <c r="A7360" s="801">
        <v>133</v>
      </c>
      <c r="B7360" s="802" t="s">
        <v>8523</v>
      </c>
      <c r="C7360" s="801" t="s">
        <v>655</v>
      </c>
      <c r="D7360" s="803">
        <v>5.41</v>
      </c>
    </row>
    <row r="7361" spans="1:4" ht="25.5">
      <c r="A7361" s="801">
        <v>43617</v>
      </c>
      <c r="B7361" s="802" t="s">
        <v>8524</v>
      </c>
      <c r="C7361" s="801" t="s">
        <v>655</v>
      </c>
      <c r="D7361" s="803">
        <v>6.05</v>
      </c>
    </row>
    <row r="7362" spans="1:4" ht="25.5">
      <c r="A7362" s="801">
        <v>132</v>
      </c>
      <c r="B7362" s="802" t="s">
        <v>8525</v>
      </c>
      <c r="C7362" s="801" t="s">
        <v>655</v>
      </c>
      <c r="D7362" s="803">
        <v>5.61</v>
      </c>
    </row>
    <row r="7363" spans="1:4" ht="25.5">
      <c r="A7363" s="801">
        <v>43618</v>
      </c>
      <c r="B7363" s="802" t="s">
        <v>8526</v>
      </c>
      <c r="C7363" s="801" t="s">
        <v>653</v>
      </c>
      <c r="D7363" s="803">
        <v>14.13</v>
      </c>
    </row>
    <row r="7364" spans="1:4" ht="51">
      <c r="A7364" s="801">
        <v>37476</v>
      </c>
      <c r="B7364" s="802" t="s">
        <v>8527</v>
      </c>
      <c r="C7364" s="801" t="s">
        <v>656</v>
      </c>
      <c r="D7364" s="803">
        <v>3261.17</v>
      </c>
    </row>
    <row r="7365" spans="1:4" ht="51">
      <c r="A7365" s="801">
        <v>37478</v>
      </c>
      <c r="B7365" s="802" t="s">
        <v>8528</v>
      </c>
      <c r="C7365" s="801" t="s">
        <v>656</v>
      </c>
      <c r="D7365" s="803">
        <v>4084.7</v>
      </c>
    </row>
    <row r="7366" spans="1:4" ht="51">
      <c r="A7366" s="801">
        <v>37477</v>
      </c>
      <c r="B7366" s="802" t="s">
        <v>8529</v>
      </c>
      <c r="C7366" s="801" t="s">
        <v>656</v>
      </c>
      <c r="D7366" s="803">
        <v>5534.11</v>
      </c>
    </row>
    <row r="7367" spans="1:4" ht="51">
      <c r="A7367" s="801">
        <v>37479</v>
      </c>
      <c r="B7367" s="802" t="s">
        <v>8530</v>
      </c>
      <c r="C7367" s="801" t="s">
        <v>656</v>
      </c>
      <c r="D7367" s="803">
        <v>6563.52</v>
      </c>
    </row>
    <row r="7368" spans="1:4" ht="25.5">
      <c r="A7368" s="801">
        <v>4319</v>
      </c>
      <c r="B7368" s="802" t="s">
        <v>8531</v>
      </c>
      <c r="C7368" s="801" t="s">
        <v>656</v>
      </c>
      <c r="D7368" s="803">
        <v>1.72</v>
      </c>
    </row>
    <row r="7369" spans="1:4" ht="25.5">
      <c r="A7369" s="801">
        <v>42409</v>
      </c>
      <c r="B7369" s="802" t="s">
        <v>8532</v>
      </c>
      <c r="C7369" s="801" t="s">
        <v>653</v>
      </c>
      <c r="D7369" s="803">
        <v>8.89</v>
      </c>
    </row>
    <row r="7370" spans="1:4" ht="25.5">
      <c r="A7370" s="801">
        <v>40553</v>
      </c>
      <c r="B7370" s="802" t="s">
        <v>8533</v>
      </c>
      <c r="C7370" s="801" t="s">
        <v>654</v>
      </c>
      <c r="D7370" s="803">
        <v>40.58</v>
      </c>
    </row>
    <row r="7371" spans="1:4">
      <c r="A7371" s="801">
        <v>6114</v>
      </c>
      <c r="B7371" s="802" t="s">
        <v>8534</v>
      </c>
      <c r="C7371" s="801" t="s">
        <v>659</v>
      </c>
      <c r="D7371" s="803">
        <v>10.199999999999999</v>
      </c>
    </row>
    <row r="7372" spans="1:4">
      <c r="A7372" s="801">
        <v>40912</v>
      </c>
      <c r="B7372" s="802" t="s">
        <v>8535</v>
      </c>
      <c r="C7372" s="801" t="s">
        <v>772</v>
      </c>
      <c r="D7372" s="803">
        <v>1803.89</v>
      </c>
    </row>
    <row r="7373" spans="1:4">
      <c r="A7373" s="801">
        <v>247</v>
      </c>
      <c r="B7373" s="802" t="s">
        <v>4579</v>
      </c>
      <c r="C7373" s="801" t="s">
        <v>659</v>
      </c>
      <c r="D7373" s="803">
        <v>9.9700000000000006</v>
      </c>
    </row>
    <row r="7374" spans="1:4">
      <c r="A7374" s="801">
        <v>40919</v>
      </c>
      <c r="B7374" s="802" t="s">
        <v>8536</v>
      </c>
      <c r="C7374" s="801" t="s">
        <v>772</v>
      </c>
      <c r="D7374" s="803">
        <v>1762.84</v>
      </c>
    </row>
    <row r="7375" spans="1:4">
      <c r="A7375" s="801">
        <v>40984</v>
      </c>
      <c r="B7375" s="802" t="s">
        <v>8537</v>
      </c>
      <c r="C7375" s="801" t="s">
        <v>772</v>
      </c>
      <c r="D7375" s="803">
        <v>1295.78</v>
      </c>
    </row>
    <row r="7376" spans="1:4">
      <c r="A7376" s="801">
        <v>44499</v>
      </c>
      <c r="B7376" s="802" t="s">
        <v>8538</v>
      </c>
      <c r="C7376" s="801" t="s">
        <v>659</v>
      </c>
      <c r="D7376" s="803">
        <v>7.33</v>
      </c>
    </row>
    <row r="7377" spans="1:4">
      <c r="A7377" s="801">
        <v>248</v>
      </c>
      <c r="B7377" s="802" t="s">
        <v>8539</v>
      </c>
      <c r="C7377" s="801" t="s">
        <v>659</v>
      </c>
      <c r="D7377" s="803">
        <v>10.199999999999999</v>
      </c>
    </row>
    <row r="7378" spans="1:4">
      <c r="A7378" s="801">
        <v>41086</v>
      </c>
      <c r="B7378" s="802" t="s">
        <v>8540</v>
      </c>
      <c r="C7378" s="801" t="s">
        <v>772</v>
      </c>
      <c r="D7378" s="803">
        <v>1803.89</v>
      </c>
    </row>
    <row r="7379" spans="1:4">
      <c r="A7379" s="801">
        <v>34466</v>
      </c>
      <c r="B7379" s="802" t="s">
        <v>13445</v>
      </c>
      <c r="C7379" s="801" t="s">
        <v>659</v>
      </c>
      <c r="D7379" s="803">
        <v>11.05</v>
      </c>
    </row>
    <row r="7380" spans="1:4">
      <c r="A7380" s="801">
        <v>41083</v>
      </c>
      <c r="B7380" s="802" t="s">
        <v>8541</v>
      </c>
      <c r="C7380" s="801" t="s">
        <v>772</v>
      </c>
      <c r="D7380" s="803">
        <v>1953.43</v>
      </c>
    </row>
    <row r="7381" spans="1:4">
      <c r="A7381" s="801">
        <v>252</v>
      </c>
      <c r="B7381" s="802" t="s">
        <v>8542</v>
      </c>
      <c r="C7381" s="801" t="s">
        <v>659</v>
      </c>
      <c r="D7381" s="803">
        <v>11.05</v>
      </c>
    </row>
    <row r="7382" spans="1:4">
      <c r="A7382" s="801">
        <v>40909</v>
      </c>
      <c r="B7382" s="802" t="s">
        <v>8543</v>
      </c>
      <c r="C7382" s="801" t="s">
        <v>772</v>
      </c>
      <c r="D7382" s="803">
        <v>1953.43</v>
      </c>
    </row>
    <row r="7383" spans="1:4">
      <c r="A7383" s="801">
        <v>242</v>
      </c>
      <c r="B7383" s="802" t="s">
        <v>4580</v>
      </c>
      <c r="C7383" s="801" t="s">
        <v>659</v>
      </c>
      <c r="D7383" s="803">
        <v>11.05</v>
      </c>
    </row>
    <row r="7384" spans="1:4">
      <c r="A7384" s="801">
        <v>41085</v>
      </c>
      <c r="B7384" s="802" t="s">
        <v>8544</v>
      </c>
      <c r="C7384" s="801" t="s">
        <v>772</v>
      </c>
      <c r="D7384" s="803">
        <v>1952.3</v>
      </c>
    </row>
    <row r="7385" spans="1:4" ht="25.5">
      <c r="A7385" s="801">
        <v>427</v>
      </c>
      <c r="B7385" s="802" t="s">
        <v>8545</v>
      </c>
      <c r="C7385" s="801" t="s">
        <v>656</v>
      </c>
      <c r="D7385" s="803">
        <v>8.73</v>
      </c>
    </row>
    <row r="7386" spans="1:4" ht="25.5">
      <c r="A7386" s="801">
        <v>417</v>
      </c>
      <c r="B7386" s="802" t="s">
        <v>8546</v>
      </c>
      <c r="C7386" s="801" t="s">
        <v>656</v>
      </c>
      <c r="D7386" s="803">
        <v>4.1100000000000003</v>
      </c>
    </row>
    <row r="7387" spans="1:4" ht="25.5">
      <c r="A7387" s="801">
        <v>11273</v>
      </c>
      <c r="B7387" s="802" t="s">
        <v>8547</v>
      </c>
      <c r="C7387" s="801" t="s">
        <v>656</v>
      </c>
      <c r="D7387" s="803">
        <v>12.77</v>
      </c>
    </row>
    <row r="7388" spans="1:4" ht="25.5">
      <c r="A7388" s="801">
        <v>11272</v>
      </c>
      <c r="B7388" s="802" t="s">
        <v>8548</v>
      </c>
      <c r="C7388" s="801" t="s">
        <v>656</v>
      </c>
      <c r="D7388" s="803">
        <v>7.71</v>
      </c>
    </row>
    <row r="7389" spans="1:4" ht="25.5">
      <c r="A7389" s="801">
        <v>11275</v>
      </c>
      <c r="B7389" s="802" t="s">
        <v>8549</v>
      </c>
      <c r="C7389" s="801" t="s">
        <v>656</v>
      </c>
      <c r="D7389" s="803">
        <v>3.09</v>
      </c>
    </row>
    <row r="7390" spans="1:4" ht="25.5">
      <c r="A7390" s="801">
        <v>11274</v>
      </c>
      <c r="B7390" s="802" t="s">
        <v>8550</v>
      </c>
      <c r="C7390" s="801" t="s">
        <v>656</v>
      </c>
      <c r="D7390" s="803">
        <v>2.36</v>
      </c>
    </row>
    <row r="7391" spans="1:4">
      <c r="A7391" s="801">
        <v>38470</v>
      </c>
      <c r="B7391" s="802" t="s">
        <v>8551</v>
      </c>
      <c r="C7391" s="801" t="s">
        <v>656</v>
      </c>
      <c r="D7391" s="803">
        <v>41.6</v>
      </c>
    </row>
    <row r="7392" spans="1:4">
      <c r="A7392" s="801">
        <v>38547</v>
      </c>
      <c r="B7392" s="802" t="s">
        <v>8552</v>
      </c>
      <c r="C7392" s="801" t="s">
        <v>656</v>
      </c>
      <c r="D7392" s="803">
        <v>113.52</v>
      </c>
    </row>
    <row r="7393" spans="1:4">
      <c r="A7393" s="801">
        <v>38469</v>
      </c>
      <c r="B7393" s="802" t="s">
        <v>8553</v>
      </c>
      <c r="C7393" s="801" t="s">
        <v>656</v>
      </c>
      <c r="D7393" s="803">
        <v>122.06</v>
      </c>
    </row>
    <row r="7394" spans="1:4">
      <c r="A7394" s="801">
        <v>38467</v>
      </c>
      <c r="B7394" s="802" t="s">
        <v>8554</v>
      </c>
      <c r="C7394" s="801" t="s">
        <v>656</v>
      </c>
      <c r="D7394" s="803">
        <v>68.680000000000007</v>
      </c>
    </row>
    <row r="7395" spans="1:4">
      <c r="A7395" s="801">
        <v>38468</v>
      </c>
      <c r="B7395" s="802" t="s">
        <v>8555</v>
      </c>
      <c r="C7395" s="801" t="s">
        <v>656</v>
      </c>
      <c r="D7395" s="803">
        <v>75.58</v>
      </c>
    </row>
    <row r="7396" spans="1:4">
      <c r="A7396" s="801">
        <v>38471</v>
      </c>
      <c r="B7396" s="802" t="s">
        <v>8556</v>
      </c>
      <c r="C7396" s="801" t="s">
        <v>656</v>
      </c>
      <c r="D7396" s="803">
        <v>98.15</v>
      </c>
    </row>
    <row r="7397" spans="1:4">
      <c r="A7397" s="801">
        <v>37370</v>
      </c>
      <c r="B7397" s="802" t="s">
        <v>4581</v>
      </c>
      <c r="C7397" s="801" t="s">
        <v>659</v>
      </c>
      <c r="D7397" s="803">
        <v>1.52</v>
      </c>
    </row>
    <row r="7398" spans="1:4">
      <c r="A7398" s="801">
        <v>40862</v>
      </c>
      <c r="B7398" s="802" t="s">
        <v>8557</v>
      </c>
      <c r="C7398" s="801" t="s">
        <v>772</v>
      </c>
      <c r="D7398" s="803">
        <v>286.18</v>
      </c>
    </row>
    <row r="7399" spans="1:4" ht="25.5">
      <c r="A7399" s="801">
        <v>10658</v>
      </c>
      <c r="B7399" s="802" t="s">
        <v>4582</v>
      </c>
      <c r="C7399" s="801" t="s">
        <v>656</v>
      </c>
      <c r="D7399" s="803">
        <v>7309.5</v>
      </c>
    </row>
    <row r="7400" spans="1:4">
      <c r="A7400" s="801">
        <v>253</v>
      </c>
      <c r="B7400" s="802" t="s">
        <v>8558</v>
      </c>
      <c r="C7400" s="801" t="s">
        <v>659</v>
      </c>
      <c r="D7400" s="803">
        <v>13.73</v>
      </c>
    </row>
    <row r="7401" spans="1:4">
      <c r="A7401" s="801">
        <v>40809</v>
      </c>
      <c r="B7401" s="802" t="s">
        <v>8559</v>
      </c>
      <c r="C7401" s="801" t="s">
        <v>772</v>
      </c>
      <c r="D7401" s="803">
        <v>2424.4299999999998</v>
      </c>
    </row>
    <row r="7402" spans="1:4" ht="51">
      <c r="A7402" s="801">
        <v>42428</v>
      </c>
      <c r="B7402" s="802" t="s">
        <v>8560</v>
      </c>
      <c r="C7402" s="801" t="s">
        <v>656</v>
      </c>
      <c r="D7402" s="803">
        <v>2230</v>
      </c>
    </row>
    <row r="7403" spans="1:4">
      <c r="A7403" s="801">
        <v>583</v>
      </c>
      <c r="B7403" s="802" t="s">
        <v>8561</v>
      </c>
      <c r="C7403" s="801" t="s">
        <v>653</v>
      </c>
      <c r="D7403" s="803">
        <v>46.64</v>
      </c>
    </row>
    <row r="7404" spans="1:4" ht="25.5">
      <c r="A7404" s="801">
        <v>301</v>
      </c>
      <c r="B7404" s="802" t="s">
        <v>4583</v>
      </c>
      <c r="C7404" s="801" t="s">
        <v>656</v>
      </c>
      <c r="D7404" s="803">
        <v>4.84</v>
      </c>
    </row>
    <row r="7405" spans="1:4" ht="25.5">
      <c r="A7405" s="801">
        <v>296</v>
      </c>
      <c r="B7405" s="802" t="s">
        <v>8562</v>
      </c>
      <c r="C7405" s="801" t="s">
        <v>656</v>
      </c>
      <c r="D7405" s="803">
        <v>2.73</v>
      </c>
    </row>
    <row r="7406" spans="1:4" ht="25.5">
      <c r="A7406" s="801">
        <v>297</v>
      </c>
      <c r="B7406" s="802" t="s">
        <v>8563</v>
      </c>
      <c r="C7406" s="801" t="s">
        <v>656</v>
      </c>
      <c r="D7406" s="803">
        <v>4.0199999999999996</v>
      </c>
    </row>
    <row r="7407" spans="1:4" ht="25.5">
      <c r="A7407" s="801">
        <v>299</v>
      </c>
      <c r="B7407" s="802" t="s">
        <v>8564</v>
      </c>
      <c r="C7407" s="801" t="s">
        <v>656</v>
      </c>
      <c r="D7407" s="803">
        <v>5.68</v>
      </c>
    </row>
    <row r="7408" spans="1:4" ht="25.5">
      <c r="A7408" s="801">
        <v>300</v>
      </c>
      <c r="B7408" s="802" t="s">
        <v>8565</v>
      </c>
      <c r="C7408" s="801" t="s">
        <v>656</v>
      </c>
      <c r="D7408" s="803">
        <v>19.649999999999999</v>
      </c>
    </row>
    <row r="7409" spans="1:4" ht="25.5">
      <c r="A7409" s="801">
        <v>20085</v>
      </c>
      <c r="B7409" s="802" t="s">
        <v>4584</v>
      </c>
      <c r="C7409" s="801" t="s">
        <v>656</v>
      </c>
      <c r="D7409" s="803">
        <v>3.59</v>
      </c>
    </row>
    <row r="7410" spans="1:4" ht="25.5">
      <c r="A7410" s="801">
        <v>298</v>
      </c>
      <c r="B7410" s="802" t="s">
        <v>8566</v>
      </c>
      <c r="C7410" s="801" t="s">
        <v>656</v>
      </c>
      <c r="D7410" s="803">
        <v>4.3600000000000003</v>
      </c>
    </row>
    <row r="7411" spans="1:4" ht="25.5">
      <c r="A7411" s="801">
        <v>311</v>
      </c>
      <c r="B7411" s="802" t="s">
        <v>8567</v>
      </c>
      <c r="C7411" s="801" t="s">
        <v>656</v>
      </c>
      <c r="D7411" s="803">
        <v>16.2</v>
      </c>
    </row>
    <row r="7412" spans="1:4" ht="25.5">
      <c r="A7412" s="801">
        <v>318</v>
      </c>
      <c r="B7412" s="802" t="s">
        <v>8568</v>
      </c>
      <c r="C7412" s="801" t="s">
        <v>656</v>
      </c>
      <c r="D7412" s="803">
        <v>32.630000000000003</v>
      </c>
    </row>
    <row r="7413" spans="1:4" ht="25.5">
      <c r="A7413" s="801">
        <v>319</v>
      </c>
      <c r="B7413" s="802" t="s">
        <v>8569</v>
      </c>
      <c r="C7413" s="801" t="s">
        <v>656</v>
      </c>
      <c r="D7413" s="803">
        <v>51.16</v>
      </c>
    </row>
    <row r="7414" spans="1:4" ht="25.5">
      <c r="A7414" s="801">
        <v>303</v>
      </c>
      <c r="B7414" s="802" t="s">
        <v>8570</v>
      </c>
      <c r="C7414" s="801" t="s">
        <v>656</v>
      </c>
      <c r="D7414" s="803">
        <v>5.36</v>
      </c>
    </row>
    <row r="7415" spans="1:4" ht="25.5">
      <c r="A7415" s="801">
        <v>305</v>
      </c>
      <c r="B7415" s="802" t="s">
        <v>8571</v>
      </c>
      <c r="C7415" s="801" t="s">
        <v>656</v>
      </c>
      <c r="D7415" s="803">
        <v>16.87</v>
      </c>
    </row>
    <row r="7416" spans="1:4" ht="25.5">
      <c r="A7416" s="801">
        <v>306</v>
      </c>
      <c r="B7416" s="802" t="s">
        <v>8572</v>
      </c>
      <c r="C7416" s="801" t="s">
        <v>656</v>
      </c>
      <c r="D7416" s="803">
        <v>25.58</v>
      </c>
    </row>
    <row r="7417" spans="1:4" ht="25.5">
      <c r="A7417" s="801">
        <v>307</v>
      </c>
      <c r="B7417" s="802" t="s">
        <v>8573</v>
      </c>
      <c r="C7417" s="801" t="s">
        <v>656</v>
      </c>
      <c r="D7417" s="803">
        <v>64.63</v>
      </c>
    </row>
    <row r="7418" spans="1:4" ht="25.5">
      <c r="A7418" s="801">
        <v>309</v>
      </c>
      <c r="B7418" s="802" t="s">
        <v>8574</v>
      </c>
      <c r="C7418" s="801" t="s">
        <v>656</v>
      </c>
      <c r="D7418" s="803">
        <v>105.87</v>
      </c>
    </row>
    <row r="7419" spans="1:4" ht="25.5">
      <c r="A7419" s="801">
        <v>310</v>
      </c>
      <c r="B7419" s="802" t="s">
        <v>8575</v>
      </c>
      <c r="C7419" s="801" t="s">
        <v>656</v>
      </c>
      <c r="D7419" s="803">
        <v>146.72999999999999</v>
      </c>
    </row>
    <row r="7420" spans="1:4" ht="25.5">
      <c r="A7420" s="801">
        <v>328</v>
      </c>
      <c r="B7420" s="802" t="s">
        <v>8576</v>
      </c>
      <c r="C7420" s="801" t="s">
        <v>656</v>
      </c>
      <c r="D7420" s="803">
        <v>12.83</v>
      </c>
    </row>
    <row r="7421" spans="1:4" ht="25.5">
      <c r="A7421" s="801">
        <v>325</v>
      </c>
      <c r="B7421" s="802" t="s">
        <v>8577</v>
      </c>
      <c r="C7421" s="801" t="s">
        <v>656</v>
      </c>
      <c r="D7421" s="803">
        <v>3.78</v>
      </c>
    </row>
    <row r="7422" spans="1:4" ht="25.5">
      <c r="A7422" s="801">
        <v>20326</v>
      </c>
      <c r="B7422" s="802" t="s">
        <v>8578</v>
      </c>
      <c r="C7422" s="801" t="s">
        <v>656</v>
      </c>
      <c r="D7422" s="803">
        <v>6.92</v>
      </c>
    </row>
    <row r="7423" spans="1:4" ht="25.5">
      <c r="A7423" s="801">
        <v>329</v>
      </c>
      <c r="B7423" s="802" t="s">
        <v>8579</v>
      </c>
      <c r="C7423" s="801" t="s">
        <v>656</v>
      </c>
      <c r="D7423" s="803">
        <v>10.73</v>
      </c>
    </row>
    <row r="7424" spans="1:4" ht="25.5">
      <c r="A7424" s="801">
        <v>308</v>
      </c>
      <c r="B7424" s="802" t="s">
        <v>8580</v>
      </c>
      <c r="C7424" s="801" t="s">
        <v>656</v>
      </c>
      <c r="D7424" s="803">
        <v>144.24</v>
      </c>
    </row>
    <row r="7425" spans="1:4" ht="25.5">
      <c r="A7425" s="801">
        <v>39642</v>
      </c>
      <c r="B7425" s="802" t="s">
        <v>8581</v>
      </c>
      <c r="C7425" s="801" t="s">
        <v>656</v>
      </c>
      <c r="D7425" s="803">
        <v>4.75</v>
      </c>
    </row>
    <row r="7426" spans="1:4" ht="25.5">
      <c r="A7426" s="801">
        <v>39641</v>
      </c>
      <c r="B7426" s="802" t="s">
        <v>8582</v>
      </c>
      <c r="C7426" s="801" t="s">
        <v>656</v>
      </c>
      <c r="D7426" s="803">
        <v>4.17</v>
      </c>
    </row>
    <row r="7427" spans="1:4" ht="25.5">
      <c r="A7427" s="801">
        <v>39643</v>
      </c>
      <c r="B7427" s="802" t="s">
        <v>8583</v>
      </c>
      <c r="C7427" s="801" t="s">
        <v>656</v>
      </c>
      <c r="D7427" s="803">
        <v>5.58</v>
      </c>
    </row>
    <row r="7428" spans="1:4" ht="25.5">
      <c r="A7428" s="801">
        <v>39644</v>
      </c>
      <c r="B7428" s="802" t="s">
        <v>8584</v>
      </c>
      <c r="C7428" s="801" t="s">
        <v>656</v>
      </c>
      <c r="D7428" s="803">
        <v>8.65</v>
      </c>
    </row>
    <row r="7429" spans="1:4" ht="25.5">
      <c r="A7429" s="801">
        <v>39645</v>
      </c>
      <c r="B7429" s="802" t="s">
        <v>8585</v>
      </c>
      <c r="C7429" s="801" t="s">
        <v>656</v>
      </c>
      <c r="D7429" s="803">
        <v>9.48</v>
      </c>
    </row>
    <row r="7430" spans="1:4" ht="25.5">
      <c r="A7430" s="801">
        <v>41610</v>
      </c>
      <c r="B7430" s="802" t="s">
        <v>8586</v>
      </c>
      <c r="C7430" s="801" t="s">
        <v>656</v>
      </c>
      <c r="D7430" s="803">
        <v>605.03</v>
      </c>
    </row>
    <row r="7431" spans="1:4" ht="25.5">
      <c r="A7431" s="801">
        <v>41611</v>
      </c>
      <c r="B7431" s="802" t="s">
        <v>8587</v>
      </c>
      <c r="C7431" s="801" t="s">
        <v>656</v>
      </c>
      <c r="D7431" s="803">
        <v>953.64</v>
      </c>
    </row>
    <row r="7432" spans="1:4" ht="25.5">
      <c r="A7432" s="801">
        <v>41612</v>
      </c>
      <c r="B7432" s="802" t="s">
        <v>8588</v>
      </c>
      <c r="C7432" s="801" t="s">
        <v>656</v>
      </c>
      <c r="D7432" s="803">
        <v>1339.05</v>
      </c>
    </row>
    <row r="7433" spans="1:4" ht="25.5">
      <c r="A7433" s="801">
        <v>41637</v>
      </c>
      <c r="B7433" s="802" t="s">
        <v>8589</v>
      </c>
      <c r="C7433" s="801" t="s">
        <v>656</v>
      </c>
      <c r="D7433" s="803">
        <v>125.17</v>
      </c>
    </row>
    <row r="7434" spans="1:4" ht="25.5">
      <c r="A7434" s="801">
        <v>41638</v>
      </c>
      <c r="B7434" s="802" t="s">
        <v>8590</v>
      </c>
      <c r="C7434" s="801" t="s">
        <v>656</v>
      </c>
      <c r="D7434" s="803">
        <v>163.05000000000001</v>
      </c>
    </row>
    <row r="7435" spans="1:4" ht="25.5">
      <c r="A7435" s="801">
        <v>41639</v>
      </c>
      <c r="B7435" s="802" t="s">
        <v>8591</v>
      </c>
      <c r="C7435" s="801" t="s">
        <v>656</v>
      </c>
      <c r="D7435" s="803">
        <v>394.47</v>
      </c>
    </row>
    <row r="7436" spans="1:4">
      <c r="A7436" s="801">
        <v>11789</v>
      </c>
      <c r="B7436" s="802" t="s">
        <v>8592</v>
      </c>
      <c r="C7436" s="801" t="s">
        <v>656</v>
      </c>
      <c r="D7436" s="803">
        <v>1.1599999999999999</v>
      </c>
    </row>
    <row r="7437" spans="1:4" ht="25.5">
      <c r="A7437" s="801">
        <v>20975</v>
      </c>
      <c r="B7437" s="802" t="s">
        <v>8593</v>
      </c>
      <c r="C7437" s="801" t="s">
        <v>656</v>
      </c>
      <c r="D7437" s="803">
        <v>10.68</v>
      </c>
    </row>
    <row r="7438" spans="1:4" ht="25.5">
      <c r="A7438" s="801">
        <v>20976</v>
      </c>
      <c r="B7438" s="802" t="s">
        <v>8594</v>
      </c>
      <c r="C7438" s="801" t="s">
        <v>656</v>
      </c>
      <c r="D7438" s="803">
        <v>16.14</v>
      </c>
    </row>
    <row r="7439" spans="1:4" ht="25.5">
      <c r="A7439" s="801">
        <v>40340</v>
      </c>
      <c r="B7439" s="802" t="s">
        <v>8595</v>
      </c>
      <c r="C7439" s="801" t="s">
        <v>656</v>
      </c>
      <c r="D7439" s="803">
        <v>35.6</v>
      </c>
    </row>
    <row r="7440" spans="1:4" ht="25.5">
      <c r="A7440" s="801">
        <v>40341</v>
      </c>
      <c r="B7440" s="802" t="s">
        <v>8596</v>
      </c>
      <c r="C7440" s="801" t="s">
        <v>656</v>
      </c>
      <c r="D7440" s="803">
        <v>42.49</v>
      </c>
    </row>
    <row r="7441" spans="1:4" ht="25.5">
      <c r="A7441" s="801">
        <v>40342</v>
      </c>
      <c r="B7441" s="802" t="s">
        <v>8597</v>
      </c>
      <c r="C7441" s="801" t="s">
        <v>656</v>
      </c>
      <c r="D7441" s="803">
        <v>50.68</v>
      </c>
    </row>
    <row r="7442" spans="1:4" ht="25.5">
      <c r="A7442" s="801">
        <v>40343</v>
      </c>
      <c r="B7442" s="802" t="s">
        <v>8598</v>
      </c>
      <c r="C7442" s="801" t="s">
        <v>656</v>
      </c>
      <c r="D7442" s="803">
        <v>60.11</v>
      </c>
    </row>
    <row r="7443" spans="1:4" ht="25.5">
      <c r="A7443" s="801">
        <v>40344</v>
      </c>
      <c r="B7443" s="802" t="s">
        <v>8599</v>
      </c>
      <c r="C7443" s="801" t="s">
        <v>656</v>
      </c>
      <c r="D7443" s="803">
        <v>81.94</v>
      </c>
    </row>
    <row r="7444" spans="1:4" ht="25.5">
      <c r="A7444" s="801">
        <v>40345</v>
      </c>
      <c r="B7444" s="802" t="s">
        <v>8600</v>
      </c>
      <c r="C7444" s="801" t="s">
        <v>656</v>
      </c>
      <c r="D7444" s="803">
        <v>100.97</v>
      </c>
    </row>
    <row r="7445" spans="1:4" ht="25.5">
      <c r="A7445" s="801">
        <v>40346</v>
      </c>
      <c r="B7445" s="802" t="s">
        <v>8601</v>
      </c>
      <c r="C7445" s="801" t="s">
        <v>656</v>
      </c>
      <c r="D7445" s="803">
        <v>117.12</v>
      </c>
    </row>
    <row r="7446" spans="1:4" ht="25.5">
      <c r="A7446" s="801">
        <v>40347</v>
      </c>
      <c r="B7446" s="802" t="s">
        <v>8602</v>
      </c>
      <c r="C7446" s="801" t="s">
        <v>656</v>
      </c>
      <c r="D7446" s="803">
        <v>147.16</v>
      </c>
    </row>
    <row r="7447" spans="1:4" ht="25.5">
      <c r="A7447" s="801">
        <v>6138</v>
      </c>
      <c r="B7447" s="802" t="s">
        <v>8603</v>
      </c>
      <c r="C7447" s="801" t="s">
        <v>656</v>
      </c>
      <c r="D7447" s="803">
        <v>11.55</v>
      </c>
    </row>
    <row r="7448" spans="1:4" ht="25.5">
      <c r="A7448" s="801">
        <v>38840</v>
      </c>
      <c r="B7448" s="802" t="s">
        <v>8604</v>
      </c>
      <c r="C7448" s="801" t="s">
        <v>656</v>
      </c>
      <c r="D7448" s="803">
        <v>3.12</v>
      </c>
    </row>
    <row r="7449" spans="1:4" ht="25.5">
      <c r="A7449" s="801">
        <v>38841</v>
      </c>
      <c r="B7449" s="802" t="s">
        <v>8605</v>
      </c>
      <c r="C7449" s="801" t="s">
        <v>656</v>
      </c>
      <c r="D7449" s="803">
        <v>3.46</v>
      </c>
    </row>
    <row r="7450" spans="1:4" ht="25.5">
      <c r="A7450" s="801">
        <v>38842</v>
      </c>
      <c r="B7450" s="802" t="s">
        <v>8606</v>
      </c>
      <c r="C7450" s="801" t="s">
        <v>656</v>
      </c>
      <c r="D7450" s="803">
        <v>6.83</v>
      </c>
    </row>
    <row r="7451" spans="1:4" ht="25.5">
      <c r="A7451" s="801">
        <v>38843</v>
      </c>
      <c r="B7451" s="802" t="s">
        <v>8607</v>
      </c>
      <c r="C7451" s="801" t="s">
        <v>656</v>
      </c>
      <c r="D7451" s="803">
        <v>10.68</v>
      </c>
    </row>
    <row r="7452" spans="1:4" ht="38.25">
      <c r="A7452" s="801">
        <v>43424</v>
      </c>
      <c r="B7452" s="802" t="s">
        <v>8608</v>
      </c>
      <c r="C7452" s="801" t="s">
        <v>656</v>
      </c>
      <c r="D7452" s="803">
        <v>506.91</v>
      </c>
    </row>
    <row r="7453" spans="1:4" ht="38.25">
      <c r="A7453" s="801">
        <v>43426</v>
      </c>
      <c r="B7453" s="802" t="s">
        <v>8609</v>
      </c>
      <c r="C7453" s="801" t="s">
        <v>656</v>
      </c>
      <c r="D7453" s="803">
        <v>1748.35</v>
      </c>
    </row>
    <row r="7454" spans="1:4" ht="38.25">
      <c r="A7454" s="801">
        <v>12565</v>
      </c>
      <c r="B7454" s="802" t="s">
        <v>8610</v>
      </c>
      <c r="C7454" s="801" t="s">
        <v>656</v>
      </c>
      <c r="D7454" s="803">
        <v>613.12</v>
      </c>
    </row>
    <row r="7455" spans="1:4" ht="38.25">
      <c r="A7455" s="801">
        <v>12567</v>
      </c>
      <c r="B7455" s="802" t="s">
        <v>8611</v>
      </c>
      <c r="C7455" s="801" t="s">
        <v>656</v>
      </c>
      <c r="D7455" s="803">
        <v>823.52</v>
      </c>
    </row>
    <row r="7456" spans="1:4" ht="38.25">
      <c r="A7456" s="801">
        <v>12568</v>
      </c>
      <c r="B7456" s="802" t="s">
        <v>8612</v>
      </c>
      <c r="C7456" s="801" t="s">
        <v>656</v>
      </c>
      <c r="D7456" s="803">
        <v>1152.94</v>
      </c>
    </row>
    <row r="7457" spans="1:4" ht="25.5">
      <c r="A7457" s="801">
        <v>43441</v>
      </c>
      <c r="B7457" s="802" t="s">
        <v>8613</v>
      </c>
      <c r="C7457" s="801" t="s">
        <v>656</v>
      </c>
      <c r="D7457" s="803">
        <v>148.22999999999999</v>
      </c>
    </row>
    <row r="7458" spans="1:4" ht="25.5">
      <c r="A7458" s="801">
        <v>43423</v>
      </c>
      <c r="B7458" s="802" t="s">
        <v>8614</v>
      </c>
      <c r="C7458" s="801" t="s">
        <v>656</v>
      </c>
      <c r="D7458" s="803">
        <v>69.17</v>
      </c>
    </row>
    <row r="7459" spans="1:4" ht="25.5">
      <c r="A7459" s="801">
        <v>12532</v>
      </c>
      <c r="B7459" s="802" t="s">
        <v>8615</v>
      </c>
      <c r="C7459" s="801" t="s">
        <v>656</v>
      </c>
      <c r="D7459" s="803">
        <v>106.68</v>
      </c>
    </row>
    <row r="7460" spans="1:4" ht="38.25">
      <c r="A7460" s="801">
        <v>43444</v>
      </c>
      <c r="B7460" s="802" t="s">
        <v>8616</v>
      </c>
      <c r="C7460" s="801" t="s">
        <v>656</v>
      </c>
      <c r="D7460" s="803">
        <v>358.23</v>
      </c>
    </row>
    <row r="7461" spans="1:4" ht="38.25">
      <c r="A7461" s="801">
        <v>12551</v>
      </c>
      <c r="B7461" s="802" t="s">
        <v>8617</v>
      </c>
      <c r="C7461" s="801" t="s">
        <v>656</v>
      </c>
      <c r="D7461" s="803">
        <v>255.59</v>
      </c>
    </row>
    <row r="7462" spans="1:4" ht="38.25">
      <c r="A7462" s="801">
        <v>43442</v>
      </c>
      <c r="B7462" s="802" t="s">
        <v>8618</v>
      </c>
      <c r="C7462" s="801" t="s">
        <v>656</v>
      </c>
      <c r="D7462" s="803">
        <v>197.64</v>
      </c>
    </row>
    <row r="7463" spans="1:4" ht="38.25">
      <c r="A7463" s="801">
        <v>43443</v>
      </c>
      <c r="B7463" s="802" t="s">
        <v>8619</v>
      </c>
      <c r="C7463" s="801" t="s">
        <v>656</v>
      </c>
      <c r="D7463" s="803">
        <v>259.41000000000003</v>
      </c>
    </row>
    <row r="7464" spans="1:4" ht="38.25">
      <c r="A7464" s="801">
        <v>12544</v>
      </c>
      <c r="B7464" s="802" t="s">
        <v>8620</v>
      </c>
      <c r="C7464" s="801" t="s">
        <v>656</v>
      </c>
      <c r="D7464" s="803">
        <v>139.99</v>
      </c>
    </row>
    <row r="7465" spans="1:4" ht="38.25">
      <c r="A7465" s="801">
        <v>12547</v>
      </c>
      <c r="B7465" s="802" t="s">
        <v>8621</v>
      </c>
      <c r="C7465" s="801" t="s">
        <v>656</v>
      </c>
      <c r="D7465" s="803">
        <v>188.29</v>
      </c>
    </row>
    <row r="7466" spans="1:4" ht="38.25">
      <c r="A7466" s="801">
        <v>43445</v>
      </c>
      <c r="B7466" s="802" t="s">
        <v>8622</v>
      </c>
      <c r="C7466" s="801" t="s">
        <v>656</v>
      </c>
      <c r="D7466" s="803">
        <v>494.11</v>
      </c>
    </row>
    <row r="7467" spans="1:4" ht="38.25">
      <c r="A7467" s="801">
        <v>12563</v>
      </c>
      <c r="B7467" s="802" t="s">
        <v>8623</v>
      </c>
      <c r="C7467" s="801" t="s">
        <v>656</v>
      </c>
      <c r="D7467" s="803">
        <v>353.52</v>
      </c>
    </row>
    <row r="7468" spans="1:4" ht="38.25">
      <c r="A7468" s="801">
        <v>43425</v>
      </c>
      <c r="B7468" s="802" t="s">
        <v>8624</v>
      </c>
      <c r="C7468" s="801" t="s">
        <v>656</v>
      </c>
      <c r="D7468" s="803">
        <v>222.35</v>
      </c>
    </row>
    <row r="7469" spans="1:4" ht="38.25">
      <c r="A7469" s="801">
        <v>43446</v>
      </c>
      <c r="B7469" s="802" t="s">
        <v>8625</v>
      </c>
      <c r="C7469" s="801" t="s">
        <v>656</v>
      </c>
      <c r="D7469" s="803">
        <v>469.41</v>
      </c>
    </row>
    <row r="7470" spans="1:4" ht="38.25">
      <c r="A7470" s="801">
        <v>43447</v>
      </c>
      <c r="B7470" s="802" t="s">
        <v>8626</v>
      </c>
      <c r="C7470" s="801" t="s">
        <v>656</v>
      </c>
      <c r="D7470" s="803">
        <v>576.47</v>
      </c>
    </row>
    <row r="7471" spans="1:4" ht="38.25">
      <c r="A7471" s="801">
        <v>43448</v>
      </c>
      <c r="B7471" s="802" t="s">
        <v>8627</v>
      </c>
      <c r="C7471" s="801" t="s">
        <v>656</v>
      </c>
      <c r="D7471" s="803">
        <v>807.05</v>
      </c>
    </row>
    <row r="7472" spans="1:4" ht="38.25">
      <c r="A7472" s="801">
        <v>13761</v>
      </c>
      <c r="B7472" s="802" t="s">
        <v>4585</v>
      </c>
      <c r="C7472" s="801" t="s">
        <v>656</v>
      </c>
      <c r="D7472" s="803">
        <v>4179.04</v>
      </c>
    </row>
    <row r="7473" spans="1:4" ht="38.25">
      <c r="A7473" s="801">
        <v>4814</v>
      </c>
      <c r="B7473" s="802" t="s">
        <v>8628</v>
      </c>
      <c r="C7473" s="801" t="s">
        <v>656</v>
      </c>
      <c r="D7473" s="803">
        <v>82.25</v>
      </c>
    </row>
    <row r="7474" spans="1:4">
      <c r="A7474" s="801">
        <v>44473</v>
      </c>
      <c r="B7474" s="802" t="s">
        <v>8629</v>
      </c>
      <c r="C7474" s="801" t="s">
        <v>656</v>
      </c>
      <c r="D7474" s="803">
        <v>2481.38</v>
      </c>
    </row>
    <row r="7475" spans="1:4">
      <c r="A7475" s="801">
        <v>6122</v>
      </c>
      <c r="B7475" s="802" t="s">
        <v>8630</v>
      </c>
      <c r="C7475" s="801" t="s">
        <v>659</v>
      </c>
      <c r="D7475" s="803">
        <v>13.19</v>
      </c>
    </row>
    <row r="7476" spans="1:4">
      <c r="A7476" s="801">
        <v>40810</v>
      </c>
      <c r="B7476" s="802" t="s">
        <v>8631</v>
      </c>
      <c r="C7476" s="801" t="s">
        <v>772</v>
      </c>
      <c r="D7476" s="803">
        <v>2332.6999999999998</v>
      </c>
    </row>
    <row r="7477" spans="1:4" ht="25.5">
      <c r="A7477" s="801">
        <v>21100</v>
      </c>
      <c r="B7477" s="802" t="s">
        <v>8632</v>
      </c>
      <c r="C7477" s="801" t="s">
        <v>656</v>
      </c>
      <c r="D7477" s="803">
        <v>3047.95</v>
      </c>
    </row>
    <row r="7478" spans="1:4" ht="38.25">
      <c r="A7478" s="801">
        <v>11816</v>
      </c>
      <c r="B7478" s="802" t="s">
        <v>8633</v>
      </c>
      <c r="C7478" s="801" t="s">
        <v>656</v>
      </c>
      <c r="D7478" s="803">
        <v>3250</v>
      </c>
    </row>
    <row r="7479" spans="1:4" ht="38.25">
      <c r="A7479" s="801">
        <v>11814</v>
      </c>
      <c r="B7479" s="802" t="s">
        <v>8634</v>
      </c>
      <c r="C7479" s="801" t="s">
        <v>656</v>
      </c>
      <c r="D7479" s="803">
        <v>7074.43</v>
      </c>
    </row>
    <row r="7480" spans="1:4" ht="38.25">
      <c r="A7480" s="801">
        <v>14186</v>
      </c>
      <c r="B7480" s="802" t="s">
        <v>8635</v>
      </c>
      <c r="C7480" s="801" t="s">
        <v>656</v>
      </c>
      <c r="D7480" s="803">
        <v>8882.91</v>
      </c>
    </row>
    <row r="7481" spans="1:4" ht="38.25">
      <c r="A7481" s="801">
        <v>14185</v>
      </c>
      <c r="B7481" s="802" t="s">
        <v>8636</v>
      </c>
      <c r="C7481" s="801" t="s">
        <v>656</v>
      </c>
      <c r="D7481" s="803">
        <v>11506.83</v>
      </c>
    </row>
    <row r="7482" spans="1:4" ht="38.25">
      <c r="A7482" s="801">
        <v>11811</v>
      </c>
      <c r="B7482" s="802" t="s">
        <v>8637</v>
      </c>
      <c r="C7482" s="801" t="s">
        <v>656</v>
      </c>
      <c r="D7482" s="803">
        <v>4399.7700000000004</v>
      </c>
    </row>
    <row r="7483" spans="1:4" ht="25.5">
      <c r="A7483" s="801">
        <v>44498</v>
      </c>
      <c r="B7483" s="802" t="s">
        <v>8638</v>
      </c>
      <c r="C7483" s="801" t="s">
        <v>656</v>
      </c>
      <c r="D7483" s="803">
        <v>290224.43</v>
      </c>
    </row>
    <row r="7484" spans="1:4" ht="38.25">
      <c r="A7484" s="801">
        <v>34469</v>
      </c>
      <c r="B7484" s="802" t="s">
        <v>8639</v>
      </c>
      <c r="C7484" s="801" t="s">
        <v>656</v>
      </c>
      <c r="D7484" s="803">
        <v>10161.91</v>
      </c>
    </row>
    <row r="7485" spans="1:4" ht="38.25">
      <c r="A7485" s="801">
        <v>34476</v>
      </c>
      <c r="B7485" s="802" t="s">
        <v>8640</v>
      </c>
      <c r="C7485" s="801" t="s">
        <v>656</v>
      </c>
      <c r="D7485" s="803">
        <v>5299.86</v>
      </c>
    </row>
    <row r="7486" spans="1:4" ht="38.25">
      <c r="A7486" s="801">
        <v>34477</v>
      </c>
      <c r="B7486" s="802" t="s">
        <v>8641</v>
      </c>
      <c r="C7486" s="801" t="s">
        <v>656</v>
      </c>
      <c r="D7486" s="803">
        <v>7033.94</v>
      </c>
    </row>
    <row r="7487" spans="1:4" ht="38.25">
      <c r="A7487" s="801">
        <v>34482</v>
      </c>
      <c r="B7487" s="802" t="s">
        <v>8642</v>
      </c>
      <c r="C7487" s="801" t="s">
        <v>656</v>
      </c>
      <c r="D7487" s="803">
        <v>6569.31</v>
      </c>
    </row>
    <row r="7488" spans="1:4" ht="51">
      <c r="A7488" s="801">
        <v>34472</v>
      </c>
      <c r="B7488" s="802" t="s">
        <v>8643</v>
      </c>
      <c r="C7488" s="801" t="s">
        <v>656</v>
      </c>
      <c r="D7488" s="803">
        <v>3126.5</v>
      </c>
    </row>
    <row r="7489" spans="1:4" ht="38.25">
      <c r="A7489" s="801">
        <v>42425</v>
      </c>
      <c r="B7489" s="802" t="s">
        <v>8644</v>
      </c>
      <c r="C7489" s="801" t="s">
        <v>656</v>
      </c>
      <c r="D7489" s="803">
        <v>2337.4299999999998</v>
      </c>
    </row>
    <row r="7490" spans="1:4" ht="38.25">
      <c r="A7490" s="801">
        <v>42422</v>
      </c>
      <c r="B7490" s="802" t="s">
        <v>8645</v>
      </c>
      <c r="C7490" s="801" t="s">
        <v>656</v>
      </c>
      <c r="D7490" s="803">
        <v>3470</v>
      </c>
    </row>
    <row r="7491" spans="1:4" ht="38.25">
      <c r="A7491" s="801">
        <v>43184</v>
      </c>
      <c r="B7491" s="802" t="s">
        <v>8646</v>
      </c>
      <c r="C7491" s="801" t="s">
        <v>656</v>
      </c>
      <c r="D7491" s="803">
        <v>4795.87</v>
      </c>
    </row>
    <row r="7492" spans="1:4" ht="38.25">
      <c r="A7492" s="801">
        <v>42424</v>
      </c>
      <c r="B7492" s="802" t="s">
        <v>8647</v>
      </c>
      <c r="C7492" s="801" t="s">
        <v>656</v>
      </c>
      <c r="D7492" s="803">
        <v>2087.5300000000002</v>
      </c>
    </row>
    <row r="7493" spans="1:4" ht="38.25">
      <c r="A7493" s="801">
        <v>42421</v>
      </c>
      <c r="B7493" s="802" t="s">
        <v>8648</v>
      </c>
      <c r="C7493" s="801" t="s">
        <v>656</v>
      </c>
      <c r="D7493" s="803">
        <v>19006.75</v>
      </c>
    </row>
    <row r="7494" spans="1:4" ht="38.25">
      <c r="A7494" s="801">
        <v>42416</v>
      </c>
      <c r="B7494" s="802" t="s">
        <v>8649</v>
      </c>
      <c r="C7494" s="801" t="s">
        <v>656</v>
      </c>
      <c r="D7494" s="803">
        <v>8999.11</v>
      </c>
    </row>
    <row r="7495" spans="1:4" ht="38.25">
      <c r="A7495" s="801">
        <v>42417</v>
      </c>
      <c r="B7495" s="802" t="s">
        <v>8650</v>
      </c>
      <c r="C7495" s="801" t="s">
        <v>656</v>
      </c>
      <c r="D7495" s="803">
        <v>10088.74</v>
      </c>
    </row>
    <row r="7496" spans="1:4" ht="38.25">
      <c r="A7496" s="801">
        <v>42419</v>
      </c>
      <c r="B7496" s="802" t="s">
        <v>8651</v>
      </c>
      <c r="C7496" s="801" t="s">
        <v>656</v>
      </c>
      <c r="D7496" s="803">
        <v>11398.14</v>
      </c>
    </row>
    <row r="7497" spans="1:4" ht="38.25">
      <c r="A7497" s="801">
        <v>42420</v>
      </c>
      <c r="B7497" s="802" t="s">
        <v>8652</v>
      </c>
      <c r="C7497" s="801" t="s">
        <v>656</v>
      </c>
      <c r="D7497" s="803">
        <v>15665.89</v>
      </c>
    </row>
    <row r="7498" spans="1:4" ht="38.25">
      <c r="A7498" s="801">
        <v>43195</v>
      </c>
      <c r="B7498" s="802" t="s">
        <v>8653</v>
      </c>
      <c r="C7498" s="801" t="s">
        <v>656</v>
      </c>
      <c r="D7498" s="803">
        <v>5516.18</v>
      </c>
    </row>
    <row r="7499" spans="1:4" ht="38.25">
      <c r="A7499" s="801">
        <v>43196</v>
      </c>
      <c r="B7499" s="802" t="s">
        <v>8654</v>
      </c>
      <c r="C7499" s="801" t="s">
        <v>656</v>
      </c>
      <c r="D7499" s="803">
        <v>6836.52</v>
      </c>
    </row>
    <row r="7500" spans="1:4" ht="38.25">
      <c r="A7500" s="801">
        <v>43198</v>
      </c>
      <c r="B7500" s="802" t="s">
        <v>8655</v>
      </c>
      <c r="C7500" s="801" t="s">
        <v>656</v>
      </c>
      <c r="D7500" s="803">
        <v>10158.9</v>
      </c>
    </row>
    <row r="7501" spans="1:4" ht="38.25">
      <c r="A7501" s="801">
        <v>43199</v>
      </c>
      <c r="B7501" s="802" t="s">
        <v>8656</v>
      </c>
      <c r="C7501" s="801" t="s">
        <v>656</v>
      </c>
      <c r="D7501" s="803">
        <v>10531.16</v>
      </c>
    </row>
    <row r="7502" spans="1:4" ht="38.25">
      <c r="A7502" s="801">
        <v>43200</v>
      </c>
      <c r="B7502" s="802" t="s">
        <v>8657</v>
      </c>
      <c r="C7502" s="801" t="s">
        <v>656</v>
      </c>
      <c r="D7502" s="803">
        <v>12085.27</v>
      </c>
    </row>
    <row r="7503" spans="1:4" ht="38.25">
      <c r="A7503" s="801">
        <v>39556</v>
      </c>
      <c r="B7503" s="802" t="s">
        <v>8658</v>
      </c>
      <c r="C7503" s="801" t="s">
        <v>656</v>
      </c>
      <c r="D7503" s="803">
        <v>6600.62</v>
      </c>
    </row>
    <row r="7504" spans="1:4" ht="38.25">
      <c r="A7504" s="801">
        <v>39557</v>
      </c>
      <c r="B7504" s="802" t="s">
        <v>8659</v>
      </c>
      <c r="C7504" s="801" t="s">
        <v>656</v>
      </c>
      <c r="D7504" s="803">
        <v>7107.43</v>
      </c>
    </row>
    <row r="7505" spans="1:4" ht="38.25">
      <c r="A7505" s="801">
        <v>39559</v>
      </c>
      <c r="B7505" s="802" t="s">
        <v>8660</v>
      </c>
      <c r="C7505" s="801" t="s">
        <v>656</v>
      </c>
      <c r="D7505" s="803">
        <v>10503.41</v>
      </c>
    </row>
    <row r="7506" spans="1:4" ht="38.25">
      <c r="A7506" s="801">
        <v>39560</v>
      </c>
      <c r="B7506" s="802" t="s">
        <v>8661</v>
      </c>
      <c r="C7506" s="801" t="s">
        <v>656</v>
      </c>
      <c r="D7506" s="803">
        <v>12151.42</v>
      </c>
    </row>
    <row r="7507" spans="1:4" ht="38.25">
      <c r="A7507" s="801">
        <v>39561</v>
      </c>
      <c r="B7507" s="802" t="s">
        <v>8662</v>
      </c>
      <c r="C7507" s="801" t="s">
        <v>656</v>
      </c>
      <c r="D7507" s="803">
        <v>12711.94</v>
      </c>
    </row>
    <row r="7508" spans="1:4" ht="38.25">
      <c r="A7508" s="801">
        <v>43190</v>
      </c>
      <c r="B7508" s="802" t="s">
        <v>8663</v>
      </c>
      <c r="C7508" s="801" t="s">
        <v>656</v>
      </c>
      <c r="D7508" s="803">
        <v>1875.94</v>
      </c>
    </row>
    <row r="7509" spans="1:4" ht="38.25">
      <c r="A7509" s="801">
        <v>39555</v>
      </c>
      <c r="B7509" s="802" t="s">
        <v>8664</v>
      </c>
      <c r="C7509" s="801" t="s">
        <v>656</v>
      </c>
      <c r="D7509" s="803">
        <v>2029.29</v>
      </c>
    </row>
    <row r="7510" spans="1:4" ht="38.25">
      <c r="A7510" s="801">
        <v>43191</v>
      </c>
      <c r="B7510" s="802" t="s">
        <v>8665</v>
      </c>
      <c r="C7510" s="801" t="s">
        <v>656</v>
      </c>
      <c r="D7510" s="803">
        <v>2699.23</v>
      </c>
    </row>
    <row r="7511" spans="1:4" ht="38.25">
      <c r="A7511" s="801">
        <v>39548</v>
      </c>
      <c r="B7511" s="802" t="s">
        <v>8666</v>
      </c>
      <c r="C7511" s="801" t="s">
        <v>656</v>
      </c>
      <c r="D7511" s="803">
        <v>3010.06</v>
      </c>
    </row>
    <row r="7512" spans="1:4" ht="38.25">
      <c r="A7512" s="801">
        <v>43192</v>
      </c>
      <c r="B7512" s="802" t="s">
        <v>8667</v>
      </c>
      <c r="C7512" s="801" t="s">
        <v>656</v>
      </c>
      <c r="D7512" s="803">
        <v>3535.75</v>
      </c>
    </row>
    <row r="7513" spans="1:4" ht="38.25">
      <c r="A7513" s="801">
        <v>39554</v>
      </c>
      <c r="B7513" s="802" t="s">
        <v>8668</v>
      </c>
      <c r="C7513" s="801" t="s">
        <v>656</v>
      </c>
      <c r="D7513" s="803">
        <v>3980.36</v>
      </c>
    </row>
    <row r="7514" spans="1:4" ht="38.25">
      <c r="A7514" s="801">
        <v>43194</v>
      </c>
      <c r="B7514" s="802" t="s">
        <v>8669</v>
      </c>
      <c r="C7514" s="801" t="s">
        <v>656</v>
      </c>
      <c r="D7514" s="803">
        <v>1607.06</v>
      </c>
    </row>
    <row r="7515" spans="1:4" ht="38.25">
      <c r="A7515" s="801">
        <v>39551</v>
      </c>
      <c r="B7515" s="802" t="s">
        <v>8670</v>
      </c>
      <c r="C7515" s="801" t="s">
        <v>656</v>
      </c>
      <c r="D7515" s="803">
        <v>1769.55</v>
      </c>
    </row>
    <row r="7516" spans="1:4" ht="38.25">
      <c r="A7516" s="801">
        <v>43185</v>
      </c>
      <c r="B7516" s="802" t="s">
        <v>8671</v>
      </c>
      <c r="C7516" s="801" t="s">
        <v>656</v>
      </c>
      <c r="D7516" s="803">
        <v>5028.75</v>
      </c>
    </row>
    <row r="7517" spans="1:4" ht="38.25">
      <c r="A7517" s="801">
        <v>43186</v>
      </c>
      <c r="B7517" s="802" t="s">
        <v>8672</v>
      </c>
      <c r="C7517" s="801" t="s">
        <v>656</v>
      </c>
      <c r="D7517" s="803">
        <v>5304.31</v>
      </c>
    </row>
    <row r="7518" spans="1:4" ht="38.25">
      <c r="A7518" s="801">
        <v>43187</v>
      </c>
      <c r="B7518" s="802" t="s">
        <v>8673</v>
      </c>
      <c r="C7518" s="801" t="s">
        <v>656</v>
      </c>
      <c r="D7518" s="803">
        <v>7038.88</v>
      </c>
    </row>
    <row r="7519" spans="1:4" ht="38.25">
      <c r="A7519" s="801">
        <v>43188</v>
      </c>
      <c r="B7519" s="802" t="s">
        <v>8674</v>
      </c>
      <c r="C7519" s="801" t="s">
        <v>656</v>
      </c>
      <c r="D7519" s="803">
        <v>8528.5300000000007</v>
      </c>
    </row>
    <row r="7520" spans="1:4" ht="38.25">
      <c r="A7520" s="801">
        <v>43189</v>
      </c>
      <c r="B7520" s="802" t="s">
        <v>8675</v>
      </c>
      <c r="C7520" s="801" t="s">
        <v>656</v>
      </c>
      <c r="D7520" s="803">
        <v>9593.18</v>
      </c>
    </row>
    <row r="7521" spans="1:4">
      <c r="A7521" s="801">
        <v>39580</v>
      </c>
      <c r="B7521" s="802" t="s">
        <v>8676</v>
      </c>
      <c r="C7521" s="801" t="s">
        <v>656</v>
      </c>
      <c r="D7521" s="803">
        <v>75598.179999999993</v>
      </c>
    </row>
    <row r="7522" spans="1:4">
      <c r="A7522" s="801">
        <v>39577</v>
      </c>
      <c r="B7522" s="802" t="s">
        <v>8677</v>
      </c>
      <c r="C7522" s="801" t="s">
        <v>656</v>
      </c>
      <c r="D7522" s="803">
        <v>23662.07</v>
      </c>
    </row>
    <row r="7523" spans="1:4">
      <c r="A7523" s="801">
        <v>39578</v>
      </c>
      <c r="B7523" s="802" t="s">
        <v>8678</v>
      </c>
      <c r="C7523" s="801" t="s">
        <v>656</v>
      </c>
      <c r="D7523" s="803">
        <v>30536.37</v>
      </c>
    </row>
    <row r="7524" spans="1:4">
      <c r="A7524" s="801">
        <v>39579</v>
      </c>
      <c r="B7524" s="802" t="s">
        <v>8679</v>
      </c>
      <c r="C7524" s="801" t="s">
        <v>656</v>
      </c>
      <c r="D7524" s="803">
        <v>44428.02</v>
      </c>
    </row>
    <row r="7525" spans="1:4" ht="38.25">
      <c r="A7525" s="801">
        <v>39826</v>
      </c>
      <c r="B7525" s="802" t="s">
        <v>8680</v>
      </c>
      <c r="C7525" s="801" t="s">
        <v>656</v>
      </c>
      <c r="D7525" s="803">
        <v>5456.57</v>
      </c>
    </row>
    <row r="7526" spans="1:4">
      <c r="A7526" s="801">
        <v>10700</v>
      </c>
      <c r="B7526" s="802" t="s">
        <v>8681</v>
      </c>
      <c r="C7526" s="801" t="s">
        <v>656</v>
      </c>
      <c r="D7526" s="803">
        <v>28471.98</v>
      </c>
    </row>
    <row r="7527" spans="1:4">
      <c r="A7527" s="801">
        <v>346</v>
      </c>
      <c r="B7527" s="802" t="s">
        <v>8682</v>
      </c>
      <c r="C7527" s="801" t="s">
        <v>653</v>
      </c>
      <c r="D7527" s="803">
        <v>23.69</v>
      </c>
    </row>
    <row r="7528" spans="1:4" ht="25.5">
      <c r="A7528" s="801">
        <v>3312</v>
      </c>
      <c r="B7528" s="802" t="s">
        <v>8683</v>
      </c>
      <c r="C7528" s="801" t="s">
        <v>653</v>
      </c>
      <c r="D7528" s="803">
        <v>23.26</v>
      </c>
    </row>
    <row r="7529" spans="1:4">
      <c r="A7529" s="801">
        <v>339</v>
      </c>
      <c r="B7529" s="802" t="s">
        <v>8684</v>
      </c>
      <c r="C7529" s="801" t="s">
        <v>660</v>
      </c>
      <c r="D7529" s="803">
        <v>1.22</v>
      </c>
    </row>
    <row r="7530" spans="1:4">
      <c r="A7530" s="801">
        <v>340</v>
      </c>
      <c r="B7530" s="802" t="s">
        <v>8685</v>
      </c>
      <c r="C7530" s="801" t="s">
        <v>660</v>
      </c>
      <c r="D7530" s="803">
        <v>1.1000000000000001</v>
      </c>
    </row>
    <row r="7531" spans="1:4" ht="25.5">
      <c r="A7531" s="801">
        <v>43130</v>
      </c>
      <c r="B7531" s="802" t="s">
        <v>8686</v>
      </c>
      <c r="C7531" s="801" t="s">
        <v>653</v>
      </c>
      <c r="D7531" s="803">
        <v>20</v>
      </c>
    </row>
    <row r="7532" spans="1:4">
      <c r="A7532" s="801">
        <v>344</v>
      </c>
      <c r="B7532" s="802" t="s">
        <v>8687</v>
      </c>
      <c r="C7532" s="801" t="s">
        <v>653</v>
      </c>
      <c r="D7532" s="803">
        <v>26.29</v>
      </c>
    </row>
    <row r="7533" spans="1:4">
      <c r="A7533" s="801">
        <v>345</v>
      </c>
      <c r="B7533" s="802" t="s">
        <v>8688</v>
      </c>
      <c r="C7533" s="801" t="s">
        <v>653</v>
      </c>
      <c r="D7533" s="803">
        <v>28.52</v>
      </c>
    </row>
    <row r="7534" spans="1:4" ht="38.25">
      <c r="A7534" s="801">
        <v>43131</v>
      </c>
      <c r="B7534" s="802" t="s">
        <v>4586</v>
      </c>
      <c r="C7534" s="801" t="s">
        <v>653</v>
      </c>
      <c r="D7534" s="803">
        <v>23.23</v>
      </c>
    </row>
    <row r="7535" spans="1:4" ht="25.5">
      <c r="A7535" s="801">
        <v>3313</v>
      </c>
      <c r="B7535" s="802" t="s">
        <v>8689</v>
      </c>
      <c r="C7535" s="801" t="s">
        <v>653</v>
      </c>
      <c r="D7535" s="803">
        <v>29.93</v>
      </c>
    </row>
    <row r="7536" spans="1:4" ht="25.5">
      <c r="A7536" s="801">
        <v>43132</v>
      </c>
      <c r="B7536" s="802" t="s">
        <v>5166</v>
      </c>
      <c r="C7536" s="801" t="s">
        <v>653</v>
      </c>
      <c r="D7536" s="803">
        <v>20</v>
      </c>
    </row>
    <row r="7537" spans="1:4" ht="25.5">
      <c r="A7537" s="801">
        <v>366</v>
      </c>
      <c r="B7537" s="802" t="s">
        <v>8690</v>
      </c>
      <c r="C7537" s="801" t="s">
        <v>654</v>
      </c>
      <c r="D7537" s="803">
        <v>83.5</v>
      </c>
    </row>
    <row r="7538" spans="1:4" ht="25.5">
      <c r="A7538" s="801">
        <v>367</v>
      </c>
      <c r="B7538" s="802" t="s">
        <v>4587</v>
      </c>
      <c r="C7538" s="801" t="s">
        <v>654</v>
      </c>
      <c r="D7538" s="803">
        <v>84.59</v>
      </c>
    </row>
    <row r="7539" spans="1:4" ht="25.5">
      <c r="A7539" s="801">
        <v>370</v>
      </c>
      <c r="B7539" s="802" t="s">
        <v>4588</v>
      </c>
      <c r="C7539" s="801" t="s">
        <v>654</v>
      </c>
      <c r="D7539" s="803">
        <v>83.5</v>
      </c>
    </row>
    <row r="7540" spans="1:4" ht="25.5">
      <c r="A7540" s="801">
        <v>368</v>
      </c>
      <c r="B7540" s="802" t="s">
        <v>8691</v>
      </c>
      <c r="C7540" s="801" t="s">
        <v>654</v>
      </c>
      <c r="D7540" s="803">
        <v>41.75</v>
      </c>
    </row>
    <row r="7541" spans="1:4" ht="25.5">
      <c r="A7541" s="801">
        <v>11075</v>
      </c>
      <c r="B7541" s="802" t="s">
        <v>8692</v>
      </c>
      <c r="C7541" s="801" t="s">
        <v>654</v>
      </c>
      <c r="D7541" s="803">
        <v>958.32</v>
      </c>
    </row>
    <row r="7542" spans="1:4">
      <c r="A7542" s="801">
        <v>1381</v>
      </c>
      <c r="B7542" s="802" t="s">
        <v>4589</v>
      </c>
      <c r="C7542" s="801" t="s">
        <v>653</v>
      </c>
      <c r="D7542" s="803">
        <v>0.82</v>
      </c>
    </row>
    <row r="7543" spans="1:4">
      <c r="A7543" s="801">
        <v>34353</v>
      </c>
      <c r="B7543" s="802" t="s">
        <v>8693</v>
      </c>
      <c r="C7543" s="801" t="s">
        <v>653</v>
      </c>
      <c r="D7543" s="803">
        <v>1.52</v>
      </c>
    </row>
    <row r="7544" spans="1:4">
      <c r="A7544" s="801">
        <v>37595</v>
      </c>
      <c r="B7544" s="802" t="s">
        <v>5167</v>
      </c>
      <c r="C7544" s="801" t="s">
        <v>653</v>
      </c>
      <c r="D7544" s="803">
        <v>2.52</v>
      </c>
    </row>
    <row r="7545" spans="1:4">
      <c r="A7545" s="801">
        <v>37596</v>
      </c>
      <c r="B7545" s="802" t="s">
        <v>8694</v>
      </c>
      <c r="C7545" s="801" t="s">
        <v>653</v>
      </c>
      <c r="D7545" s="803">
        <v>2.89</v>
      </c>
    </row>
    <row r="7546" spans="1:4" ht="25.5">
      <c r="A7546" s="801">
        <v>371</v>
      </c>
      <c r="B7546" s="802" t="s">
        <v>4590</v>
      </c>
      <c r="C7546" s="801" t="s">
        <v>653</v>
      </c>
      <c r="D7546" s="803">
        <v>0.89</v>
      </c>
    </row>
    <row r="7547" spans="1:4">
      <c r="A7547" s="801">
        <v>37553</v>
      </c>
      <c r="B7547" s="802" t="s">
        <v>8695</v>
      </c>
      <c r="C7547" s="801" t="s">
        <v>653</v>
      </c>
      <c r="D7547" s="803">
        <v>1.67</v>
      </c>
    </row>
    <row r="7548" spans="1:4">
      <c r="A7548" s="801">
        <v>37552</v>
      </c>
      <c r="B7548" s="802" t="s">
        <v>4591</v>
      </c>
      <c r="C7548" s="801" t="s">
        <v>653</v>
      </c>
      <c r="D7548" s="803">
        <v>2.69</v>
      </c>
    </row>
    <row r="7549" spans="1:4">
      <c r="A7549" s="801">
        <v>36880</v>
      </c>
      <c r="B7549" s="802" t="s">
        <v>8696</v>
      </c>
      <c r="C7549" s="801" t="s">
        <v>653</v>
      </c>
      <c r="D7549" s="803">
        <v>2.73</v>
      </c>
    </row>
    <row r="7550" spans="1:4">
      <c r="A7550" s="801">
        <v>34355</v>
      </c>
      <c r="B7550" s="802" t="s">
        <v>8697</v>
      </c>
      <c r="C7550" s="801" t="s">
        <v>653</v>
      </c>
      <c r="D7550" s="803">
        <v>2.35</v>
      </c>
    </row>
    <row r="7551" spans="1:4" ht="25.5">
      <c r="A7551" s="801">
        <v>130</v>
      </c>
      <c r="B7551" s="802" t="s">
        <v>8698</v>
      </c>
      <c r="C7551" s="801" t="s">
        <v>653</v>
      </c>
      <c r="D7551" s="803">
        <v>3.11</v>
      </c>
    </row>
    <row r="7552" spans="1:4" ht="25.5">
      <c r="A7552" s="801">
        <v>135</v>
      </c>
      <c r="B7552" s="802" t="s">
        <v>8699</v>
      </c>
      <c r="C7552" s="801" t="s">
        <v>653</v>
      </c>
      <c r="D7552" s="803">
        <v>2.5</v>
      </c>
    </row>
    <row r="7553" spans="1:4">
      <c r="A7553" s="801">
        <v>36886</v>
      </c>
      <c r="B7553" s="802" t="s">
        <v>4592</v>
      </c>
      <c r="C7553" s="801" t="s">
        <v>653</v>
      </c>
      <c r="D7553" s="803">
        <v>0.85</v>
      </c>
    </row>
    <row r="7554" spans="1:4" ht="25.5">
      <c r="A7554" s="801">
        <v>38546</v>
      </c>
      <c r="B7554" s="802" t="s">
        <v>8700</v>
      </c>
      <c r="C7554" s="801" t="s">
        <v>654</v>
      </c>
      <c r="D7554" s="803">
        <v>567.39</v>
      </c>
    </row>
    <row r="7555" spans="1:4">
      <c r="A7555" s="801">
        <v>34549</v>
      </c>
      <c r="B7555" s="802" t="s">
        <v>8701</v>
      </c>
      <c r="C7555" s="801" t="s">
        <v>654</v>
      </c>
      <c r="D7555" s="803">
        <v>745.61</v>
      </c>
    </row>
    <row r="7556" spans="1:4" ht="25.5">
      <c r="A7556" s="801">
        <v>6081</v>
      </c>
      <c r="B7556" s="802" t="s">
        <v>8702</v>
      </c>
      <c r="C7556" s="801" t="s">
        <v>654</v>
      </c>
      <c r="D7556" s="803">
        <v>52.19</v>
      </c>
    </row>
    <row r="7557" spans="1:4" ht="25.5">
      <c r="A7557" s="801">
        <v>6077</v>
      </c>
      <c r="B7557" s="802" t="s">
        <v>8703</v>
      </c>
      <c r="C7557" s="801" t="s">
        <v>654</v>
      </c>
      <c r="D7557" s="803">
        <v>37.28</v>
      </c>
    </row>
    <row r="7558" spans="1:4" ht="25.5">
      <c r="A7558" s="801">
        <v>6079</v>
      </c>
      <c r="B7558" s="802" t="s">
        <v>4593</v>
      </c>
      <c r="C7558" s="801" t="s">
        <v>654</v>
      </c>
      <c r="D7558" s="803">
        <v>37.28</v>
      </c>
    </row>
    <row r="7559" spans="1:4" ht="25.5">
      <c r="A7559" s="801">
        <v>1091</v>
      </c>
      <c r="B7559" s="802" t="s">
        <v>8704</v>
      </c>
      <c r="C7559" s="801" t="s">
        <v>656</v>
      </c>
      <c r="D7559" s="803">
        <v>34.78</v>
      </c>
    </row>
    <row r="7560" spans="1:4" ht="25.5">
      <c r="A7560" s="801">
        <v>1094</v>
      </c>
      <c r="B7560" s="802" t="s">
        <v>8705</v>
      </c>
      <c r="C7560" s="801" t="s">
        <v>656</v>
      </c>
      <c r="D7560" s="803">
        <v>24.32</v>
      </c>
    </row>
    <row r="7561" spans="1:4" ht="25.5">
      <c r="A7561" s="801">
        <v>1095</v>
      </c>
      <c r="B7561" s="802" t="s">
        <v>8706</v>
      </c>
      <c r="C7561" s="801" t="s">
        <v>656</v>
      </c>
      <c r="D7561" s="803">
        <v>51.69</v>
      </c>
    </row>
    <row r="7562" spans="1:4" ht="25.5">
      <c r="A7562" s="801">
        <v>1092</v>
      </c>
      <c r="B7562" s="802" t="s">
        <v>8707</v>
      </c>
      <c r="C7562" s="801" t="s">
        <v>656</v>
      </c>
      <c r="D7562" s="803">
        <v>40</v>
      </c>
    </row>
    <row r="7563" spans="1:4" ht="25.5">
      <c r="A7563" s="801">
        <v>1093</v>
      </c>
      <c r="B7563" s="802" t="s">
        <v>8708</v>
      </c>
      <c r="C7563" s="801" t="s">
        <v>656</v>
      </c>
      <c r="D7563" s="803">
        <v>93.41</v>
      </c>
    </row>
    <row r="7564" spans="1:4" ht="25.5">
      <c r="A7564" s="801">
        <v>1090</v>
      </c>
      <c r="B7564" s="802" t="s">
        <v>8709</v>
      </c>
      <c r="C7564" s="801" t="s">
        <v>656</v>
      </c>
      <c r="D7564" s="803">
        <v>66.88</v>
      </c>
    </row>
    <row r="7565" spans="1:4" ht="25.5">
      <c r="A7565" s="801">
        <v>1096</v>
      </c>
      <c r="B7565" s="802" t="s">
        <v>8710</v>
      </c>
      <c r="C7565" s="801" t="s">
        <v>656</v>
      </c>
      <c r="D7565" s="803">
        <v>120.36</v>
      </c>
    </row>
    <row r="7566" spans="1:4" ht="25.5">
      <c r="A7566" s="801">
        <v>1097</v>
      </c>
      <c r="B7566" s="802" t="s">
        <v>8711</v>
      </c>
      <c r="C7566" s="801" t="s">
        <v>656</v>
      </c>
      <c r="D7566" s="803">
        <v>102.17</v>
      </c>
    </row>
    <row r="7567" spans="1:4">
      <c r="A7567" s="801">
        <v>378</v>
      </c>
      <c r="B7567" s="802" t="s">
        <v>8712</v>
      </c>
      <c r="C7567" s="801" t="s">
        <v>659</v>
      </c>
      <c r="D7567" s="803">
        <v>13.73</v>
      </c>
    </row>
    <row r="7568" spans="1:4">
      <c r="A7568" s="801">
        <v>40911</v>
      </c>
      <c r="B7568" s="802" t="s">
        <v>8713</v>
      </c>
      <c r="C7568" s="801" t="s">
        <v>772</v>
      </c>
      <c r="D7568" s="803">
        <v>2424.4299999999998</v>
      </c>
    </row>
    <row r="7569" spans="1:4">
      <c r="A7569" s="801">
        <v>33939</v>
      </c>
      <c r="B7569" s="802" t="s">
        <v>8714</v>
      </c>
      <c r="C7569" s="801" t="s">
        <v>659</v>
      </c>
      <c r="D7569" s="803">
        <v>57.87</v>
      </c>
    </row>
    <row r="7570" spans="1:4">
      <c r="A7570" s="801">
        <v>40815</v>
      </c>
      <c r="B7570" s="802" t="s">
        <v>8715</v>
      </c>
      <c r="C7570" s="801" t="s">
        <v>772</v>
      </c>
      <c r="D7570" s="803">
        <v>10222.049999999999</v>
      </c>
    </row>
    <row r="7571" spans="1:4">
      <c r="A7571" s="801">
        <v>34760</v>
      </c>
      <c r="B7571" s="802" t="s">
        <v>8716</v>
      </c>
      <c r="C7571" s="801" t="s">
        <v>659</v>
      </c>
      <c r="D7571" s="803">
        <v>54.66</v>
      </c>
    </row>
    <row r="7572" spans="1:4">
      <c r="A7572" s="801">
        <v>40935</v>
      </c>
      <c r="B7572" s="802" t="s">
        <v>8717</v>
      </c>
      <c r="C7572" s="801" t="s">
        <v>772</v>
      </c>
      <c r="D7572" s="803">
        <v>9652.1</v>
      </c>
    </row>
    <row r="7573" spans="1:4">
      <c r="A7573" s="801">
        <v>33952</v>
      </c>
      <c r="B7573" s="802" t="s">
        <v>8718</v>
      </c>
      <c r="C7573" s="801" t="s">
        <v>659</v>
      </c>
      <c r="D7573" s="803">
        <v>82.21</v>
      </c>
    </row>
    <row r="7574" spans="1:4">
      <c r="A7574" s="801">
        <v>40816</v>
      </c>
      <c r="B7574" s="802" t="s">
        <v>8719</v>
      </c>
      <c r="C7574" s="801" t="s">
        <v>772</v>
      </c>
      <c r="D7574" s="803">
        <v>14519.56</v>
      </c>
    </row>
    <row r="7575" spans="1:4">
      <c r="A7575" s="801">
        <v>33953</v>
      </c>
      <c r="B7575" s="802" t="s">
        <v>8720</v>
      </c>
      <c r="C7575" s="801" t="s">
        <v>659</v>
      </c>
      <c r="D7575" s="803">
        <v>108.69</v>
      </c>
    </row>
    <row r="7576" spans="1:4">
      <c r="A7576" s="801">
        <v>40817</v>
      </c>
      <c r="B7576" s="802" t="s">
        <v>8721</v>
      </c>
      <c r="C7576" s="801" t="s">
        <v>772</v>
      </c>
      <c r="D7576" s="803">
        <v>19196.150000000001</v>
      </c>
    </row>
    <row r="7577" spans="1:4" ht="25.5">
      <c r="A7577" s="801">
        <v>13348</v>
      </c>
      <c r="B7577" s="802" t="s">
        <v>8722</v>
      </c>
      <c r="C7577" s="801" t="s">
        <v>656</v>
      </c>
      <c r="D7577" s="803">
        <v>0.92</v>
      </c>
    </row>
    <row r="7578" spans="1:4" ht="25.5">
      <c r="A7578" s="801">
        <v>39211</v>
      </c>
      <c r="B7578" s="802" t="s">
        <v>8723</v>
      </c>
      <c r="C7578" s="801" t="s">
        <v>656</v>
      </c>
      <c r="D7578" s="803">
        <v>1.31</v>
      </c>
    </row>
    <row r="7579" spans="1:4" ht="25.5">
      <c r="A7579" s="801">
        <v>39212</v>
      </c>
      <c r="B7579" s="802" t="s">
        <v>8724</v>
      </c>
      <c r="C7579" s="801" t="s">
        <v>656</v>
      </c>
      <c r="D7579" s="803">
        <v>1.46</v>
      </c>
    </row>
    <row r="7580" spans="1:4">
      <c r="A7580" s="801">
        <v>39208</v>
      </c>
      <c r="B7580" s="802" t="s">
        <v>8725</v>
      </c>
      <c r="C7580" s="801" t="s">
        <v>656</v>
      </c>
      <c r="D7580" s="803">
        <v>0.4</v>
      </c>
    </row>
    <row r="7581" spans="1:4">
      <c r="A7581" s="801">
        <v>39210</v>
      </c>
      <c r="B7581" s="802" t="s">
        <v>8726</v>
      </c>
      <c r="C7581" s="801" t="s">
        <v>656</v>
      </c>
      <c r="D7581" s="803">
        <v>0.73</v>
      </c>
    </row>
    <row r="7582" spans="1:4" ht="25.5">
      <c r="A7582" s="801">
        <v>39214</v>
      </c>
      <c r="B7582" s="802" t="s">
        <v>8727</v>
      </c>
      <c r="C7582" s="801" t="s">
        <v>656</v>
      </c>
      <c r="D7582" s="803">
        <v>2.7</v>
      </c>
    </row>
    <row r="7583" spans="1:4">
      <c r="A7583" s="801">
        <v>39213</v>
      </c>
      <c r="B7583" s="802" t="s">
        <v>8728</v>
      </c>
      <c r="C7583" s="801" t="s">
        <v>656</v>
      </c>
      <c r="D7583" s="803">
        <v>1.91</v>
      </c>
    </row>
    <row r="7584" spans="1:4">
      <c r="A7584" s="801">
        <v>39209</v>
      </c>
      <c r="B7584" s="802" t="s">
        <v>8729</v>
      </c>
      <c r="C7584" s="801" t="s">
        <v>656</v>
      </c>
      <c r="D7584" s="803">
        <v>0.47</v>
      </c>
    </row>
    <row r="7585" spans="1:4">
      <c r="A7585" s="801">
        <v>39207</v>
      </c>
      <c r="B7585" s="802" t="s">
        <v>8730</v>
      </c>
      <c r="C7585" s="801" t="s">
        <v>656</v>
      </c>
      <c r="D7585" s="803">
        <v>0.73</v>
      </c>
    </row>
    <row r="7586" spans="1:4">
      <c r="A7586" s="801">
        <v>39215</v>
      </c>
      <c r="B7586" s="802" t="s">
        <v>8731</v>
      </c>
      <c r="C7586" s="801" t="s">
        <v>656</v>
      </c>
      <c r="D7586" s="803">
        <v>4.92</v>
      </c>
    </row>
    <row r="7587" spans="1:4">
      <c r="A7587" s="801">
        <v>39216</v>
      </c>
      <c r="B7587" s="802" t="s">
        <v>8732</v>
      </c>
      <c r="C7587" s="801" t="s">
        <v>656</v>
      </c>
      <c r="D7587" s="803">
        <v>6.87</v>
      </c>
    </row>
    <row r="7588" spans="1:4" ht="38.25">
      <c r="A7588" s="801">
        <v>11267</v>
      </c>
      <c r="B7588" s="802" t="s">
        <v>8733</v>
      </c>
      <c r="C7588" s="801" t="s">
        <v>656</v>
      </c>
      <c r="D7588" s="803">
        <v>0.8</v>
      </c>
    </row>
    <row r="7589" spans="1:4" ht="25.5">
      <c r="A7589" s="801">
        <v>379</v>
      </c>
      <c r="B7589" s="802" t="s">
        <v>8734</v>
      </c>
      <c r="C7589" s="801" t="s">
        <v>656</v>
      </c>
      <c r="D7589" s="803">
        <v>0.81</v>
      </c>
    </row>
    <row r="7590" spans="1:4" ht="25.5">
      <c r="A7590" s="801">
        <v>510</v>
      </c>
      <c r="B7590" s="802" t="s">
        <v>8735</v>
      </c>
      <c r="C7590" s="801" t="s">
        <v>653</v>
      </c>
      <c r="D7590" s="803">
        <v>11.44</v>
      </c>
    </row>
    <row r="7591" spans="1:4" ht="25.5">
      <c r="A7591" s="801">
        <v>516</v>
      </c>
      <c r="B7591" s="802" t="s">
        <v>8736</v>
      </c>
      <c r="C7591" s="801" t="s">
        <v>653</v>
      </c>
      <c r="D7591" s="803">
        <v>13.56</v>
      </c>
    </row>
    <row r="7592" spans="1:4" ht="25.5">
      <c r="A7592" s="801">
        <v>509</v>
      </c>
      <c r="B7592" s="802" t="s">
        <v>8737</v>
      </c>
      <c r="C7592" s="801" t="s">
        <v>653</v>
      </c>
      <c r="D7592" s="803">
        <v>15.21</v>
      </c>
    </row>
    <row r="7593" spans="1:4">
      <c r="A7593" s="801">
        <v>40331</v>
      </c>
      <c r="B7593" s="802" t="s">
        <v>8738</v>
      </c>
      <c r="C7593" s="801" t="s">
        <v>659</v>
      </c>
      <c r="D7593" s="803">
        <v>11.91</v>
      </c>
    </row>
    <row r="7594" spans="1:4">
      <c r="A7594" s="801">
        <v>40930</v>
      </c>
      <c r="B7594" s="802" t="s">
        <v>8739</v>
      </c>
      <c r="C7594" s="801" t="s">
        <v>772</v>
      </c>
      <c r="D7594" s="803">
        <v>2105.65</v>
      </c>
    </row>
    <row r="7595" spans="1:4">
      <c r="A7595" s="801">
        <v>11761</v>
      </c>
      <c r="B7595" s="802" t="s">
        <v>8740</v>
      </c>
      <c r="C7595" s="801" t="s">
        <v>656</v>
      </c>
      <c r="D7595" s="803">
        <v>93.87</v>
      </c>
    </row>
    <row r="7596" spans="1:4">
      <c r="A7596" s="801">
        <v>377</v>
      </c>
      <c r="B7596" s="802" t="s">
        <v>8741</v>
      </c>
      <c r="C7596" s="801" t="s">
        <v>656</v>
      </c>
      <c r="D7596" s="803">
        <v>44.11</v>
      </c>
    </row>
    <row r="7597" spans="1:4">
      <c r="A7597" s="801">
        <v>7588</v>
      </c>
      <c r="B7597" s="802" t="s">
        <v>8742</v>
      </c>
      <c r="C7597" s="801" t="s">
        <v>656</v>
      </c>
      <c r="D7597" s="803">
        <v>45.71</v>
      </c>
    </row>
    <row r="7598" spans="1:4">
      <c r="A7598" s="801">
        <v>34392</v>
      </c>
      <c r="B7598" s="802" t="s">
        <v>8743</v>
      </c>
      <c r="C7598" s="801" t="s">
        <v>659</v>
      </c>
      <c r="D7598" s="803">
        <v>10.51</v>
      </c>
    </row>
    <row r="7599" spans="1:4">
      <c r="A7599" s="801">
        <v>40908</v>
      </c>
      <c r="B7599" s="802" t="s">
        <v>8744</v>
      </c>
      <c r="C7599" s="801" t="s">
        <v>772</v>
      </c>
      <c r="D7599" s="803">
        <v>1857.72</v>
      </c>
    </row>
    <row r="7600" spans="1:4">
      <c r="A7600" s="801">
        <v>34551</v>
      </c>
      <c r="B7600" s="802" t="s">
        <v>8745</v>
      </c>
      <c r="C7600" s="801" t="s">
        <v>659</v>
      </c>
      <c r="D7600" s="803">
        <v>10.199999999999999</v>
      </c>
    </row>
    <row r="7601" spans="1:4">
      <c r="A7601" s="801">
        <v>41078</v>
      </c>
      <c r="B7601" s="802" t="s">
        <v>8746</v>
      </c>
      <c r="C7601" s="801" t="s">
        <v>772</v>
      </c>
      <c r="D7601" s="803">
        <v>1803.89</v>
      </c>
    </row>
    <row r="7602" spans="1:4">
      <c r="A7602" s="801">
        <v>246</v>
      </c>
      <c r="B7602" s="802" t="s">
        <v>13446</v>
      </c>
      <c r="C7602" s="801" t="s">
        <v>659</v>
      </c>
      <c r="D7602" s="803">
        <v>11.05</v>
      </c>
    </row>
    <row r="7603" spans="1:4" ht="25.5">
      <c r="A7603" s="801">
        <v>40927</v>
      </c>
      <c r="B7603" s="802" t="s">
        <v>8747</v>
      </c>
      <c r="C7603" s="801" t="s">
        <v>772</v>
      </c>
      <c r="D7603" s="803">
        <v>1953.47</v>
      </c>
    </row>
    <row r="7604" spans="1:4">
      <c r="A7604" s="801">
        <v>2350</v>
      </c>
      <c r="B7604" s="802" t="s">
        <v>8748</v>
      </c>
      <c r="C7604" s="801" t="s">
        <v>659</v>
      </c>
      <c r="D7604" s="803">
        <v>11.06</v>
      </c>
    </row>
    <row r="7605" spans="1:4">
      <c r="A7605" s="801">
        <v>40812</v>
      </c>
      <c r="B7605" s="802" t="s">
        <v>8749</v>
      </c>
      <c r="C7605" s="801" t="s">
        <v>772</v>
      </c>
      <c r="D7605" s="803">
        <v>1954.73</v>
      </c>
    </row>
    <row r="7606" spans="1:4">
      <c r="A7606" s="801">
        <v>245</v>
      </c>
      <c r="B7606" s="802" t="s">
        <v>8750</v>
      </c>
      <c r="C7606" s="801" t="s">
        <v>659</v>
      </c>
      <c r="D7606" s="803">
        <v>18.829999999999998</v>
      </c>
    </row>
    <row r="7607" spans="1:4" ht="25.5">
      <c r="A7607" s="801">
        <v>41090</v>
      </c>
      <c r="B7607" s="802" t="s">
        <v>8751</v>
      </c>
      <c r="C7607" s="801" t="s">
        <v>772</v>
      </c>
      <c r="D7607" s="803">
        <v>3326.52</v>
      </c>
    </row>
    <row r="7608" spans="1:4">
      <c r="A7608" s="801">
        <v>251</v>
      </c>
      <c r="B7608" s="802" t="s">
        <v>8752</v>
      </c>
      <c r="C7608" s="801" t="s">
        <v>659</v>
      </c>
      <c r="D7608" s="803">
        <v>8.8800000000000008</v>
      </c>
    </row>
    <row r="7609" spans="1:4">
      <c r="A7609" s="801">
        <v>40975</v>
      </c>
      <c r="B7609" s="802" t="s">
        <v>8753</v>
      </c>
      <c r="C7609" s="801" t="s">
        <v>772</v>
      </c>
      <c r="D7609" s="803">
        <v>1571.85</v>
      </c>
    </row>
    <row r="7610" spans="1:4">
      <c r="A7610" s="801">
        <v>6127</v>
      </c>
      <c r="B7610" s="802" t="s">
        <v>8754</v>
      </c>
      <c r="C7610" s="801" t="s">
        <v>659</v>
      </c>
      <c r="D7610" s="803">
        <v>10.199999999999999</v>
      </c>
    </row>
    <row r="7611" spans="1:4">
      <c r="A7611" s="801">
        <v>41072</v>
      </c>
      <c r="B7611" s="802" t="s">
        <v>8755</v>
      </c>
      <c r="C7611" s="801" t="s">
        <v>772</v>
      </c>
      <c r="D7611" s="803">
        <v>1803.89</v>
      </c>
    </row>
    <row r="7612" spans="1:4">
      <c r="A7612" s="801">
        <v>6121</v>
      </c>
      <c r="B7612" s="802" t="s">
        <v>4594</v>
      </c>
      <c r="C7612" s="801" t="s">
        <v>659</v>
      </c>
      <c r="D7612" s="803">
        <v>10.210000000000001</v>
      </c>
    </row>
    <row r="7613" spans="1:4">
      <c r="A7613" s="801">
        <v>41071</v>
      </c>
      <c r="B7613" s="802" t="s">
        <v>8756</v>
      </c>
      <c r="C7613" s="801" t="s">
        <v>772</v>
      </c>
      <c r="D7613" s="803">
        <v>1804.46</v>
      </c>
    </row>
    <row r="7614" spans="1:4">
      <c r="A7614" s="801">
        <v>244</v>
      </c>
      <c r="B7614" s="802" t="s">
        <v>8757</v>
      </c>
      <c r="C7614" s="801" t="s">
        <v>659</v>
      </c>
      <c r="D7614" s="803">
        <v>5.59</v>
      </c>
    </row>
    <row r="7615" spans="1:4">
      <c r="A7615" s="801">
        <v>41093</v>
      </c>
      <c r="B7615" s="802" t="s">
        <v>8758</v>
      </c>
      <c r="C7615" s="801" t="s">
        <v>772</v>
      </c>
      <c r="D7615" s="803">
        <v>990.34</v>
      </c>
    </row>
    <row r="7616" spans="1:4">
      <c r="A7616" s="801">
        <v>532</v>
      </c>
      <c r="B7616" s="802" t="s">
        <v>8759</v>
      </c>
      <c r="C7616" s="801" t="s">
        <v>659</v>
      </c>
      <c r="D7616" s="803">
        <v>20.27</v>
      </c>
    </row>
    <row r="7617" spans="1:4">
      <c r="A7617" s="801">
        <v>40931</v>
      </c>
      <c r="B7617" s="802" t="s">
        <v>8760</v>
      </c>
      <c r="C7617" s="801" t="s">
        <v>772</v>
      </c>
      <c r="D7617" s="803">
        <v>3582.77</v>
      </c>
    </row>
    <row r="7618" spans="1:4">
      <c r="A7618" s="801">
        <v>36150</v>
      </c>
      <c r="B7618" s="802" t="s">
        <v>8761</v>
      </c>
      <c r="C7618" s="801" t="s">
        <v>656</v>
      </c>
      <c r="D7618" s="803">
        <v>59.4</v>
      </c>
    </row>
    <row r="7619" spans="1:4">
      <c r="A7619" s="801">
        <v>4760</v>
      </c>
      <c r="B7619" s="802" t="s">
        <v>8762</v>
      </c>
      <c r="C7619" s="801" t="s">
        <v>659</v>
      </c>
      <c r="D7619" s="803">
        <v>13.73</v>
      </c>
    </row>
    <row r="7620" spans="1:4">
      <c r="A7620" s="801">
        <v>41069</v>
      </c>
      <c r="B7620" s="802" t="s">
        <v>8763</v>
      </c>
      <c r="C7620" s="801" t="s">
        <v>772</v>
      </c>
      <c r="D7620" s="803">
        <v>2424.4299999999998</v>
      </c>
    </row>
    <row r="7621" spans="1:4" ht="25.5">
      <c r="A7621" s="801">
        <v>10422</v>
      </c>
      <c r="B7621" s="802" t="s">
        <v>8764</v>
      </c>
      <c r="C7621" s="801" t="s">
        <v>656</v>
      </c>
      <c r="D7621" s="803">
        <v>352.16</v>
      </c>
    </row>
    <row r="7622" spans="1:4" ht="25.5">
      <c r="A7622" s="801">
        <v>44019</v>
      </c>
      <c r="B7622" s="802" t="s">
        <v>8765</v>
      </c>
      <c r="C7622" s="801" t="s">
        <v>656</v>
      </c>
      <c r="D7622" s="803">
        <v>487.47</v>
      </c>
    </row>
    <row r="7623" spans="1:4" ht="25.5">
      <c r="A7623" s="801">
        <v>36520</v>
      </c>
      <c r="B7623" s="802" t="s">
        <v>8766</v>
      </c>
      <c r="C7623" s="801" t="s">
        <v>656</v>
      </c>
      <c r="D7623" s="803">
        <v>592.71</v>
      </c>
    </row>
    <row r="7624" spans="1:4" ht="38.25">
      <c r="A7624" s="801">
        <v>42319</v>
      </c>
      <c r="B7624" s="802" t="s">
        <v>8767</v>
      </c>
      <c r="C7624" s="801" t="s">
        <v>656</v>
      </c>
      <c r="D7624" s="803">
        <v>531.1</v>
      </c>
    </row>
    <row r="7625" spans="1:4" ht="25.5">
      <c r="A7625" s="801">
        <v>10420</v>
      </c>
      <c r="B7625" s="802" t="s">
        <v>8768</v>
      </c>
      <c r="C7625" s="801" t="s">
        <v>656</v>
      </c>
      <c r="D7625" s="803">
        <v>188.4</v>
      </c>
    </row>
    <row r="7626" spans="1:4" ht="25.5">
      <c r="A7626" s="801">
        <v>10421</v>
      </c>
      <c r="B7626" s="802" t="s">
        <v>8769</v>
      </c>
      <c r="C7626" s="801" t="s">
        <v>656</v>
      </c>
      <c r="D7626" s="803">
        <v>207.03</v>
      </c>
    </row>
    <row r="7627" spans="1:4" ht="25.5">
      <c r="A7627" s="801">
        <v>11786</v>
      </c>
      <c r="B7627" s="802" t="s">
        <v>8770</v>
      </c>
      <c r="C7627" s="801" t="s">
        <v>656</v>
      </c>
      <c r="D7627" s="803">
        <v>417.45</v>
      </c>
    </row>
    <row r="7628" spans="1:4">
      <c r="A7628" s="801">
        <v>10</v>
      </c>
      <c r="B7628" s="802" t="s">
        <v>8771</v>
      </c>
      <c r="C7628" s="801" t="s">
        <v>656</v>
      </c>
      <c r="D7628" s="803">
        <v>18.39</v>
      </c>
    </row>
    <row r="7629" spans="1:4">
      <c r="A7629" s="801">
        <v>4815</v>
      </c>
      <c r="B7629" s="802" t="s">
        <v>8772</v>
      </c>
      <c r="C7629" s="801" t="s">
        <v>656</v>
      </c>
      <c r="D7629" s="803">
        <v>8.4</v>
      </c>
    </row>
    <row r="7630" spans="1:4">
      <c r="A7630" s="801">
        <v>541</v>
      </c>
      <c r="B7630" s="802" t="s">
        <v>8773</v>
      </c>
      <c r="C7630" s="801" t="s">
        <v>656</v>
      </c>
      <c r="D7630" s="803">
        <v>168.5</v>
      </c>
    </row>
    <row r="7631" spans="1:4">
      <c r="A7631" s="801">
        <v>542</v>
      </c>
      <c r="B7631" s="802" t="s">
        <v>8774</v>
      </c>
      <c r="C7631" s="801" t="s">
        <v>656</v>
      </c>
      <c r="D7631" s="803">
        <v>211.21</v>
      </c>
    </row>
    <row r="7632" spans="1:4">
      <c r="A7632" s="801">
        <v>540</v>
      </c>
      <c r="B7632" s="802" t="s">
        <v>8775</v>
      </c>
      <c r="C7632" s="801" t="s">
        <v>656</v>
      </c>
      <c r="D7632" s="803">
        <v>475.97</v>
      </c>
    </row>
    <row r="7633" spans="1:4" ht="38.25">
      <c r="A7633" s="801">
        <v>38364</v>
      </c>
      <c r="B7633" s="802" t="s">
        <v>8776</v>
      </c>
      <c r="C7633" s="801" t="s">
        <v>656</v>
      </c>
      <c r="D7633" s="803">
        <v>780.92</v>
      </c>
    </row>
    <row r="7634" spans="1:4" ht="25.5">
      <c r="A7634" s="801">
        <v>11692</v>
      </c>
      <c r="B7634" s="802" t="s">
        <v>8777</v>
      </c>
      <c r="C7634" s="801" t="s">
        <v>661</v>
      </c>
      <c r="D7634" s="803">
        <v>463.09</v>
      </c>
    </row>
    <row r="7635" spans="1:4" ht="25.5">
      <c r="A7635" s="801">
        <v>1746</v>
      </c>
      <c r="B7635" s="802" t="s">
        <v>8778</v>
      </c>
      <c r="C7635" s="801" t="s">
        <v>656</v>
      </c>
      <c r="D7635" s="803">
        <v>286</v>
      </c>
    </row>
    <row r="7636" spans="1:4" ht="25.5">
      <c r="A7636" s="801">
        <v>1748</v>
      </c>
      <c r="B7636" s="802" t="s">
        <v>8779</v>
      </c>
      <c r="C7636" s="801" t="s">
        <v>656</v>
      </c>
      <c r="D7636" s="803">
        <v>380.31</v>
      </c>
    </row>
    <row r="7637" spans="1:4" ht="25.5">
      <c r="A7637" s="801">
        <v>1749</v>
      </c>
      <c r="B7637" s="802" t="s">
        <v>8780</v>
      </c>
      <c r="C7637" s="801" t="s">
        <v>656</v>
      </c>
      <c r="D7637" s="803">
        <v>551</v>
      </c>
    </row>
    <row r="7638" spans="1:4" ht="38.25">
      <c r="A7638" s="801">
        <v>37412</v>
      </c>
      <c r="B7638" s="802" t="s">
        <v>8781</v>
      </c>
      <c r="C7638" s="801" t="s">
        <v>656</v>
      </c>
      <c r="D7638" s="803">
        <v>279.56</v>
      </c>
    </row>
    <row r="7639" spans="1:4" ht="25.5">
      <c r="A7639" s="801">
        <v>1745</v>
      </c>
      <c r="B7639" s="802" t="s">
        <v>8782</v>
      </c>
      <c r="C7639" s="801" t="s">
        <v>656</v>
      </c>
      <c r="D7639" s="803">
        <v>332.44</v>
      </c>
    </row>
    <row r="7640" spans="1:4" ht="25.5">
      <c r="A7640" s="801">
        <v>1750</v>
      </c>
      <c r="B7640" s="802" t="s">
        <v>8783</v>
      </c>
      <c r="C7640" s="801" t="s">
        <v>656</v>
      </c>
      <c r="D7640" s="803">
        <v>776.86</v>
      </c>
    </row>
    <row r="7641" spans="1:4" ht="25.5">
      <c r="A7641" s="801">
        <v>11687</v>
      </c>
      <c r="B7641" s="802" t="s">
        <v>8784</v>
      </c>
      <c r="C7641" s="801" t="s">
        <v>660</v>
      </c>
      <c r="D7641" s="803">
        <v>1237.78</v>
      </c>
    </row>
    <row r="7642" spans="1:4" ht="25.5">
      <c r="A7642" s="801">
        <v>11689</v>
      </c>
      <c r="B7642" s="802" t="s">
        <v>8785</v>
      </c>
      <c r="C7642" s="801" t="s">
        <v>660</v>
      </c>
      <c r="D7642" s="803">
        <v>1550.86</v>
      </c>
    </row>
    <row r="7643" spans="1:4">
      <c r="A7643" s="801">
        <v>11693</v>
      </c>
      <c r="B7643" s="802" t="s">
        <v>8786</v>
      </c>
      <c r="C7643" s="801" t="s">
        <v>661</v>
      </c>
      <c r="D7643" s="803">
        <v>186.83</v>
      </c>
    </row>
    <row r="7644" spans="1:4" ht="25.5">
      <c r="A7644" s="801">
        <v>36215</v>
      </c>
      <c r="B7644" s="802" t="s">
        <v>8787</v>
      </c>
      <c r="C7644" s="801" t="s">
        <v>656</v>
      </c>
      <c r="D7644" s="803">
        <v>1043.6400000000001</v>
      </c>
    </row>
    <row r="7645" spans="1:4" ht="38.25">
      <c r="A7645" s="801">
        <v>42439</v>
      </c>
      <c r="B7645" s="802" t="s">
        <v>8788</v>
      </c>
      <c r="C7645" s="801" t="s">
        <v>656</v>
      </c>
      <c r="D7645" s="803">
        <v>1186.04</v>
      </c>
    </row>
    <row r="7646" spans="1:4">
      <c r="A7646" s="801">
        <v>38381</v>
      </c>
      <c r="B7646" s="802" t="s">
        <v>8789</v>
      </c>
      <c r="C7646" s="801" t="s">
        <v>656</v>
      </c>
      <c r="D7646" s="803">
        <v>10.039999999999999</v>
      </c>
    </row>
    <row r="7647" spans="1:4">
      <c r="A7647" s="801">
        <v>39621</v>
      </c>
      <c r="B7647" s="802" t="s">
        <v>8790</v>
      </c>
      <c r="C7647" s="801" t="s">
        <v>665</v>
      </c>
      <c r="D7647" s="803">
        <v>1077.03</v>
      </c>
    </row>
    <row r="7648" spans="1:4">
      <c r="A7648" s="801">
        <v>39624</v>
      </c>
      <c r="B7648" s="802" t="s">
        <v>8791</v>
      </c>
      <c r="C7648" s="801" t="s">
        <v>665</v>
      </c>
      <c r="D7648" s="803">
        <v>1188.0899999999999</v>
      </c>
    </row>
    <row r="7649" spans="1:4" ht="25.5">
      <c r="A7649" s="801">
        <v>39615</v>
      </c>
      <c r="B7649" s="802" t="s">
        <v>8792</v>
      </c>
      <c r="C7649" s="801" t="s">
        <v>656</v>
      </c>
      <c r="D7649" s="803">
        <v>480.1</v>
      </c>
    </row>
    <row r="7650" spans="1:4" ht="25.5">
      <c r="A7650" s="801">
        <v>39620</v>
      </c>
      <c r="B7650" s="802" t="s">
        <v>8793</v>
      </c>
      <c r="C7650" s="801" t="s">
        <v>656</v>
      </c>
      <c r="D7650" s="803">
        <v>733.24</v>
      </c>
    </row>
    <row r="7651" spans="1:4">
      <c r="A7651" s="801">
        <v>39623</v>
      </c>
      <c r="B7651" s="802" t="s">
        <v>8794</v>
      </c>
      <c r="C7651" s="801" t="s">
        <v>656</v>
      </c>
      <c r="D7651" s="803">
        <v>785.36</v>
      </c>
    </row>
    <row r="7652" spans="1:4" ht="25.5">
      <c r="A7652" s="801">
        <v>36207</v>
      </c>
      <c r="B7652" s="802" t="s">
        <v>8795</v>
      </c>
      <c r="C7652" s="801" t="s">
        <v>656</v>
      </c>
      <c r="D7652" s="803">
        <v>462.26</v>
      </c>
    </row>
    <row r="7653" spans="1:4" ht="25.5">
      <c r="A7653" s="801">
        <v>36209</v>
      </c>
      <c r="B7653" s="802" t="s">
        <v>8796</v>
      </c>
      <c r="C7653" s="801" t="s">
        <v>656</v>
      </c>
      <c r="D7653" s="803">
        <v>530.51</v>
      </c>
    </row>
    <row r="7654" spans="1:4" ht="25.5">
      <c r="A7654" s="801">
        <v>36210</v>
      </c>
      <c r="B7654" s="802" t="s">
        <v>8797</v>
      </c>
      <c r="C7654" s="801" t="s">
        <v>656</v>
      </c>
      <c r="D7654" s="803">
        <v>574</v>
      </c>
    </row>
    <row r="7655" spans="1:4" ht="25.5">
      <c r="A7655" s="801">
        <v>36204</v>
      </c>
      <c r="B7655" s="802" t="s">
        <v>4595</v>
      </c>
      <c r="C7655" s="801" t="s">
        <v>656</v>
      </c>
      <c r="D7655" s="803">
        <v>203.52</v>
      </c>
    </row>
    <row r="7656" spans="1:4" ht="25.5">
      <c r="A7656" s="801">
        <v>36205</v>
      </c>
      <c r="B7656" s="802" t="s">
        <v>8798</v>
      </c>
      <c r="C7656" s="801" t="s">
        <v>656</v>
      </c>
      <c r="D7656" s="803">
        <v>226.02</v>
      </c>
    </row>
    <row r="7657" spans="1:4" ht="25.5">
      <c r="A7657" s="801">
        <v>36081</v>
      </c>
      <c r="B7657" s="802" t="s">
        <v>8799</v>
      </c>
      <c r="C7657" s="801" t="s">
        <v>656</v>
      </c>
      <c r="D7657" s="803">
        <v>241</v>
      </c>
    </row>
    <row r="7658" spans="1:4" ht="25.5">
      <c r="A7658" s="801">
        <v>36206</v>
      </c>
      <c r="B7658" s="802" t="s">
        <v>4596</v>
      </c>
      <c r="C7658" s="801" t="s">
        <v>656</v>
      </c>
      <c r="D7658" s="803">
        <v>252.49</v>
      </c>
    </row>
    <row r="7659" spans="1:4" ht="25.5">
      <c r="A7659" s="801">
        <v>36218</v>
      </c>
      <c r="B7659" s="802" t="s">
        <v>8800</v>
      </c>
      <c r="C7659" s="801" t="s">
        <v>656</v>
      </c>
      <c r="D7659" s="803">
        <v>136.26</v>
      </c>
    </row>
    <row r="7660" spans="1:4" ht="25.5">
      <c r="A7660" s="801">
        <v>36220</v>
      </c>
      <c r="B7660" s="802" t="s">
        <v>8801</v>
      </c>
      <c r="C7660" s="801" t="s">
        <v>656</v>
      </c>
      <c r="D7660" s="803">
        <v>156.24</v>
      </c>
    </row>
    <row r="7661" spans="1:4" ht="25.5">
      <c r="A7661" s="801">
        <v>36080</v>
      </c>
      <c r="B7661" s="802" t="s">
        <v>8802</v>
      </c>
      <c r="C7661" s="801" t="s">
        <v>656</v>
      </c>
      <c r="D7661" s="803">
        <v>169</v>
      </c>
    </row>
    <row r="7662" spans="1:4" ht="25.5">
      <c r="A7662" s="801">
        <v>36223</v>
      </c>
      <c r="B7662" s="802" t="s">
        <v>8803</v>
      </c>
      <c r="C7662" s="801" t="s">
        <v>656</v>
      </c>
      <c r="D7662" s="803">
        <v>176.97</v>
      </c>
    </row>
    <row r="7663" spans="1:4">
      <c r="A7663" s="801">
        <v>546</v>
      </c>
      <c r="B7663" s="802" t="s">
        <v>8804</v>
      </c>
      <c r="C7663" s="801" t="s">
        <v>653</v>
      </c>
      <c r="D7663" s="803">
        <v>12.18</v>
      </c>
    </row>
    <row r="7664" spans="1:4" ht="25.5">
      <c r="A7664" s="801">
        <v>566</v>
      </c>
      <c r="B7664" s="802" t="s">
        <v>8805</v>
      </c>
      <c r="C7664" s="801" t="s">
        <v>660</v>
      </c>
      <c r="D7664" s="803">
        <v>5.78</v>
      </c>
    </row>
    <row r="7665" spans="1:4" ht="25.5">
      <c r="A7665" s="801">
        <v>565</v>
      </c>
      <c r="B7665" s="802" t="s">
        <v>8806</v>
      </c>
      <c r="C7665" s="801" t="s">
        <v>660</v>
      </c>
      <c r="D7665" s="803">
        <v>21.07</v>
      </c>
    </row>
    <row r="7666" spans="1:4" ht="25.5">
      <c r="A7666" s="801">
        <v>555</v>
      </c>
      <c r="B7666" s="802" t="s">
        <v>8807</v>
      </c>
      <c r="C7666" s="801" t="s">
        <v>660</v>
      </c>
      <c r="D7666" s="803">
        <v>14.93</v>
      </c>
    </row>
    <row r="7667" spans="1:4" ht="25.5">
      <c r="A7667" s="801">
        <v>557</v>
      </c>
      <c r="B7667" s="802" t="s">
        <v>8808</v>
      </c>
      <c r="C7667" s="801" t="s">
        <v>660</v>
      </c>
      <c r="D7667" s="803">
        <v>46.86</v>
      </c>
    </row>
    <row r="7668" spans="1:4" ht="25.5">
      <c r="A7668" s="801">
        <v>552</v>
      </c>
      <c r="B7668" s="802" t="s">
        <v>8809</v>
      </c>
      <c r="C7668" s="801" t="s">
        <v>660</v>
      </c>
      <c r="D7668" s="803">
        <v>23.25</v>
      </c>
    </row>
    <row r="7669" spans="1:4" ht="25.5">
      <c r="A7669" s="801">
        <v>563</v>
      </c>
      <c r="B7669" s="802" t="s">
        <v>8810</v>
      </c>
      <c r="C7669" s="801" t="s">
        <v>660</v>
      </c>
      <c r="D7669" s="803">
        <v>34.94</v>
      </c>
    </row>
    <row r="7670" spans="1:4" ht="25.5">
      <c r="A7670" s="801">
        <v>549</v>
      </c>
      <c r="B7670" s="802" t="s">
        <v>8811</v>
      </c>
      <c r="C7670" s="801" t="s">
        <v>660</v>
      </c>
      <c r="D7670" s="803">
        <v>62.88</v>
      </c>
    </row>
    <row r="7671" spans="1:4" ht="25.5">
      <c r="A7671" s="801">
        <v>551</v>
      </c>
      <c r="B7671" s="802" t="s">
        <v>8812</v>
      </c>
      <c r="C7671" s="801" t="s">
        <v>660</v>
      </c>
      <c r="D7671" s="803">
        <v>124.51</v>
      </c>
    </row>
    <row r="7672" spans="1:4" ht="25.5">
      <c r="A7672" s="801">
        <v>559</v>
      </c>
      <c r="B7672" s="802" t="s">
        <v>8813</v>
      </c>
      <c r="C7672" s="801" t="s">
        <v>660</v>
      </c>
      <c r="D7672" s="803">
        <v>31.12</v>
      </c>
    </row>
    <row r="7673" spans="1:4" ht="25.5">
      <c r="A7673" s="801">
        <v>560</v>
      </c>
      <c r="B7673" s="802" t="s">
        <v>8814</v>
      </c>
      <c r="C7673" s="801" t="s">
        <v>660</v>
      </c>
      <c r="D7673" s="803">
        <v>38.94</v>
      </c>
    </row>
    <row r="7674" spans="1:4" ht="25.5">
      <c r="A7674" s="801">
        <v>547</v>
      </c>
      <c r="B7674" s="802" t="s">
        <v>8815</v>
      </c>
      <c r="C7674" s="801" t="s">
        <v>660</v>
      </c>
      <c r="D7674" s="803">
        <v>46.63</v>
      </c>
    </row>
    <row r="7675" spans="1:4" ht="25.5">
      <c r="A7675" s="801">
        <v>38127</v>
      </c>
      <c r="B7675" s="802" t="s">
        <v>8816</v>
      </c>
      <c r="C7675" s="801" t="s">
        <v>656</v>
      </c>
      <c r="D7675" s="803">
        <v>387.79</v>
      </c>
    </row>
    <row r="7676" spans="1:4">
      <c r="A7676" s="801">
        <v>38060</v>
      </c>
      <c r="B7676" s="802" t="s">
        <v>8817</v>
      </c>
      <c r="C7676" s="801" t="s">
        <v>656</v>
      </c>
      <c r="D7676" s="803">
        <v>54.28</v>
      </c>
    </row>
    <row r="7677" spans="1:4">
      <c r="A7677" s="801">
        <v>10956</v>
      </c>
      <c r="B7677" s="802" t="s">
        <v>8818</v>
      </c>
      <c r="C7677" s="801" t="s">
        <v>656</v>
      </c>
      <c r="D7677" s="803">
        <v>59.53</v>
      </c>
    </row>
    <row r="7678" spans="1:4">
      <c r="A7678" s="801">
        <v>39380</v>
      </c>
      <c r="B7678" s="802" t="s">
        <v>8819</v>
      </c>
      <c r="C7678" s="801" t="s">
        <v>656</v>
      </c>
      <c r="D7678" s="803">
        <v>30.55</v>
      </c>
    </row>
    <row r="7679" spans="1:4" ht="25.5">
      <c r="A7679" s="801">
        <v>37597</v>
      </c>
      <c r="B7679" s="802" t="s">
        <v>8820</v>
      </c>
      <c r="C7679" s="801" t="s">
        <v>656</v>
      </c>
      <c r="D7679" s="803">
        <v>573203.12</v>
      </c>
    </row>
    <row r="7680" spans="1:4" ht="63.75">
      <c r="A7680" s="801">
        <v>183</v>
      </c>
      <c r="B7680" s="802" t="s">
        <v>8821</v>
      </c>
      <c r="C7680" s="801" t="s">
        <v>658</v>
      </c>
      <c r="D7680" s="803">
        <v>122.5</v>
      </c>
    </row>
    <row r="7681" spans="1:4" ht="51">
      <c r="A7681" s="801">
        <v>184</v>
      </c>
      <c r="B7681" s="802" t="s">
        <v>8822</v>
      </c>
      <c r="C7681" s="801" t="s">
        <v>658</v>
      </c>
      <c r="D7681" s="803">
        <v>75.87</v>
      </c>
    </row>
    <row r="7682" spans="1:4" ht="63.75">
      <c r="A7682" s="801">
        <v>181</v>
      </c>
      <c r="B7682" s="802" t="s">
        <v>8823</v>
      </c>
      <c r="C7682" s="801" t="s">
        <v>658</v>
      </c>
      <c r="D7682" s="803">
        <v>163.59</v>
      </c>
    </row>
    <row r="7683" spans="1:4" ht="51">
      <c r="A7683" s="801">
        <v>20001</v>
      </c>
      <c r="B7683" s="802" t="s">
        <v>8824</v>
      </c>
      <c r="C7683" s="801" t="s">
        <v>658</v>
      </c>
      <c r="D7683" s="803">
        <v>94.83</v>
      </c>
    </row>
    <row r="7684" spans="1:4" ht="38.25">
      <c r="A7684" s="801">
        <v>39837</v>
      </c>
      <c r="B7684" s="802" t="s">
        <v>8825</v>
      </c>
      <c r="C7684" s="801" t="s">
        <v>658</v>
      </c>
      <c r="D7684" s="803">
        <v>363.13</v>
      </c>
    </row>
    <row r="7685" spans="1:4">
      <c r="A7685" s="801">
        <v>43366</v>
      </c>
      <c r="B7685" s="802" t="s">
        <v>8826</v>
      </c>
      <c r="C7685" s="801" t="s">
        <v>653</v>
      </c>
      <c r="D7685" s="803">
        <v>1.58</v>
      </c>
    </row>
    <row r="7686" spans="1:4" ht="38.25">
      <c r="A7686" s="801">
        <v>10535</v>
      </c>
      <c r="B7686" s="802" t="s">
        <v>4597</v>
      </c>
      <c r="C7686" s="801" t="s">
        <v>656</v>
      </c>
      <c r="D7686" s="803">
        <v>5299.99</v>
      </c>
    </row>
    <row r="7687" spans="1:4" ht="38.25">
      <c r="A7687" s="801">
        <v>10537</v>
      </c>
      <c r="B7687" s="802" t="s">
        <v>8827</v>
      </c>
      <c r="C7687" s="801" t="s">
        <v>656</v>
      </c>
      <c r="D7687" s="803">
        <v>7227.74</v>
      </c>
    </row>
    <row r="7688" spans="1:4" ht="38.25">
      <c r="A7688" s="801">
        <v>13891</v>
      </c>
      <c r="B7688" s="802" t="s">
        <v>8828</v>
      </c>
      <c r="C7688" s="801" t="s">
        <v>656</v>
      </c>
      <c r="D7688" s="803">
        <v>6629.47</v>
      </c>
    </row>
    <row r="7689" spans="1:4" ht="38.25">
      <c r="A7689" s="801">
        <v>44492</v>
      </c>
      <c r="B7689" s="802" t="s">
        <v>8829</v>
      </c>
      <c r="C7689" s="801" t="s">
        <v>656</v>
      </c>
      <c r="D7689" s="803">
        <v>28835.53</v>
      </c>
    </row>
    <row r="7690" spans="1:4" ht="38.25">
      <c r="A7690" s="801">
        <v>36396</v>
      </c>
      <c r="B7690" s="802" t="s">
        <v>8830</v>
      </c>
      <c r="C7690" s="801" t="s">
        <v>656</v>
      </c>
      <c r="D7690" s="803">
        <v>6063.54</v>
      </c>
    </row>
    <row r="7691" spans="1:4" ht="38.25">
      <c r="A7691" s="801">
        <v>36397</v>
      </c>
      <c r="B7691" s="802" t="s">
        <v>4598</v>
      </c>
      <c r="C7691" s="801" t="s">
        <v>656</v>
      </c>
      <c r="D7691" s="803">
        <v>21559.279999999999</v>
      </c>
    </row>
    <row r="7692" spans="1:4" ht="38.25">
      <c r="A7692" s="801">
        <v>36398</v>
      </c>
      <c r="B7692" s="802" t="s">
        <v>8831</v>
      </c>
      <c r="C7692" s="801" t="s">
        <v>656</v>
      </c>
      <c r="D7692" s="803">
        <v>26203.5</v>
      </c>
    </row>
    <row r="7693" spans="1:4">
      <c r="A7693" s="801">
        <v>647</v>
      </c>
      <c r="B7693" s="802" t="s">
        <v>8832</v>
      </c>
      <c r="C7693" s="801" t="s">
        <v>659</v>
      </c>
      <c r="D7693" s="803">
        <v>9.75</v>
      </c>
    </row>
    <row r="7694" spans="1:4">
      <c r="A7694" s="801">
        <v>40920</v>
      </c>
      <c r="B7694" s="802" t="s">
        <v>8833</v>
      </c>
      <c r="C7694" s="801" t="s">
        <v>772</v>
      </c>
      <c r="D7694" s="803">
        <v>1724.56</v>
      </c>
    </row>
    <row r="7695" spans="1:4" ht="25.5">
      <c r="A7695" s="801">
        <v>715</v>
      </c>
      <c r="B7695" s="802" t="s">
        <v>8834</v>
      </c>
      <c r="C7695" s="801" t="s">
        <v>656</v>
      </c>
      <c r="D7695" s="803">
        <v>25</v>
      </c>
    </row>
    <row r="7696" spans="1:4" ht="25.5">
      <c r="A7696" s="801">
        <v>716</v>
      </c>
      <c r="B7696" s="802" t="s">
        <v>8835</v>
      </c>
      <c r="C7696" s="801" t="s">
        <v>656</v>
      </c>
      <c r="D7696" s="803">
        <v>28.27</v>
      </c>
    </row>
    <row r="7697" spans="1:4" ht="25.5">
      <c r="A7697" s="801">
        <v>38783</v>
      </c>
      <c r="B7697" s="802" t="s">
        <v>8836</v>
      </c>
      <c r="C7697" s="801" t="s">
        <v>656</v>
      </c>
      <c r="D7697" s="803">
        <v>1.19</v>
      </c>
    </row>
    <row r="7698" spans="1:4" ht="25.5">
      <c r="A7698" s="801">
        <v>37593</v>
      </c>
      <c r="B7698" s="802" t="s">
        <v>8837</v>
      </c>
      <c r="C7698" s="801" t="s">
        <v>656</v>
      </c>
      <c r="D7698" s="803">
        <v>2.93</v>
      </c>
    </row>
    <row r="7699" spans="1:4" ht="25.5">
      <c r="A7699" s="801">
        <v>37594</v>
      </c>
      <c r="B7699" s="802" t="s">
        <v>8838</v>
      </c>
      <c r="C7699" s="801" t="s">
        <v>656</v>
      </c>
      <c r="D7699" s="803">
        <v>3.65</v>
      </c>
    </row>
    <row r="7700" spans="1:4" ht="25.5">
      <c r="A7700" s="801">
        <v>37592</v>
      </c>
      <c r="B7700" s="802" t="s">
        <v>8839</v>
      </c>
      <c r="C7700" s="801" t="s">
        <v>656</v>
      </c>
      <c r="D7700" s="803">
        <v>2.31</v>
      </c>
    </row>
    <row r="7701" spans="1:4" ht="25.5">
      <c r="A7701" s="801">
        <v>7270</v>
      </c>
      <c r="B7701" s="802" t="s">
        <v>8840</v>
      </c>
      <c r="C7701" s="801" t="s">
        <v>656</v>
      </c>
      <c r="D7701" s="803">
        <v>1.03</v>
      </c>
    </row>
    <row r="7702" spans="1:4" ht="25.5">
      <c r="A7702" s="801">
        <v>7267</v>
      </c>
      <c r="B7702" s="802" t="s">
        <v>8841</v>
      </c>
      <c r="C7702" s="801" t="s">
        <v>656</v>
      </c>
      <c r="D7702" s="803">
        <v>0.81</v>
      </c>
    </row>
    <row r="7703" spans="1:4" ht="25.5">
      <c r="A7703" s="801">
        <v>7271</v>
      </c>
      <c r="B7703" s="802" t="s">
        <v>8842</v>
      </c>
      <c r="C7703" s="801" t="s">
        <v>656</v>
      </c>
      <c r="D7703" s="803">
        <v>0.89</v>
      </c>
    </row>
    <row r="7704" spans="1:4" ht="25.5">
      <c r="A7704" s="801">
        <v>7266</v>
      </c>
      <c r="B7704" s="802" t="s">
        <v>8843</v>
      </c>
      <c r="C7704" s="801" t="s">
        <v>664</v>
      </c>
      <c r="D7704" s="803">
        <v>893.4</v>
      </c>
    </row>
    <row r="7705" spans="1:4" ht="25.5">
      <c r="A7705" s="801">
        <v>7268</v>
      </c>
      <c r="B7705" s="802" t="s">
        <v>8844</v>
      </c>
      <c r="C7705" s="801" t="s">
        <v>656</v>
      </c>
      <c r="D7705" s="803">
        <v>1.24</v>
      </c>
    </row>
    <row r="7706" spans="1:4" ht="25.5">
      <c r="A7706" s="801">
        <v>34556</v>
      </c>
      <c r="B7706" s="802" t="s">
        <v>8845</v>
      </c>
      <c r="C7706" s="801" t="s">
        <v>656</v>
      </c>
      <c r="D7706" s="803">
        <v>4.18</v>
      </c>
    </row>
    <row r="7707" spans="1:4" ht="25.5">
      <c r="A7707" s="801">
        <v>37873</v>
      </c>
      <c r="B7707" s="802" t="s">
        <v>8846</v>
      </c>
      <c r="C7707" s="801" t="s">
        <v>656</v>
      </c>
      <c r="D7707" s="803">
        <v>4.26</v>
      </c>
    </row>
    <row r="7708" spans="1:4" ht="25.5">
      <c r="A7708" s="801">
        <v>34564</v>
      </c>
      <c r="B7708" s="802" t="s">
        <v>8847</v>
      </c>
      <c r="C7708" s="801" t="s">
        <v>656</v>
      </c>
      <c r="D7708" s="803">
        <v>4.46</v>
      </c>
    </row>
    <row r="7709" spans="1:4" ht="25.5">
      <c r="A7709" s="801">
        <v>34565</v>
      </c>
      <c r="B7709" s="802" t="s">
        <v>8848</v>
      </c>
      <c r="C7709" s="801" t="s">
        <v>656</v>
      </c>
      <c r="D7709" s="803">
        <v>4.72</v>
      </c>
    </row>
    <row r="7710" spans="1:4" ht="25.5">
      <c r="A7710" s="801">
        <v>38590</v>
      </c>
      <c r="B7710" s="802" t="s">
        <v>8849</v>
      </c>
      <c r="C7710" s="801" t="s">
        <v>656</v>
      </c>
      <c r="D7710" s="803">
        <v>3.48</v>
      </c>
    </row>
    <row r="7711" spans="1:4" ht="25.5">
      <c r="A7711" s="801">
        <v>34566</v>
      </c>
      <c r="B7711" s="802" t="s">
        <v>8850</v>
      </c>
      <c r="C7711" s="801" t="s">
        <v>656</v>
      </c>
      <c r="D7711" s="803">
        <v>3.66</v>
      </c>
    </row>
    <row r="7712" spans="1:4" ht="25.5">
      <c r="A7712" s="801">
        <v>34567</v>
      </c>
      <c r="B7712" s="802" t="s">
        <v>8851</v>
      </c>
      <c r="C7712" s="801" t="s">
        <v>656</v>
      </c>
      <c r="D7712" s="803">
        <v>3.88</v>
      </c>
    </row>
    <row r="7713" spans="1:4" ht="25.5">
      <c r="A7713" s="801">
        <v>38591</v>
      </c>
      <c r="B7713" s="802" t="s">
        <v>8852</v>
      </c>
      <c r="C7713" s="801" t="s">
        <v>656</v>
      </c>
      <c r="D7713" s="803">
        <v>3.52</v>
      </c>
    </row>
    <row r="7714" spans="1:4" ht="25.5">
      <c r="A7714" s="801">
        <v>34568</v>
      </c>
      <c r="B7714" s="802" t="s">
        <v>8853</v>
      </c>
      <c r="C7714" s="801" t="s">
        <v>656</v>
      </c>
      <c r="D7714" s="803">
        <v>4.59</v>
      </c>
    </row>
    <row r="7715" spans="1:4" ht="25.5">
      <c r="A7715" s="801">
        <v>34569</v>
      </c>
      <c r="B7715" s="802" t="s">
        <v>8854</v>
      </c>
      <c r="C7715" s="801" t="s">
        <v>656</v>
      </c>
      <c r="D7715" s="803">
        <v>4.72</v>
      </c>
    </row>
    <row r="7716" spans="1:4" ht="25.5">
      <c r="A7716" s="801">
        <v>34570</v>
      </c>
      <c r="B7716" s="802" t="s">
        <v>8855</v>
      </c>
      <c r="C7716" s="801" t="s">
        <v>656</v>
      </c>
      <c r="D7716" s="803">
        <v>5.12</v>
      </c>
    </row>
    <row r="7717" spans="1:4" ht="25.5">
      <c r="A7717" s="801">
        <v>25070</v>
      </c>
      <c r="B7717" s="802" t="s">
        <v>8856</v>
      </c>
      <c r="C7717" s="801" t="s">
        <v>656</v>
      </c>
      <c r="D7717" s="803">
        <v>3.85</v>
      </c>
    </row>
    <row r="7718" spans="1:4" ht="25.5">
      <c r="A7718" s="801">
        <v>34571</v>
      </c>
      <c r="B7718" s="802" t="s">
        <v>8857</v>
      </c>
      <c r="C7718" s="801" t="s">
        <v>656</v>
      </c>
      <c r="D7718" s="803">
        <v>3.89</v>
      </c>
    </row>
    <row r="7719" spans="1:4" ht="25.5">
      <c r="A7719" s="801">
        <v>34573</v>
      </c>
      <c r="B7719" s="802" t="s">
        <v>8858</v>
      </c>
      <c r="C7719" s="801" t="s">
        <v>656</v>
      </c>
      <c r="D7719" s="803">
        <v>4.09</v>
      </c>
    </row>
    <row r="7720" spans="1:4" ht="25.5">
      <c r="A7720" s="801">
        <v>37107</v>
      </c>
      <c r="B7720" s="802" t="s">
        <v>8859</v>
      </c>
      <c r="C7720" s="801" t="s">
        <v>656</v>
      </c>
      <c r="D7720" s="803">
        <v>5.4</v>
      </c>
    </row>
    <row r="7721" spans="1:4" ht="25.5">
      <c r="A7721" s="801">
        <v>34576</v>
      </c>
      <c r="B7721" s="802" t="s">
        <v>8860</v>
      </c>
      <c r="C7721" s="801" t="s">
        <v>656</v>
      </c>
      <c r="D7721" s="803">
        <v>5.96</v>
      </c>
    </row>
    <row r="7722" spans="1:4" ht="25.5">
      <c r="A7722" s="801">
        <v>34577</v>
      </c>
      <c r="B7722" s="802" t="s">
        <v>8861</v>
      </c>
      <c r="C7722" s="801" t="s">
        <v>656</v>
      </c>
      <c r="D7722" s="803">
        <v>6.22</v>
      </c>
    </row>
    <row r="7723" spans="1:4" ht="25.5">
      <c r="A7723" s="801">
        <v>34578</v>
      </c>
      <c r="B7723" s="802" t="s">
        <v>8862</v>
      </c>
      <c r="C7723" s="801" t="s">
        <v>656</v>
      </c>
      <c r="D7723" s="803">
        <v>6.75</v>
      </c>
    </row>
    <row r="7724" spans="1:4" ht="25.5">
      <c r="A7724" s="801">
        <v>34579</v>
      </c>
      <c r="B7724" s="802" t="s">
        <v>8863</v>
      </c>
      <c r="C7724" s="801" t="s">
        <v>656</v>
      </c>
      <c r="D7724" s="803">
        <v>7.2</v>
      </c>
    </row>
    <row r="7725" spans="1:4" ht="25.5">
      <c r="A7725" s="801">
        <v>25067</v>
      </c>
      <c r="B7725" s="802" t="s">
        <v>8864</v>
      </c>
      <c r="C7725" s="801" t="s">
        <v>656</v>
      </c>
      <c r="D7725" s="803">
        <v>4.82</v>
      </c>
    </row>
    <row r="7726" spans="1:4" ht="25.5">
      <c r="A7726" s="801">
        <v>34580</v>
      </c>
      <c r="B7726" s="802" t="s">
        <v>8865</v>
      </c>
      <c r="C7726" s="801" t="s">
        <v>656</v>
      </c>
      <c r="D7726" s="803">
        <v>5.38</v>
      </c>
    </row>
    <row r="7727" spans="1:4" ht="25.5">
      <c r="A7727" s="801">
        <v>25071</v>
      </c>
      <c r="B7727" s="802" t="s">
        <v>8866</v>
      </c>
      <c r="C7727" s="801" t="s">
        <v>656</v>
      </c>
      <c r="D7727" s="803">
        <v>2.68</v>
      </c>
    </row>
    <row r="7728" spans="1:4">
      <c r="A7728" s="801">
        <v>38395</v>
      </c>
      <c r="B7728" s="802" t="s">
        <v>8867</v>
      </c>
      <c r="C7728" s="801" t="s">
        <v>656</v>
      </c>
      <c r="D7728" s="803">
        <v>8.39</v>
      </c>
    </row>
    <row r="7729" spans="1:4" ht="25.5">
      <c r="A7729" s="801">
        <v>34583</v>
      </c>
      <c r="B7729" s="802" t="s">
        <v>8868</v>
      </c>
      <c r="C7729" s="801" t="s">
        <v>661</v>
      </c>
      <c r="D7729" s="803">
        <v>61.35</v>
      </c>
    </row>
    <row r="7730" spans="1:4" ht="25.5">
      <c r="A7730" s="801">
        <v>34584</v>
      </c>
      <c r="B7730" s="802" t="s">
        <v>8869</v>
      </c>
      <c r="C7730" s="801" t="s">
        <v>661</v>
      </c>
      <c r="D7730" s="803">
        <v>44.99</v>
      </c>
    </row>
    <row r="7731" spans="1:4" ht="38.25">
      <c r="A7731" s="801">
        <v>709</v>
      </c>
      <c r="B7731" s="802" t="s">
        <v>8870</v>
      </c>
      <c r="C7731" s="801" t="s">
        <v>661</v>
      </c>
      <c r="D7731" s="803">
        <v>813.39</v>
      </c>
    </row>
    <row r="7732" spans="1:4" ht="25.5">
      <c r="A7732" s="801">
        <v>34599</v>
      </c>
      <c r="B7732" s="802" t="s">
        <v>8871</v>
      </c>
      <c r="C7732" s="801" t="s">
        <v>656</v>
      </c>
      <c r="D7732" s="803">
        <v>2.75</v>
      </c>
    </row>
    <row r="7733" spans="1:4" ht="25.5">
      <c r="A7733" s="801">
        <v>34592</v>
      </c>
      <c r="B7733" s="802" t="s">
        <v>8872</v>
      </c>
      <c r="C7733" s="801" t="s">
        <v>656</v>
      </c>
      <c r="D7733" s="803">
        <v>3.06</v>
      </c>
    </row>
    <row r="7734" spans="1:4" ht="25.5">
      <c r="A7734" s="801">
        <v>37103</v>
      </c>
      <c r="B7734" s="802" t="s">
        <v>8873</v>
      </c>
      <c r="C7734" s="801" t="s">
        <v>656</v>
      </c>
      <c r="D7734" s="803">
        <v>3.5</v>
      </c>
    </row>
    <row r="7735" spans="1:4" ht="25.5">
      <c r="A7735" s="801">
        <v>34555</v>
      </c>
      <c r="B7735" s="802" t="s">
        <v>8874</v>
      </c>
      <c r="C7735" s="801" t="s">
        <v>656</v>
      </c>
      <c r="D7735" s="803">
        <v>4.45</v>
      </c>
    </row>
    <row r="7736" spans="1:4" ht="25.5">
      <c r="A7736" s="801">
        <v>674</v>
      </c>
      <c r="B7736" s="802" t="s">
        <v>8875</v>
      </c>
      <c r="C7736" s="801" t="s">
        <v>661</v>
      </c>
      <c r="D7736" s="803">
        <v>75.569999999999993</v>
      </c>
    </row>
    <row r="7737" spans="1:4" ht="25.5">
      <c r="A7737" s="801">
        <v>34600</v>
      </c>
      <c r="B7737" s="802" t="s">
        <v>8876</v>
      </c>
      <c r="C7737" s="801" t="s">
        <v>661</v>
      </c>
      <c r="D7737" s="803">
        <v>111</v>
      </c>
    </row>
    <row r="7738" spans="1:4" ht="25.5">
      <c r="A7738" s="801">
        <v>652</v>
      </c>
      <c r="B7738" s="802" t="s">
        <v>8877</v>
      </c>
      <c r="C7738" s="801" t="s">
        <v>661</v>
      </c>
      <c r="D7738" s="803">
        <v>170.04</v>
      </c>
    </row>
    <row r="7739" spans="1:4" ht="25.5">
      <c r="A7739" s="801">
        <v>651</v>
      </c>
      <c r="B7739" s="802" t="s">
        <v>5168</v>
      </c>
      <c r="C7739" s="801" t="s">
        <v>656</v>
      </c>
      <c r="D7739" s="803">
        <v>3.37</v>
      </c>
    </row>
    <row r="7740" spans="1:4" ht="25.5">
      <c r="A7740" s="801">
        <v>654</v>
      </c>
      <c r="B7740" s="802" t="s">
        <v>8878</v>
      </c>
      <c r="C7740" s="801" t="s">
        <v>656</v>
      </c>
      <c r="D7740" s="803">
        <v>4.18</v>
      </c>
    </row>
    <row r="7741" spans="1:4" ht="25.5">
      <c r="A7741" s="801">
        <v>650</v>
      </c>
      <c r="B7741" s="802" t="s">
        <v>5169</v>
      </c>
      <c r="C7741" s="801" t="s">
        <v>656</v>
      </c>
      <c r="D7741" s="803">
        <v>2.7</v>
      </c>
    </row>
    <row r="7742" spans="1:4" ht="25.5">
      <c r="A7742" s="801">
        <v>718</v>
      </c>
      <c r="B7742" s="802" t="s">
        <v>8879</v>
      </c>
      <c r="C7742" s="801" t="s">
        <v>656</v>
      </c>
      <c r="D7742" s="803">
        <v>24.7</v>
      </c>
    </row>
    <row r="7743" spans="1:4" ht="25.5">
      <c r="A7743" s="801">
        <v>11981</v>
      </c>
      <c r="B7743" s="802" t="s">
        <v>8880</v>
      </c>
      <c r="C7743" s="801" t="s">
        <v>656</v>
      </c>
      <c r="D7743" s="803">
        <v>24</v>
      </c>
    </row>
    <row r="7744" spans="1:4" ht="25.5">
      <c r="A7744" s="801">
        <v>34586</v>
      </c>
      <c r="B7744" s="802" t="s">
        <v>4599</v>
      </c>
      <c r="C7744" s="801" t="s">
        <v>656</v>
      </c>
      <c r="D7744" s="803">
        <v>2.5099999999999998</v>
      </c>
    </row>
    <row r="7745" spans="1:4" ht="25.5">
      <c r="A7745" s="801">
        <v>38603</v>
      </c>
      <c r="B7745" s="802" t="s">
        <v>8881</v>
      </c>
      <c r="C7745" s="801" t="s">
        <v>656</v>
      </c>
      <c r="D7745" s="803">
        <v>3.03</v>
      </c>
    </row>
    <row r="7746" spans="1:4" ht="25.5">
      <c r="A7746" s="801">
        <v>34588</v>
      </c>
      <c r="B7746" s="802" t="s">
        <v>8882</v>
      </c>
      <c r="C7746" s="801" t="s">
        <v>656</v>
      </c>
      <c r="D7746" s="803">
        <v>3.27</v>
      </c>
    </row>
    <row r="7747" spans="1:4" ht="25.5">
      <c r="A7747" s="801">
        <v>34590</v>
      </c>
      <c r="B7747" s="802" t="s">
        <v>8883</v>
      </c>
      <c r="C7747" s="801" t="s">
        <v>656</v>
      </c>
      <c r="D7747" s="803">
        <v>2.99</v>
      </c>
    </row>
    <row r="7748" spans="1:4" ht="25.5">
      <c r="A7748" s="801">
        <v>34591</v>
      </c>
      <c r="B7748" s="802" t="s">
        <v>8884</v>
      </c>
      <c r="C7748" s="801" t="s">
        <v>656</v>
      </c>
      <c r="D7748" s="803">
        <v>4.05</v>
      </c>
    </row>
    <row r="7749" spans="1:4" ht="25.5">
      <c r="A7749" s="801">
        <v>41372</v>
      </c>
      <c r="B7749" s="802" t="s">
        <v>8885</v>
      </c>
      <c r="C7749" s="801" t="s">
        <v>661</v>
      </c>
      <c r="D7749" s="803">
        <v>106.06</v>
      </c>
    </row>
    <row r="7750" spans="1:4" ht="25.5">
      <c r="A7750" s="801">
        <v>41371</v>
      </c>
      <c r="B7750" s="802" t="s">
        <v>8886</v>
      </c>
      <c r="C7750" s="801" t="s">
        <v>661</v>
      </c>
      <c r="D7750" s="803">
        <v>62.69</v>
      </c>
    </row>
    <row r="7751" spans="1:4" ht="38.25">
      <c r="A7751" s="801">
        <v>40517</v>
      </c>
      <c r="B7751" s="802" t="s">
        <v>8887</v>
      </c>
      <c r="C7751" s="801" t="s">
        <v>661</v>
      </c>
      <c r="D7751" s="803">
        <v>60.39</v>
      </c>
    </row>
    <row r="7752" spans="1:4" ht="51">
      <c r="A7752" s="801">
        <v>40515</v>
      </c>
      <c r="B7752" s="802" t="s">
        <v>8888</v>
      </c>
      <c r="C7752" s="801" t="s">
        <v>661</v>
      </c>
      <c r="D7752" s="803">
        <v>135.88</v>
      </c>
    </row>
    <row r="7753" spans="1:4" ht="63.75">
      <c r="A7753" s="801">
        <v>40529</v>
      </c>
      <c r="B7753" s="802" t="s">
        <v>8889</v>
      </c>
      <c r="C7753" s="801" t="s">
        <v>661</v>
      </c>
      <c r="D7753" s="803">
        <v>86.81</v>
      </c>
    </row>
    <row r="7754" spans="1:4" ht="63.75">
      <c r="A7754" s="801">
        <v>36170</v>
      </c>
      <c r="B7754" s="802" t="s">
        <v>8890</v>
      </c>
      <c r="C7754" s="801" t="s">
        <v>661</v>
      </c>
      <c r="D7754" s="803">
        <v>72.03</v>
      </c>
    </row>
    <row r="7755" spans="1:4" ht="63.75">
      <c r="A7755" s="801">
        <v>40524</v>
      </c>
      <c r="B7755" s="802" t="s">
        <v>8891</v>
      </c>
      <c r="C7755" s="801" t="s">
        <v>661</v>
      </c>
      <c r="D7755" s="803">
        <v>84.92</v>
      </c>
    </row>
    <row r="7756" spans="1:4" ht="63.75">
      <c r="A7756" s="801">
        <v>36156</v>
      </c>
      <c r="B7756" s="802" t="s">
        <v>8892</v>
      </c>
      <c r="C7756" s="801" t="s">
        <v>661</v>
      </c>
      <c r="D7756" s="803">
        <v>66.05</v>
      </c>
    </row>
    <row r="7757" spans="1:4" ht="63.75">
      <c r="A7757" s="801">
        <v>36155</v>
      </c>
      <c r="B7757" s="802" t="s">
        <v>8893</v>
      </c>
      <c r="C7757" s="801" t="s">
        <v>661</v>
      </c>
      <c r="D7757" s="803">
        <v>57.02</v>
      </c>
    </row>
    <row r="7758" spans="1:4" ht="63.75">
      <c r="A7758" s="801">
        <v>36154</v>
      </c>
      <c r="B7758" s="802" t="s">
        <v>8894</v>
      </c>
      <c r="C7758" s="801" t="s">
        <v>661</v>
      </c>
      <c r="D7758" s="803">
        <v>79.260000000000005</v>
      </c>
    </row>
    <row r="7759" spans="1:4" ht="38.25">
      <c r="A7759" s="801">
        <v>695</v>
      </c>
      <c r="B7759" s="802" t="s">
        <v>8895</v>
      </c>
      <c r="C7759" s="801" t="s">
        <v>661</v>
      </c>
      <c r="D7759" s="803">
        <v>58.22</v>
      </c>
    </row>
    <row r="7760" spans="1:4" ht="38.25">
      <c r="A7760" s="801">
        <v>679</v>
      </c>
      <c r="B7760" s="802" t="s">
        <v>8896</v>
      </c>
      <c r="C7760" s="801" t="s">
        <v>661</v>
      </c>
      <c r="D7760" s="803">
        <v>86.81</v>
      </c>
    </row>
    <row r="7761" spans="1:4" ht="38.25">
      <c r="A7761" s="801">
        <v>711</v>
      </c>
      <c r="B7761" s="802" t="s">
        <v>8897</v>
      </c>
      <c r="C7761" s="801" t="s">
        <v>661</v>
      </c>
      <c r="D7761" s="803">
        <v>57.43</v>
      </c>
    </row>
    <row r="7762" spans="1:4" ht="38.25">
      <c r="A7762" s="801">
        <v>712</v>
      </c>
      <c r="B7762" s="802" t="s">
        <v>8898</v>
      </c>
      <c r="C7762" s="801" t="s">
        <v>661</v>
      </c>
      <c r="D7762" s="803">
        <v>72.34</v>
      </c>
    </row>
    <row r="7763" spans="1:4" ht="25.5">
      <c r="A7763" s="801">
        <v>12614</v>
      </c>
      <c r="B7763" s="802" t="s">
        <v>8899</v>
      </c>
      <c r="C7763" s="801" t="s">
        <v>656</v>
      </c>
      <c r="D7763" s="803">
        <v>20.76</v>
      </c>
    </row>
    <row r="7764" spans="1:4" ht="25.5">
      <c r="A7764" s="801">
        <v>6140</v>
      </c>
      <c r="B7764" s="802" t="s">
        <v>8900</v>
      </c>
      <c r="C7764" s="801" t="s">
        <v>656</v>
      </c>
      <c r="D7764" s="803">
        <v>4.18</v>
      </c>
    </row>
    <row r="7765" spans="1:4">
      <c r="A7765" s="801">
        <v>38399</v>
      </c>
      <c r="B7765" s="802" t="s">
        <v>8901</v>
      </c>
      <c r="C7765" s="801" t="s">
        <v>656</v>
      </c>
      <c r="D7765" s="803">
        <v>229.16</v>
      </c>
    </row>
    <row r="7766" spans="1:4" ht="51">
      <c r="A7766" s="801">
        <v>735</v>
      </c>
      <c r="B7766" s="802" t="s">
        <v>8902</v>
      </c>
      <c r="C7766" s="801" t="s">
        <v>656</v>
      </c>
      <c r="D7766" s="803">
        <v>2042.94</v>
      </c>
    </row>
    <row r="7767" spans="1:4" ht="38.25">
      <c r="A7767" s="801">
        <v>736</v>
      </c>
      <c r="B7767" s="802" t="s">
        <v>8903</v>
      </c>
      <c r="C7767" s="801" t="s">
        <v>656</v>
      </c>
      <c r="D7767" s="803">
        <v>1717.74</v>
      </c>
    </row>
    <row r="7768" spans="1:4" ht="38.25">
      <c r="A7768" s="801">
        <v>729</v>
      </c>
      <c r="B7768" s="802" t="s">
        <v>8904</v>
      </c>
      <c r="C7768" s="801" t="s">
        <v>656</v>
      </c>
      <c r="D7768" s="803">
        <v>700</v>
      </c>
    </row>
    <row r="7769" spans="1:4" ht="38.25">
      <c r="A7769" s="801">
        <v>39925</v>
      </c>
      <c r="B7769" s="802" t="s">
        <v>8905</v>
      </c>
      <c r="C7769" s="801" t="s">
        <v>656</v>
      </c>
      <c r="D7769" s="803">
        <v>10114.93</v>
      </c>
    </row>
    <row r="7770" spans="1:4" ht="38.25">
      <c r="A7770" s="801">
        <v>731</v>
      </c>
      <c r="B7770" s="802" t="s">
        <v>8906</v>
      </c>
      <c r="C7770" s="801" t="s">
        <v>656</v>
      </c>
      <c r="D7770" s="803">
        <v>681.27</v>
      </c>
    </row>
    <row r="7771" spans="1:4" ht="51">
      <c r="A7771" s="801">
        <v>10575</v>
      </c>
      <c r="B7771" s="802" t="s">
        <v>8907</v>
      </c>
      <c r="C7771" s="801" t="s">
        <v>656</v>
      </c>
      <c r="D7771" s="803">
        <v>1063.17</v>
      </c>
    </row>
    <row r="7772" spans="1:4" ht="38.25">
      <c r="A7772" s="801">
        <v>733</v>
      </c>
      <c r="B7772" s="802" t="s">
        <v>8908</v>
      </c>
      <c r="C7772" s="801" t="s">
        <v>656</v>
      </c>
      <c r="D7772" s="803">
        <v>1164.05</v>
      </c>
    </row>
    <row r="7773" spans="1:4" ht="38.25">
      <c r="A7773" s="801">
        <v>732</v>
      </c>
      <c r="B7773" s="802" t="s">
        <v>8909</v>
      </c>
      <c r="C7773" s="801" t="s">
        <v>656</v>
      </c>
      <c r="D7773" s="803">
        <v>1148.4000000000001</v>
      </c>
    </row>
    <row r="7774" spans="1:4" ht="38.25">
      <c r="A7774" s="801">
        <v>737</v>
      </c>
      <c r="B7774" s="802" t="s">
        <v>8910</v>
      </c>
      <c r="C7774" s="801" t="s">
        <v>656</v>
      </c>
      <c r="D7774" s="803">
        <v>6439.88</v>
      </c>
    </row>
    <row r="7775" spans="1:4" ht="38.25">
      <c r="A7775" s="801">
        <v>738</v>
      </c>
      <c r="B7775" s="802" t="s">
        <v>8911</v>
      </c>
      <c r="C7775" s="801" t="s">
        <v>656</v>
      </c>
      <c r="D7775" s="803">
        <v>2986.13</v>
      </c>
    </row>
    <row r="7776" spans="1:4" ht="38.25">
      <c r="A7776" s="801">
        <v>740</v>
      </c>
      <c r="B7776" s="802" t="s">
        <v>8912</v>
      </c>
      <c r="C7776" s="801" t="s">
        <v>656</v>
      </c>
      <c r="D7776" s="803">
        <v>6058.24</v>
      </c>
    </row>
    <row r="7777" spans="1:4" ht="38.25">
      <c r="A7777" s="801">
        <v>734</v>
      </c>
      <c r="B7777" s="802" t="s">
        <v>8913</v>
      </c>
      <c r="C7777" s="801" t="s">
        <v>656</v>
      </c>
      <c r="D7777" s="803">
        <v>1231.08</v>
      </c>
    </row>
    <row r="7778" spans="1:4" ht="25.5">
      <c r="A7778" s="801">
        <v>39008</v>
      </c>
      <c r="B7778" s="802" t="s">
        <v>8914</v>
      </c>
      <c r="C7778" s="801" t="s">
        <v>656</v>
      </c>
      <c r="D7778" s="803">
        <v>64608.49</v>
      </c>
    </row>
    <row r="7779" spans="1:4" ht="25.5">
      <c r="A7779" s="801">
        <v>39009</v>
      </c>
      <c r="B7779" s="802" t="s">
        <v>8915</v>
      </c>
      <c r="C7779" s="801" t="s">
        <v>656</v>
      </c>
      <c r="D7779" s="803">
        <v>69219.990000000005</v>
      </c>
    </row>
    <row r="7780" spans="1:4" ht="51">
      <c r="A7780" s="801">
        <v>10587</v>
      </c>
      <c r="B7780" s="802" t="s">
        <v>8916</v>
      </c>
      <c r="C7780" s="801" t="s">
        <v>656</v>
      </c>
      <c r="D7780" s="803">
        <v>3052.41</v>
      </c>
    </row>
    <row r="7781" spans="1:4" ht="51">
      <c r="A7781" s="801">
        <v>759</v>
      </c>
      <c r="B7781" s="802" t="s">
        <v>8917</v>
      </c>
      <c r="C7781" s="801" t="s">
        <v>656</v>
      </c>
      <c r="D7781" s="803">
        <v>4388.76</v>
      </c>
    </row>
    <row r="7782" spans="1:4" ht="51">
      <c r="A7782" s="801">
        <v>761</v>
      </c>
      <c r="B7782" s="802" t="s">
        <v>8918</v>
      </c>
      <c r="C7782" s="801" t="s">
        <v>656</v>
      </c>
      <c r="D7782" s="803">
        <v>7439.32</v>
      </c>
    </row>
    <row r="7783" spans="1:4" ht="51">
      <c r="A7783" s="801">
        <v>750</v>
      </c>
      <c r="B7783" s="802" t="s">
        <v>8919</v>
      </c>
      <c r="C7783" s="801" t="s">
        <v>656</v>
      </c>
      <c r="D7783" s="803">
        <v>7063.05</v>
      </c>
    </row>
    <row r="7784" spans="1:4" ht="51">
      <c r="A7784" s="801">
        <v>755</v>
      </c>
      <c r="B7784" s="802" t="s">
        <v>8920</v>
      </c>
      <c r="C7784" s="801" t="s">
        <v>656</v>
      </c>
      <c r="D7784" s="803">
        <v>28983.32</v>
      </c>
    </row>
    <row r="7785" spans="1:4" ht="51">
      <c r="A7785" s="801">
        <v>749</v>
      </c>
      <c r="B7785" s="802" t="s">
        <v>8921</v>
      </c>
      <c r="C7785" s="801" t="s">
        <v>656</v>
      </c>
      <c r="D7785" s="803">
        <v>10659.53</v>
      </c>
    </row>
    <row r="7786" spans="1:4" ht="51">
      <c r="A7786" s="801">
        <v>756</v>
      </c>
      <c r="B7786" s="802" t="s">
        <v>8922</v>
      </c>
      <c r="C7786" s="801" t="s">
        <v>656</v>
      </c>
      <c r="D7786" s="803">
        <v>31610.2</v>
      </c>
    </row>
    <row r="7787" spans="1:4" ht="38.25">
      <c r="A7787" s="801">
        <v>757</v>
      </c>
      <c r="B7787" s="802" t="s">
        <v>8923</v>
      </c>
      <c r="C7787" s="801" t="s">
        <v>656</v>
      </c>
      <c r="D7787" s="803">
        <v>14353.05</v>
      </c>
    </row>
    <row r="7788" spans="1:4" ht="38.25">
      <c r="A7788" s="801">
        <v>10588</v>
      </c>
      <c r="B7788" s="802" t="s">
        <v>8924</v>
      </c>
      <c r="C7788" s="801" t="s">
        <v>656</v>
      </c>
      <c r="D7788" s="803">
        <v>3168.79</v>
      </c>
    </row>
    <row r="7789" spans="1:4" ht="38.25">
      <c r="A7789" s="801">
        <v>10592</v>
      </c>
      <c r="B7789" s="802" t="s">
        <v>8925</v>
      </c>
      <c r="C7789" s="801" t="s">
        <v>656</v>
      </c>
      <c r="D7789" s="803">
        <v>3827.48</v>
      </c>
    </row>
    <row r="7790" spans="1:4" ht="51">
      <c r="A7790" s="801">
        <v>10589</v>
      </c>
      <c r="B7790" s="802" t="s">
        <v>8926</v>
      </c>
      <c r="C7790" s="801" t="s">
        <v>656</v>
      </c>
      <c r="D7790" s="803">
        <v>5141.9799999999996</v>
      </c>
    </row>
    <row r="7791" spans="1:4" ht="38.25">
      <c r="A7791" s="801">
        <v>760</v>
      </c>
      <c r="B7791" s="802" t="s">
        <v>8927</v>
      </c>
      <c r="C7791" s="801" t="s">
        <v>656</v>
      </c>
      <c r="D7791" s="803">
        <v>28706.1</v>
      </c>
    </row>
    <row r="7792" spans="1:4" ht="51">
      <c r="A7792" s="801">
        <v>751</v>
      </c>
      <c r="B7792" s="802" t="s">
        <v>8928</v>
      </c>
      <c r="C7792" s="801" t="s">
        <v>656</v>
      </c>
      <c r="D7792" s="803">
        <v>4521.21</v>
      </c>
    </row>
    <row r="7793" spans="1:4" ht="51">
      <c r="A7793" s="801">
        <v>754</v>
      </c>
      <c r="B7793" s="802" t="s">
        <v>8929</v>
      </c>
      <c r="C7793" s="801" t="s">
        <v>656</v>
      </c>
      <c r="D7793" s="803">
        <v>7176.52</v>
      </c>
    </row>
    <row r="7794" spans="1:4" ht="25.5">
      <c r="A7794" s="801">
        <v>44489</v>
      </c>
      <c r="B7794" s="802" t="s">
        <v>8930</v>
      </c>
      <c r="C7794" s="801" t="s">
        <v>656</v>
      </c>
      <c r="D7794" s="803">
        <v>174019.68</v>
      </c>
    </row>
    <row r="7795" spans="1:4" ht="38.25">
      <c r="A7795" s="801">
        <v>39917</v>
      </c>
      <c r="B7795" s="802" t="s">
        <v>8931</v>
      </c>
      <c r="C7795" s="801" t="s">
        <v>656</v>
      </c>
      <c r="D7795" s="803">
        <v>99243.31</v>
      </c>
    </row>
    <row r="7796" spans="1:4" ht="25.5">
      <c r="A7796" s="801">
        <v>38167</v>
      </c>
      <c r="B7796" s="802" t="s">
        <v>8932</v>
      </c>
      <c r="C7796" s="801" t="s">
        <v>665</v>
      </c>
      <c r="D7796" s="803">
        <v>29.28</v>
      </c>
    </row>
    <row r="7797" spans="1:4">
      <c r="A7797" s="801">
        <v>36145</v>
      </c>
      <c r="B7797" s="802" t="s">
        <v>8933</v>
      </c>
      <c r="C7797" s="801" t="s">
        <v>665</v>
      </c>
      <c r="D7797" s="803">
        <v>57.6</v>
      </c>
    </row>
    <row r="7798" spans="1:4" ht="25.5">
      <c r="A7798" s="801">
        <v>12893</v>
      </c>
      <c r="B7798" s="802" t="s">
        <v>8934</v>
      </c>
      <c r="C7798" s="801" t="s">
        <v>665</v>
      </c>
      <c r="D7798" s="803">
        <v>96</v>
      </c>
    </row>
    <row r="7799" spans="1:4" ht="25.5">
      <c r="A7799" s="801">
        <v>11685</v>
      </c>
      <c r="B7799" s="802" t="s">
        <v>8935</v>
      </c>
      <c r="C7799" s="801" t="s">
        <v>656</v>
      </c>
      <c r="D7799" s="803">
        <v>24.04</v>
      </c>
    </row>
    <row r="7800" spans="1:4" ht="25.5">
      <c r="A7800" s="801">
        <v>11680</v>
      </c>
      <c r="B7800" s="802" t="s">
        <v>8936</v>
      </c>
      <c r="C7800" s="801" t="s">
        <v>656</v>
      </c>
      <c r="D7800" s="803">
        <v>17.670000000000002</v>
      </c>
    </row>
    <row r="7801" spans="1:4" ht="25.5">
      <c r="A7801" s="801">
        <v>11679</v>
      </c>
      <c r="B7801" s="802" t="s">
        <v>8937</v>
      </c>
      <c r="C7801" s="801" t="s">
        <v>656</v>
      </c>
      <c r="D7801" s="803">
        <v>23.96</v>
      </c>
    </row>
    <row r="7802" spans="1:4">
      <c r="A7802" s="801">
        <v>2512</v>
      </c>
      <c r="B7802" s="802" t="s">
        <v>8938</v>
      </c>
      <c r="C7802" s="801" t="s">
        <v>656</v>
      </c>
      <c r="D7802" s="803">
        <v>58.72</v>
      </c>
    </row>
    <row r="7803" spans="1:4">
      <c r="A7803" s="801">
        <v>4374</v>
      </c>
      <c r="B7803" s="802" t="s">
        <v>8939</v>
      </c>
      <c r="C7803" s="801" t="s">
        <v>656</v>
      </c>
      <c r="D7803" s="803">
        <v>0.37</v>
      </c>
    </row>
    <row r="7804" spans="1:4" ht="38.25">
      <c r="A7804" s="801">
        <v>7568</v>
      </c>
      <c r="B7804" s="802" t="s">
        <v>4600</v>
      </c>
      <c r="C7804" s="801" t="s">
        <v>656</v>
      </c>
      <c r="D7804" s="803">
        <v>0.61</v>
      </c>
    </row>
    <row r="7805" spans="1:4" ht="38.25">
      <c r="A7805" s="801">
        <v>7584</v>
      </c>
      <c r="B7805" s="802" t="s">
        <v>8940</v>
      </c>
      <c r="C7805" s="801" t="s">
        <v>656</v>
      </c>
      <c r="D7805" s="803">
        <v>0.93</v>
      </c>
    </row>
    <row r="7806" spans="1:4">
      <c r="A7806" s="801">
        <v>11945</v>
      </c>
      <c r="B7806" s="802" t="s">
        <v>8941</v>
      </c>
      <c r="C7806" s="801" t="s">
        <v>656</v>
      </c>
      <c r="D7806" s="803">
        <v>0.06</v>
      </c>
    </row>
    <row r="7807" spans="1:4">
      <c r="A7807" s="801">
        <v>11946</v>
      </c>
      <c r="B7807" s="802" t="s">
        <v>8942</v>
      </c>
      <c r="C7807" s="801" t="s">
        <v>656</v>
      </c>
      <c r="D7807" s="803">
        <v>0.06</v>
      </c>
    </row>
    <row r="7808" spans="1:4">
      <c r="A7808" s="801">
        <v>4375</v>
      </c>
      <c r="B7808" s="802" t="s">
        <v>8943</v>
      </c>
      <c r="C7808" s="801" t="s">
        <v>656</v>
      </c>
      <c r="D7808" s="803">
        <v>0.1</v>
      </c>
    </row>
    <row r="7809" spans="1:4" ht="38.25">
      <c r="A7809" s="801">
        <v>11950</v>
      </c>
      <c r="B7809" s="802" t="s">
        <v>8944</v>
      </c>
      <c r="C7809" s="801" t="s">
        <v>656</v>
      </c>
      <c r="D7809" s="803">
        <v>0.2</v>
      </c>
    </row>
    <row r="7810" spans="1:4">
      <c r="A7810" s="801">
        <v>4376</v>
      </c>
      <c r="B7810" s="802" t="s">
        <v>8945</v>
      </c>
      <c r="C7810" s="801" t="s">
        <v>656</v>
      </c>
      <c r="D7810" s="803">
        <v>0.19</v>
      </c>
    </row>
    <row r="7811" spans="1:4" ht="38.25">
      <c r="A7811" s="801">
        <v>7583</v>
      </c>
      <c r="B7811" s="802" t="s">
        <v>8946</v>
      </c>
      <c r="C7811" s="801" t="s">
        <v>656</v>
      </c>
      <c r="D7811" s="803">
        <v>0.41</v>
      </c>
    </row>
    <row r="7812" spans="1:4" ht="38.25">
      <c r="A7812" s="801">
        <v>4350</v>
      </c>
      <c r="B7812" s="802" t="s">
        <v>4601</v>
      </c>
      <c r="C7812" s="801" t="s">
        <v>656</v>
      </c>
      <c r="D7812" s="803">
        <v>0.73</v>
      </c>
    </row>
    <row r="7813" spans="1:4" ht="25.5">
      <c r="A7813" s="801">
        <v>39886</v>
      </c>
      <c r="B7813" s="802" t="s">
        <v>8947</v>
      </c>
      <c r="C7813" s="801" t="s">
        <v>656</v>
      </c>
      <c r="D7813" s="803">
        <v>6.82</v>
      </c>
    </row>
    <row r="7814" spans="1:4" ht="25.5">
      <c r="A7814" s="801">
        <v>39887</v>
      </c>
      <c r="B7814" s="802" t="s">
        <v>8948</v>
      </c>
      <c r="C7814" s="801" t="s">
        <v>656</v>
      </c>
      <c r="D7814" s="803">
        <v>10.24</v>
      </c>
    </row>
    <row r="7815" spans="1:4" ht="25.5">
      <c r="A7815" s="801">
        <v>39888</v>
      </c>
      <c r="B7815" s="802" t="s">
        <v>8949</v>
      </c>
      <c r="C7815" s="801" t="s">
        <v>656</v>
      </c>
      <c r="D7815" s="803">
        <v>23.41</v>
      </c>
    </row>
    <row r="7816" spans="1:4" ht="25.5">
      <c r="A7816" s="801">
        <v>39890</v>
      </c>
      <c r="B7816" s="802" t="s">
        <v>8950</v>
      </c>
      <c r="C7816" s="801" t="s">
        <v>656</v>
      </c>
      <c r="D7816" s="803">
        <v>39.96</v>
      </c>
    </row>
    <row r="7817" spans="1:4" ht="25.5">
      <c r="A7817" s="801">
        <v>39891</v>
      </c>
      <c r="B7817" s="802" t="s">
        <v>8951</v>
      </c>
      <c r="C7817" s="801" t="s">
        <v>656</v>
      </c>
      <c r="D7817" s="803">
        <v>56.34</v>
      </c>
    </row>
    <row r="7818" spans="1:4" ht="25.5">
      <c r="A7818" s="801">
        <v>39892</v>
      </c>
      <c r="B7818" s="802" t="s">
        <v>8952</v>
      </c>
      <c r="C7818" s="801" t="s">
        <v>656</v>
      </c>
      <c r="D7818" s="803">
        <v>175.61</v>
      </c>
    </row>
    <row r="7819" spans="1:4" ht="25.5">
      <c r="A7819" s="801">
        <v>790</v>
      </c>
      <c r="B7819" s="802" t="s">
        <v>8953</v>
      </c>
      <c r="C7819" s="801" t="s">
        <v>656</v>
      </c>
      <c r="D7819" s="803">
        <v>16.32</v>
      </c>
    </row>
    <row r="7820" spans="1:4" ht="25.5">
      <c r="A7820" s="801">
        <v>766</v>
      </c>
      <c r="B7820" s="802" t="s">
        <v>8954</v>
      </c>
      <c r="C7820" s="801" t="s">
        <v>656</v>
      </c>
      <c r="D7820" s="803">
        <v>16.32</v>
      </c>
    </row>
    <row r="7821" spans="1:4" ht="25.5">
      <c r="A7821" s="801">
        <v>791</v>
      </c>
      <c r="B7821" s="802" t="s">
        <v>8955</v>
      </c>
      <c r="C7821" s="801" t="s">
        <v>656</v>
      </c>
      <c r="D7821" s="803">
        <v>16.32</v>
      </c>
    </row>
    <row r="7822" spans="1:4" ht="25.5">
      <c r="A7822" s="801">
        <v>767</v>
      </c>
      <c r="B7822" s="802" t="s">
        <v>8956</v>
      </c>
      <c r="C7822" s="801" t="s">
        <v>656</v>
      </c>
      <c r="D7822" s="803">
        <v>16.32</v>
      </c>
    </row>
    <row r="7823" spans="1:4" ht="25.5">
      <c r="A7823" s="801">
        <v>768</v>
      </c>
      <c r="B7823" s="802" t="s">
        <v>8957</v>
      </c>
      <c r="C7823" s="801" t="s">
        <v>656</v>
      </c>
      <c r="D7823" s="803">
        <v>12.82</v>
      </c>
    </row>
    <row r="7824" spans="1:4" ht="25.5">
      <c r="A7824" s="801">
        <v>789</v>
      </c>
      <c r="B7824" s="802" t="s">
        <v>8958</v>
      </c>
      <c r="C7824" s="801" t="s">
        <v>656</v>
      </c>
      <c r="D7824" s="803">
        <v>12.54</v>
      </c>
    </row>
    <row r="7825" spans="1:4" ht="25.5">
      <c r="A7825" s="801">
        <v>769</v>
      </c>
      <c r="B7825" s="802" t="s">
        <v>8959</v>
      </c>
      <c r="C7825" s="801" t="s">
        <v>656</v>
      </c>
      <c r="D7825" s="803">
        <v>12.82</v>
      </c>
    </row>
    <row r="7826" spans="1:4" ht="25.5">
      <c r="A7826" s="801">
        <v>770</v>
      </c>
      <c r="B7826" s="802" t="s">
        <v>8960</v>
      </c>
      <c r="C7826" s="801" t="s">
        <v>656</v>
      </c>
      <c r="D7826" s="803">
        <v>4.5199999999999996</v>
      </c>
    </row>
    <row r="7827" spans="1:4" ht="25.5">
      <c r="A7827" s="801">
        <v>12394</v>
      </c>
      <c r="B7827" s="802" t="s">
        <v>8961</v>
      </c>
      <c r="C7827" s="801" t="s">
        <v>656</v>
      </c>
      <c r="D7827" s="803">
        <v>4.5199999999999996</v>
      </c>
    </row>
    <row r="7828" spans="1:4" ht="25.5">
      <c r="A7828" s="801">
        <v>764</v>
      </c>
      <c r="B7828" s="802" t="s">
        <v>8962</v>
      </c>
      <c r="C7828" s="801" t="s">
        <v>656</v>
      </c>
      <c r="D7828" s="803">
        <v>7.89</v>
      </c>
    </row>
    <row r="7829" spans="1:4" ht="25.5">
      <c r="A7829" s="801">
        <v>765</v>
      </c>
      <c r="B7829" s="802" t="s">
        <v>8963</v>
      </c>
      <c r="C7829" s="801" t="s">
        <v>656</v>
      </c>
      <c r="D7829" s="803">
        <v>7.89</v>
      </c>
    </row>
    <row r="7830" spans="1:4" ht="25.5">
      <c r="A7830" s="801">
        <v>787</v>
      </c>
      <c r="B7830" s="802" t="s">
        <v>8964</v>
      </c>
      <c r="C7830" s="801" t="s">
        <v>656</v>
      </c>
      <c r="D7830" s="803">
        <v>35.24</v>
      </c>
    </row>
    <row r="7831" spans="1:4" ht="25.5">
      <c r="A7831" s="801">
        <v>774</v>
      </c>
      <c r="B7831" s="802" t="s">
        <v>8965</v>
      </c>
      <c r="C7831" s="801" t="s">
        <v>656</v>
      </c>
      <c r="D7831" s="803">
        <v>35.24</v>
      </c>
    </row>
    <row r="7832" spans="1:4" ht="25.5">
      <c r="A7832" s="801">
        <v>773</v>
      </c>
      <c r="B7832" s="802" t="s">
        <v>8966</v>
      </c>
      <c r="C7832" s="801" t="s">
        <v>656</v>
      </c>
      <c r="D7832" s="803">
        <v>35.24</v>
      </c>
    </row>
    <row r="7833" spans="1:4" ht="25.5">
      <c r="A7833" s="801">
        <v>775</v>
      </c>
      <c r="B7833" s="802" t="s">
        <v>8967</v>
      </c>
      <c r="C7833" s="801" t="s">
        <v>656</v>
      </c>
      <c r="D7833" s="803">
        <v>35.24</v>
      </c>
    </row>
    <row r="7834" spans="1:4" ht="25.5">
      <c r="A7834" s="801">
        <v>788</v>
      </c>
      <c r="B7834" s="802" t="s">
        <v>8968</v>
      </c>
      <c r="C7834" s="801" t="s">
        <v>656</v>
      </c>
      <c r="D7834" s="803">
        <v>21.9</v>
      </c>
    </row>
    <row r="7835" spans="1:4" ht="25.5">
      <c r="A7835" s="801">
        <v>772</v>
      </c>
      <c r="B7835" s="802" t="s">
        <v>8969</v>
      </c>
      <c r="C7835" s="801" t="s">
        <v>656</v>
      </c>
      <c r="D7835" s="803">
        <v>21.9</v>
      </c>
    </row>
    <row r="7836" spans="1:4" ht="25.5">
      <c r="A7836" s="801">
        <v>771</v>
      </c>
      <c r="B7836" s="802" t="s">
        <v>8970</v>
      </c>
      <c r="C7836" s="801" t="s">
        <v>656</v>
      </c>
      <c r="D7836" s="803">
        <v>21.9</v>
      </c>
    </row>
    <row r="7837" spans="1:4" ht="25.5">
      <c r="A7837" s="801">
        <v>779</v>
      </c>
      <c r="B7837" s="802" t="s">
        <v>8971</v>
      </c>
      <c r="C7837" s="801" t="s">
        <v>656</v>
      </c>
      <c r="D7837" s="803">
        <v>5.44</v>
      </c>
    </row>
    <row r="7838" spans="1:4" ht="25.5">
      <c r="A7838" s="801">
        <v>776</v>
      </c>
      <c r="B7838" s="802" t="s">
        <v>8972</v>
      </c>
      <c r="C7838" s="801" t="s">
        <v>656</v>
      </c>
      <c r="D7838" s="803">
        <v>51.95</v>
      </c>
    </row>
    <row r="7839" spans="1:4" ht="25.5">
      <c r="A7839" s="801">
        <v>777</v>
      </c>
      <c r="B7839" s="802" t="s">
        <v>8973</v>
      </c>
      <c r="C7839" s="801" t="s">
        <v>656</v>
      </c>
      <c r="D7839" s="803">
        <v>50.51</v>
      </c>
    </row>
    <row r="7840" spans="1:4" ht="25.5">
      <c r="A7840" s="801">
        <v>780</v>
      </c>
      <c r="B7840" s="802" t="s">
        <v>8974</v>
      </c>
      <c r="C7840" s="801" t="s">
        <v>656</v>
      </c>
      <c r="D7840" s="803">
        <v>50.76</v>
      </c>
    </row>
    <row r="7841" spans="1:4" ht="25.5">
      <c r="A7841" s="801">
        <v>778</v>
      </c>
      <c r="B7841" s="802" t="s">
        <v>8975</v>
      </c>
      <c r="C7841" s="801" t="s">
        <v>656</v>
      </c>
      <c r="D7841" s="803">
        <v>51.95</v>
      </c>
    </row>
    <row r="7842" spans="1:4" ht="25.5">
      <c r="A7842" s="801">
        <v>781</v>
      </c>
      <c r="B7842" s="802" t="s">
        <v>8976</v>
      </c>
      <c r="C7842" s="801" t="s">
        <v>656</v>
      </c>
      <c r="D7842" s="803">
        <v>95.99</v>
      </c>
    </row>
    <row r="7843" spans="1:4" ht="25.5">
      <c r="A7843" s="801">
        <v>786</v>
      </c>
      <c r="B7843" s="802" t="s">
        <v>8977</v>
      </c>
      <c r="C7843" s="801" t="s">
        <v>656</v>
      </c>
      <c r="D7843" s="803">
        <v>95.99</v>
      </c>
    </row>
    <row r="7844" spans="1:4" ht="25.5">
      <c r="A7844" s="801">
        <v>782</v>
      </c>
      <c r="B7844" s="802" t="s">
        <v>8978</v>
      </c>
      <c r="C7844" s="801" t="s">
        <v>656</v>
      </c>
      <c r="D7844" s="803">
        <v>95.99</v>
      </c>
    </row>
    <row r="7845" spans="1:4" ht="25.5">
      <c r="A7845" s="801">
        <v>783</v>
      </c>
      <c r="B7845" s="802" t="s">
        <v>8979</v>
      </c>
      <c r="C7845" s="801" t="s">
        <v>656</v>
      </c>
      <c r="D7845" s="803">
        <v>262.72000000000003</v>
      </c>
    </row>
    <row r="7846" spans="1:4" ht="25.5">
      <c r="A7846" s="801">
        <v>785</v>
      </c>
      <c r="B7846" s="802" t="s">
        <v>8980</v>
      </c>
      <c r="C7846" s="801" t="s">
        <v>656</v>
      </c>
      <c r="D7846" s="803">
        <v>277.58999999999997</v>
      </c>
    </row>
    <row r="7847" spans="1:4" ht="25.5">
      <c r="A7847" s="801">
        <v>784</v>
      </c>
      <c r="B7847" s="802" t="s">
        <v>8981</v>
      </c>
      <c r="C7847" s="801" t="s">
        <v>656</v>
      </c>
      <c r="D7847" s="803">
        <v>297.79000000000002</v>
      </c>
    </row>
    <row r="7848" spans="1:4" ht="25.5">
      <c r="A7848" s="801">
        <v>831</v>
      </c>
      <c r="B7848" s="802" t="s">
        <v>8982</v>
      </c>
      <c r="C7848" s="801" t="s">
        <v>656</v>
      </c>
      <c r="D7848" s="803">
        <v>80.38</v>
      </c>
    </row>
    <row r="7849" spans="1:4" ht="25.5">
      <c r="A7849" s="801">
        <v>828</v>
      </c>
      <c r="B7849" s="802" t="s">
        <v>8983</v>
      </c>
      <c r="C7849" s="801" t="s">
        <v>656</v>
      </c>
      <c r="D7849" s="803">
        <v>0.46</v>
      </c>
    </row>
    <row r="7850" spans="1:4" ht="25.5">
      <c r="A7850" s="801">
        <v>829</v>
      </c>
      <c r="B7850" s="802" t="s">
        <v>8984</v>
      </c>
      <c r="C7850" s="801" t="s">
        <v>656</v>
      </c>
      <c r="D7850" s="803">
        <v>0.97</v>
      </c>
    </row>
    <row r="7851" spans="1:4" ht="25.5">
      <c r="A7851" s="801">
        <v>812</v>
      </c>
      <c r="B7851" s="802" t="s">
        <v>8985</v>
      </c>
      <c r="C7851" s="801" t="s">
        <v>656</v>
      </c>
      <c r="D7851" s="803">
        <v>2.11</v>
      </c>
    </row>
    <row r="7852" spans="1:4" ht="25.5">
      <c r="A7852" s="801">
        <v>819</v>
      </c>
      <c r="B7852" s="802" t="s">
        <v>8986</v>
      </c>
      <c r="C7852" s="801" t="s">
        <v>656</v>
      </c>
      <c r="D7852" s="803">
        <v>3.47</v>
      </c>
    </row>
    <row r="7853" spans="1:4" ht="25.5">
      <c r="A7853" s="801">
        <v>818</v>
      </c>
      <c r="B7853" s="802" t="s">
        <v>8987</v>
      </c>
      <c r="C7853" s="801" t="s">
        <v>656</v>
      </c>
      <c r="D7853" s="803">
        <v>5.84</v>
      </c>
    </row>
    <row r="7854" spans="1:4" ht="25.5">
      <c r="A7854" s="801">
        <v>823</v>
      </c>
      <c r="B7854" s="802" t="s">
        <v>8988</v>
      </c>
      <c r="C7854" s="801" t="s">
        <v>656</v>
      </c>
      <c r="D7854" s="803">
        <v>17.579999999999998</v>
      </c>
    </row>
    <row r="7855" spans="1:4" ht="25.5">
      <c r="A7855" s="801">
        <v>830</v>
      </c>
      <c r="B7855" s="802" t="s">
        <v>8989</v>
      </c>
      <c r="C7855" s="801" t="s">
        <v>656</v>
      </c>
      <c r="D7855" s="803">
        <v>14.48</v>
      </c>
    </row>
    <row r="7856" spans="1:4" ht="25.5">
      <c r="A7856" s="801">
        <v>826</v>
      </c>
      <c r="B7856" s="802" t="s">
        <v>8990</v>
      </c>
      <c r="C7856" s="801" t="s">
        <v>656</v>
      </c>
      <c r="D7856" s="803">
        <v>45.08</v>
      </c>
    </row>
    <row r="7857" spans="1:4" ht="25.5">
      <c r="A7857" s="801">
        <v>827</v>
      </c>
      <c r="B7857" s="802" t="s">
        <v>8991</v>
      </c>
      <c r="C7857" s="801" t="s">
        <v>656</v>
      </c>
      <c r="D7857" s="803">
        <v>38.08</v>
      </c>
    </row>
    <row r="7858" spans="1:4" ht="25.5">
      <c r="A7858" s="801">
        <v>832</v>
      </c>
      <c r="B7858" s="802" t="s">
        <v>8992</v>
      </c>
      <c r="C7858" s="801" t="s">
        <v>656</v>
      </c>
      <c r="D7858" s="803">
        <v>2.63</v>
      </c>
    </row>
    <row r="7859" spans="1:4" ht="25.5">
      <c r="A7859" s="801">
        <v>833</v>
      </c>
      <c r="B7859" s="802" t="s">
        <v>8993</v>
      </c>
      <c r="C7859" s="801" t="s">
        <v>656</v>
      </c>
      <c r="D7859" s="803">
        <v>3.73</v>
      </c>
    </row>
    <row r="7860" spans="1:4" ht="25.5">
      <c r="A7860" s="801">
        <v>834</v>
      </c>
      <c r="B7860" s="802" t="s">
        <v>8994</v>
      </c>
      <c r="C7860" s="801" t="s">
        <v>656</v>
      </c>
      <c r="D7860" s="803">
        <v>4.0999999999999996</v>
      </c>
    </row>
    <row r="7861" spans="1:4" ht="25.5">
      <c r="A7861" s="801">
        <v>825</v>
      </c>
      <c r="B7861" s="802" t="s">
        <v>8995</v>
      </c>
      <c r="C7861" s="801" t="s">
        <v>656</v>
      </c>
      <c r="D7861" s="803">
        <v>4.57</v>
      </c>
    </row>
    <row r="7862" spans="1:4" ht="25.5">
      <c r="A7862" s="801">
        <v>813</v>
      </c>
      <c r="B7862" s="802" t="s">
        <v>8996</v>
      </c>
      <c r="C7862" s="801" t="s">
        <v>656</v>
      </c>
      <c r="D7862" s="803">
        <v>4.49</v>
      </c>
    </row>
    <row r="7863" spans="1:4" ht="25.5">
      <c r="A7863" s="801">
        <v>820</v>
      </c>
      <c r="B7863" s="802" t="s">
        <v>8997</v>
      </c>
      <c r="C7863" s="801" t="s">
        <v>656</v>
      </c>
      <c r="D7863" s="803">
        <v>5.7</v>
      </c>
    </row>
    <row r="7864" spans="1:4" ht="25.5">
      <c r="A7864" s="801">
        <v>816</v>
      </c>
      <c r="B7864" s="802" t="s">
        <v>8998</v>
      </c>
      <c r="C7864" s="801" t="s">
        <v>656</v>
      </c>
      <c r="D7864" s="803">
        <v>9.6999999999999993</v>
      </c>
    </row>
    <row r="7865" spans="1:4" ht="25.5">
      <c r="A7865" s="801">
        <v>814</v>
      </c>
      <c r="B7865" s="802" t="s">
        <v>8999</v>
      </c>
      <c r="C7865" s="801" t="s">
        <v>656</v>
      </c>
      <c r="D7865" s="803">
        <v>11.72</v>
      </c>
    </row>
    <row r="7866" spans="1:4" ht="25.5">
      <c r="A7866" s="801">
        <v>815</v>
      </c>
      <c r="B7866" s="802" t="s">
        <v>9000</v>
      </c>
      <c r="C7866" s="801" t="s">
        <v>656</v>
      </c>
      <c r="D7866" s="803">
        <v>12.67</v>
      </c>
    </row>
    <row r="7867" spans="1:4" ht="25.5">
      <c r="A7867" s="801">
        <v>822</v>
      </c>
      <c r="B7867" s="802" t="s">
        <v>9001</v>
      </c>
      <c r="C7867" s="801" t="s">
        <v>656</v>
      </c>
      <c r="D7867" s="803">
        <v>15.43</v>
      </c>
    </row>
    <row r="7868" spans="1:4" ht="25.5">
      <c r="A7868" s="801">
        <v>821</v>
      </c>
      <c r="B7868" s="802" t="s">
        <v>9002</v>
      </c>
      <c r="C7868" s="801" t="s">
        <v>656</v>
      </c>
      <c r="D7868" s="803">
        <v>18.04</v>
      </c>
    </row>
    <row r="7869" spans="1:4" ht="25.5">
      <c r="A7869" s="801">
        <v>817</v>
      </c>
      <c r="B7869" s="802" t="s">
        <v>9003</v>
      </c>
      <c r="C7869" s="801" t="s">
        <v>656</v>
      </c>
      <c r="D7869" s="803">
        <v>21.45</v>
      </c>
    </row>
    <row r="7870" spans="1:4" ht="25.5">
      <c r="A7870" s="801">
        <v>20086</v>
      </c>
      <c r="B7870" s="802" t="s">
        <v>9004</v>
      </c>
      <c r="C7870" s="801" t="s">
        <v>656</v>
      </c>
      <c r="D7870" s="803">
        <v>2.87</v>
      </c>
    </row>
    <row r="7871" spans="1:4" ht="25.5">
      <c r="A7871" s="801">
        <v>39191</v>
      </c>
      <c r="B7871" s="802" t="s">
        <v>9005</v>
      </c>
      <c r="C7871" s="801" t="s">
        <v>656</v>
      </c>
      <c r="D7871" s="803">
        <v>15.34</v>
      </c>
    </row>
    <row r="7872" spans="1:4" ht="25.5">
      <c r="A7872" s="801">
        <v>39190</v>
      </c>
      <c r="B7872" s="802" t="s">
        <v>9006</v>
      </c>
      <c r="C7872" s="801" t="s">
        <v>656</v>
      </c>
      <c r="D7872" s="803">
        <v>16.03</v>
      </c>
    </row>
    <row r="7873" spans="1:4" ht="25.5">
      <c r="A7873" s="801">
        <v>39189</v>
      </c>
      <c r="B7873" s="802" t="s">
        <v>9007</v>
      </c>
      <c r="C7873" s="801" t="s">
        <v>656</v>
      </c>
      <c r="D7873" s="803">
        <v>16.96</v>
      </c>
    </row>
    <row r="7874" spans="1:4" ht="25.5">
      <c r="A7874" s="801">
        <v>39186</v>
      </c>
      <c r="B7874" s="802" t="s">
        <v>9008</v>
      </c>
      <c r="C7874" s="801" t="s">
        <v>656</v>
      </c>
      <c r="D7874" s="803">
        <v>15.17</v>
      </c>
    </row>
    <row r="7875" spans="1:4" ht="25.5">
      <c r="A7875" s="801">
        <v>39188</v>
      </c>
      <c r="B7875" s="802" t="s">
        <v>9009</v>
      </c>
      <c r="C7875" s="801" t="s">
        <v>656</v>
      </c>
      <c r="D7875" s="803">
        <v>12.49</v>
      </c>
    </row>
    <row r="7876" spans="1:4" ht="25.5">
      <c r="A7876" s="801">
        <v>39187</v>
      </c>
      <c r="B7876" s="802" t="s">
        <v>9010</v>
      </c>
      <c r="C7876" s="801" t="s">
        <v>656</v>
      </c>
      <c r="D7876" s="803">
        <v>13.09</v>
      </c>
    </row>
    <row r="7877" spans="1:4" ht="25.5">
      <c r="A7877" s="801">
        <v>39184</v>
      </c>
      <c r="B7877" s="802" t="s">
        <v>9011</v>
      </c>
      <c r="C7877" s="801" t="s">
        <v>656</v>
      </c>
      <c r="D7877" s="803">
        <v>4.92</v>
      </c>
    </row>
    <row r="7878" spans="1:4" ht="25.5">
      <c r="A7878" s="801">
        <v>39185</v>
      </c>
      <c r="B7878" s="802" t="s">
        <v>9012</v>
      </c>
      <c r="C7878" s="801" t="s">
        <v>656</v>
      </c>
      <c r="D7878" s="803">
        <v>4.49</v>
      </c>
    </row>
    <row r="7879" spans="1:4" ht="25.5">
      <c r="A7879" s="801">
        <v>39198</v>
      </c>
      <c r="B7879" s="802" t="s">
        <v>9013</v>
      </c>
      <c r="C7879" s="801" t="s">
        <v>656</v>
      </c>
      <c r="D7879" s="803">
        <v>50.33</v>
      </c>
    </row>
    <row r="7880" spans="1:4" ht="25.5">
      <c r="A7880" s="801">
        <v>39197</v>
      </c>
      <c r="B7880" s="802" t="s">
        <v>9014</v>
      </c>
      <c r="C7880" s="801" t="s">
        <v>656</v>
      </c>
      <c r="D7880" s="803">
        <v>52.58</v>
      </c>
    </row>
    <row r="7881" spans="1:4" ht="25.5">
      <c r="A7881" s="801">
        <v>39196</v>
      </c>
      <c r="B7881" s="802" t="s">
        <v>9015</v>
      </c>
      <c r="C7881" s="801" t="s">
        <v>656</v>
      </c>
      <c r="D7881" s="803">
        <v>54.22</v>
      </c>
    </row>
    <row r="7882" spans="1:4" ht="25.5">
      <c r="A7882" s="801">
        <v>39199</v>
      </c>
      <c r="B7882" s="802" t="s">
        <v>9016</v>
      </c>
      <c r="C7882" s="801" t="s">
        <v>656</v>
      </c>
      <c r="D7882" s="803">
        <v>48.44</v>
      </c>
    </row>
    <row r="7883" spans="1:4" ht="25.5">
      <c r="A7883" s="801">
        <v>39195</v>
      </c>
      <c r="B7883" s="802" t="s">
        <v>9017</v>
      </c>
      <c r="C7883" s="801" t="s">
        <v>656</v>
      </c>
      <c r="D7883" s="803">
        <v>27.96</v>
      </c>
    </row>
    <row r="7884" spans="1:4" ht="25.5">
      <c r="A7884" s="801">
        <v>39194</v>
      </c>
      <c r="B7884" s="802" t="s">
        <v>9018</v>
      </c>
      <c r="C7884" s="801" t="s">
        <v>656</v>
      </c>
      <c r="D7884" s="803">
        <v>29.92</v>
      </c>
    </row>
    <row r="7885" spans="1:4" ht="25.5">
      <c r="A7885" s="801">
        <v>39193</v>
      </c>
      <c r="B7885" s="802" t="s">
        <v>9019</v>
      </c>
      <c r="C7885" s="801" t="s">
        <v>656</v>
      </c>
      <c r="D7885" s="803">
        <v>32.79</v>
      </c>
    </row>
    <row r="7886" spans="1:4" ht="25.5">
      <c r="A7886" s="801">
        <v>39192</v>
      </c>
      <c r="B7886" s="802" t="s">
        <v>9020</v>
      </c>
      <c r="C7886" s="801" t="s">
        <v>656</v>
      </c>
      <c r="D7886" s="803">
        <v>34.11</v>
      </c>
    </row>
    <row r="7887" spans="1:4" ht="25.5">
      <c r="A7887" s="801">
        <v>39920</v>
      </c>
      <c r="B7887" s="802" t="s">
        <v>9021</v>
      </c>
      <c r="C7887" s="801" t="s">
        <v>656</v>
      </c>
      <c r="D7887" s="803">
        <v>4.13</v>
      </c>
    </row>
    <row r="7888" spans="1:4" ht="25.5">
      <c r="A7888" s="801">
        <v>39201</v>
      </c>
      <c r="B7888" s="802" t="s">
        <v>9022</v>
      </c>
      <c r="C7888" s="801" t="s">
        <v>656</v>
      </c>
      <c r="D7888" s="803">
        <v>60.18</v>
      </c>
    </row>
    <row r="7889" spans="1:4" ht="25.5">
      <c r="A7889" s="801">
        <v>39200</v>
      </c>
      <c r="B7889" s="802" t="s">
        <v>9023</v>
      </c>
      <c r="C7889" s="801" t="s">
        <v>656</v>
      </c>
      <c r="D7889" s="803">
        <v>60.66</v>
      </c>
    </row>
    <row r="7890" spans="1:4" ht="25.5">
      <c r="A7890" s="801">
        <v>39203</v>
      </c>
      <c r="B7890" s="802" t="s">
        <v>9024</v>
      </c>
      <c r="C7890" s="801" t="s">
        <v>656</v>
      </c>
      <c r="D7890" s="803">
        <v>48.98</v>
      </c>
    </row>
    <row r="7891" spans="1:4" ht="25.5">
      <c r="A7891" s="801">
        <v>39202</v>
      </c>
      <c r="B7891" s="802" t="s">
        <v>9025</v>
      </c>
      <c r="C7891" s="801" t="s">
        <v>656</v>
      </c>
      <c r="D7891" s="803">
        <v>57.54</v>
      </c>
    </row>
    <row r="7892" spans="1:4" ht="25.5">
      <c r="A7892" s="801">
        <v>39205</v>
      </c>
      <c r="B7892" s="802" t="s">
        <v>9026</v>
      </c>
      <c r="C7892" s="801" t="s">
        <v>656</v>
      </c>
      <c r="D7892" s="803">
        <v>95.99</v>
      </c>
    </row>
    <row r="7893" spans="1:4" ht="25.5">
      <c r="A7893" s="801">
        <v>39204</v>
      </c>
      <c r="B7893" s="802" t="s">
        <v>9027</v>
      </c>
      <c r="C7893" s="801" t="s">
        <v>656</v>
      </c>
      <c r="D7893" s="803">
        <v>98.31</v>
      </c>
    </row>
    <row r="7894" spans="1:4" ht="25.5">
      <c r="A7894" s="801">
        <v>39206</v>
      </c>
      <c r="B7894" s="802" t="s">
        <v>9028</v>
      </c>
      <c r="C7894" s="801" t="s">
        <v>656</v>
      </c>
      <c r="D7894" s="803">
        <v>93.27</v>
      </c>
    </row>
    <row r="7895" spans="1:4">
      <c r="A7895" s="801">
        <v>797</v>
      </c>
      <c r="B7895" s="802" t="s">
        <v>9029</v>
      </c>
      <c r="C7895" s="801" t="s">
        <v>656</v>
      </c>
      <c r="D7895" s="803">
        <v>8.39</v>
      </c>
    </row>
    <row r="7896" spans="1:4">
      <c r="A7896" s="801">
        <v>798</v>
      </c>
      <c r="B7896" s="802" t="s">
        <v>9030</v>
      </c>
      <c r="C7896" s="801" t="s">
        <v>656</v>
      </c>
      <c r="D7896" s="803">
        <v>1.1499999999999999</v>
      </c>
    </row>
    <row r="7897" spans="1:4">
      <c r="A7897" s="801">
        <v>796</v>
      </c>
      <c r="B7897" s="802" t="s">
        <v>9031</v>
      </c>
      <c r="C7897" s="801" t="s">
        <v>656</v>
      </c>
      <c r="D7897" s="803">
        <v>8.0399999999999991</v>
      </c>
    </row>
    <row r="7898" spans="1:4">
      <c r="A7898" s="801">
        <v>799</v>
      </c>
      <c r="B7898" s="802" t="s">
        <v>9032</v>
      </c>
      <c r="C7898" s="801" t="s">
        <v>656</v>
      </c>
      <c r="D7898" s="803">
        <v>3.78</v>
      </c>
    </row>
    <row r="7899" spans="1:4">
      <c r="A7899" s="801">
        <v>792</v>
      </c>
      <c r="B7899" s="802" t="s">
        <v>9033</v>
      </c>
      <c r="C7899" s="801" t="s">
        <v>656</v>
      </c>
      <c r="D7899" s="803">
        <v>3.84</v>
      </c>
    </row>
    <row r="7900" spans="1:4">
      <c r="A7900" s="801">
        <v>804</v>
      </c>
      <c r="B7900" s="802" t="s">
        <v>9034</v>
      </c>
      <c r="C7900" s="801" t="s">
        <v>656</v>
      </c>
      <c r="D7900" s="803">
        <v>19.05</v>
      </c>
    </row>
    <row r="7901" spans="1:4">
      <c r="A7901" s="801">
        <v>793</v>
      </c>
      <c r="B7901" s="802" t="s">
        <v>9035</v>
      </c>
      <c r="C7901" s="801" t="s">
        <v>656</v>
      </c>
      <c r="D7901" s="803">
        <v>8.18</v>
      </c>
    </row>
    <row r="7902" spans="1:4">
      <c r="A7902" s="801">
        <v>801</v>
      </c>
      <c r="B7902" s="802" t="s">
        <v>9036</v>
      </c>
      <c r="C7902" s="801" t="s">
        <v>656</v>
      </c>
      <c r="D7902" s="803">
        <v>5.83</v>
      </c>
    </row>
    <row r="7903" spans="1:4">
      <c r="A7903" s="801">
        <v>794</v>
      </c>
      <c r="B7903" s="802" t="s">
        <v>9037</v>
      </c>
      <c r="C7903" s="801" t="s">
        <v>656</v>
      </c>
      <c r="D7903" s="803">
        <v>6.02</v>
      </c>
    </row>
    <row r="7904" spans="1:4">
      <c r="A7904" s="801">
        <v>802</v>
      </c>
      <c r="B7904" s="802" t="s">
        <v>9038</v>
      </c>
      <c r="C7904" s="801" t="s">
        <v>656</v>
      </c>
      <c r="D7904" s="803">
        <v>16.8</v>
      </c>
    </row>
    <row r="7905" spans="1:4">
      <c r="A7905" s="801">
        <v>803</v>
      </c>
      <c r="B7905" s="802" t="s">
        <v>9039</v>
      </c>
      <c r="C7905" s="801" t="s">
        <v>656</v>
      </c>
      <c r="D7905" s="803">
        <v>14.65</v>
      </c>
    </row>
    <row r="7906" spans="1:4" ht="25.5">
      <c r="A7906" s="801">
        <v>38001</v>
      </c>
      <c r="B7906" s="802" t="s">
        <v>9040</v>
      </c>
      <c r="C7906" s="801" t="s">
        <v>656</v>
      </c>
      <c r="D7906" s="803">
        <v>1.47</v>
      </c>
    </row>
    <row r="7907" spans="1:4" ht="25.5">
      <c r="A7907" s="801">
        <v>38002</v>
      </c>
      <c r="B7907" s="802" t="s">
        <v>9041</v>
      </c>
      <c r="C7907" s="801" t="s">
        <v>656</v>
      </c>
      <c r="D7907" s="803">
        <v>2.73</v>
      </c>
    </row>
    <row r="7908" spans="1:4" ht="25.5">
      <c r="A7908" s="801">
        <v>38003</v>
      </c>
      <c r="B7908" s="802" t="s">
        <v>9042</v>
      </c>
      <c r="C7908" s="801" t="s">
        <v>656</v>
      </c>
      <c r="D7908" s="803">
        <v>32.74</v>
      </c>
    </row>
    <row r="7909" spans="1:4" ht="25.5">
      <c r="A7909" s="801">
        <v>38004</v>
      </c>
      <c r="B7909" s="802" t="s">
        <v>9043</v>
      </c>
      <c r="C7909" s="801" t="s">
        <v>656</v>
      </c>
      <c r="D7909" s="803">
        <v>43.78</v>
      </c>
    </row>
    <row r="7910" spans="1:4" ht="25.5">
      <c r="A7910" s="801">
        <v>36327</v>
      </c>
      <c r="B7910" s="802" t="s">
        <v>9044</v>
      </c>
      <c r="C7910" s="801" t="s">
        <v>656</v>
      </c>
      <c r="D7910" s="803">
        <v>2.62</v>
      </c>
    </row>
    <row r="7911" spans="1:4" ht="25.5">
      <c r="A7911" s="801">
        <v>38992</v>
      </c>
      <c r="B7911" s="802" t="s">
        <v>9045</v>
      </c>
      <c r="C7911" s="801" t="s">
        <v>656</v>
      </c>
      <c r="D7911" s="803">
        <v>4.2</v>
      </c>
    </row>
    <row r="7912" spans="1:4" ht="25.5">
      <c r="A7912" s="801">
        <v>38993</v>
      </c>
      <c r="B7912" s="802" t="s">
        <v>9046</v>
      </c>
      <c r="C7912" s="801" t="s">
        <v>656</v>
      </c>
      <c r="D7912" s="803">
        <v>11.97</v>
      </c>
    </row>
    <row r="7913" spans="1:4" ht="25.5">
      <c r="A7913" s="801">
        <v>38418</v>
      </c>
      <c r="B7913" s="802" t="s">
        <v>9047</v>
      </c>
      <c r="C7913" s="801" t="s">
        <v>656</v>
      </c>
      <c r="D7913" s="803">
        <v>8.34</v>
      </c>
    </row>
    <row r="7914" spans="1:4">
      <c r="A7914" s="801">
        <v>39178</v>
      </c>
      <c r="B7914" s="802" t="s">
        <v>9048</v>
      </c>
      <c r="C7914" s="801" t="s">
        <v>656</v>
      </c>
      <c r="D7914" s="803">
        <v>1.66</v>
      </c>
    </row>
    <row r="7915" spans="1:4">
      <c r="A7915" s="801">
        <v>39177</v>
      </c>
      <c r="B7915" s="802" t="s">
        <v>9049</v>
      </c>
      <c r="C7915" s="801" t="s">
        <v>656</v>
      </c>
      <c r="D7915" s="803">
        <v>1.5</v>
      </c>
    </row>
    <row r="7916" spans="1:4">
      <c r="A7916" s="801">
        <v>39174</v>
      </c>
      <c r="B7916" s="802" t="s">
        <v>9050</v>
      </c>
      <c r="C7916" s="801" t="s">
        <v>656</v>
      </c>
      <c r="D7916" s="803">
        <v>0.75</v>
      </c>
    </row>
    <row r="7917" spans="1:4">
      <c r="A7917" s="801">
        <v>39176</v>
      </c>
      <c r="B7917" s="802" t="s">
        <v>9051</v>
      </c>
      <c r="C7917" s="801" t="s">
        <v>656</v>
      </c>
      <c r="D7917" s="803">
        <v>0.98</v>
      </c>
    </row>
    <row r="7918" spans="1:4">
      <c r="A7918" s="801">
        <v>39180</v>
      </c>
      <c r="B7918" s="802" t="s">
        <v>9052</v>
      </c>
      <c r="C7918" s="801" t="s">
        <v>656</v>
      </c>
      <c r="D7918" s="803">
        <v>4.5</v>
      </c>
    </row>
    <row r="7919" spans="1:4">
      <c r="A7919" s="801">
        <v>39179</v>
      </c>
      <c r="B7919" s="802" t="s">
        <v>9053</v>
      </c>
      <c r="C7919" s="801" t="s">
        <v>656</v>
      </c>
      <c r="D7919" s="803">
        <v>3.99</v>
      </c>
    </row>
    <row r="7920" spans="1:4">
      <c r="A7920" s="801">
        <v>39175</v>
      </c>
      <c r="B7920" s="802" t="s">
        <v>9054</v>
      </c>
      <c r="C7920" s="801" t="s">
        <v>656</v>
      </c>
      <c r="D7920" s="803">
        <v>0.91</v>
      </c>
    </row>
    <row r="7921" spans="1:4">
      <c r="A7921" s="801">
        <v>39217</v>
      </c>
      <c r="B7921" s="802" t="s">
        <v>9055</v>
      </c>
      <c r="C7921" s="801" t="s">
        <v>656</v>
      </c>
      <c r="D7921" s="803">
        <v>0.7</v>
      </c>
    </row>
    <row r="7922" spans="1:4">
      <c r="A7922" s="801">
        <v>39181</v>
      </c>
      <c r="B7922" s="802" t="s">
        <v>9056</v>
      </c>
      <c r="C7922" s="801" t="s">
        <v>656</v>
      </c>
      <c r="D7922" s="803">
        <v>6.04</v>
      </c>
    </row>
    <row r="7923" spans="1:4">
      <c r="A7923" s="801">
        <v>39182</v>
      </c>
      <c r="B7923" s="802" t="s">
        <v>9057</v>
      </c>
      <c r="C7923" s="801" t="s">
        <v>656</v>
      </c>
      <c r="D7923" s="803">
        <v>8.49</v>
      </c>
    </row>
    <row r="7924" spans="1:4" ht="25.5">
      <c r="A7924" s="801">
        <v>12616</v>
      </c>
      <c r="B7924" s="802" t="s">
        <v>9058</v>
      </c>
      <c r="C7924" s="801" t="s">
        <v>656</v>
      </c>
      <c r="D7924" s="803">
        <v>6.16</v>
      </c>
    </row>
    <row r="7925" spans="1:4" ht="51">
      <c r="A7925" s="801">
        <v>1049</v>
      </c>
      <c r="B7925" s="802" t="s">
        <v>9059</v>
      </c>
      <c r="C7925" s="801" t="s">
        <v>656</v>
      </c>
      <c r="D7925" s="803">
        <v>7.11</v>
      </c>
    </row>
    <row r="7926" spans="1:4" ht="51">
      <c r="A7926" s="801">
        <v>1099</v>
      </c>
      <c r="B7926" s="802" t="s">
        <v>9060</v>
      </c>
      <c r="C7926" s="801" t="s">
        <v>656</v>
      </c>
      <c r="D7926" s="803">
        <v>5.44</v>
      </c>
    </row>
    <row r="7927" spans="1:4" ht="51">
      <c r="A7927" s="801">
        <v>39678</v>
      </c>
      <c r="B7927" s="802" t="s">
        <v>9061</v>
      </c>
      <c r="C7927" s="801" t="s">
        <v>656</v>
      </c>
      <c r="D7927" s="803">
        <v>2.19</v>
      </c>
    </row>
    <row r="7928" spans="1:4" ht="51">
      <c r="A7928" s="801">
        <v>1050</v>
      </c>
      <c r="B7928" s="802" t="s">
        <v>9062</v>
      </c>
      <c r="C7928" s="801" t="s">
        <v>656</v>
      </c>
      <c r="D7928" s="803">
        <v>3.72</v>
      </c>
    </row>
    <row r="7929" spans="1:4" ht="51">
      <c r="A7929" s="801">
        <v>1101</v>
      </c>
      <c r="B7929" s="802" t="s">
        <v>9063</v>
      </c>
      <c r="C7929" s="801" t="s">
        <v>656</v>
      </c>
      <c r="D7929" s="803">
        <v>23.46</v>
      </c>
    </row>
    <row r="7930" spans="1:4" ht="51">
      <c r="A7930" s="801">
        <v>1100</v>
      </c>
      <c r="B7930" s="802" t="s">
        <v>9064</v>
      </c>
      <c r="C7930" s="801" t="s">
        <v>656</v>
      </c>
      <c r="D7930" s="803">
        <v>12.1</v>
      </c>
    </row>
    <row r="7931" spans="1:4" ht="51">
      <c r="A7931" s="801">
        <v>39679</v>
      </c>
      <c r="B7931" s="802" t="s">
        <v>9065</v>
      </c>
      <c r="C7931" s="801" t="s">
        <v>656</v>
      </c>
      <c r="D7931" s="803">
        <v>46.75</v>
      </c>
    </row>
    <row r="7932" spans="1:4" ht="51">
      <c r="A7932" s="801">
        <v>1098</v>
      </c>
      <c r="B7932" s="802" t="s">
        <v>9066</v>
      </c>
      <c r="C7932" s="801" t="s">
        <v>656</v>
      </c>
      <c r="D7932" s="803">
        <v>2.9</v>
      </c>
    </row>
    <row r="7933" spans="1:4" ht="51">
      <c r="A7933" s="801">
        <v>1102</v>
      </c>
      <c r="B7933" s="802" t="s">
        <v>9067</v>
      </c>
      <c r="C7933" s="801" t="s">
        <v>656</v>
      </c>
      <c r="D7933" s="803">
        <v>34.979999999999997</v>
      </c>
    </row>
    <row r="7934" spans="1:4" ht="51">
      <c r="A7934" s="801">
        <v>1051</v>
      </c>
      <c r="B7934" s="802" t="s">
        <v>9068</v>
      </c>
      <c r="C7934" s="801" t="s">
        <v>656</v>
      </c>
      <c r="D7934" s="803">
        <v>50.84</v>
      </c>
    </row>
    <row r="7935" spans="1:4">
      <c r="A7935" s="801">
        <v>37399</v>
      </c>
      <c r="B7935" s="802" t="s">
        <v>9069</v>
      </c>
      <c r="C7935" s="801" t="s">
        <v>656</v>
      </c>
      <c r="D7935" s="803">
        <v>21.12</v>
      </c>
    </row>
    <row r="7936" spans="1:4" ht="25.5">
      <c r="A7936" s="801">
        <v>41955</v>
      </c>
      <c r="B7936" s="802" t="s">
        <v>9070</v>
      </c>
      <c r="C7936" s="801" t="s">
        <v>653</v>
      </c>
      <c r="D7936" s="803">
        <v>66.94</v>
      </c>
    </row>
    <row r="7937" spans="1:4" ht="25.5">
      <c r="A7937" s="801">
        <v>41953</v>
      </c>
      <c r="B7937" s="802" t="s">
        <v>9071</v>
      </c>
      <c r="C7937" s="801" t="s">
        <v>653</v>
      </c>
      <c r="D7937" s="803">
        <v>63.88</v>
      </c>
    </row>
    <row r="7938" spans="1:4" ht="25.5">
      <c r="A7938" s="801">
        <v>41954</v>
      </c>
      <c r="B7938" s="802" t="s">
        <v>4602</v>
      </c>
      <c r="C7938" s="801" t="s">
        <v>653</v>
      </c>
      <c r="D7938" s="803">
        <v>63.27</v>
      </c>
    </row>
    <row r="7939" spans="1:4">
      <c r="A7939" s="801">
        <v>25004</v>
      </c>
      <c r="B7939" s="802" t="s">
        <v>9072</v>
      </c>
      <c r="C7939" s="801" t="s">
        <v>653</v>
      </c>
      <c r="D7939" s="803">
        <v>30.7</v>
      </c>
    </row>
    <row r="7940" spans="1:4">
      <c r="A7940" s="801">
        <v>25002</v>
      </c>
      <c r="B7940" s="802" t="s">
        <v>9073</v>
      </c>
      <c r="C7940" s="801" t="s">
        <v>653</v>
      </c>
      <c r="D7940" s="803">
        <v>30.96</v>
      </c>
    </row>
    <row r="7941" spans="1:4">
      <c r="A7941" s="801">
        <v>37409</v>
      </c>
      <c r="B7941" s="802" t="s">
        <v>9074</v>
      </c>
      <c r="C7941" s="801" t="s">
        <v>653</v>
      </c>
      <c r="D7941" s="803">
        <v>30.45</v>
      </c>
    </row>
    <row r="7942" spans="1:4">
      <c r="A7942" s="801">
        <v>841</v>
      </c>
      <c r="B7942" s="802" t="s">
        <v>9075</v>
      </c>
      <c r="C7942" s="801" t="s">
        <v>653</v>
      </c>
      <c r="D7942" s="803">
        <v>31.45</v>
      </c>
    </row>
    <row r="7943" spans="1:4">
      <c r="A7943" s="801">
        <v>25005</v>
      </c>
      <c r="B7943" s="802" t="s">
        <v>9076</v>
      </c>
      <c r="C7943" s="801" t="s">
        <v>653</v>
      </c>
      <c r="D7943" s="803">
        <v>34.479999999999997</v>
      </c>
    </row>
    <row r="7944" spans="1:4">
      <c r="A7944" s="801">
        <v>25003</v>
      </c>
      <c r="B7944" s="802" t="s">
        <v>9077</v>
      </c>
      <c r="C7944" s="801" t="s">
        <v>653</v>
      </c>
      <c r="D7944" s="803">
        <v>36.83</v>
      </c>
    </row>
    <row r="7945" spans="1:4">
      <c r="A7945" s="801">
        <v>37410</v>
      </c>
      <c r="B7945" s="802" t="s">
        <v>9078</v>
      </c>
      <c r="C7945" s="801" t="s">
        <v>653</v>
      </c>
      <c r="D7945" s="803">
        <v>34.479999999999997</v>
      </c>
    </row>
    <row r="7946" spans="1:4">
      <c r="A7946" s="801">
        <v>842</v>
      </c>
      <c r="B7946" s="802" t="s">
        <v>9079</v>
      </c>
      <c r="C7946" s="801" t="s">
        <v>653</v>
      </c>
      <c r="D7946" s="803">
        <v>38.79</v>
      </c>
    </row>
    <row r="7947" spans="1:4">
      <c r="A7947" s="801">
        <v>862</v>
      </c>
      <c r="B7947" s="802" t="s">
        <v>9080</v>
      </c>
      <c r="C7947" s="801" t="s">
        <v>660</v>
      </c>
      <c r="D7947" s="803">
        <v>8.76</v>
      </c>
    </row>
    <row r="7948" spans="1:4">
      <c r="A7948" s="801">
        <v>866</v>
      </c>
      <c r="B7948" s="802" t="s">
        <v>9081</v>
      </c>
      <c r="C7948" s="801" t="s">
        <v>660</v>
      </c>
      <c r="D7948" s="803">
        <v>107.68</v>
      </c>
    </row>
    <row r="7949" spans="1:4">
      <c r="A7949" s="801">
        <v>892</v>
      </c>
      <c r="B7949" s="802" t="s">
        <v>9082</v>
      </c>
      <c r="C7949" s="801" t="s">
        <v>660</v>
      </c>
      <c r="D7949" s="803">
        <v>136.93</v>
      </c>
    </row>
    <row r="7950" spans="1:4">
      <c r="A7950" s="801">
        <v>857</v>
      </c>
      <c r="B7950" s="802" t="s">
        <v>9083</v>
      </c>
      <c r="C7950" s="801" t="s">
        <v>660</v>
      </c>
      <c r="D7950" s="803">
        <v>13.94</v>
      </c>
    </row>
    <row r="7951" spans="1:4">
      <c r="A7951" s="801">
        <v>37404</v>
      </c>
      <c r="B7951" s="802" t="s">
        <v>9084</v>
      </c>
      <c r="C7951" s="801" t="s">
        <v>660</v>
      </c>
      <c r="D7951" s="803">
        <v>164.66</v>
      </c>
    </row>
    <row r="7952" spans="1:4">
      <c r="A7952" s="801">
        <v>868</v>
      </c>
      <c r="B7952" s="802" t="s">
        <v>9085</v>
      </c>
      <c r="C7952" s="801" t="s">
        <v>660</v>
      </c>
      <c r="D7952" s="803">
        <v>21.53</v>
      </c>
    </row>
    <row r="7953" spans="1:4">
      <c r="A7953" s="801">
        <v>870</v>
      </c>
      <c r="B7953" s="802" t="s">
        <v>9086</v>
      </c>
      <c r="C7953" s="801" t="s">
        <v>660</v>
      </c>
      <c r="D7953" s="803">
        <v>283.74</v>
      </c>
    </row>
    <row r="7954" spans="1:4">
      <c r="A7954" s="801">
        <v>863</v>
      </c>
      <c r="B7954" s="802" t="s">
        <v>9087</v>
      </c>
      <c r="C7954" s="801" t="s">
        <v>660</v>
      </c>
      <c r="D7954" s="803">
        <v>29.74</v>
      </c>
    </row>
    <row r="7955" spans="1:4">
      <c r="A7955" s="801">
        <v>867</v>
      </c>
      <c r="B7955" s="802" t="s">
        <v>4564</v>
      </c>
      <c r="C7955" s="801" t="s">
        <v>660</v>
      </c>
      <c r="D7955" s="803">
        <v>41.42</v>
      </c>
    </row>
    <row r="7956" spans="1:4">
      <c r="A7956" s="801">
        <v>891</v>
      </c>
      <c r="B7956" s="802" t="s">
        <v>9088</v>
      </c>
      <c r="C7956" s="801" t="s">
        <v>660</v>
      </c>
      <c r="D7956" s="803">
        <v>476.51</v>
      </c>
    </row>
    <row r="7957" spans="1:4">
      <c r="A7957" s="801">
        <v>864</v>
      </c>
      <c r="B7957" s="802" t="s">
        <v>9089</v>
      </c>
      <c r="C7957" s="801" t="s">
        <v>660</v>
      </c>
      <c r="D7957" s="803">
        <v>58.36</v>
      </c>
    </row>
    <row r="7958" spans="1:4">
      <c r="A7958" s="801">
        <v>865</v>
      </c>
      <c r="B7958" s="802" t="s">
        <v>9090</v>
      </c>
      <c r="C7958" s="801" t="s">
        <v>660</v>
      </c>
      <c r="D7958" s="803">
        <v>82.2</v>
      </c>
    </row>
    <row r="7959" spans="1:4" ht="25.5">
      <c r="A7959" s="801">
        <v>1006</v>
      </c>
      <c r="B7959" s="802" t="s">
        <v>9091</v>
      </c>
      <c r="C7959" s="801" t="s">
        <v>660</v>
      </c>
      <c r="D7959" s="803">
        <v>122.9</v>
      </c>
    </row>
    <row r="7960" spans="1:4" ht="25.5">
      <c r="A7960" s="801">
        <v>948</v>
      </c>
      <c r="B7960" s="802" t="s">
        <v>9092</v>
      </c>
      <c r="C7960" s="801" t="s">
        <v>660</v>
      </c>
      <c r="D7960" s="803">
        <v>64</v>
      </c>
    </row>
    <row r="7961" spans="1:4" ht="25.5">
      <c r="A7961" s="801">
        <v>947</v>
      </c>
      <c r="B7961" s="802" t="s">
        <v>9093</v>
      </c>
      <c r="C7961" s="801" t="s">
        <v>660</v>
      </c>
      <c r="D7961" s="803">
        <v>65.099999999999994</v>
      </c>
    </row>
    <row r="7962" spans="1:4" ht="25.5">
      <c r="A7962" s="801">
        <v>911</v>
      </c>
      <c r="B7962" s="802" t="s">
        <v>9094</v>
      </c>
      <c r="C7962" s="801" t="s">
        <v>660</v>
      </c>
      <c r="D7962" s="803">
        <v>94.67</v>
      </c>
    </row>
    <row r="7963" spans="1:4" ht="25.5">
      <c r="A7963" s="801">
        <v>925</v>
      </c>
      <c r="B7963" s="802" t="s">
        <v>9095</v>
      </c>
      <c r="C7963" s="801" t="s">
        <v>660</v>
      </c>
      <c r="D7963" s="803">
        <v>87.51</v>
      </c>
    </row>
    <row r="7964" spans="1:4" ht="25.5">
      <c r="A7964" s="801">
        <v>954</v>
      </c>
      <c r="B7964" s="802" t="s">
        <v>9096</v>
      </c>
      <c r="C7964" s="801" t="s">
        <v>660</v>
      </c>
      <c r="D7964" s="803">
        <v>96.67</v>
      </c>
    </row>
    <row r="7965" spans="1:4" ht="25.5">
      <c r="A7965" s="801">
        <v>901</v>
      </c>
      <c r="B7965" s="802" t="s">
        <v>9097</v>
      </c>
      <c r="C7965" s="801" t="s">
        <v>660</v>
      </c>
      <c r="D7965" s="803">
        <v>103.46</v>
      </c>
    </row>
    <row r="7966" spans="1:4" ht="25.5">
      <c r="A7966" s="801">
        <v>926</v>
      </c>
      <c r="B7966" s="802" t="s">
        <v>9098</v>
      </c>
      <c r="C7966" s="801" t="s">
        <v>660</v>
      </c>
      <c r="D7966" s="803">
        <v>109.34</v>
      </c>
    </row>
    <row r="7967" spans="1:4" ht="25.5">
      <c r="A7967" s="801">
        <v>912</v>
      </c>
      <c r="B7967" s="802" t="s">
        <v>9099</v>
      </c>
      <c r="C7967" s="801" t="s">
        <v>660</v>
      </c>
      <c r="D7967" s="803">
        <v>110.01</v>
      </c>
    </row>
    <row r="7968" spans="1:4" ht="25.5">
      <c r="A7968" s="801">
        <v>955</v>
      </c>
      <c r="B7968" s="802" t="s">
        <v>9100</v>
      </c>
      <c r="C7968" s="801" t="s">
        <v>660</v>
      </c>
      <c r="D7968" s="803">
        <v>131.31</v>
      </c>
    </row>
    <row r="7969" spans="1:4" ht="25.5">
      <c r="A7969" s="801">
        <v>946</v>
      </c>
      <c r="B7969" s="802" t="s">
        <v>9101</v>
      </c>
      <c r="C7969" s="801" t="s">
        <v>660</v>
      </c>
      <c r="D7969" s="803">
        <v>147.63</v>
      </c>
    </row>
    <row r="7970" spans="1:4" ht="25.5">
      <c r="A7970" s="801">
        <v>953</v>
      </c>
      <c r="B7970" s="802" t="s">
        <v>9102</v>
      </c>
      <c r="C7970" s="801" t="s">
        <v>660</v>
      </c>
      <c r="D7970" s="803">
        <v>134.34</v>
      </c>
    </row>
    <row r="7971" spans="1:4" ht="25.5">
      <c r="A7971" s="801">
        <v>902</v>
      </c>
      <c r="B7971" s="802" t="s">
        <v>9103</v>
      </c>
      <c r="C7971" s="801" t="s">
        <v>660</v>
      </c>
      <c r="D7971" s="803">
        <v>163.31</v>
      </c>
    </row>
    <row r="7972" spans="1:4" ht="25.5">
      <c r="A7972" s="801">
        <v>927</v>
      </c>
      <c r="B7972" s="802" t="s">
        <v>9104</v>
      </c>
      <c r="C7972" s="801" t="s">
        <v>660</v>
      </c>
      <c r="D7972" s="803">
        <v>158.30000000000001</v>
      </c>
    </row>
    <row r="7973" spans="1:4" ht="25.5">
      <c r="A7973" s="801">
        <v>913</v>
      </c>
      <c r="B7973" s="802" t="s">
        <v>9105</v>
      </c>
      <c r="C7973" s="801" t="s">
        <v>660</v>
      </c>
      <c r="D7973" s="803">
        <v>176.68</v>
      </c>
    </row>
    <row r="7974" spans="1:4" ht="25.5">
      <c r="A7974" s="801">
        <v>903</v>
      </c>
      <c r="B7974" s="802" t="s">
        <v>9106</v>
      </c>
      <c r="C7974" s="801" t="s">
        <v>660</v>
      </c>
      <c r="D7974" s="803">
        <v>199.95</v>
      </c>
    </row>
    <row r="7975" spans="1:4" ht="25.5">
      <c r="A7975" s="801">
        <v>945</v>
      </c>
      <c r="B7975" s="802" t="s">
        <v>9107</v>
      </c>
      <c r="C7975" s="801" t="s">
        <v>660</v>
      </c>
      <c r="D7975" s="803">
        <v>211.52</v>
      </c>
    </row>
    <row r="7976" spans="1:4" ht="25.5">
      <c r="A7976" s="801">
        <v>914</v>
      </c>
      <c r="B7976" s="802" t="s">
        <v>9108</v>
      </c>
      <c r="C7976" s="801" t="s">
        <v>660</v>
      </c>
      <c r="D7976" s="803">
        <v>216.69</v>
      </c>
    </row>
    <row r="7977" spans="1:4" ht="38.25">
      <c r="A7977" s="801">
        <v>993</v>
      </c>
      <c r="B7977" s="802" t="s">
        <v>9109</v>
      </c>
      <c r="C7977" s="801" t="s">
        <v>660</v>
      </c>
      <c r="D7977" s="803">
        <v>2.65</v>
      </c>
    </row>
    <row r="7978" spans="1:4" ht="38.25">
      <c r="A7978" s="801">
        <v>1020</v>
      </c>
      <c r="B7978" s="802" t="s">
        <v>9110</v>
      </c>
      <c r="C7978" s="801" t="s">
        <v>660</v>
      </c>
      <c r="D7978" s="803">
        <v>11.52</v>
      </c>
    </row>
    <row r="7979" spans="1:4" ht="38.25">
      <c r="A7979" s="801">
        <v>1017</v>
      </c>
      <c r="B7979" s="802" t="s">
        <v>9111</v>
      </c>
      <c r="C7979" s="801" t="s">
        <v>660</v>
      </c>
      <c r="D7979" s="803">
        <v>126.62</v>
      </c>
    </row>
    <row r="7980" spans="1:4" ht="38.25">
      <c r="A7980" s="801">
        <v>999</v>
      </c>
      <c r="B7980" s="802" t="s">
        <v>9112</v>
      </c>
      <c r="C7980" s="801" t="s">
        <v>660</v>
      </c>
      <c r="D7980" s="803">
        <v>156.88</v>
      </c>
    </row>
    <row r="7981" spans="1:4" ht="38.25">
      <c r="A7981" s="801">
        <v>995</v>
      </c>
      <c r="B7981" s="802" t="s">
        <v>4603</v>
      </c>
      <c r="C7981" s="801" t="s">
        <v>660</v>
      </c>
      <c r="D7981" s="803">
        <v>17.670000000000002</v>
      </c>
    </row>
    <row r="7982" spans="1:4" ht="38.25">
      <c r="A7982" s="801">
        <v>1000</v>
      </c>
      <c r="B7982" s="802" t="s">
        <v>9113</v>
      </c>
      <c r="C7982" s="801" t="s">
        <v>660</v>
      </c>
      <c r="D7982" s="803">
        <v>192.32</v>
      </c>
    </row>
    <row r="7983" spans="1:4" ht="38.25">
      <c r="A7983" s="801">
        <v>1022</v>
      </c>
      <c r="B7983" s="802" t="s">
        <v>9114</v>
      </c>
      <c r="C7983" s="801" t="s">
        <v>660</v>
      </c>
      <c r="D7983" s="803">
        <v>3.67</v>
      </c>
    </row>
    <row r="7984" spans="1:4" ht="38.25">
      <c r="A7984" s="801">
        <v>1015</v>
      </c>
      <c r="B7984" s="802" t="s">
        <v>9115</v>
      </c>
      <c r="C7984" s="801" t="s">
        <v>660</v>
      </c>
      <c r="D7984" s="803">
        <v>253.24</v>
      </c>
    </row>
    <row r="7985" spans="1:4" ht="38.25">
      <c r="A7985" s="801">
        <v>996</v>
      </c>
      <c r="B7985" s="802" t="s">
        <v>4604</v>
      </c>
      <c r="C7985" s="801" t="s">
        <v>660</v>
      </c>
      <c r="D7985" s="803">
        <v>26.9</v>
      </c>
    </row>
    <row r="7986" spans="1:4" ht="38.25">
      <c r="A7986" s="801">
        <v>1001</v>
      </c>
      <c r="B7986" s="802" t="s">
        <v>9116</v>
      </c>
      <c r="C7986" s="801" t="s">
        <v>660</v>
      </c>
      <c r="D7986" s="803">
        <v>316.92</v>
      </c>
    </row>
    <row r="7987" spans="1:4" ht="38.25">
      <c r="A7987" s="801">
        <v>1019</v>
      </c>
      <c r="B7987" s="802" t="s">
        <v>4605</v>
      </c>
      <c r="C7987" s="801" t="s">
        <v>660</v>
      </c>
      <c r="D7987" s="803">
        <v>37.090000000000003</v>
      </c>
    </row>
    <row r="7988" spans="1:4" ht="38.25">
      <c r="A7988" s="801">
        <v>1021</v>
      </c>
      <c r="B7988" s="802" t="s">
        <v>9117</v>
      </c>
      <c r="C7988" s="801" t="s">
        <v>660</v>
      </c>
      <c r="D7988" s="803">
        <v>5.26</v>
      </c>
    </row>
    <row r="7989" spans="1:4" ht="38.25">
      <c r="A7989" s="801">
        <v>39249</v>
      </c>
      <c r="B7989" s="802" t="s">
        <v>9118</v>
      </c>
      <c r="C7989" s="801" t="s">
        <v>660</v>
      </c>
      <c r="D7989" s="803">
        <v>413.42</v>
      </c>
    </row>
    <row r="7990" spans="1:4" ht="38.25">
      <c r="A7990" s="801">
        <v>1018</v>
      </c>
      <c r="B7990" s="802" t="s">
        <v>4606</v>
      </c>
      <c r="C7990" s="801" t="s">
        <v>660</v>
      </c>
      <c r="D7990" s="803">
        <v>52.86</v>
      </c>
    </row>
    <row r="7991" spans="1:4" ht="38.25">
      <c r="A7991" s="801">
        <v>39250</v>
      </c>
      <c r="B7991" s="802" t="s">
        <v>9119</v>
      </c>
      <c r="C7991" s="801" t="s">
        <v>660</v>
      </c>
      <c r="D7991" s="803">
        <v>531.07000000000005</v>
      </c>
    </row>
    <row r="7992" spans="1:4" ht="38.25">
      <c r="A7992" s="801">
        <v>994</v>
      </c>
      <c r="B7992" s="802" t="s">
        <v>9120</v>
      </c>
      <c r="C7992" s="801" t="s">
        <v>660</v>
      </c>
      <c r="D7992" s="803">
        <v>7.19</v>
      </c>
    </row>
    <row r="7993" spans="1:4" ht="38.25">
      <c r="A7993" s="801">
        <v>977</v>
      </c>
      <c r="B7993" s="802" t="s">
        <v>9121</v>
      </c>
      <c r="C7993" s="801" t="s">
        <v>660</v>
      </c>
      <c r="D7993" s="803">
        <v>73.22</v>
      </c>
    </row>
    <row r="7994" spans="1:4" ht="38.25">
      <c r="A7994" s="801">
        <v>998</v>
      </c>
      <c r="B7994" s="802" t="s">
        <v>9122</v>
      </c>
      <c r="C7994" s="801" t="s">
        <v>660</v>
      </c>
      <c r="D7994" s="803">
        <v>97.27</v>
      </c>
    </row>
    <row r="7995" spans="1:4" ht="38.25">
      <c r="A7995" s="801">
        <v>39251</v>
      </c>
      <c r="B7995" s="802" t="s">
        <v>9123</v>
      </c>
      <c r="C7995" s="801" t="s">
        <v>660</v>
      </c>
      <c r="D7995" s="803">
        <v>0.7</v>
      </c>
    </row>
    <row r="7996" spans="1:4" ht="38.25">
      <c r="A7996" s="801">
        <v>1011</v>
      </c>
      <c r="B7996" s="802" t="s">
        <v>9124</v>
      </c>
      <c r="C7996" s="801" t="s">
        <v>660</v>
      </c>
      <c r="D7996" s="803">
        <v>0.98</v>
      </c>
    </row>
    <row r="7997" spans="1:4" ht="38.25">
      <c r="A7997" s="801">
        <v>39252</v>
      </c>
      <c r="B7997" s="802" t="s">
        <v>9125</v>
      </c>
      <c r="C7997" s="801" t="s">
        <v>660</v>
      </c>
      <c r="D7997" s="803">
        <v>1.17</v>
      </c>
    </row>
    <row r="7998" spans="1:4" ht="38.25">
      <c r="A7998" s="801">
        <v>1013</v>
      </c>
      <c r="B7998" s="802" t="s">
        <v>9126</v>
      </c>
      <c r="C7998" s="801" t="s">
        <v>660</v>
      </c>
      <c r="D7998" s="803">
        <v>1.55</v>
      </c>
    </row>
    <row r="7999" spans="1:4" ht="38.25">
      <c r="A7999" s="801">
        <v>980</v>
      </c>
      <c r="B7999" s="802" t="s">
        <v>9127</v>
      </c>
      <c r="C7999" s="801" t="s">
        <v>660</v>
      </c>
      <c r="D7999" s="803">
        <v>10.57</v>
      </c>
    </row>
    <row r="8000" spans="1:4" ht="38.25">
      <c r="A8000" s="801">
        <v>39237</v>
      </c>
      <c r="B8000" s="802" t="s">
        <v>9128</v>
      </c>
      <c r="C8000" s="801" t="s">
        <v>660</v>
      </c>
      <c r="D8000" s="803">
        <v>125.29</v>
      </c>
    </row>
    <row r="8001" spans="1:4" ht="38.25">
      <c r="A8001" s="801">
        <v>39238</v>
      </c>
      <c r="B8001" s="802" t="s">
        <v>9129</v>
      </c>
      <c r="C8001" s="801" t="s">
        <v>660</v>
      </c>
      <c r="D8001" s="803">
        <v>156.43</v>
      </c>
    </row>
    <row r="8002" spans="1:4" ht="38.25">
      <c r="A8002" s="801">
        <v>979</v>
      </c>
      <c r="B8002" s="802" t="s">
        <v>9130</v>
      </c>
      <c r="C8002" s="801" t="s">
        <v>660</v>
      </c>
      <c r="D8002" s="803">
        <v>16.28</v>
      </c>
    </row>
    <row r="8003" spans="1:4" ht="38.25">
      <c r="A8003" s="801">
        <v>39239</v>
      </c>
      <c r="B8003" s="802" t="s">
        <v>9131</v>
      </c>
      <c r="C8003" s="801" t="s">
        <v>660</v>
      </c>
      <c r="D8003" s="803">
        <v>190.37</v>
      </c>
    </row>
    <row r="8004" spans="1:4" ht="38.25">
      <c r="A8004" s="801">
        <v>1014</v>
      </c>
      <c r="B8004" s="802" t="s">
        <v>4607</v>
      </c>
      <c r="C8004" s="801" t="s">
        <v>660</v>
      </c>
      <c r="D8004" s="803">
        <v>2.4700000000000002</v>
      </c>
    </row>
    <row r="8005" spans="1:4" ht="38.25">
      <c r="A8005" s="801">
        <v>39240</v>
      </c>
      <c r="B8005" s="802" t="s">
        <v>9132</v>
      </c>
      <c r="C8005" s="801" t="s">
        <v>660</v>
      </c>
      <c r="D8005" s="803">
        <v>251.61</v>
      </c>
    </row>
    <row r="8006" spans="1:4" ht="38.25">
      <c r="A8006" s="801">
        <v>39232</v>
      </c>
      <c r="B8006" s="802" t="s">
        <v>9133</v>
      </c>
      <c r="C8006" s="801" t="s">
        <v>660</v>
      </c>
      <c r="D8006" s="803">
        <v>26.13</v>
      </c>
    </row>
    <row r="8007" spans="1:4" ht="38.25">
      <c r="A8007" s="801">
        <v>39233</v>
      </c>
      <c r="B8007" s="802" t="s">
        <v>9134</v>
      </c>
      <c r="C8007" s="801" t="s">
        <v>660</v>
      </c>
      <c r="D8007" s="803">
        <v>35.92</v>
      </c>
    </row>
    <row r="8008" spans="1:4" ht="38.25">
      <c r="A8008" s="801">
        <v>981</v>
      </c>
      <c r="B8008" s="802" t="s">
        <v>4608</v>
      </c>
      <c r="C8008" s="801" t="s">
        <v>660</v>
      </c>
      <c r="D8008" s="803">
        <v>4.42</v>
      </c>
    </row>
    <row r="8009" spans="1:4" ht="38.25">
      <c r="A8009" s="801">
        <v>39234</v>
      </c>
      <c r="B8009" s="802" t="s">
        <v>9135</v>
      </c>
      <c r="C8009" s="801" t="s">
        <v>660</v>
      </c>
      <c r="D8009" s="803">
        <v>52.72</v>
      </c>
    </row>
    <row r="8010" spans="1:4" ht="38.25">
      <c r="A8010" s="801">
        <v>982</v>
      </c>
      <c r="B8010" s="802" t="s">
        <v>9136</v>
      </c>
      <c r="C8010" s="801" t="s">
        <v>660</v>
      </c>
      <c r="D8010" s="803">
        <v>6.18</v>
      </c>
    </row>
    <row r="8011" spans="1:4" ht="38.25">
      <c r="A8011" s="801">
        <v>39235</v>
      </c>
      <c r="B8011" s="802" t="s">
        <v>9137</v>
      </c>
      <c r="C8011" s="801" t="s">
        <v>660</v>
      </c>
      <c r="D8011" s="803">
        <v>74.14</v>
      </c>
    </row>
    <row r="8012" spans="1:4" ht="38.25">
      <c r="A8012" s="801">
        <v>39236</v>
      </c>
      <c r="B8012" s="802" t="s">
        <v>9138</v>
      </c>
      <c r="C8012" s="801" t="s">
        <v>660</v>
      </c>
      <c r="D8012" s="803">
        <v>97.2</v>
      </c>
    </row>
    <row r="8013" spans="1:4" ht="38.25">
      <c r="A8013" s="801">
        <v>876</v>
      </c>
      <c r="B8013" s="802" t="s">
        <v>9139</v>
      </c>
      <c r="C8013" s="801" t="s">
        <v>660</v>
      </c>
      <c r="D8013" s="803">
        <v>250.91</v>
      </c>
    </row>
    <row r="8014" spans="1:4" ht="38.25">
      <c r="A8014" s="801">
        <v>877</v>
      </c>
      <c r="B8014" s="802" t="s">
        <v>9140</v>
      </c>
      <c r="C8014" s="801" t="s">
        <v>660</v>
      </c>
      <c r="D8014" s="803">
        <v>294.95999999999998</v>
      </c>
    </row>
    <row r="8015" spans="1:4" ht="38.25">
      <c r="A8015" s="801">
        <v>882</v>
      </c>
      <c r="B8015" s="802" t="s">
        <v>9141</v>
      </c>
      <c r="C8015" s="801" t="s">
        <v>660</v>
      </c>
      <c r="D8015" s="803">
        <v>321.41000000000003</v>
      </c>
    </row>
    <row r="8016" spans="1:4" ht="38.25">
      <c r="A8016" s="801">
        <v>878</v>
      </c>
      <c r="B8016" s="802" t="s">
        <v>9142</v>
      </c>
      <c r="C8016" s="801" t="s">
        <v>660</v>
      </c>
      <c r="D8016" s="803">
        <v>399.59</v>
      </c>
    </row>
    <row r="8017" spans="1:4" ht="38.25">
      <c r="A8017" s="801">
        <v>879</v>
      </c>
      <c r="B8017" s="802" t="s">
        <v>9143</v>
      </c>
      <c r="C8017" s="801" t="s">
        <v>660</v>
      </c>
      <c r="D8017" s="803">
        <v>470.98</v>
      </c>
    </row>
    <row r="8018" spans="1:4" ht="38.25">
      <c r="A8018" s="801">
        <v>880</v>
      </c>
      <c r="B8018" s="802" t="s">
        <v>9144</v>
      </c>
      <c r="C8018" s="801" t="s">
        <v>660</v>
      </c>
      <c r="D8018" s="803">
        <v>554.16999999999996</v>
      </c>
    </row>
    <row r="8019" spans="1:4" ht="38.25">
      <c r="A8019" s="801">
        <v>873</v>
      </c>
      <c r="B8019" s="802" t="s">
        <v>9145</v>
      </c>
      <c r="C8019" s="801" t="s">
        <v>660</v>
      </c>
      <c r="D8019" s="803">
        <v>168.5</v>
      </c>
    </row>
    <row r="8020" spans="1:4" ht="38.25">
      <c r="A8020" s="801">
        <v>881</v>
      </c>
      <c r="B8020" s="802" t="s">
        <v>9146</v>
      </c>
      <c r="C8020" s="801" t="s">
        <v>660</v>
      </c>
      <c r="D8020" s="803">
        <v>757.45</v>
      </c>
    </row>
    <row r="8021" spans="1:4" ht="38.25">
      <c r="A8021" s="801">
        <v>874</v>
      </c>
      <c r="B8021" s="802" t="s">
        <v>9147</v>
      </c>
      <c r="C8021" s="801" t="s">
        <v>660</v>
      </c>
      <c r="D8021" s="803">
        <v>199.97</v>
      </c>
    </row>
    <row r="8022" spans="1:4" ht="38.25">
      <c r="A8022" s="801">
        <v>875</v>
      </c>
      <c r="B8022" s="802" t="s">
        <v>9148</v>
      </c>
      <c r="C8022" s="801" t="s">
        <v>660</v>
      </c>
      <c r="D8022" s="803">
        <v>238.58</v>
      </c>
    </row>
    <row r="8023" spans="1:4" ht="38.25">
      <c r="A8023" s="801">
        <v>983</v>
      </c>
      <c r="B8023" s="802" t="s">
        <v>9149</v>
      </c>
      <c r="C8023" s="801" t="s">
        <v>660</v>
      </c>
      <c r="D8023" s="803">
        <v>1.49</v>
      </c>
    </row>
    <row r="8024" spans="1:4" ht="38.25">
      <c r="A8024" s="801">
        <v>985</v>
      </c>
      <c r="B8024" s="802" t="s">
        <v>9150</v>
      </c>
      <c r="C8024" s="801" t="s">
        <v>660</v>
      </c>
      <c r="D8024" s="803">
        <v>11.2</v>
      </c>
    </row>
    <row r="8025" spans="1:4" ht="38.25">
      <c r="A8025" s="801">
        <v>990</v>
      </c>
      <c r="B8025" s="802" t="s">
        <v>9151</v>
      </c>
      <c r="C8025" s="801" t="s">
        <v>660</v>
      </c>
      <c r="D8025" s="803">
        <v>153.37</v>
      </c>
    </row>
    <row r="8026" spans="1:4" ht="38.25">
      <c r="A8026" s="801">
        <v>39241</v>
      </c>
      <c r="B8026" s="802" t="s">
        <v>9152</v>
      </c>
      <c r="C8026" s="801" t="s">
        <v>660</v>
      </c>
      <c r="D8026" s="803">
        <v>17.53</v>
      </c>
    </row>
    <row r="8027" spans="1:4" ht="38.25">
      <c r="A8027" s="801">
        <v>1005</v>
      </c>
      <c r="B8027" s="802" t="s">
        <v>9153</v>
      </c>
      <c r="C8027" s="801" t="s">
        <v>660</v>
      </c>
      <c r="D8027" s="803">
        <v>188.25</v>
      </c>
    </row>
    <row r="8028" spans="1:4" ht="38.25">
      <c r="A8028" s="801">
        <v>984</v>
      </c>
      <c r="B8028" s="802" t="s">
        <v>9154</v>
      </c>
      <c r="C8028" s="801" t="s">
        <v>660</v>
      </c>
      <c r="D8028" s="803">
        <v>3.87</v>
      </c>
    </row>
    <row r="8029" spans="1:4" ht="38.25">
      <c r="A8029" s="801">
        <v>991</v>
      </c>
      <c r="B8029" s="802" t="s">
        <v>9155</v>
      </c>
      <c r="C8029" s="801" t="s">
        <v>660</v>
      </c>
      <c r="D8029" s="803">
        <v>248.75</v>
      </c>
    </row>
    <row r="8030" spans="1:4" ht="38.25">
      <c r="A8030" s="801">
        <v>986</v>
      </c>
      <c r="B8030" s="802" t="s">
        <v>9156</v>
      </c>
      <c r="C8030" s="801" t="s">
        <v>660</v>
      </c>
      <c r="D8030" s="803">
        <v>26.8</v>
      </c>
    </row>
    <row r="8031" spans="1:4" ht="38.25">
      <c r="A8031" s="801">
        <v>1024</v>
      </c>
      <c r="B8031" s="802" t="s">
        <v>9157</v>
      </c>
      <c r="C8031" s="801" t="s">
        <v>660</v>
      </c>
      <c r="D8031" s="803">
        <v>307.87</v>
      </c>
    </row>
    <row r="8032" spans="1:4" ht="38.25">
      <c r="A8032" s="801">
        <v>987</v>
      </c>
      <c r="B8032" s="802" t="s">
        <v>9158</v>
      </c>
      <c r="C8032" s="801" t="s">
        <v>660</v>
      </c>
      <c r="D8032" s="803">
        <v>36.42</v>
      </c>
    </row>
    <row r="8033" spans="1:4" ht="38.25">
      <c r="A8033" s="801">
        <v>1003</v>
      </c>
      <c r="B8033" s="802" t="s">
        <v>9159</v>
      </c>
      <c r="C8033" s="801" t="s">
        <v>660</v>
      </c>
      <c r="D8033" s="803">
        <v>5.67</v>
      </c>
    </row>
    <row r="8034" spans="1:4" ht="38.25">
      <c r="A8034" s="801">
        <v>992</v>
      </c>
      <c r="B8034" s="802" t="s">
        <v>9160</v>
      </c>
      <c r="C8034" s="801" t="s">
        <v>660</v>
      </c>
      <c r="D8034" s="803">
        <v>398.32</v>
      </c>
    </row>
    <row r="8035" spans="1:4" ht="38.25">
      <c r="A8035" s="801">
        <v>1007</v>
      </c>
      <c r="B8035" s="802" t="s">
        <v>9161</v>
      </c>
      <c r="C8035" s="801" t="s">
        <v>660</v>
      </c>
      <c r="D8035" s="803">
        <v>51.66</v>
      </c>
    </row>
    <row r="8036" spans="1:4" ht="38.25">
      <c r="A8036" s="801">
        <v>39242</v>
      </c>
      <c r="B8036" s="802" t="s">
        <v>9162</v>
      </c>
      <c r="C8036" s="801" t="s">
        <v>660</v>
      </c>
      <c r="D8036" s="803">
        <v>493.52</v>
      </c>
    </row>
    <row r="8037" spans="1:4" ht="38.25">
      <c r="A8037" s="801">
        <v>1008</v>
      </c>
      <c r="B8037" s="802" t="s">
        <v>9163</v>
      </c>
      <c r="C8037" s="801" t="s">
        <v>660</v>
      </c>
      <c r="D8037" s="803">
        <v>6.43</v>
      </c>
    </row>
    <row r="8038" spans="1:4" ht="38.25">
      <c r="A8038" s="801">
        <v>988</v>
      </c>
      <c r="B8038" s="802" t="s">
        <v>9164</v>
      </c>
      <c r="C8038" s="801" t="s">
        <v>660</v>
      </c>
      <c r="D8038" s="803">
        <v>71.349999999999994</v>
      </c>
    </row>
    <row r="8039" spans="1:4" ht="38.25">
      <c r="A8039" s="801">
        <v>989</v>
      </c>
      <c r="B8039" s="802" t="s">
        <v>9165</v>
      </c>
      <c r="C8039" s="801" t="s">
        <v>660</v>
      </c>
      <c r="D8039" s="803">
        <v>96.65</v>
      </c>
    </row>
    <row r="8040" spans="1:4">
      <c r="A8040" s="801">
        <v>39598</v>
      </c>
      <c r="B8040" s="802" t="s">
        <v>9166</v>
      </c>
      <c r="C8040" s="801" t="s">
        <v>660</v>
      </c>
      <c r="D8040" s="803">
        <v>1.68</v>
      </c>
    </row>
    <row r="8041" spans="1:4">
      <c r="A8041" s="801">
        <v>39599</v>
      </c>
      <c r="B8041" s="802" t="s">
        <v>9167</v>
      </c>
      <c r="C8041" s="801" t="s">
        <v>660</v>
      </c>
      <c r="D8041" s="803">
        <v>2.5299999999999998</v>
      </c>
    </row>
    <row r="8042" spans="1:4">
      <c r="A8042" s="801">
        <v>34602</v>
      </c>
      <c r="B8042" s="802" t="s">
        <v>9168</v>
      </c>
      <c r="C8042" s="801" t="s">
        <v>660</v>
      </c>
      <c r="D8042" s="803">
        <v>6.03</v>
      </c>
    </row>
    <row r="8043" spans="1:4">
      <c r="A8043" s="801">
        <v>34603</v>
      </c>
      <c r="B8043" s="802" t="s">
        <v>9169</v>
      </c>
      <c r="C8043" s="801" t="s">
        <v>660</v>
      </c>
      <c r="D8043" s="803">
        <v>29</v>
      </c>
    </row>
    <row r="8044" spans="1:4">
      <c r="A8044" s="801">
        <v>34607</v>
      </c>
      <c r="B8044" s="802" t="s">
        <v>9170</v>
      </c>
      <c r="C8044" s="801" t="s">
        <v>660</v>
      </c>
      <c r="D8044" s="803">
        <v>12.93</v>
      </c>
    </row>
    <row r="8045" spans="1:4">
      <c r="A8045" s="801">
        <v>34609</v>
      </c>
      <c r="B8045" s="802" t="s">
        <v>9171</v>
      </c>
      <c r="C8045" s="801" t="s">
        <v>660</v>
      </c>
      <c r="D8045" s="803">
        <v>19.399999999999999</v>
      </c>
    </row>
    <row r="8046" spans="1:4">
      <c r="A8046" s="801">
        <v>34618</v>
      </c>
      <c r="B8046" s="802" t="s">
        <v>9172</v>
      </c>
      <c r="C8046" s="801" t="s">
        <v>660</v>
      </c>
      <c r="D8046" s="803">
        <v>8</v>
      </c>
    </row>
    <row r="8047" spans="1:4">
      <c r="A8047" s="801">
        <v>34620</v>
      </c>
      <c r="B8047" s="802" t="s">
        <v>9173</v>
      </c>
      <c r="C8047" s="801" t="s">
        <v>660</v>
      </c>
      <c r="D8047" s="803">
        <v>40.020000000000003</v>
      </c>
    </row>
    <row r="8048" spans="1:4">
      <c r="A8048" s="801">
        <v>34621</v>
      </c>
      <c r="B8048" s="802" t="s">
        <v>9174</v>
      </c>
      <c r="C8048" s="801" t="s">
        <v>660</v>
      </c>
      <c r="D8048" s="803">
        <v>18.559999999999999</v>
      </c>
    </row>
    <row r="8049" spans="1:4">
      <c r="A8049" s="801">
        <v>34622</v>
      </c>
      <c r="B8049" s="802" t="s">
        <v>9175</v>
      </c>
      <c r="C8049" s="801" t="s">
        <v>660</v>
      </c>
      <c r="D8049" s="803">
        <v>26.3</v>
      </c>
    </row>
    <row r="8050" spans="1:4">
      <c r="A8050" s="801">
        <v>34624</v>
      </c>
      <c r="B8050" s="802" t="s">
        <v>9176</v>
      </c>
      <c r="C8050" s="801" t="s">
        <v>660</v>
      </c>
      <c r="D8050" s="803">
        <v>10.210000000000001</v>
      </c>
    </row>
    <row r="8051" spans="1:4">
      <c r="A8051" s="801">
        <v>34626</v>
      </c>
      <c r="B8051" s="802" t="s">
        <v>9177</v>
      </c>
      <c r="C8051" s="801" t="s">
        <v>660</v>
      </c>
      <c r="D8051" s="803">
        <v>55</v>
      </c>
    </row>
    <row r="8052" spans="1:4">
      <c r="A8052" s="801">
        <v>34627</v>
      </c>
      <c r="B8052" s="802" t="s">
        <v>9178</v>
      </c>
      <c r="C8052" s="801" t="s">
        <v>660</v>
      </c>
      <c r="D8052" s="803">
        <v>23.7</v>
      </c>
    </row>
    <row r="8053" spans="1:4">
      <c r="A8053" s="801">
        <v>34629</v>
      </c>
      <c r="B8053" s="802" t="s">
        <v>9179</v>
      </c>
      <c r="C8053" s="801" t="s">
        <v>660</v>
      </c>
      <c r="D8053" s="803">
        <v>34.700000000000003</v>
      </c>
    </row>
    <row r="8054" spans="1:4" ht="38.25">
      <c r="A8054" s="801">
        <v>39257</v>
      </c>
      <c r="B8054" s="802" t="s">
        <v>9180</v>
      </c>
      <c r="C8054" s="801" t="s">
        <v>660</v>
      </c>
      <c r="D8054" s="803">
        <v>6.75</v>
      </c>
    </row>
    <row r="8055" spans="1:4" ht="38.25">
      <c r="A8055" s="801">
        <v>39261</v>
      </c>
      <c r="B8055" s="802" t="s">
        <v>9181</v>
      </c>
      <c r="C8055" s="801" t="s">
        <v>660</v>
      </c>
      <c r="D8055" s="803">
        <v>35.96</v>
      </c>
    </row>
    <row r="8056" spans="1:4" ht="38.25">
      <c r="A8056" s="801">
        <v>39268</v>
      </c>
      <c r="B8056" s="802" t="s">
        <v>9182</v>
      </c>
      <c r="C8056" s="801" t="s">
        <v>660</v>
      </c>
      <c r="D8056" s="803">
        <v>414.83</v>
      </c>
    </row>
    <row r="8057" spans="1:4" ht="38.25">
      <c r="A8057" s="801">
        <v>39262</v>
      </c>
      <c r="B8057" s="802" t="s">
        <v>9183</v>
      </c>
      <c r="C8057" s="801" t="s">
        <v>660</v>
      </c>
      <c r="D8057" s="803">
        <v>56.22</v>
      </c>
    </row>
    <row r="8058" spans="1:4" ht="38.25">
      <c r="A8058" s="801">
        <v>39258</v>
      </c>
      <c r="B8058" s="802" t="s">
        <v>9184</v>
      </c>
      <c r="C8058" s="801" t="s">
        <v>660</v>
      </c>
      <c r="D8058" s="803">
        <v>10</v>
      </c>
    </row>
    <row r="8059" spans="1:4" ht="38.25">
      <c r="A8059" s="801">
        <v>39263</v>
      </c>
      <c r="B8059" s="802" t="s">
        <v>9185</v>
      </c>
      <c r="C8059" s="801" t="s">
        <v>660</v>
      </c>
      <c r="D8059" s="803">
        <v>86.98</v>
      </c>
    </row>
    <row r="8060" spans="1:4" ht="38.25">
      <c r="A8060" s="801">
        <v>39264</v>
      </c>
      <c r="B8060" s="802" t="s">
        <v>9186</v>
      </c>
      <c r="C8060" s="801" t="s">
        <v>660</v>
      </c>
      <c r="D8060" s="803">
        <v>117.78</v>
      </c>
    </row>
    <row r="8061" spans="1:4" ht="38.25">
      <c r="A8061" s="801">
        <v>39259</v>
      </c>
      <c r="B8061" s="802" t="s">
        <v>9187</v>
      </c>
      <c r="C8061" s="801" t="s">
        <v>660</v>
      </c>
      <c r="D8061" s="803">
        <v>15.23</v>
      </c>
    </row>
    <row r="8062" spans="1:4" ht="38.25">
      <c r="A8062" s="801">
        <v>39265</v>
      </c>
      <c r="B8062" s="802" t="s">
        <v>9188</v>
      </c>
      <c r="C8062" s="801" t="s">
        <v>660</v>
      </c>
      <c r="D8062" s="803">
        <v>173.5</v>
      </c>
    </row>
    <row r="8063" spans="1:4" ht="38.25">
      <c r="A8063" s="801">
        <v>39260</v>
      </c>
      <c r="B8063" s="802" t="s">
        <v>9189</v>
      </c>
      <c r="C8063" s="801" t="s">
        <v>660</v>
      </c>
      <c r="D8063" s="803">
        <v>21.69</v>
      </c>
    </row>
    <row r="8064" spans="1:4" ht="38.25">
      <c r="A8064" s="801">
        <v>39266</v>
      </c>
      <c r="B8064" s="802" t="s">
        <v>9190</v>
      </c>
      <c r="C8064" s="801" t="s">
        <v>660</v>
      </c>
      <c r="D8064" s="803">
        <v>243.44</v>
      </c>
    </row>
    <row r="8065" spans="1:4" ht="38.25">
      <c r="A8065" s="801">
        <v>39267</v>
      </c>
      <c r="B8065" s="802" t="s">
        <v>9191</v>
      </c>
      <c r="C8065" s="801" t="s">
        <v>660</v>
      </c>
      <c r="D8065" s="803">
        <v>319.11</v>
      </c>
    </row>
    <row r="8066" spans="1:4">
      <c r="A8066" s="801">
        <v>11901</v>
      </c>
      <c r="B8066" s="802" t="s">
        <v>9192</v>
      </c>
      <c r="C8066" s="801" t="s">
        <v>660</v>
      </c>
      <c r="D8066" s="803">
        <v>0.99</v>
      </c>
    </row>
    <row r="8067" spans="1:4" ht="25.5">
      <c r="A8067" s="801">
        <v>11902</v>
      </c>
      <c r="B8067" s="802" t="s">
        <v>9193</v>
      </c>
      <c r="C8067" s="801" t="s">
        <v>660</v>
      </c>
      <c r="D8067" s="803">
        <v>1.72</v>
      </c>
    </row>
    <row r="8068" spans="1:4" ht="25.5">
      <c r="A8068" s="801">
        <v>11903</v>
      </c>
      <c r="B8068" s="802" t="s">
        <v>9194</v>
      </c>
      <c r="C8068" s="801" t="s">
        <v>660</v>
      </c>
      <c r="D8068" s="803">
        <v>2.66</v>
      </c>
    </row>
    <row r="8069" spans="1:4" ht="25.5">
      <c r="A8069" s="801">
        <v>11904</v>
      </c>
      <c r="B8069" s="802" t="s">
        <v>9195</v>
      </c>
      <c r="C8069" s="801" t="s">
        <v>660</v>
      </c>
      <c r="D8069" s="803">
        <v>3.39</v>
      </c>
    </row>
    <row r="8070" spans="1:4" ht="25.5">
      <c r="A8070" s="801">
        <v>11905</v>
      </c>
      <c r="B8070" s="802" t="s">
        <v>9196</v>
      </c>
      <c r="C8070" s="801" t="s">
        <v>660</v>
      </c>
      <c r="D8070" s="803">
        <v>4.57</v>
      </c>
    </row>
    <row r="8071" spans="1:4" ht="25.5">
      <c r="A8071" s="801">
        <v>11906</v>
      </c>
      <c r="B8071" s="802" t="s">
        <v>9197</v>
      </c>
      <c r="C8071" s="801" t="s">
        <v>660</v>
      </c>
      <c r="D8071" s="803">
        <v>5.25</v>
      </c>
    </row>
    <row r="8072" spans="1:4">
      <c r="A8072" s="801">
        <v>11919</v>
      </c>
      <c r="B8072" s="802" t="s">
        <v>9198</v>
      </c>
      <c r="C8072" s="801" t="s">
        <v>660</v>
      </c>
      <c r="D8072" s="803">
        <v>10.31</v>
      </c>
    </row>
    <row r="8073" spans="1:4">
      <c r="A8073" s="801">
        <v>11920</v>
      </c>
      <c r="B8073" s="802" t="s">
        <v>9199</v>
      </c>
      <c r="C8073" s="801" t="s">
        <v>660</v>
      </c>
      <c r="D8073" s="803">
        <v>19.98</v>
      </c>
    </row>
    <row r="8074" spans="1:4">
      <c r="A8074" s="801">
        <v>11924</v>
      </c>
      <c r="B8074" s="802" t="s">
        <v>9200</v>
      </c>
      <c r="C8074" s="801" t="s">
        <v>660</v>
      </c>
      <c r="D8074" s="803">
        <v>194.28</v>
      </c>
    </row>
    <row r="8075" spans="1:4">
      <c r="A8075" s="801">
        <v>11921</v>
      </c>
      <c r="B8075" s="802" t="s">
        <v>9201</v>
      </c>
      <c r="C8075" s="801" t="s">
        <v>660</v>
      </c>
      <c r="D8075" s="803">
        <v>27.2</v>
      </c>
    </row>
    <row r="8076" spans="1:4">
      <c r="A8076" s="801">
        <v>11922</v>
      </c>
      <c r="B8076" s="802" t="s">
        <v>9202</v>
      </c>
      <c r="C8076" s="801" t="s">
        <v>660</v>
      </c>
      <c r="D8076" s="803">
        <v>48.29</v>
      </c>
    </row>
    <row r="8077" spans="1:4">
      <c r="A8077" s="801">
        <v>11923</v>
      </c>
      <c r="B8077" s="802" t="s">
        <v>9203</v>
      </c>
      <c r="C8077" s="801" t="s">
        <v>660</v>
      </c>
      <c r="D8077" s="803">
        <v>78.87</v>
      </c>
    </row>
    <row r="8078" spans="1:4">
      <c r="A8078" s="801">
        <v>11916</v>
      </c>
      <c r="B8078" s="802" t="s">
        <v>9204</v>
      </c>
      <c r="C8078" s="801" t="s">
        <v>660</v>
      </c>
      <c r="D8078" s="803">
        <v>13.38</v>
      </c>
    </row>
    <row r="8079" spans="1:4">
      <c r="A8079" s="801">
        <v>11914</v>
      </c>
      <c r="B8079" s="802" t="s">
        <v>9205</v>
      </c>
      <c r="C8079" s="801" t="s">
        <v>660</v>
      </c>
      <c r="D8079" s="803">
        <v>97.17</v>
      </c>
    </row>
    <row r="8080" spans="1:4">
      <c r="A8080" s="801">
        <v>11917</v>
      </c>
      <c r="B8080" s="802" t="s">
        <v>9206</v>
      </c>
      <c r="C8080" s="801" t="s">
        <v>660</v>
      </c>
      <c r="D8080" s="803">
        <v>23.29</v>
      </c>
    </row>
    <row r="8081" spans="1:4">
      <c r="A8081" s="801">
        <v>11918</v>
      </c>
      <c r="B8081" s="802" t="s">
        <v>9207</v>
      </c>
      <c r="C8081" s="801" t="s">
        <v>660</v>
      </c>
      <c r="D8081" s="803">
        <v>31.6</v>
      </c>
    </row>
    <row r="8082" spans="1:4" ht="25.5">
      <c r="A8082" s="801">
        <v>37734</v>
      </c>
      <c r="B8082" s="802" t="s">
        <v>9208</v>
      </c>
      <c r="C8082" s="801" t="s">
        <v>656</v>
      </c>
      <c r="D8082" s="803">
        <v>74596.399999999994</v>
      </c>
    </row>
    <row r="8083" spans="1:4" ht="25.5">
      <c r="A8083" s="801">
        <v>42251</v>
      </c>
      <c r="B8083" s="802" t="s">
        <v>9209</v>
      </c>
      <c r="C8083" s="801" t="s">
        <v>656</v>
      </c>
      <c r="D8083" s="803">
        <v>84708.77</v>
      </c>
    </row>
    <row r="8084" spans="1:4" ht="25.5">
      <c r="A8084" s="801">
        <v>37733</v>
      </c>
      <c r="B8084" s="802" t="s">
        <v>4609</v>
      </c>
      <c r="C8084" s="801" t="s">
        <v>656</v>
      </c>
      <c r="D8084" s="803">
        <v>55932.1</v>
      </c>
    </row>
    <row r="8085" spans="1:4" ht="25.5">
      <c r="A8085" s="801">
        <v>37735</v>
      </c>
      <c r="B8085" s="802" t="s">
        <v>9210</v>
      </c>
      <c r="C8085" s="801" t="s">
        <v>656</v>
      </c>
      <c r="D8085" s="803">
        <v>67398.19</v>
      </c>
    </row>
    <row r="8086" spans="1:4" ht="51">
      <c r="A8086" s="801">
        <v>5090</v>
      </c>
      <c r="B8086" s="802" t="s">
        <v>9211</v>
      </c>
      <c r="C8086" s="801" t="s">
        <v>656</v>
      </c>
      <c r="D8086" s="803">
        <v>21.49</v>
      </c>
    </row>
    <row r="8087" spans="1:4" ht="51">
      <c r="A8087" s="801">
        <v>5085</v>
      </c>
      <c r="B8087" s="802" t="s">
        <v>9212</v>
      </c>
      <c r="C8087" s="801" t="s">
        <v>656</v>
      </c>
      <c r="D8087" s="803">
        <v>31.99</v>
      </c>
    </row>
    <row r="8088" spans="1:4" ht="51">
      <c r="A8088" s="801">
        <v>43603</v>
      </c>
      <c r="B8088" s="802" t="s">
        <v>9213</v>
      </c>
      <c r="C8088" s="801" t="s">
        <v>656</v>
      </c>
      <c r="D8088" s="803">
        <v>45.7</v>
      </c>
    </row>
    <row r="8089" spans="1:4">
      <c r="A8089" s="801">
        <v>38374</v>
      </c>
      <c r="B8089" s="802" t="s">
        <v>9214</v>
      </c>
      <c r="C8089" s="801" t="s">
        <v>656</v>
      </c>
      <c r="D8089" s="803">
        <v>1443.9</v>
      </c>
    </row>
    <row r="8090" spans="1:4" ht="25.5">
      <c r="A8090" s="801">
        <v>20209</v>
      </c>
      <c r="B8090" s="802" t="s">
        <v>9215</v>
      </c>
      <c r="C8090" s="801" t="s">
        <v>660</v>
      </c>
      <c r="D8090" s="803">
        <v>21.22</v>
      </c>
    </row>
    <row r="8091" spans="1:4" ht="25.5">
      <c r="A8091" s="801">
        <v>20212</v>
      </c>
      <c r="B8091" s="802" t="s">
        <v>9216</v>
      </c>
      <c r="C8091" s="801" t="s">
        <v>660</v>
      </c>
      <c r="D8091" s="803">
        <v>17.77</v>
      </c>
    </row>
    <row r="8092" spans="1:4" ht="25.5">
      <c r="A8092" s="801">
        <v>4433</v>
      </c>
      <c r="B8092" s="802" t="s">
        <v>9217</v>
      </c>
      <c r="C8092" s="801" t="s">
        <v>660</v>
      </c>
      <c r="D8092" s="803">
        <v>20.329999999999998</v>
      </c>
    </row>
    <row r="8093" spans="1:4" ht="25.5">
      <c r="A8093" s="801">
        <v>4430</v>
      </c>
      <c r="B8093" s="802" t="s">
        <v>9218</v>
      </c>
      <c r="C8093" s="801" t="s">
        <v>660</v>
      </c>
      <c r="D8093" s="803">
        <v>10.4</v>
      </c>
    </row>
    <row r="8094" spans="1:4" ht="25.5">
      <c r="A8094" s="801">
        <v>4400</v>
      </c>
      <c r="B8094" s="802" t="s">
        <v>9219</v>
      </c>
      <c r="C8094" s="801" t="s">
        <v>660</v>
      </c>
      <c r="D8094" s="803">
        <v>16.55</v>
      </c>
    </row>
    <row r="8095" spans="1:4" ht="25.5">
      <c r="A8095" s="801">
        <v>2729</v>
      </c>
      <c r="B8095" s="802" t="s">
        <v>9220</v>
      </c>
      <c r="C8095" s="801" t="s">
        <v>656</v>
      </c>
      <c r="D8095" s="803">
        <v>30.03</v>
      </c>
    </row>
    <row r="8096" spans="1:4" ht="25.5">
      <c r="A8096" s="801">
        <v>4513</v>
      </c>
      <c r="B8096" s="802" t="s">
        <v>9221</v>
      </c>
      <c r="C8096" s="801" t="s">
        <v>660</v>
      </c>
      <c r="D8096" s="803">
        <v>6.32</v>
      </c>
    </row>
    <row r="8097" spans="1:4">
      <c r="A8097" s="801">
        <v>11871</v>
      </c>
      <c r="B8097" s="802" t="s">
        <v>9222</v>
      </c>
      <c r="C8097" s="801" t="s">
        <v>656</v>
      </c>
      <c r="D8097" s="803">
        <v>393</v>
      </c>
    </row>
    <row r="8098" spans="1:4">
      <c r="A8098" s="801">
        <v>34636</v>
      </c>
      <c r="B8098" s="802" t="s">
        <v>9223</v>
      </c>
      <c r="C8098" s="801" t="s">
        <v>656</v>
      </c>
      <c r="D8098" s="803">
        <v>432</v>
      </c>
    </row>
    <row r="8099" spans="1:4">
      <c r="A8099" s="801">
        <v>34639</v>
      </c>
      <c r="B8099" s="802" t="s">
        <v>9224</v>
      </c>
      <c r="C8099" s="801" t="s">
        <v>656</v>
      </c>
      <c r="D8099" s="803">
        <v>877.39</v>
      </c>
    </row>
    <row r="8100" spans="1:4">
      <c r="A8100" s="801">
        <v>34640</v>
      </c>
      <c r="B8100" s="802" t="s">
        <v>9225</v>
      </c>
      <c r="C8100" s="801" t="s">
        <v>656</v>
      </c>
      <c r="D8100" s="803">
        <v>985.53</v>
      </c>
    </row>
    <row r="8101" spans="1:4">
      <c r="A8101" s="801">
        <v>34637</v>
      </c>
      <c r="B8101" s="802" t="s">
        <v>9226</v>
      </c>
      <c r="C8101" s="801" t="s">
        <v>656</v>
      </c>
      <c r="D8101" s="803">
        <v>248.03</v>
      </c>
    </row>
    <row r="8102" spans="1:4">
      <c r="A8102" s="801">
        <v>34638</v>
      </c>
      <c r="B8102" s="802" t="s">
        <v>9227</v>
      </c>
      <c r="C8102" s="801" t="s">
        <v>656</v>
      </c>
      <c r="D8102" s="803">
        <v>425.34</v>
      </c>
    </row>
    <row r="8103" spans="1:4">
      <c r="A8103" s="801">
        <v>11868</v>
      </c>
      <c r="B8103" s="802" t="s">
        <v>9228</v>
      </c>
      <c r="C8103" s="801" t="s">
        <v>656</v>
      </c>
      <c r="D8103" s="803">
        <v>540.13</v>
      </c>
    </row>
    <row r="8104" spans="1:4">
      <c r="A8104" s="801">
        <v>37106</v>
      </c>
      <c r="B8104" s="802" t="s">
        <v>9229</v>
      </c>
      <c r="C8104" s="801" t="s">
        <v>656</v>
      </c>
      <c r="D8104" s="803">
        <v>5216.99</v>
      </c>
    </row>
    <row r="8105" spans="1:4">
      <c r="A8105" s="801">
        <v>11869</v>
      </c>
      <c r="B8105" s="802" t="s">
        <v>9230</v>
      </c>
      <c r="C8105" s="801" t="s">
        <v>656</v>
      </c>
      <c r="D8105" s="803">
        <v>876.34</v>
      </c>
    </row>
    <row r="8106" spans="1:4">
      <c r="A8106" s="801">
        <v>37104</v>
      </c>
      <c r="B8106" s="802" t="s">
        <v>9231</v>
      </c>
      <c r="C8106" s="801" t="s">
        <v>656</v>
      </c>
      <c r="D8106" s="803">
        <v>1129.6600000000001</v>
      </c>
    </row>
    <row r="8107" spans="1:4">
      <c r="A8107" s="801">
        <v>37105</v>
      </c>
      <c r="B8107" s="802" t="s">
        <v>9232</v>
      </c>
      <c r="C8107" s="801" t="s">
        <v>656</v>
      </c>
      <c r="D8107" s="803">
        <v>2515.9299999999998</v>
      </c>
    </row>
    <row r="8108" spans="1:4" ht="38.25">
      <c r="A8108" s="801">
        <v>34641</v>
      </c>
      <c r="B8108" s="802" t="s">
        <v>9233</v>
      </c>
      <c r="C8108" s="801" t="s">
        <v>656</v>
      </c>
      <c r="D8108" s="803">
        <v>91.4</v>
      </c>
    </row>
    <row r="8109" spans="1:4" ht="25.5">
      <c r="A8109" s="801">
        <v>43434</v>
      </c>
      <c r="B8109" s="802" t="s">
        <v>9234</v>
      </c>
      <c r="C8109" s="801" t="s">
        <v>656</v>
      </c>
      <c r="D8109" s="803">
        <v>98.82</v>
      </c>
    </row>
    <row r="8110" spans="1:4" ht="25.5">
      <c r="A8110" s="801">
        <v>43435</v>
      </c>
      <c r="B8110" s="802" t="s">
        <v>9235</v>
      </c>
      <c r="C8110" s="801" t="s">
        <v>656</v>
      </c>
      <c r="D8110" s="803">
        <v>181.17</v>
      </c>
    </row>
    <row r="8111" spans="1:4" ht="25.5">
      <c r="A8111" s="801">
        <v>43436</v>
      </c>
      <c r="B8111" s="802" t="s">
        <v>9236</v>
      </c>
      <c r="C8111" s="801" t="s">
        <v>656</v>
      </c>
      <c r="D8111" s="803">
        <v>317.05</v>
      </c>
    </row>
    <row r="8112" spans="1:4" ht="25.5">
      <c r="A8112" s="801">
        <v>43437</v>
      </c>
      <c r="B8112" s="802" t="s">
        <v>9237</v>
      </c>
      <c r="C8112" s="801" t="s">
        <v>656</v>
      </c>
      <c r="D8112" s="803">
        <v>574.82000000000005</v>
      </c>
    </row>
    <row r="8113" spans="1:4" ht="25.5">
      <c r="A8113" s="801">
        <v>43438</v>
      </c>
      <c r="B8113" s="802" t="s">
        <v>9238</v>
      </c>
      <c r="C8113" s="801" t="s">
        <v>656</v>
      </c>
      <c r="D8113" s="803">
        <v>1029.4100000000001</v>
      </c>
    </row>
    <row r="8114" spans="1:4" ht="25.5">
      <c r="A8114" s="801">
        <v>41627</v>
      </c>
      <c r="B8114" s="802" t="s">
        <v>9239</v>
      </c>
      <c r="C8114" s="801" t="s">
        <v>656</v>
      </c>
      <c r="D8114" s="803">
        <v>152.35</v>
      </c>
    </row>
    <row r="8115" spans="1:4" ht="25.5">
      <c r="A8115" s="801">
        <v>41628</v>
      </c>
      <c r="B8115" s="802" t="s">
        <v>9240</v>
      </c>
      <c r="C8115" s="801" t="s">
        <v>656</v>
      </c>
      <c r="D8115" s="803">
        <v>279.99</v>
      </c>
    </row>
    <row r="8116" spans="1:4" ht="25.5">
      <c r="A8116" s="801">
        <v>41629</v>
      </c>
      <c r="B8116" s="802" t="s">
        <v>9241</v>
      </c>
      <c r="C8116" s="801" t="s">
        <v>656</v>
      </c>
      <c r="D8116" s="803">
        <v>355.76</v>
      </c>
    </row>
    <row r="8117" spans="1:4" ht="25.5">
      <c r="A8117" s="801">
        <v>43429</v>
      </c>
      <c r="B8117" s="802" t="s">
        <v>9242</v>
      </c>
      <c r="C8117" s="801" t="s">
        <v>656</v>
      </c>
      <c r="D8117" s="803">
        <v>78.819999999999993</v>
      </c>
    </row>
    <row r="8118" spans="1:4" ht="25.5">
      <c r="A8118" s="801">
        <v>43430</v>
      </c>
      <c r="B8118" s="802" t="s">
        <v>9243</v>
      </c>
      <c r="C8118" s="801" t="s">
        <v>656</v>
      </c>
      <c r="D8118" s="803">
        <v>130.94</v>
      </c>
    </row>
    <row r="8119" spans="1:4" ht="25.5">
      <c r="A8119" s="801">
        <v>43431</v>
      </c>
      <c r="B8119" s="802" t="s">
        <v>9244</v>
      </c>
      <c r="C8119" s="801" t="s">
        <v>656</v>
      </c>
      <c r="D8119" s="803">
        <v>253.64</v>
      </c>
    </row>
    <row r="8120" spans="1:4" ht="25.5">
      <c r="A8120" s="801">
        <v>43432</v>
      </c>
      <c r="B8120" s="802" t="s">
        <v>9245</v>
      </c>
      <c r="C8120" s="801" t="s">
        <v>656</v>
      </c>
      <c r="D8120" s="803">
        <v>527.04999999999995</v>
      </c>
    </row>
    <row r="8121" spans="1:4" ht="25.5">
      <c r="A8121" s="801">
        <v>43433</v>
      </c>
      <c r="B8121" s="802" t="s">
        <v>9246</v>
      </c>
      <c r="C8121" s="801" t="s">
        <v>656</v>
      </c>
      <c r="D8121" s="803">
        <v>830.94</v>
      </c>
    </row>
    <row r="8122" spans="1:4" ht="38.25">
      <c r="A8122" s="801">
        <v>43094</v>
      </c>
      <c r="B8122" s="802" t="s">
        <v>9247</v>
      </c>
      <c r="C8122" s="801" t="s">
        <v>656</v>
      </c>
      <c r="D8122" s="803">
        <v>237.21</v>
      </c>
    </row>
    <row r="8123" spans="1:4" ht="38.25">
      <c r="A8123" s="801">
        <v>43093</v>
      </c>
      <c r="B8123" s="802" t="s">
        <v>9248</v>
      </c>
      <c r="C8123" s="801" t="s">
        <v>656</v>
      </c>
      <c r="D8123" s="803">
        <v>252.09</v>
      </c>
    </row>
    <row r="8124" spans="1:4" ht="25.5">
      <c r="A8124" s="801">
        <v>1030</v>
      </c>
      <c r="B8124" s="802" t="s">
        <v>9249</v>
      </c>
      <c r="C8124" s="801" t="s">
        <v>656</v>
      </c>
      <c r="D8124" s="803">
        <v>48</v>
      </c>
    </row>
    <row r="8125" spans="1:4" ht="38.25">
      <c r="A8125" s="801">
        <v>11694</v>
      </c>
      <c r="B8125" s="802" t="s">
        <v>9250</v>
      </c>
      <c r="C8125" s="801" t="s">
        <v>656</v>
      </c>
      <c r="D8125" s="803">
        <v>1061.05</v>
      </c>
    </row>
    <row r="8126" spans="1:4" ht="38.25">
      <c r="A8126" s="801">
        <v>11881</v>
      </c>
      <c r="B8126" s="802" t="s">
        <v>9251</v>
      </c>
      <c r="C8126" s="801" t="s">
        <v>656</v>
      </c>
      <c r="D8126" s="803">
        <v>139.99</v>
      </c>
    </row>
    <row r="8127" spans="1:4" ht="38.25">
      <c r="A8127" s="801">
        <v>35277</v>
      </c>
      <c r="B8127" s="802" t="s">
        <v>9252</v>
      </c>
      <c r="C8127" s="801" t="s">
        <v>656</v>
      </c>
      <c r="D8127" s="803">
        <v>379.06</v>
      </c>
    </row>
    <row r="8128" spans="1:4" ht="63.75">
      <c r="A8128" s="801">
        <v>10521</v>
      </c>
      <c r="B8128" s="802" t="s">
        <v>9253</v>
      </c>
      <c r="C8128" s="801" t="s">
        <v>656</v>
      </c>
      <c r="D8128" s="803">
        <v>285.39999999999998</v>
      </c>
    </row>
    <row r="8129" spans="1:4" ht="63.75">
      <c r="A8129" s="801">
        <v>10885</v>
      </c>
      <c r="B8129" s="802" t="s">
        <v>9254</v>
      </c>
      <c r="C8129" s="801" t="s">
        <v>656</v>
      </c>
      <c r="D8129" s="803">
        <v>361</v>
      </c>
    </row>
    <row r="8130" spans="1:4" ht="63.75">
      <c r="A8130" s="801">
        <v>20962</v>
      </c>
      <c r="B8130" s="802" t="s">
        <v>9255</v>
      </c>
      <c r="C8130" s="801" t="s">
        <v>656</v>
      </c>
      <c r="D8130" s="803">
        <v>299</v>
      </c>
    </row>
    <row r="8131" spans="1:4" ht="63.75">
      <c r="A8131" s="801">
        <v>20963</v>
      </c>
      <c r="B8131" s="802" t="s">
        <v>9256</v>
      </c>
      <c r="C8131" s="801" t="s">
        <v>656</v>
      </c>
      <c r="D8131" s="803">
        <v>365.25</v>
      </c>
    </row>
    <row r="8132" spans="1:4" ht="25.5">
      <c r="A8132" s="801">
        <v>34643</v>
      </c>
      <c r="B8132" s="802" t="s">
        <v>9257</v>
      </c>
      <c r="C8132" s="801" t="s">
        <v>656</v>
      </c>
      <c r="D8132" s="803">
        <v>43.65</v>
      </c>
    </row>
    <row r="8133" spans="1:4" ht="25.5">
      <c r="A8133" s="801">
        <v>41480</v>
      </c>
      <c r="B8133" s="802" t="s">
        <v>9258</v>
      </c>
      <c r="C8133" s="801" t="s">
        <v>656</v>
      </c>
      <c r="D8133" s="803">
        <v>50.61</v>
      </c>
    </row>
    <row r="8134" spans="1:4" ht="25.5">
      <c r="A8134" s="801">
        <v>41474</v>
      </c>
      <c r="B8134" s="802" t="s">
        <v>9259</v>
      </c>
      <c r="C8134" s="801" t="s">
        <v>656</v>
      </c>
      <c r="D8134" s="803">
        <v>80.849999999999994</v>
      </c>
    </row>
    <row r="8135" spans="1:4" ht="25.5">
      <c r="A8135" s="801">
        <v>41475</v>
      </c>
      <c r="B8135" s="802" t="s">
        <v>9260</v>
      </c>
      <c r="C8135" s="801" t="s">
        <v>656</v>
      </c>
      <c r="D8135" s="803">
        <v>68.989999999999995</v>
      </c>
    </row>
    <row r="8136" spans="1:4" ht="25.5">
      <c r="A8136" s="801">
        <v>41476</v>
      </c>
      <c r="B8136" s="802" t="s">
        <v>9261</v>
      </c>
      <c r="C8136" s="801" t="s">
        <v>656</v>
      </c>
      <c r="D8136" s="803">
        <v>151.06</v>
      </c>
    </row>
    <row r="8137" spans="1:4">
      <c r="A8137" s="801">
        <v>2555</v>
      </c>
      <c r="B8137" s="802" t="s">
        <v>9262</v>
      </c>
      <c r="C8137" s="801" t="s">
        <v>656</v>
      </c>
      <c r="D8137" s="803">
        <v>1.86</v>
      </c>
    </row>
    <row r="8138" spans="1:4">
      <c r="A8138" s="801">
        <v>2556</v>
      </c>
      <c r="B8138" s="802" t="s">
        <v>4610</v>
      </c>
      <c r="C8138" s="801" t="s">
        <v>656</v>
      </c>
      <c r="D8138" s="803">
        <v>1.92</v>
      </c>
    </row>
    <row r="8139" spans="1:4">
      <c r="A8139" s="801">
        <v>2557</v>
      </c>
      <c r="B8139" s="802" t="s">
        <v>9263</v>
      </c>
      <c r="C8139" s="801" t="s">
        <v>656</v>
      </c>
      <c r="D8139" s="803">
        <v>4.07</v>
      </c>
    </row>
    <row r="8140" spans="1:4" ht="25.5">
      <c r="A8140" s="801">
        <v>10569</v>
      </c>
      <c r="B8140" s="802" t="s">
        <v>9264</v>
      </c>
      <c r="C8140" s="801" t="s">
        <v>656</v>
      </c>
      <c r="D8140" s="803">
        <v>4.07</v>
      </c>
    </row>
    <row r="8141" spans="1:4" ht="25.5">
      <c r="A8141" s="801">
        <v>39810</v>
      </c>
      <c r="B8141" s="802" t="s">
        <v>9265</v>
      </c>
      <c r="C8141" s="801" t="s">
        <v>656</v>
      </c>
      <c r="D8141" s="803">
        <v>32.01</v>
      </c>
    </row>
    <row r="8142" spans="1:4" ht="25.5">
      <c r="A8142" s="801">
        <v>39811</v>
      </c>
      <c r="B8142" s="802" t="s">
        <v>9266</v>
      </c>
      <c r="C8142" s="801" t="s">
        <v>656</v>
      </c>
      <c r="D8142" s="803">
        <v>39.15</v>
      </c>
    </row>
    <row r="8143" spans="1:4" ht="25.5">
      <c r="A8143" s="801">
        <v>39812</v>
      </c>
      <c r="B8143" s="802" t="s">
        <v>9267</v>
      </c>
      <c r="C8143" s="801" t="s">
        <v>656</v>
      </c>
      <c r="D8143" s="803">
        <v>64.38</v>
      </c>
    </row>
    <row r="8144" spans="1:4" ht="38.25">
      <c r="A8144" s="801">
        <v>43096</v>
      </c>
      <c r="B8144" s="802" t="s">
        <v>9268</v>
      </c>
      <c r="C8144" s="801" t="s">
        <v>656</v>
      </c>
      <c r="D8144" s="803">
        <v>213.42</v>
      </c>
    </row>
    <row r="8145" spans="1:4" ht="38.25">
      <c r="A8145" s="801">
        <v>43102</v>
      </c>
      <c r="B8145" s="802" t="s">
        <v>9269</v>
      </c>
      <c r="C8145" s="801" t="s">
        <v>656</v>
      </c>
      <c r="D8145" s="803">
        <v>129.77000000000001</v>
      </c>
    </row>
    <row r="8146" spans="1:4" ht="38.25">
      <c r="A8146" s="801">
        <v>43103</v>
      </c>
      <c r="B8146" s="802" t="s">
        <v>9270</v>
      </c>
      <c r="C8146" s="801" t="s">
        <v>656</v>
      </c>
      <c r="D8146" s="803">
        <v>191.09</v>
      </c>
    </row>
    <row r="8147" spans="1:4" ht="38.25">
      <c r="A8147" s="801">
        <v>43098</v>
      </c>
      <c r="B8147" s="802" t="s">
        <v>9271</v>
      </c>
      <c r="C8147" s="801" t="s">
        <v>656</v>
      </c>
      <c r="D8147" s="803">
        <v>72.290000000000006</v>
      </c>
    </row>
    <row r="8148" spans="1:4" ht="38.25">
      <c r="A8148" s="801">
        <v>43097</v>
      </c>
      <c r="B8148" s="802" t="s">
        <v>9272</v>
      </c>
      <c r="C8148" s="801" t="s">
        <v>656</v>
      </c>
      <c r="D8148" s="803">
        <v>42.83</v>
      </c>
    </row>
    <row r="8149" spans="1:4" ht="25.5">
      <c r="A8149" s="801">
        <v>43104</v>
      </c>
      <c r="B8149" s="802" t="s">
        <v>9273</v>
      </c>
      <c r="C8149" s="801" t="s">
        <v>656</v>
      </c>
      <c r="D8149" s="803">
        <v>506.62</v>
      </c>
    </row>
    <row r="8150" spans="1:4" ht="25.5">
      <c r="A8150" s="801">
        <v>39771</v>
      </c>
      <c r="B8150" s="802" t="s">
        <v>9274</v>
      </c>
      <c r="C8150" s="801" t="s">
        <v>656</v>
      </c>
      <c r="D8150" s="803">
        <v>39.08</v>
      </c>
    </row>
    <row r="8151" spans="1:4" ht="25.5">
      <c r="A8151" s="801">
        <v>39772</v>
      </c>
      <c r="B8151" s="802" t="s">
        <v>9275</v>
      </c>
      <c r="C8151" s="801" t="s">
        <v>656</v>
      </c>
      <c r="D8151" s="803">
        <v>76.819999999999993</v>
      </c>
    </row>
    <row r="8152" spans="1:4" ht="25.5">
      <c r="A8152" s="801">
        <v>39773</v>
      </c>
      <c r="B8152" s="802" t="s">
        <v>9276</v>
      </c>
      <c r="C8152" s="801" t="s">
        <v>656</v>
      </c>
      <c r="D8152" s="803">
        <v>123.47</v>
      </c>
    </row>
    <row r="8153" spans="1:4" ht="25.5">
      <c r="A8153" s="801">
        <v>39774</v>
      </c>
      <c r="B8153" s="802" t="s">
        <v>9277</v>
      </c>
      <c r="C8153" s="801" t="s">
        <v>656</v>
      </c>
      <c r="D8153" s="803">
        <v>184.68</v>
      </c>
    </row>
    <row r="8154" spans="1:4" ht="25.5">
      <c r="A8154" s="801">
        <v>39775</v>
      </c>
      <c r="B8154" s="802" t="s">
        <v>9278</v>
      </c>
      <c r="C8154" s="801" t="s">
        <v>656</v>
      </c>
      <c r="D8154" s="803">
        <v>246.48</v>
      </c>
    </row>
    <row r="8155" spans="1:4" ht="25.5">
      <c r="A8155" s="801">
        <v>39776</v>
      </c>
      <c r="B8155" s="802" t="s">
        <v>9279</v>
      </c>
      <c r="C8155" s="801" t="s">
        <v>656</v>
      </c>
      <c r="D8155" s="803">
        <v>297.87</v>
      </c>
    </row>
    <row r="8156" spans="1:4" ht="25.5">
      <c r="A8156" s="801">
        <v>39777</v>
      </c>
      <c r="B8156" s="802" t="s">
        <v>9280</v>
      </c>
      <c r="C8156" s="801" t="s">
        <v>656</v>
      </c>
      <c r="D8156" s="803">
        <v>377.55</v>
      </c>
    </row>
    <row r="8157" spans="1:4" ht="25.5">
      <c r="A8157" s="801">
        <v>20254</v>
      </c>
      <c r="B8157" s="802" t="s">
        <v>9281</v>
      </c>
      <c r="C8157" s="801" t="s">
        <v>656</v>
      </c>
      <c r="D8157" s="803">
        <v>27.4</v>
      </c>
    </row>
    <row r="8158" spans="1:4" ht="25.5">
      <c r="A8158" s="801">
        <v>20253</v>
      </c>
      <c r="B8158" s="802" t="s">
        <v>9282</v>
      </c>
      <c r="C8158" s="801" t="s">
        <v>656</v>
      </c>
      <c r="D8158" s="803">
        <v>89.98</v>
      </c>
    </row>
    <row r="8159" spans="1:4" ht="38.25">
      <c r="A8159" s="801">
        <v>11247</v>
      </c>
      <c r="B8159" s="802" t="s">
        <v>9283</v>
      </c>
      <c r="C8159" s="801" t="s">
        <v>656</v>
      </c>
      <c r="D8159" s="803">
        <v>1730.29</v>
      </c>
    </row>
    <row r="8160" spans="1:4" ht="38.25">
      <c r="A8160" s="801">
        <v>11250</v>
      </c>
      <c r="B8160" s="802" t="s">
        <v>9284</v>
      </c>
      <c r="C8160" s="801" t="s">
        <v>656</v>
      </c>
      <c r="D8160" s="803">
        <v>74.489999999999995</v>
      </c>
    </row>
    <row r="8161" spans="1:4" ht="38.25">
      <c r="A8161" s="801">
        <v>11249</v>
      </c>
      <c r="B8161" s="802" t="s">
        <v>9285</v>
      </c>
      <c r="C8161" s="801" t="s">
        <v>656</v>
      </c>
      <c r="D8161" s="803">
        <v>3379.86</v>
      </c>
    </row>
    <row r="8162" spans="1:4" ht="38.25">
      <c r="A8162" s="801">
        <v>11251</v>
      </c>
      <c r="B8162" s="802" t="s">
        <v>9286</v>
      </c>
      <c r="C8162" s="801" t="s">
        <v>656</v>
      </c>
      <c r="D8162" s="803">
        <v>165</v>
      </c>
    </row>
    <row r="8163" spans="1:4" ht="38.25">
      <c r="A8163" s="801">
        <v>11253</v>
      </c>
      <c r="B8163" s="802" t="s">
        <v>9287</v>
      </c>
      <c r="C8163" s="801" t="s">
        <v>656</v>
      </c>
      <c r="D8163" s="803">
        <v>273.42</v>
      </c>
    </row>
    <row r="8164" spans="1:4" ht="38.25">
      <c r="A8164" s="801">
        <v>11255</v>
      </c>
      <c r="B8164" s="802" t="s">
        <v>9288</v>
      </c>
      <c r="C8164" s="801" t="s">
        <v>656</v>
      </c>
      <c r="D8164" s="803">
        <v>408.77</v>
      </c>
    </row>
    <row r="8165" spans="1:4" ht="38.25">
      <c r="A8165" s="801">
        <v>14055</v>
      </c>
      <c r="B8165" s="802" t="s">
        <v>9289</v>
      </c>
      <c r="C8165" s="801" t="s">
        <v>656</v>
      </c>
      <c r="D8165" s="803">
        <v>822.3</v>
      </c>
    </row>
    <row r="8166" spans="1:4" ht="38.25">
      <c r="A8166" s="801">
        <v>11256</v>
      </c>
      <c r="B8166" s="802" t="s">
        <v>9290</v>
      </c>
      <c r="C8166" s="801" t="s">
        <v>656</v>
      </c>
      <c r="D8166" s="803">
        <v>512.02</v>
      </c>
    </row>
    <row r="8167" spans="1:4" ht="25.5">
      <c r="A8167" s="801">
        <v>1872</v>
      </c>
      <c r="B8167" s="802" t="s">
        <v>4611</v>
      </c>
      <c r="C8167" s="801" t="s">
        <v>656</v>
      </c>
      <c r="D8167" s="803">
        <v>2.23</v>
      </c>
    </row>
    <row r="8168" spans="1:4" ht="25.5">
      <c r="A8168" s="801">
        <v>1873</v>
      </c>
      <c r="B8168" s="802" t="s">
        <v>9291</v>
      </c>
      <c r="C8168" s="801" t="s">
        <v>656</v>
      </c>
      <c r="D8168" s="803">
        <v>4.43</v>
      </c>
    </row>
    <row r="8169" spans="1:4" ht="38.25">
      <c r="A8169" s="801">
        <v>39693</v>
      </c>
      <c r="B8169" s="802" t="s">
        <v>9292</v>
      </c>
      <c r="C8169" s="801" t="s">
        <v>656</v>
      </c>
      <c r="D8169" s="803">
        <v>3215.74</v>
      </c>
    </row>
    <row r="8170" spans="1:4" ht="25.5">
      <c r="A8170" s="801">
        <v>39692</v>
      </c>
      <c r="B8170" s="802" t="s">
        <v>9293</v>
      </c>
      <c r="C8170" s="801" t="s">
        <v>656</v>
      </c>
      <c r="D8170" s="803">
        <v>1028.96</v>
      </c>
    </row>
    <row r="8171" spans="1:4" ht="38.25">
      <c r="A8171" s="801">
        <v>1062</v>
      </c>
      <c r="B8171" s="802" t="s">
        <v>9294</v>
      </c>
      <c r="C8171" s="801" t="s">
        <v>656</v>
      </c>
      <c r="D8171" s="803">
        <v>326.10000000000002</v>
      </c>
    </row>
    <row r="8172" spans="1:4" ht="38.25">
      <c r="A8172" s="801">
        <v>39686</v>
      </c>
      <c r="B8172" s="802" t="s">
        <v>9295</v>
      </c>
      <c r="C8172" s="801" t="s">
        <v>656</v>
      </c>
      <c r="D8172" s="803">
        <v>528.02</v>
      </c>
    </row>
    <row r="8173" spans="1:4" ht="38.25">
      <c r="A8173" s="801">
        <v>43095</v>
      </c>
      <c r="B8173" s="802" t="s">
        <v>9296</v>
      </c>
      <c r="C8173" s="801" t="s">
        <v>656</v>
      </c>
      <c r="D8173" s="803">
        <v>140.63</v>
      </c>
    </row>
    <row r="8174" spans="1:4" ht="25.5">
      <c r="A8174" s="801">
        <v>1871</v>
      </c>
      <c r="B8174" s="802" t="s">
        <v>4612</v>
      </c>
      <c r="C8174" s="801" t="s">
        <v>656</v>
      </c>
      <c r="D8174" s="803">
        <v>3.99</v>
      </c>
    </row>
    <row r="8175" spans="1:4" ht="25.5">
      <c r="A8175" s="801">
        <v>12001</v>
      </c>
      <c r="B8175" s="802" t="s">
        <v>9297</v>
      </c>
      <c r="C8175" s="801" t="s">
        <v>656</v>
      </c>
      <c r="D8175" s="803">
        <v>5.76</v>
      </c>
    </row>
    <row r="8176" spans="1:4" ht="25.5">
      <c r="A8176" s="801">
        <v>11882</v>
      </c>
      <c r="B8176" s="802" t="s">
        <v>9298</v>
      </c>
      <c r="C8176" s="801" t="s">
        <v>656</v>
      </c>
      <c r="D8176" s="803">
        <v>100.47</v>
      </c>
    </row>
    <row r="8177" spans="1:4" ht="38.25">
      <c r="A8177" s="801">
        <v>1068</v>
      </c>
      <c r="B8177" s="802" t="s">
        <v>9299</v>
      </c>
      <c r="C8177" s="801" t="s">
        <v>656</v>
      </c>
      <c r="D8177" s="803">
        <v>2150.94</v>
      </c>
    </row>
    <row r="8178" spans="1:4" ht="38.25">
      <c r="A8178" s="801">
        <v>39690</v>
      </c>
      <c r="B8178" s="802" t="s">
        <v>9300</v>
      </c>
      <c r="C8178" s="801" t="s">
        <v>656</v>
      </c>
      <c r="D8178" s="803">
        <v>3608.57</v>
      </c>
    </row>
    <row r="8179" spans="1:4" ht="38.25">
      <c r="A8179" s="801">
        <v>39691</v>
      </c>
      <c r="B8179" s="802" t="s">
        <v>9301</v>
      </c>
      <c r="C8179" s="801" t="s">
        <v>656</v>
      </c>
      <c r="D8179" s="803">
        <v>4538.57</v>
      </c>
    </row>
    <row r="8180" spans="1:4" ht="38.25">
      <c r="A8180" s="801">
        <v>39808</v>
      </c>
      <c r="B8180" s="802" t="s">
        <v>9302</v>
      </c>
      <c r="C8180" s="801" t="s">
        <v>656</v>
      </c>
      <c r="D8180" s="803">
        <v>73.42</v>
      </c>
    </row>
    <row r="8181" spans="1:4" ht="38.25">
      <c r="A8181" s="801">
        <v>39809</v>
      </c>
      <c r="B8181" s="802" t="s">
        <v>9303</v>
      </c>
      <c r="C8181" s="801" t="s">
        <v>656</v>
      </c>
      <c r="D8181" s="803">
        <v>174.14</v>
      </c>
    </row>
    <row r="8182" spans="1:4" ht="38.25">
      <c r="A8182" s="801">
        <v>43439</v>
      </c>
      <c r="B8182" s="802" t="s">
        <v>9304</v>
      </c>
      <c r="C8182" s="801" t="s">
        <v>656</v>
      </c>
      <c r="D8182" s="803">
        <v>461.17</v>
      </c>
    </row>
    <row r="8183" spans="1:4" ht="25.5">
      <c r="A8183" s="801">
        <v>5103</v>
      </c>
      <c r="B8183" s="802" t="s">
        <v>9305</v>
      </c>
      <c r="C8183" s="801" t="s">
        <v>656</v>
      </c>
      <c r="D8183" s="803">
        <v>23.99</v>
      </c>
    </row>
    <row r="8184" spans="1:4" ht="25.5">
      <c r="A8184" s="801">
        <v>11880</v>
      </c>
      <c r="B8184" s="802" t="s">
        <v>9306</v>
      </c>
      <c r="C8184" s="801" t="s">
        <v>656</v>
      </c>
      <c r="D8184" s="803">
        <v>100.93</v>
      </c>
    </row>
    <row r="8185" spans="1:4" ht="25.5">
      <c r="A8185" s="801">
        <v>11714</v>
      </c>
      <c r="B8185" s="802" t="s">
        <v>9307</v>
      </c>
      <c r="C8185" s="801" t="s">
        <v>656</v>
      </c>
      <c r="D8185" s="803">
        <v>68.760000000000005</v>
      </c>
    </row>
    <row r="8186" spans="1:4" ht="25.5">
      <c r="A8186" s="801">
        <v>11712</v>
      </c>
      <c r="B8186" s="802" t="s">
        <v>9308</v>
      </c>
      <c r="C8186" s="801" t="s">
        <v>656</v>
      </c>
      <c r="D8186" s="803">
        <v>44.9</v>
      </c>
    </row>
    <row r="8187" spans="1:4" ht="25.5">
      <c r="A8187" s="801">
        <v>11717</v>
      </c>
      <c r="B8187" s="802" t="s">
        <v>9309</v>
      </c>
      <c r="C8187" s="801" t="s">
        <v>656</v>
      </c>
      <c r="D8187" s="803">
        <v>54.12</v>
      </c>
    </row>
    <row r="8188" spans="1:4">
      <c r="A8188" s="801">
        <v>1106</v>
      </c>
      <c r="B8188" s="802" t="s">
        <v>4613</v>
      </c>
      <c r="C8188" s="801" t="s">
        <v>653</v>
      </c>
      <c r="D8188" s="803">
        <v>0.85</v>
      </c>
    </row>
    <row r="8189" spans="1:4">
      <c r="A8189" s="801">
        <v>11161</v>
      </c>
      <c r="B8189" s="802" t="s">
        <v>9310</v>
      </c>
      <c r="C8189" s="801" t="s">
        <v>653</v>
      </c>
      <c r="D8189" s="803">
        <v>1.42</v>
      </c>
    </row>
    <row r="8190" spans="1:4">
      <c r="A8190" s="801">
        <v>1107</v>
      </c>
      <c r="B8190" s="802" t="s">
        <v>9311</v>
      </c>
      <c r="C8190" s="801" t="s">
        <v>653</v>
      </c>
      <c r="D8190" s="803">
        <v>0.72</v>
      </c>
    </row>
    <row r="8191" spans="1:4" ht="25.5">
      <c r="A8191" s="801">
        <v>44479</v>
      </c>
      <c r="B8191" s="802" t="s">
        <v>9312</v>
      </c>
      <c r="C8191" s="801" t="s">
        <v>653</v>
      </c>
      <c r="D8191" s="803">
        <v>0.13</v>
      </c>
    </row>
    <row r="8192" spans="1:4">
      <c r="A8192" s="801">
        <v>41068</v>
      </c>
      <c r="B8192" s="802" t="s">
        <v>9313</v>
      </c>
      <c r="C8192" s="801" t="s">
        <v>772</v>
      </c>
      <c r="D8192" s="803">
        <v>2195.9</v>
      </c>
    </row>
    <row r="8193" spans="1:4">
      <c r="A8193" s="801">
        <v>4759</v>
      </c>
      <c r="B8193" s="802" t="s">
        <v>9314</v>
      </c>
      <c r="C8193" s="801" t="s">
        <v>659</v>
      </c>
      <c r="D8193" s="803">
        <v>12.41</v>
      </c>
    </row>
    <row r="8194" spans="1:4" ht="25.5">
      <c r="A8194" s="801">
        <v>1108</v>
      </c>
      <c r="B8194" s="802" t="s">
        <v>9315</v>
      </c>
      <c r="C8194" s="801" t="s">
        <v>660</v>
      </c>
      <c r="D8194" s="803">
        <v>35.07</v>
      </c>
    </row>
    <row r="8195" spans="1:4" ht="25.5">
      <c r="A8195" s="801">
        <v>1117</v>
      </c>
      <c r="B8195" s="802" t="s">
        <v>9316</v>
      </c>
      <c r="C8195" s="801" t="s">
        <v>660</v>
      </c>
      <c r="D8195" s="803">
        <v>35.35</v>
      </c>
    </row>
    <row r="8196" spans="1:4" ht="25.5">
      <c r="A8196" s="801">
        <v>1118</v>
      </c>
      <c r="B8196" s="802" t="s">
        <v>9317</v>
      </c>
      <c r="C8196" s="801" t="s">
        <v>660</v>
      </c>
      <c r="D8196" s="803">
        <v>41.78</v>
      </c>
    </row>
    <row r="8197" spans="1:4" ht="25.5">
      <c r="A8197" s="801">
        <v>1110</v>
      </c>
      <c r="B8197" s="802" t="s">
        <v>9318</v>
      </c>
      <c r="C8197" s="801" t="s">
        <v>660</v>
      </c>
      <c r="D8197" s="803">
        <v>41.78</v>
      </c>
    </row>
    <row r="8198" spans="1:4" ht="25.5">
      <c r="A8198" s="801">
        <v>12618</v>
      </c>
      <c r="B8198" s="802" t="s">
        <v>9319</v>
      </c>
      <c r="C8198" s="801" t="s">
        <v>656</v>
      </c>
      <c r="D8198" s="803">
        <v>49.52</v>
      </c>
    </row>
    <row r="8199" spans="1:4" ht="25.5">
      <c r="A8199" s="801">
        <v>40784</v>
      </c>
      <c r="B8199" s="802" t="s">
        <v>9320</v>
      </c>
      <c r="C8199" s="801" t="s">
        <v>660</v>
      </c>
      <c r="D8199" s="803">
        <v>115.25</v>
      </c>
    </row>
    <row r="8200" spans="1:4" ht="25.5">
      <c r="A8200" s="801">
        <v>40782</v>
      </c>
      <c r="B8200" s="802" t="s">
        <v>9321</v>
      </c>
      <c r="C8200" s="801" t="s">
        <v>660</v>
      </c>
      <c r="D8200" s="803">
        <v>45.22</v>
      </c>
    </row>
    <row r="8201" spans="1:4" ht="25.5">
      <c r="A8201" s="801">
        <v>40783</v>
      </c>
      <c r="B8201" s="802" t="s">
        <v>4614</v>
      </c>
      <c r="C8201" s="801" t="s">
        <v>660</v>
      </c>
      <c r="D8201" s="803">
        <v>58.91</v>
      </c>
    </row>
    <row r="8202" spans="1:4" ht="25.5">
      <c r="A8202" s="801">
        <v>1109</v>
      </c>
      <c r="B8202" s="802" t="s">
        <v>9322</v>
      </c>
      <c r="C8202" s="801" t="s">
        <v>660</v>
      </c>
      <c r="D8202" s="803">
        <v>35.07</v>
      </c>
    </row>
    <row r="8203" spans="1:4" ht="25.5">
      <c r="A8203" s="801">
        <v>1119</v>
      </c>
      <c r="B8203" s="802" t="s">
        <v>9323</v>
      </c>
      <c r="C8203" s="801" t="s">
        <v>660</v>
      </c>
      <c r="D8203" s="803">
        <v>22.61</v>
      </c>
    </row>
    <row r="8204" spans="1:4" ht="25.5">
      <c r="A8204" s="801">
        <v>13115</v>
      </c>
      <c r="B8204" s="802" t="s">
        <v>9324</v>
      </c>
      <c r="C8204" s="801" t="s">
        <v>660</v>
      </c>
      <c r="D8204" s="803">
        <v>17.02</v>
      </c>
    </row>
    <row r="8205" spans="1:4" ht="25.5">
      <c r="A8205" s="801">
        <v>10541</v>
      </c>
      <c r="B8205" s="802" t="s">
        <v>9325</v>
      </c>
      <c r="C8205" s="801" t="s">
        <v>660</v>
      </c>
      <c r="D8205" s="803">
        <v>20.8</v>
      </c>
    </row>
    <row r="8206" spans="1:4" ht="25.5">
      <c r="A8206" s="801">
        <v>10542</v>
      </c>
      <c r="B8206" s="802" t="s">
        <v>9326</v>
      </c>
      <c r="C8206" s="801" t="s">
        <v>660</v>
      </c>
      <c r="D8206" s="803">
        <v>27.2</v>
      </c>
    </row>
    <row r="8207" spans="1:4" ht="25.5">
      <c r="A8207" s="801">
        <v>10543</v>
      </c>
      <c r="B8207" s="802" t="s">
        <v>9327</v>
      </c>
      <c r="C8207" s="801" t="s">
        <v>660</v>
      </c>
      <c r="D8207" s="803">
        <v>44.13</v>
      </c>
    </row>
    <row r="8208" spans="1:4" ht="25.5">
      <c r="A8208" s="801">
        <v>10544</v>
      </c>
      <c r="B8208" s="802" t="s">
        <v>9328</v>
      </c>
      <c r="C8208" s="801" t="s">
        <v>660</v>
      </c>
      <c r="D8208" s="803">
        <v>57.08</v>
      </c>
    </row>
    <row r="8209" spans="1:4" ht="25.5">
      <c r="A8209" s="801">
        <v>10545</v>
      </c>
      <c r="B8209" s="802" t="s">
        <v>9329</v>
      </c>
      <c r="C8209" s="801" t="s">
        <v>660</v>
      </c>
      <c r="D8209" s="803">
        <v>106.67</v>
      </c>
    </row>
    <row r="8210" spans="1:4">
      <c r="A8210" s="801">
        <v>38365</v>
      </c>
      <c r="B8210" s="802" t="s">
        <v>9330</v>
      </c>
      <c r="C8210" s="801" t="s">
        <v>661</v>
      </c>
      <c r="D8210" s="803">
        <v>1.99</v>
      </c>
    </row>
    <row r="8211" spans="1:4" ht="38.25">
      <c r="A8211" s="801">
        <v>37745</v>
      </c>
      <c r="B8211" s="802" t="s">
        <v>9331</v>
      </c>
      <c r="C8211" s="801" t="s">
        <v>656</v>
      </c>
      <c r="D8211" s="803">
        <v>398477</v>
      </c>
    </row>
    <row r="8212" spans="1:4" ht="38.25">
      <c r="A8212" s="801">
        <v>37754</v>
      </c>
      <c r="B8212" s="802" t="s">
        <v>9332</v>
      </c>
      <c r="C8212" s="801" t="s">
        <v>656</v>
      </c>
      <c r="D8212" s="803">
        <v>416131.04</v>
      </c>
    </row>
    <row r="8213" spans="1:4" ht="38.25">
      <c r="A8213" s="801">
        <v>37761</v>
      </c>
      <c r="B8213" s="802" t="s">
        <v>9333</v>
      </c>
      <c r="C8213" s="801" t="s">
        <v>656</v>
      </c>
      <c r="D8213" s="803">
        <v>350558.86</v>
      </c>
    </row>
    <row r="8214" spans="1:4" ht="38.25">
      <c r="A8214" s="801">
        <v>37757</v>
      </c>
      <c r="B8214" s="802" t="s">
        <v>9334</v>
      </c>
      <c r="C8214" s="801" t="s">
        <v>656</v>
      </c>
      <c r="D8214" s="803">
        <v>488008.2</v>
      </c>
    </row>
    <row r="8215" spans="1:4" ht="38.25">
      <c r="A8215" s="801">
        <v>37759</v>
      </c>
      <c r="B8215" s="802" t="s">
        <v>9335</v>
      </c>
      <c r="C8215" s="801" t="s">
        <v>656</v>
      </c>
      <c r="D8215" s="803">
        <v>489899.73</v>
      </c>
    </row>
    <row r="8216" spans="1:4" ht="38.25">
      <c r="A8216" s="801">
        <v>37766</v>
      </c>
      <c r="B8216" s="802" t="s">
        <v>9336</v>
      </c>
      <c r="C8216" s="801" t="s">
        <v>656</v>
      </c>
      <c r="D8216" s="803">
        <v>489899.69</v>
      </c>
    </row>
    <row r="8217" spans="1:4" ht="38.25">
      <c r="A8217" s="801">
        <v>37752</v>
      </c>
      <c r="B8217" s="802" t="s">
        <v>4615</v>
      </c>
      <c r="C8217" s="801" t="s">
        <v>656</v>
      </c>
      <c r="D8217" s="803">
        <v>444251.4</v>
      </c>
    </row>
    <row r="8218" spans="1:4" ht="38.25">
      <c r="A8218" s="801">
        <v>37760</v>
      </c>
      <c r="B8218" s="802" t="s">
        <v>9337</v>
      </c>
      <c r="C8218" s="801" t="s">
        <v>656</v>
      </c>
      <c r="D8218" s="803">
        <v>467832.16</v>
      </c>
    </row>
    <row r="8219" spans="1:4" ht="38.25">
      <c r="A8219" s="801">
        <v>37765</v>
      </c>
      <c r="B8219" s="802" t="s">
        <v>9338</v>
      </c>
      <c r="C8219" s="801" t="s">
        <v>656</v>
      </c>
      <c r="D8219" s="803">
        <v>326599.83</v>
      </c>
    </row>
    <row r="8220" spans="1:4" ht="38.25">
      <c r="A8220" s="801">
        <v>37746</v>
      </c>
      <c r="B8220" s="802" t="s">
        <v>9339</v>
      </c>
      <c r="C8220" s="801" t="s">
        <v>656</v>
      </c>
      <c r="D8220" s="803">
        <v>358061.82</v>
      </c>
    </row>
    <row r="8221" spans="1:4" ht="38.25">
      <c r="A8221" s="801">
        <v>37750</v>
      </c>
      <c r="B8221" s="802" t="s">
        <v>9340</v>
      </c>
      <c r="C8221" s="801" t="s">
        <v>656</v>
      </c>
      <c r="D8221" s="803">
        <v>356800.84</v>
      </c>
    </row>
    <row r="8222" spans="1:4" ht="38.25">
      <c r="A8222" s="801">
        <v>37756</v>
      </c>
      <c r="B8222" s="802" t="s">
        <v>9341</v>
      </c>
      <c r="C8222" s="801" t="s">
        <v>656</v>
      </c>
      <c r="D8222" s="803">
        <v>350558.86</v>
      </c>
    </row>
    <row r="8223" spans="1:4" ht="38.25">
      <c r="A8223" s="801">
        <v>37755</v>
      </c>
      <c r="B8223" s="802" t="s">
        <v>4616</v>
      </c>
      <c r="C8223" s="801" t="s">
        <v>656</v>
      </c>
      <c r="D8223" s="803">
        <v>509445.27</v>
      </c>
    </row>
    <row r="8224" spans="1:4" ht="38.25">
      <c r="A8224" s="801">
        <v>37758</v>
      </c>
      <c r="B8224" s="802" t="s">
        <v>9342</v>
      </c>
      <c r="C8224" s="801" t="s">
        <v>656</v>
      </c>
      <c r="D8224" s="803">
        <v>575017.44999999995</v>
      </c>
    </row>
    <row r="8225" spans="1:4" ht="38.25">
      <c r="A8225" s="801">
        <v>37747</v>
      </c>
      <c r="B8225" s="802" t="s">
        <v>4617</v>
      </c>
      <c r="C8225" s="801" t="s">
        <v>656</v>
      </c>
      <c r="D8225" s="803">
        <v>517389.58</v>
      </c>
    </row>
    <row r="8226" spans="1:4" ht="38.25">
      <c r="A8226" s="801">
        <v>37767</v>
      </c>
      <c r="B8226" s="802" t="s">
        <v>9343</v>
      </c>
      <c r="C8226" s="801" t="s">
        <v>656</v>
      </c>
      <c r="D8226" s="803">
        <v>546014.38</v>
      </c>
    </row>
    <row r="8227" spans="1:4" ht="38.25">
      <c r="A8227" s="801">
        <v>37751</v>
      </c>
      <c r="B8227" s="802" t="s">
        <v>9344</v>
      </c>
      <c r="C8227" s="801" t="s">
        <v>656</v>
      </c>
      <c r="D8227" s="803">
        <v>546014.38</v>
      </c>
    </row>
    <row r="8228" spans="1:4" ht="51">
      <c r="A8228" s="801">
        <v>37749</v>
      </c>
      <c r="B8228" s="802" t="s">
        <v>9345</v>
      </c>
      <c r="C8228" s="801" t="s">
        <v>656</v>
      </c>
      <c r="D8228" s="803">
        <v>539709.36</v>
      </c>
    </row>
    <row r="8229" spans="1:4" ht="25.5">
      <c r="A8229" s="801">
        <v>1159</v>
      </c>
      <c r="B8229" s="802" t="s">
        <v>9346</v>
      </c>
      <c r="C8229" s="801" t="s">
        <v>656</v>
      </c>
      <c r="D8229" s="803">
        <v>238827.67</v>
      </c>
    </row>
    <row r="8230" spans="1:4">
      <c r="A8230" s="801">
        <v>12114</v>
      </c>
      <c r="B8230" s="802" t="s">
        <v>9347</v>
      </c>
      <c r="C8230" s="801" t="s">
        <v>656</v>
      </c>
      <c r="D8230" s="803">
        <v>116.35</v>
      </c>
    </row>
    <row r="8231" spans="1:4">
      <c r="A8231" s="801">
        <v>38106</v>
      </c>
      <c r="B8231" s="802" t="s">
        <v>9348</v>
      </c>
      <c r="C8231" s="801" t="s">
        <v>656</v>
      </c>
      <c r="D8231" s="803">
        <v>15.81</v>
      </c>
    </row>
    <row r="8232" spans="1:4" ht="25.5">
      <c r="A8232" s="801">
        <v>38085</v>
      </c>
      <c r="B8232" s="802" t="s">
        <v>9349</v>
      </c>
      <c r="C8232" s="801" t="s">
        <v>656</v>
      </c>
      <c r="D8232" s="803">
        <v>18.670000000000002</v>
      </c>
    </row>
    <row r="8233" spans="1:4" ht="25.5">
      <c r="A8233" s="801">
        <v>38599</v>
      </c>
      <c r="B8233" s="802" t="s">
        <v>9350</v>
      </c>
      <c r="C8233" s="801" t="s">
        <v>656</v>
      </c>
      <c r="D8233" s="803">
        <v>5.19</v>
      </c>
    </row>
    <row r="8234" spans="1:4" ht="25.5">
      <c r="A8234" s="801">
        <v>38596</v>
      </c>
      <c r="B8234" s="802" t="s">
        <v>9351</v>
      </c>
      <c r="C8234" s="801" t="s">
        <v>656</v>
      </c>
      <c r="D8234" s="803">
        <v>4.3099999999999996</v>
      </c>
    </row>
    <row r="8235" spans="1:4" ht="25.5">
      <c r="A8235" s="801">
        <v>38600</v>
      </c>
      <c r="B8235" s="802" t="s">
        <v>9352</v>
      </c>
      <c r="C8235" s="801" t="s">
        <v>656</v>
      </c>
      <c r="D8235" s="803">
        <v>5.51</v>
      </c>
    </row>
    <row r="8236" spans="1:4" ht="25.5">
      <c r="A8236" s="801">
        <v>38597</v>
      </c>
      <c r="B8236" s="802" t="s">
        <v>9353</v>
      </c>
      <c r="C8236" s="801" t="s">
        <v>656</v>
      </c>
      <c r="D8236" s="803">
        <v>4.34</v>
      </c>
    </row>
    <row r="8237" spans="1:4">
      <c r="A8237" s="801">
        <v>659</v>
      </c>
      <c r="B8237" s="802" t="s">
        <v>9354</v>
      </c>
      <c r="C8237" s="801" t="s">
        <v>656</v>
      </c>
      <c r="D8237" s="803">
        <v>2.4900000000000002</v>
      </c>
    </row>
    <row r="8238" spans="1:4">
      <c r="A8238" s="801">
        <v>660</v>
      </c>
      <c r="B8238" s="802" t="s">
        <v>9355</v>
      </c>
      <c r="C8238" s="801" t="s">
        <v>656</v>
      </c>
      <c r="D8238" s="803">
        <v>2.99</v>
      </c>
    </row>
    <row r="8239" spans="1:4">
      <c r="A8239" s="801">
        <v>658</v>
      </c>
      <c r="B8239" s="802" t="s">
        <v>9356</v>
      </c>
      <c r="C8239" s="801" t="s">
        <v>656</v>
      </c>
      <c r="D8239" s="803">
        <v>1.68</v>
      </c>
    </row>
    <row r="8240" spans="1:4" ht="25.5">
      <c r="A8240" s="801">
        <v>38548</v>
      </c>
      <c r="B8240" s="802" t="s">
        <v>9357</v>
      </c>
      <c r="C8240" s="801" t="s">
        <v>656</v>
      </c>
      <c r="D8240" s="803">
        <v>2.1800000000000002</v>
      </c>
    </row>
    <row r="8241" spans="1:4" ht="25.5">
      <c r="A8241" s="801">
        <v>34649</v>
      </c>
      <c r="B8241" s="802" t="s">
        <v>4618</v>
      </c>
      <c r="C8241" s="801" t="s">
        <v>656</v>
      </c>
      <c r="D8241" s="803">
        <v>2.94</v>
      </c>
    </row>
    <row r="8242" spans="1:4" ht="25.5">
      <c r="A8242" s="801">
        <v>34655</v>
      </c>
      <c r="B8242" s="802" t="s">
        <v>9358</v>
      </c>
      <c r="C8242" s="801" t="s">
        <v>656</v>
      </c>
      <c r="D8242" s="803">
        <v>3.9</v>
      </c>
    </row>
    <row r="8243" spans="1:4" ht="25.5">
      <c r="A8243" s="801">
        <v>40607</v>
      </c>
      <c r="B8243" s="802" t="s">
        <v>9359</v>
      </c>
      <c r="C8243" s="801" t="s">
        <v>656</v>
      </c>
      <c r="D8243" s="803">
        <v>4.74</v>
      </c>
    </row>
    <row r="8244" spans="1:4" ht="25.5">
      <c r="A8244" s="801">
        <v>567</v>
      </c>
      <c r="B8244" s="802" t="s">
        <v>9360</v>
      </c>
      <c r="C8244" s="801" t="s">
        <v>660</v>
      </c>
      <c r="D8244" s="803">
        <v>15.45</v>
      </c>
    </row>
    <row r="8245" spans="1:4" ht="25.5">
      <c r="A8245" s="801">
        <v>574</v>
      </c>
      <c r="B8245" s="802" t="s">
        <v>9361</v>
      </c>
      <c r="C8245" s="801" t="s">
        <v>660</v>
      </c>
      <c r="D8245" s="803">
        <v>40.61</v>
      </c>
    </row>
    <row r="8246" spans="1:4" ht="25.5">
      <c r="A8246" s="801">
        <v>568</v>
      </c>
      <c r="B8246" s="802" t="s">
        <v>9362</v>
      </c>
      <c r="C8246" s="801" t="s">
        <v>660</v>
      </c>
      <c r="D8246" s="803">
        <v>85.57</v>
      </c>
    </row>
    <row r="8247" spans="1:4">
      <c r="A8247" s="801">
        <v>585</v>
      </c>
      <c r="B8247" s="802" t="s">
        <v>9363</v>
      </c>
      <c r="C8247" s="801" t="s">
        <v>653</v>
      </c>
      <c r="D8247" s="803">
        <v>37.85</v>
      </c>
    </row>
    <row r="8248" spans="1:4" ht="25.5">
      <c r="A8248" s="801">
        <v>4777</v>
      </c>
      <c r="B8248" s="802" t="s">
        <v>4619</v>
      </c>
      <c r="C8248" s="801" t="s">
        <v>653</v>
      </c>
      <c r="D8248" s="803">
        <v>10.27</v>
      </c>
    </row>
    <row r="8249" spans="1:4">
      <c r="A8249" s="801">
        <v>587</v>
      </c>
      <c r="B8249" s="802" t="s">
        <v>9364</v>
      </c>
      <c r="C8249" s="801" t="s">
        <v>653</v>
      </c>
      <c r="D8249" s="803">
        <v>40.56</v>
      </c>
    </row>
    <row r="8250" spans="1:4">
      <c r="A8250" s="801">
        <v>590</v>
      </c>
      <c r="B8250" s="802" t="s">
        <v>9365</v>
      </c>
      <c r="C8250" s="801" t="s">
        <v>653</v>
      </c>
      <c r="D8250" s="803">
        <v>39.200000000000003</v>
      </c>
    </row>
    <row r="8251" spans="1:4" ht="25.5">
      <c r="A8251" s="801">
        <v>592</v>
      </c>
      <c r="B8251" s="802" t="s">
        <v>9366</v>
      </c>
      <c r="C8251" s="801" t="s">
        <v>653</v>
      </c>
      <c r="D8251" s="803">
        <v>40.56</v>
      </c>
    </row>
    <row r="8252" spans="1:4">
      <c r="A8252" s="801">
        <v>586</v>
      </c>
      <c r="B8252" s="802" t="s">
        <v>9367</v>
      </c>
      <c r="C8252" s="801" t="s">
        <v>660</v>
      </c>
      <c r="D8252" s="803">
        <v>23.84</v>
      </c>
    </row>
    <row r="8253" spans="1:4">
      <c r="A8253" s="801">
        <v>591</v>
      </c>
      <c r="B8253" s="802" t="s">
        <v>9368</v>
      </c>
      <c r="C8253" s="801" t="s">
        <v>653</v>
      </c>
      <c r="D8253" s="803">
        <v>37.85</v>
      </c>
    </row>
    <row r="8254" spans="1:4">
      <c r="A8254" s="801">
        <v>588</v>
      </c>
      <c r="B8254" s="802" t="s">
        <v>9369</v>
      </c>
      <c r="C8254" s="801" t="s">
        <v>660</v>
      </c>
      <c r="D8254" s="803">
        <v>37.72</v>
      </c>
    </row>
    <row r="8255" spans="1:4">
      <c r="A8255" s="801">
        <v>589</v>
      </c>
      <c r="B8255" s="802" t="s">
        <v>9370</v>
      </c>
      <c r="C8255" s="801" t="s">
        <v>660</v>
      </c>
      <c r="D8255" s="803">
        <v>63.76</v>
      </c>
    </row>
    <row r="8256" spans="1:4">
      <c r="A8256" s="801">
        <v>584</v>
      </c>
      <c r="B8256" s="802" t="s">
        <v>9371</v>
      </c>
      <c r="C8256" s="801" t="s">
        <v>660</v>
      </c>
      <c r="D8256" s="803">
        <v>40.28</v>
      </c>
    </row>
    <row r="8257" spans="1:4" ht="25.5">
      <c r="A8257" s="801">
        <v>1165</v>
      </c>
      <c r="B8257" s="802" t="s">
        <v>9372</v>
      </c>
      <c r="C8257" s="801" t="s">
        <v>656</v>
      </c>
      <c r="D8257" s="803">
        <v>15.13</v>
      </c>
    </row>
    <row r="8258" spans="1:4" ht="25.5">
      <c r="A8258" s="801">
        <v>1164</v>
      </c>
      <c r="B8258" s="802" t="s">
        <v>9373</v>
      </c>
      <c r="C8258" s="801" t="s">
        <v>656</v>
      </c>
      <c r="D8258" s="803">
        <v>12.25</v>
      </c>
    </row>
    <row r="8259" spans="1:4" ht="25.5">
      <c r="A8259" s="801">
        <v>1162</v>
      </c>
      <c r="B8259" s="802" t="s">
        <v>9374</v>
      </c>
      <c r="C8259" s="801" t="s">
        <v>656</v>
      </c>
      <c r="D8259" s="803">
        <v>4.26</v>
      </c>
    </row>
    <row r="8260" spans="1:4" ht="25.5">
      <c r="A8260" s="801">
        <v>12395</v>
      </c>
      <c r="B8260" s="802" t="s">
        <v>9375</v>
      </c>
      <c r="C8260" s="801" t="s">
        <v>656</v>
      </c>
      <c r="D8260" s="803">
        <v>4.1399999999999997</v>
      </c>
    </row>
    <row r="8261" spans="1:4" ht="25.5">
      <c r="A8261" s="801">
        <v>1170</v>
      </c>
      <c r="B8261" s="802" t="s">
        <v>9376</v>
      </c>
      <c r="C8261" s="801" t="s">
        <v>656</v>
      </c>
      <c r="D8261" s="803">
        <v>8.0299999999999994</v>
      </c>
    </row>
    <row r="8262" spans="1:4" ht="25.5">
      <c r="A8262" s="801">
        <v>1169</v>
      </c>
      <c r="B8262" s="802" t="s">
        <v>9377</v>
      </c>
      <c r="C8262" s="801" t="s">
        <v>656</v>
      </c>
      <c r="D8262" s="803">
        <v>39.409999999999997</v>
      </c>
    </row>
    <row r="8263" spans="1:4" ht="25.5">
      <c r="A8263" s="801">
        <v>1166</v>
      </c>
      <c r="B8263" s="802" t="s">
        <v>9378</v>
      </c>
      <c r="C8263" s="801" t="s">
        <v>656</v>
      </c>
      <c r="D8263" s="803">
        <v>21.85</v>
      </c>
    </row>
    <row r="8264" spans="1:4" ht="25.5">
      <c r="A8264" s="801">
        <v>1163</v>
      </c>
      <c r="B8264" s="802" t="s">
        <v>9379</v>
      </c>
      <c r="C8264" s="801" t="s">
        <v>656</v>
      </c>
      <c r="D8264" s="803">
        <v>5.5</v>
      </c>
    </row>
    <row r="8265" spans="1:4" ht="25.5">
      <c r="A8265" s="801">
        <v>12396</v>
      </c>
      <c r="B8265" s="802" t="s">
        <v>9380</v>
      </c>
      <c r="C8265" s="801" t="s">
        <v>656</v>
      </c>
      <c r="D8265" s="803">
        <v>4.1399999999999997</v>
      </c>
    </row>
    <row r="8266" spans="1:4" ht="25.5">
      <c r="A8266" s="801">
        <v>1168</v>
      </c>
      <c r="B8266" s="802" t="s">
        <v>9381</v>
      </c>
      <c r="C8266" s="801" t="s">
        <v>656</v>
      </c>
      <c r="D8266" s="803">
        <v>56.19</v>
      </c>
    </row>
    <row r="8267" spans="1:4" ht="25.5">
      <c r="A8267" s="801">
        <v>1167</v>
      </c>
      <c r="B8267" s="802" t="s">
        <v>9382</v>
      </c>
      <c r="C8267" s="801" t="s">
        <v>656</v>
      </c>
      <c r="D8267" s="803">
        <v>93.99</v>
      </c>
    </row>
    <row r="8268" spans="1:4">
      <c r="A8268" s="801">
        <v>36331</v>
      </c>
      <c r="B8268" s="802" t="s">
        <v>9383</v>
      </c>
      <c r="C8268" s="801" t="s">
        <v>656</v>
      </c>
      <c r="D8268" s="803">
        <v>2.02</v>
      </c>
    </row>
    <row r="8269" spans="1:4">
      <c r="A8269" s="801">
        <v>36346</v>
      </c>
      <c r="B8269" s="802" t="s">
        <v>9384</v>
      </c>
      <c r="C8269" s="801" t="s">
        <v>656</v>
      </c>
      <c r="D8269" s="803">
        <v>3.48</v>
      </c>
    </row>
    <row r="8270" spans="1:4">
      <c r="A8270" s="801">
        <v>1210</v>
      </c>
      <c r="B8270" s="802" t="s">
        <v>9385</v>
      </c>
      <c r="C8270" s="801" t="s">
        <v>656</v>
      </c>
      <c r="D8270" s="803">
        <v>12.98</v>
      </c>
    </row>
    <row r="8271" spans="1:4">
      <c r="A8271" s="801">
        <v>1203</v>
      </c>
      <c r="B8271" s="802" t="s">
        <v>9386</v>
      </c>
      <c r="C8271" s="801" t="s">
        <v>656</v>
      </c>
      <c r="D8271" s="803">
        <v>12.58</v>
      </c>
    </row>
    <row r="8272" spans="1:4">
      <c r="A8272" s="801">
        <v>1197</v>
      </c>
      <c r="B8272" s="802" t="s">
        <v>9387</v>
      </c>
      <c r="C8272" s="801" t="s">
        <v>656</v>
      </c>
      <c r="D8272" s="803">
        <v>1.61</v>
      </c>
    </row>
    <row r="8273" spans="1:4">
      <c r="A8273" s="801">
        <v>1202</v>
      </c>
      <c r="B8273" s="802" t="s">
        <v>9388</v>
      </c>
      <c r="C8273" s="801" t="s">
        <v>656</v>
      </c>
      <c r="D8273" s="803">
        <v>4.33</v>
      </c>
    </row>
    <row r="8274" spans="1:4">
      <c r="A8274" s="801">
        <v>1188</v>
      </c>
      <c r="B8274" s="802" t="s">
        <v>9389</v>
      </c>
      <c r="C8274" s="801" t="s">
        <v>656</v>
      </c>
      <c r="D8274" s="803">
        <v>25.58</v>
      </c>
    </row>
    <row r="8275" spans="1:4">
      <c r="A8275" s="801">
        <v>1211</v>
      </c>
      <c r="B8275" s="802" t="s">
        <v>9390</v>
      </c>
      <c r="C8275" s="801" t="s">
        <v>656</v>
      </c>
      <c r="D8275" s="803">
        <v>13.2</v>
      </c>
    </row>
    <row r="8276" spans="1:4">
      <c r="A8276" s="801">
        <v>1198</v>
      </c>
      <c r="B8276" s="802" t="s">
        <v>9391</v>
      </c>
      <c r="C8276" s="801" t="s">
        <v>656</v>
      </c>
      <c r="D8276" s="803">
        <v>2.38</v>
      </c>
    </row>
    <row r="8277" spans="1:4">
      <c r="A8277" s="801">
        <v>1199</v>
      </c>
      <c r="B8277" s="802" t="s">
        <v>9392</v>
      </c>
      <c r="C8277" s="801" t="s">
        <v>656</v>
      </c>
      <c r="D8277" s="803">
        <v>33.409999999999997</v>
      </c>
    </row>
    <row r="8278" spans="1:4" ht="25.5">
      <c r="A8278" s="801">
        <v>20088</v>
      </c>
      <c r="B8278" s="802" t="s">
        <v>9393</v>
      </c>
      <c r="C8278" s="801" t="s">
        <v>656</v>
      </c>
      <c r="D8278" s="803">
        <v>19.2</v>
      </c>
    </row>
    <row r="8279" spans="1:4" ht="25.5">
      <c r="A8279" s="801">
        <v>20089</v>
      </c>
      <c r="B8279" s="802" t="s">
        <v>9394</v>
      </c>
      <c r="C8279" s="801" t="s">
        <v>656</v>
      </c>
      <c r="D8279" s="803">
        <v>91.54</v>
      </c>
    </row>
    <row r="8280" spans="1:4" ht="25.5">
      <c r="A8280" s="801">
        <v>20087</v>
      </c>
      <c r="B8280" s="802" t="s">
        <v>9395</v>
      </c>
      <c r="C8280" s="801" t="s">
        <v>656</v>
      </c>
      <c r="D8280" s="803">
        <v>13.83</v>
      </c>
    </row>
    <row r="8281" spans="1:4" ht="25.5">
      <c r="A8281" s="801">
        <v>1200</v>
      </c>
      <c r="B8281" s="802" t="s">
        <v>9396</v>
      </c>
      <c r="C8281" s="801" t="s">
        <v>656</v>
      </c>
      <c r="D8281" s="803">
        <v>11.23</v>
      </c>
    </row>
    <row r="8282" spans="1:4" ht="25.5">
      <c r="A8282" s="801">
        <v>12909</v>
      </c>
      <c r="B8282" s="802" t="s">
        <v>9397</v>
      </c>
      <c r="C8282" s="801" t="s">
        <v>656</v>
      </c>
      <c r="D8282" s="803">
        <v>5.09</v>
      </c>
    </row>
    <row r="8283" spans="1:4" ht="25.5">
      <c r="A8283" s="801">
        <v>12910</v>
      </c>
      <c r="B8283" s="802" t="s">
        <v>9398</v>
      </c>
      <c r="C8283" s="801" t="s">
        <v>656</v>
      </c>
      <c r="D8283" s="803">
        <v>8.5</v>
      </c>
    </row>
    <row r="8284" spans="1:4">
      <c r="A8284" s="801">
        <v>1184</v>
      </c>
      <c r="B8284" s="802" t="s">
        <v>9399</v>
      </c>
      <c r="C8284" s="801" t="s">
        <v>656</v>
      </c>
      <c r="D8284" s="803">
        <v>82.15</v>
      </c>
    </row>
    <row r="8285" spans="1:4">
      <c r="A8285" s="801">
        <v>1191</v>
      </c>
      <c r="B8285" s="802" t="s">
        <v>9400</v>
      </c>
      <c r="C8285" s="801" t="s">
        <v>656</v>
      </c>
      <c r="D8285" s="803">
        <v>1.17</v>
      </c>
    </row>
    <row r="8286" spans="1:4">
      <c r="A8286" s="801">
        <v>1185</v>
      </c>
      <c r="B8286" s="802" t="s">
        <v>9401</v>
      </c>
      <c r="C8286" s="801" t="s">
        <v>656</v>
      </c>
      <c r="D8286" s="803">
        <v>1.33</v>
      </c>
    </row>
    <row r="8287" spans="1:4">
      <c r="A8287" s="801">
        <v>1189</v>
      </c>
      <c r="B8287" s="802" t="s">
        <v>9402</v>
      </c>
      <c r="C8287" s="801" t="s">
        <v>656</v>
      </c>
      <c r="D8287" s="803">
        <v>2.31</v>
      </c>
    </row>
    <row r="8288" spans="1:4">
      <c r="A8288" s="801">
        <v>1193</v>
      </c>
      <c r="B8288" s="802" t="s">
        <v>9403</v>
      </c>
      <c r="C8288" s="801" t="s">
        <v>656</v>
      </c>
      <c r="D8288" s="803">
        <v>4.45</v>
      </c>
    </row>
    <row r="8289" spans="1:4">
      <c r="A8289" s="801">
        <v>1194</v>
      </c>
      <c r="B8289" s="802" t="s">
        <v>9404</v>
      </c>
      <c r="C8289" s="801" t="s">
        <v>656</v>
      </c>
      <c r="D8289" s="803">
        <v>8.42</v>
      </c>
    </row>
    <row r="8290" spans="1:4">
      <c r="A8290" s="801">
        <v>1195</v>
      </c>
      <c r="B8290" s="802" t="s">
        <v>9405</v>
      </c>
      <c r="C8290" s="801" t="s">
        <v>656</v>
      </c>
      <c r="D8290" s="803">
        <v>12.67</v>
      </c>
    </row>
    <row r="8291" spans="1:4">
      <c r="A8291" s="801">
        <v>1204</v>
      </c>
      <c r="B8291" s="802" t="s">
        <v>9406</v>
      </c>
      <c r="C8291" s="801" t="s">
        <v>656</v>
      </c>
      <c r="D8291" s="803">
        <v>23.04</v>
      </c>
    </row>
    <row r="8292" spans="1:4">
      <c r="A8292" s="801">
        <v>1205</v>
      </c>
      <c r="B8292" s="802" t="s">
        <v>9407</v>
      </c>
      <c r="C8292" s="801" t="s">
        <v>656</v>
      </c>
      <c r="D8292" s="803">
        <v>54.66</v>
      </c>
    </row>
    <row r="8293" spans="1:4" ht="25.5">
      <c r="A8293" s="801">
        <v>1207</v>
      </c>
      <c r="B8293" s="802" t="s">
        <v>9408</v>
      </c>
      <c r="C8293" s="801" t="s">
        <v>656</v>
      </c>
      <c r="D8293" s="803">
        <v>40.94</v>
      </c>
    </row>
    <row r="8294" spans="1:4" ht="25.5">
      <c r="A8294" s="801">
        <v>1206</v>
      </c>
      <c r="B8294" s="802" t="s">
        <v>9409</v>
      </c>
      <c r="C8294" s="801" t="s">
        <v>656</v>
      </c>
      <c r="D8294" s="803">
        <v>10.27</v>
      </c>
    </row>
    <row r="8295" spans="1:4" ht="25.5">
      <c r="A8295" s="801">
        <v>1183</v>
      </c>
      <c r="B8295" s="802" t="s">
        <v>9410</v>
      </c>
      <c r="C8295" s="801" t="s">
        <v>656</v>
      </c>
      <c r="D8295" s="803">
        <v>26.74</v>
      </c>
    </row>
    <row r="8296" spans="1:4" ht="25.5">
      <c r="A8296" s="801">
        <v>42685</v>
      </c>
      <c r="B8296" s="802" t="s">
        <v>9411</v>
      </c>
      <c r="C8296" s="801" t="s">
        <v>656</v>
      </c>
      <c r="D8296" s="803">
        <v>97.8</v>
      </c>
    </row>
    <row r="8297" spans="1:4" ht="25.5">
      <c r="A8297" s="801">
        <v>42686</v>
      </c>
      <c r="B8297" s="802" t="s">
        <v>9412</v>
      </c>
      <c r="C8297" s="801" t="s">
        <v>656</v>
      </c>
      <c r="D8297" s="803">
        <v>152.27000000000001</v>
      </c>
    </row>
    <row r="8298" spans="1:4" ht="25.5">
      <c r="A8298" s="801">
        <v>12894</v>
      </c>
      <c r="B8298" s="802" t="s">
        <v>9413</v>
      </c>
      <c r="C8298" s="801" t="s">
        <v>656</v>
      </c>
      <c r="D8298" s="803">
        <v>26</v>
      </c>
    </row>
    <row r="8299" spans="1:4" ht="25.5">
      <c r="A8299" s="801">
        <v>12895</v>
      </c>
      <c r="B8299" s="802" t="s">
        <v>9414</v>
      </c>
      <c r="C8299" s="801" t="s">
        <v>656</v>
      </c>
      <c r="D8299" s="803">
        <v>20</v>
      </c>
    </row>
    <row r="8300" spans="1:4" ht="38.25">
      <c r="A8300" s="801">
        <v>1631</v>
      </c>
      <c r="B8300" s="802" t="s">
        <v>9415</v>
      </c>
      <c r="C8300" s="801" t="s">
        <v>656</v>
      </c>
      <c r="D8300" s="803">
        <v>152.75</v>
      </c>
    </row>
    <row r="8301" spans="1:4" ht="38.25">
      <c r="A8301" s="801">
        <v>1633</v>
      </c>
      <c r="B8301" s="802" t="s">
        <v>9416</v>
      </c>
      <c r="C8301" s="801" t="s">
        <v>656</v>
      </c>
      <c r="D8301" s="803">
        <v>259.52999999999997</v>
      </c>
    </row>
    <row r="8302" spans="1:4" ht="25.5">
      <c r="A8302" s="801">
        <v>10818</v>
      </c>
      <c r="B8302" s="802" t="s">
        <v>9417</v>
      </c>
      <c r="C8302" s="801" t="s">
        <v>653</v>
      </c>
      <c r="D8302" s="803">
        <v>49.28</v>
      </c>
    </row>
    <row r="8303" spans="1:4" ht="25.5">
      <c r="A8303" s="801">
        <v>41410</v>
      </c>
      <c r="B8303" s="802" t="s">
        <v>9418</v>
      </c>
      <c r="C8303" s="801" t="s">
        <v>656</v>
      </c>
      <c r="D8303" s="803">
        <v>76.72</v>
      </c>
    </row>
    <row r="8304" spans="1:4" ht="25.5">
      <c r="A8304" s="801">
        <v>41411</v>
      </c>
      <c r="B8304" s="802" t="s">
        <v>9419</v>
      </c>
      <c r="C8304" s="801" t="s">
        <v>656</v>
      </c>
      <c r="D8304" s="803">
        <v>69.55</v>
      </c>
    </row>
    <row r="8305" spans="1:4" ht="25.5">
      <c r="A8305" s="801">
        <v>41412</v>
      </c>
      <c r="B8305" s="802" t="s">
        <v>9420</v>
      </c>
      <c r="C8305" s="801" t="s">
        <v>656</v>
      </c>
      <c r="D8305" s="803">
        <v>134.53</v>
      </c>
    </row>
    <row r="8306" spans="1:4" ht="25.5">
      <c r="A8306" s="801">
        <v>41413</v>
      </c>
      <c r="B8306" s="802" t="s">
        <v>9421</v>
      </c>
      <c r="C8306" s="801" t="s">
        <v>656</v>
      </c>
      <c r="D8306" s="803">
        <v>121.05</v>
      </c>
    </row>
    <row r="8307" spans="1:4" ht="51">
      <c r="A8307" s="801">
        <v>39359</v>
      </c>
      <c r="B8307" s="802" t="s">
        <v>9422</v>
      </c>
      <c r="C8307" s="801" t="s">
        <v>656</v>
      </c>
      <c r="D8307" s="803">
        <v>35.25</v>
      </c>
    </row>
    <row r="8308" spans="1:4" ht="51">
      <c r="A8308" s="801">
        <v>39360</v>
      </c>
      <c r="B8308" s="802" t="s">
        <v>9423</v>
      </c>
      <c r="C8308" s="801" t="s">
        <v>656</v>
      </c>
      <c r="D8308" s="803">
        <v>32.04</v>
      </c>
    </row>
    <row r="8309" spans="1:4" ht="25.5">
      <c r="A8309" s="801">
        <v>10710</v>
      </c>
      <c r="B8309" s="802" t="s">
        <v>9424</v>
      </c>
      <c r="C8309" s="801" t="s">
        <v>661</v>
      </c>
      <c r="D8309" s="803">
        <v>123.27</v>
      </c>
    </row>
    <row r="8310" spans="1:4" ht="25.5">
      <c r="A8310" s="801">
        <v>10709</v>
      </c>
      <c r="B8310" s="802" t="s">
        <v>9425</v>
      </c>
      <c r="C8310" s="801" t="s">
        <v>661</v>
      </c>
      <c r="D8310" s="803">
        <v>151.44</v>
      </c>
    </row>
    <row r="8311" spans="1:4" ht="25.5">
      <c r="A8311" s="801">
        <v>39636</v>
      </c>
      <c r="B8311" s="802" t="s">
        <v>9426</v>
      </c>
      <c r="C8311" s="801" t="s">
        <v>661</v>
      </c>
      <c r="D8311" s="803">
        <v>154.63999999999999</v>
      </c>
    </row>
    <row r="8312" spans="1:4" ht="25.5">
      <c r="A8312" s="801">
        <v>10708</v>
      </c>
      <c r="B8312" s="802" t="s">
        <v>9427</v>
      </c>
      <c r="C8312" s="801" t="s">
        <v>661</v>
      </c>
      <c r="D8312" s="803">
        <v>47.72</v>
      </c>
    </row>
    <row r="8313" spans="1:4" ht="25.5">
      <c r="A8313" s="801">
        <v>39635</v>
      </c>
      <c r="B8313" s="802" t="s">
        <v>9428</v>
      </c>
      <c r="C8313" s="801" t="s">
        <v>661</v>
      </c>
      <c r="D8313" s="803">
        <v>81.239999999999995</v>
      </c>
    </row>
    <row r="8314" spans="1:4">
      <c r="A8314" s="801">
        <v>6117</v>
      </c>
      <c r="B8314" s="802" t="s">
        <v>13447</v>
      </c>
      <c r="C8314" s="801" t="s">
        <v>659</v>
      </c>
      <c r="D8314" s="803">
        <v>11.05</v>
      </c>
    </row>
    <row r="8315" spans="1:4">
      <c r="A8315" s="801">
        <v>40913</v>
      </c>
      <c r="B8315" s="802" t="s">
        <v>9429</v>
      </c>
      <c r="C8315" s="801" t="s">
        <v>772</v>
      </c>
      <c r="D8315" s="803">
        <v>1953.43</v>
      </c>
    </row>
    <row r="8316" spans="1:4">
      <c r="A8316" s="801">
        <v>1214</v>
      </c>
      <c r="B8316" s="802" t="s">
        <v>13448</v>
      </c>
      <c r="C8316" s="801" t="s">
        <v>659</v>
      </c>
      <c r="D8316" s="803">
        <v>12.91</v>
      </c>
    </row>
    <row r="8317" spans="1:4">
      <c r="A8317" s="801">
        <v>40915</v>
      </c>
      <c r="B8317" s="802" t="s">
        <v>9430</v>
      </c>
      <c r="C8317" s="801" t="s">
        <v>772</v>
      </c>
      <c r="D8317" s="803">
        <v>2282.9699999999998</v>
      </c>
    </row>
    <row r="8318" spans="1:4">
      <c r="A8318" s="801">
        <v>1213</v>
      </c>
      <c r="B8318" s="802" t="s">
        <v>13449</v>
      </c>
      <c r="C8318" s="801" t="s">
        <v>659</v>
      </c>
      <c r="D8318" s="803">
        <v>13.73</v>
      </c>
    </row>
    <row r="8319" spans="1:4">
      <c r="A8319" s="801">
        <v>40914</v>
      </c>
      <c r="B8319" s="802" t="s">
        <v>9431</v>
      </c>
      <c r="C8319" s="801" t="s">
        <v>772</v>
      </c>
      <c r="D8319" s="803">
        <v>2424.4299999999998</v>
      </c>
    </row>
    <row r="8320" spans="1:4" ht="25.5">
      <c r="A8320" s="801">
        <v>5091</v>
      </c>
      <c r="B8320" s="802" t="s">
        <v>9432</v>
      </c>
      <c r="C8320" s="801" t="s">
        <v>656</v>
      </c>
      <c r="D8320" s="803">
        <v>20.98</v>
      </c>
    </row>
    <row r="8321" spans="1:4" ht="38.25">
      <c r="A8321" s="801">
        <v>14615</v>
      </c>
      <c r="B8321" s="802" t="s">
        <v>9433</v>
      </c>
      <c r="C8321" s="801" t="s">
        <v>656</v>
      </c>
      <c r="D8321" s="803">
        <v>4042.13</v>
      </c>
    </row>
    <row r="8322" spans="1:4" ht="25.5">
      <c r="A8322" s="801">
        <v>2711</v>
      </c>
      <c r="B8322" s="802" t="s">
        <v>9434</v>
      </c>
      <c r="C8322" s="801" t="s">
        <v>656</v>
      </c>
      <c r="D8322" s="803">
        <v>185.45</v>
      </c>
    </row>
    <row r="8323" spans="1:4" ht="38.25">
      <c r="A8323" s="801">
        <v>37727</v>
      </c>
      <c r="B8323" s="802" t="s">
        <v>9435</v>
      </c>
      <c r="C8323" s="801" t="s">
        <v>656</v>
      </c>
      <c r="D8323" s="803">
        <v>17387.59</v>
      </c>
    </row>
    <row r="8324" spans="1:4" ht="38.25">
      <c r="A8324" s="801">
        <v>37728</v>
      </c>
      <c r="B8324" s="802" t="s">
        <v>9436</v>
      </c>
      <c r="C8324" s="801" t="s">
        <v>656</v>
      </c>
      <c r="D8324" s="803">
        <v>23588.75</v>
      </c>
    </row>
    <row r="8325" spans="1:4" ht="38.25">
      <c r="A8325" s="801">
        <v>37729</v>
      </c>
      <c r="B8325" s="802" t="s">
        <v>9437</v>
      </c>
      <c r="C8325" s="801" t="s">
        <v>656</v>
      </c>
      <c r="D8325" s="803">
        <v>25534.22</v>
      </c>
    </row>
    <row r="8326" spans="1:4" ht="38.25">
      <c r="A8326" s="801">
        <v>37730</v>
      </c>
      <c r="B8326" s="802" t="s">
        <v>9438</v>
      </c>
      <c r="C8326" s="801" t="s">
        <v>656</v>
      </c>
      <c r="D8326" s="803">
        <v>27479.68</v>
      </c>
    </row>
    <row r="8327" spans="1:4" ht="38.25">
      <c r="A8327" s="801">
        <v>37731</v>
      </c>
      <c r="B8327" s="802" t="s">
        <v>9439</v>
      </c>
      <c r="C8327" s="801" t="s">
        <v>656</v>
      </c>
      <c r="D8327" s="803">
        <v>29425.15</v>
      </c>
    </row>
    <row r="8328" spans="1:4" ht="38.25">
      <c r="A8328" s="801">
        <v>37732</v>
      </c>
      <c r="B8328" s="802" t="s">
        <v>9440</v>
      </c>
      <c r="C8328" s="801" t="s">
        <v>656</v>
      </c>
      <c r="D8328" s="803">
        <v>33559.26</v>
      </c>
    </row>
    <row r="8329" spans="1:4" ht="38.25">
      <c r="A8329" s="801">
        <v>42256</v>
      </c>
      <c r="B8329" s="802" t="s">
        <v>9441</v>
      </c>
      <c r="C8329" s="801" t="s">
        <v>653</v>
      </c>
      <c r="D8329" s="803">
        <v>6.38</v>
      </c>
    </row>
    <row r="8330" spans="1:4" ht="38.25">
      <c r="A8330" s="801">
        <v>42250</v>
      </c>
      <c r="B8330" s="802" t="s">
        <v>9442</v>
      </c>
      <c r="C8330" s="801" t="s">
        <v>662</v>
      </c>
      <c r="D8330" s="803">
        <v>2873.71</v>
      </c>
    </row>
    <row r="8331" spans="1:4">
      <c r="A8331" s="801">
        <v>4743</v>
      </c>
      <c r="B8331" s="802" t="s">
        <v>9443</v>
      </c>
      <c r="C8331" s="801" t="s">
        <v>654</v>
      </c>
      <c r="D8331" s="803">
        <v>49.21</v>
      </c>
    </row>
    <row r="8332" spans="1:4">
      <c r="A8332" s="801">
        <v>4744</v>
      </c>
      <c r="B8332" s="802" t="s">
        <v>9444</v>
      </c>
      <c r="C8332" s="801" t="s">
        <v>654</v>
      </c>
      <c r="D8332" s="803">
        <v>78.739999999999995</v>
      </c>
    </row>
    <row r="8333" spans="1:4">
      <c r="A8333" s="801">
        <v>4745</v>
      </c>
      <c r="B8333" s="802" t="s">
        <v>9445</v>
      </c>
      <c r="C8333" s="801" t="s">
        <v>654</v>
      </c>
      <c r="D8333" s="803">
        <v>94.44</v>
      </c>
    </row>
    <row r="8334" spans="1:4" ht="51">
      <c r="A8334" s="801">
        <v>36496</v>
      </c>
      <c r="B8334" s="802" t="s">
        <v>9446</v>
      </c>
      <c r="C8334" s="801" t="s">
        <v>656</v>
      </c>
      <c r="D8334" s="803">
        <v>10262.9</v>
      </c>
    </row>
    <row r="8335" spans="1:4" ht="38.25">
      <c r="A8335" s="801">
        <v>10630</v>
      </c>
      <c r="B8335" s="802" t="s">
        <v>9447</v>
      </c>
      <c r="C8335" s="801" t="s">
        <v>656</v>
      </c>
      <c r="D8335" s="803">
        <v>665688.84</v>
      </c>
    </row>
    <row r="8336" spans="1:4" ht="51">
      <c r="A8336" s="801">
        <v>37762</v>
      </c>
      <c r="B8336" s="802" t="s">
        <v>9448</v>
      </c>
      <c r="C8336" s="801" t="s">
        <v>656</v>
      </c>
      <c r="D8336" s="803">
        <v>570920.76</v>
      </c>
    </row>
    <row r="8337" spans="1:4" ht="51">
      <c r="A8337" s="801">
        <v>37763</v>
      </c>
      <c r="B8337" s="802" t="s">
        <v>9449</v>
      </c>
      <c r="C8337" s="801" t="s">
        <v>656</v>
      </c>
      <c r="D8337" s="803">
        <v>577854.92000000004</v>
      </c>
    </row>
    <row r="8338" spans="1:4" ht="38.25">
      <c r="A8338" s="801">
        <v>41992</v>
      </c>
      <c r="B8338" s="802" t="s">
        <v>9450</v>
      </c>
      <c r="C8338" s="801" t="s">
        <v>656</v>
      </c>
      <c r="D8338" s="803">
        <v>656905.56000000006</v>
      </c>
    </row>
    <row r="8339" spans="1:4" ht="38.25">
      <c r="A8339" s="801">
        <v>13215</v>
      </c>
      <c r="B8339" s="802" t="s">
        <v>9451</v>
      </c>
      <c r="C8339" s="801" t="s">
        <v>656</v>
      </c>
      <c r="D8339" s="803">
        <v>805529.78</v>
      </c>
    </row>
    <row r="8340" spans="1:4">
      <c r="A8340" s="801">
        <v>4235</v>
      </c>
      <c r="B8340" s="802" t="s">
        <v>9452</v>
      </c>
      <c r="C8340" s="801" t="s">
        <v>659</v>
      </c>
      <c r="D8340" s="803">
        <v>8.44</v>
      </c>
    </row>
    <row r="8341" spans="1:4" ht="25.5">
      <c r="A8341" s="801">
        <v>40976</v>
      </c>
      <c r="B8341" s="802" t="s">
        <v>9453</v>
      </c>
      <c r="C8341" s="801" t="s">
        <v>772</v>
      </c>
      <c r="D8341" s="803">
        <v>1492.09</v>
      </c>
    </row>
    <row r="8342" spans="1:4" ht="25.5">
      <c r="A8342" s="801">
        <v>39013</v>
      </c>
      <c r="B8342" s="802" t="s">
        <v>9454</v>
      </c>
      <c r="C8342" s="801" t="s">
        <v>656</v>
      </c>
      <c r="D8342" s="803">
        <v>1.47</v>
      </c>
    </row>
    <row r="8343" spans="1:4" ht="51">
      <c r="A8343" s="801">
        <v>43091</v>
      </c>
      <c r="B8343" s="802" t="s">
        <v>9455</v>
      </c>
      <c r="C8343" s="801" t="s">
        <v>656</v>
      </c>
      <c r="D8343" s="803">
        <v>5873.97</v>
      </c>
    </row>
    <row r="8344" spans="1:4" ht="51">
      <c r="A8344" s="801">
        <v>43092</v>
      </c>
      <c r="B8344" s="802" t="s">
        <v>9456</v>
      </c>
      <c r="C8344" s="801" t="s">
        <v>656</v>
      </c>
      <c r="D8344" s="803">
        <v>7831.96</v>
      </c>
    </row>
    <row r="8345" spans="1:4" ht="51">
      <c r="A8345" s="801">
        <v>43089</v>
      </c>
      <c r="B8345" s="802" t="s">
        <v>9457</v>
      </c>
      <c r="C8345" s="801" t="s">
        <v>656</v>
      </c>
      <c r="D8345" s="803">
        <v>1364.94</v>
      </c>
    </row>
    <row r="8346" spans="1:4" ht="51">
      <c r="A8346" s="801">
        <v>43090</v>
      </c>
      <c r="B8346" s="802" t="s">
        <v>9458</v>
      </c>
      <c r="C8346" s="801" t="s">
        <v>656</v>
      </c>
      <c r="D8346" s="803">
        <v>3012.29</v>
      </c>
    </row>
    <row r="8347" spans="1:4">
      <c r="A8347" s="801">
        <v>41967</v>
      </c>
      <c r="B8347" s="802" t="s">
        <v>9459</v>
      </c>
      <c r="C8347" s="801" t="s">
        <v>655</v>
      </c>
      <c r="D8347" s="803">
        <v>14.59</v>
      </c>
    </row>
    <row r="8348" spans="1:4" ht="25.5">
      <c r="A8348" s="801">
        <v>12760</v>
      </c>
      <c r="B8348" s="802" t="s">
        <v>9460</v>
      </c>
      <c r="C8348" s="801" t="s">
        <v>661</v>
      </c>
      <c r="D8348" s="803">
        <v>1663.09</v>
      </c>
    </row>
    <row r="8349" spans="1:4" ht="25.5">
      <c r="A8349" s="801">
        <v>12759</v>
      </c>
      <c r="B8349" s="802" t="s">
        <v>9461</v>
      </c>
      <c r="C8349" s="801" t="s">
        <v>661</v>
      </c>
      <c r="D8349" s="803">
        <v>1108.71</v>
      </c>
    </row>
    <row r="8350" spans="1:4" ht="38.25">
      <c r="A8350" s="801">
        <v>43105</v>
      </c>
      <c r="B8350" s="802" t="s">
        <v>9462</v>
      </c>
      <c r="C8350" s="801" t="s">
        <v>653</v>
      </c>
      <c r="D8350" s="803">
        <v>45.62</v>
      </c>
    </row>
    <row r="8351" spans="1:4" ht="25.5">
      <c r="A8351" s="801">
        <v>40424</v>
      </c>
      <c r="B8351" s="802" t="s">
        <v>9463</v>
      </c>
      <c r="C8351" s="801" t="s">
        <v>653</v>
      </c>
      <c r="D8351" s="803">
        <v>11.59</v>
      </c>
    </row>
    <row r="8352" spans="1:4" ht="25.5">
      <c r="A8352" s="801">
        <v>1325</v>
      </c>
      <c r="B8352" s="802" t="s">
        <v>9464</v>
      </c>
      <c r="C8352" s="801" t="s">
        <v>653</v>
      </c>
      <c r="D8352" s="803">
        <v>12.69</v>
      </c>
    </row>
    <row r="8353" spans="1:4" ht="25.5">
      <c r="A8353" s="801">
        <v>1327</v>
      </c>
      <c r="B8353" s="802" t="s">
        <v>9465</v>
      </c>
      <c r="C8353" s="801" t="s">
        <v>653</v>
      </c>
      <c r="D8353" s="803">
        <v>13.52</v>
      </c>
    </row>
    <row r="8354" spans="1:4" ht="25.5">
      <c r="A8354" s="801">
        <v>1328</v>
      </c>
      <c r="B8354" s="802" t="s">
        <v>9466</v>
      </c>
      <c r="C8354" s="801" t="s">
        <v>653</v>
      </c>
      <c r="D8354" s="803">
        <v>12.72</v>
      </c>
    </row>
    <row r="8355" spans="1:4" ht="25.5">
      <c r="A8355" s="801">
        <v>1321</v>
      </c>
      <c r="B8355" s="802" t="s">
        <v>9467</v>
      </c>
      <c r="C8355" s="801" t="s">
        <v>653</v>
      </c>
      <c r="D8355" s="803">
        <v>11.78</v>
      </c>
    </row>
    <row r="8356" spans="1:4" ht="25.5">
      <c r="A8356" s="801">
        <v>1318</v>
      </c>
      <c r="B8356" s="802" t="s">
        <v>9468</v>
      </c>
      <c r="C8356" s="801" t="s">
        <v>653</v>
      </c>
      <c r="D8356" s="803">
        <v>11.79</v>
      </c>
    </row>
    <row r="8357" spans="1:4" ht="25.5">
      <c r="A8357" s="801">
        <v>1322</v>
      </c>
      <c r="B8357" s="802" t="s">
        <v>9469</v>
      </c>
      <c r="C8357" s="801" t="s">
        <v>653</v>
      </c>
      <c r="D8357" s="803">
        <v>12.46</v>
      </c>
    </row>
    <row r="8358" spans="1:4" ht="25.5">
      <c r="A8358" s="801">
        <v>1323</v>
      </c>
      <c r="B8358" s="802" t="s">
        <v>9470</v>
      </c>
      <c r="C8358" s="801" t="s">
        <v>653</v>
      </c>
      <c r="D8358" s="803">
        <v>12.46</v>
      </c>
    </row>
    <row r="8359" spans="1:4" ht="25.5">
      <c r="A8359" s="801">
        <v>1319</v>
      </c>
      <c r="B8359" s="802" t="s">
        <v>9471</v>
      </c>
      <c r="C8359" s="801" t="s">
        <v>653</v>
      </c>
      <c r="D8359" s="803">
        <v>10.5</v>
      </c>
    </row>
    <row r="8360" spans="1:4" ht="25.5">
      <c r="A8360" s="801">
        <v>11026</v>
      </c>
      <c r="B8360" s="802" t="s">
        <v>9472</v>
      </c>
      <c r="C8360" s="801" t="s">
        <v>653</v>
      </c>
      <c r="D8360" s="803">
        <v>14.44</v>
      </c>
    </row>
    <row r="8361" spans="1:4" ht="25.5">
      <c r="A8361" s="801">
        <v>11027</v>
      </c>
      <c r="B8361" s="802" t="s">
        <v>9473</v>
      </c>
      <c r="C8361" s="801" t="s">
        <v>653</v>
      </c>
      <c r="D8361" s="803">
        <v>15.03</v>
      </c>
    </row>
    <row r="8362" spans="1:4" ht="25.5">
      <c r="A8362" s="801">
        <v>11046</v>
      </c>
      <c r="B8362" s="802" t="s">
        <v>9474</v>
      </c>
      <c r="C8362" s="801" t="s">
        <v>653</v>
      </c>
      <c r="D8362" s="803">
        <v>14.4</v>
      </c>
    </row>
    <row r="8363" spans="1:4" ht="25.5">
      <c r="A8363" s="801">
        <v>11047</v>
      </c>
      <c r="B8363" s="802" t="s">
        <v>9475</v>
      </c>
      <c r="C8363" s="801" t="s">
        <v>653</v>
      </c>
      <c r="D8363" s="803">
        <v>15.69</v>
      </c>
    </row>
    <row r="8364" spans="1:4" ht="25.5">
      <c r="A8364" s="801">
        <v>43668</v>
      </c>
      <c r="B8364" s="802" t="s">
        <v>9476</v>
      </c>
      <c r="C8364" s="801" t="s">
        <v>653</v>
      </c>
      <c r="D8364" s="803">
        <v>13.85</v>
      </c>
    </row>
    <row r="8365" spans="1:4" ht="25.5">
      <c r="A8365" s="801">
        <v>11049</v>
      </c>
      <c r="B8365" s="802" t="s">
        <v>9477</v>
      </c>
      <c r="C8365" s="801" t="s">
        <v>653</v>
      </c>
      <c r="D8365" s="803">
        <v>15</v>
      </c>
    </row>
    <row r="8366" spans="1:4" ht="25.5">
      <c r="A8366" s="801">
        <v>43106</v>
      </c>
      <c r="B8366" s="802" t="s">
        <v>9478</v>
      </c>
      <c r="C8366" s="801" t="s">
        <v>653</v>
      </c>
      <c r="D8366" s="803">
        <v>15.09</v>
      </c>
    </row>
    <row r="8367" spans="1:4" ht="25.5">
      <c r="A8367" s="801">
        <v>11051</v>
      </c>
      <c r="B8367" s="802" t="s">
        <v>9479</v>
      </c>
      <c r="C8367" s="801" t="s">
        <v>653</v>
      </c>
      <c r="D8367" s="803">
        <v>15.75</v>
      </c>
    </row>
    <row r="8368" spans="1:4" ht="25.5">
      <c r="A8368" s="801">
        <v>11061</v>
      </c>
      <c r="B8368" s="802" t="s">
        <v>9480</v>
      </c>
      <c r="C8368" s="801" t="s">
        <v>653</v>
      </c>
      <c r="D8368" s="803">
        <v>18.899999999999999</v>
      </c>
    </row>
    <row r="8369" spans="1:4" ht="25.5">
      <c r="A8369" s="801">
        <v>43667</v>
      </c>
      <c r="B8369" s="802" t="s">
        <v>9481</v>
      </c>
      <c r="C8369" s="801" t="s">
        <v>653</v>
      </c>
      <c r="D8369" s="803">
        <v>13.73</v>
      </c>
    </row>
    <row r="8370" spans="1:4" ht="25.5">
      <c r="A8370" s="801">
        <v>1333</v>
      </c>
      <c r="B8370" s="802" t="s">
        <v>9482</v>
      </c>
      <c r="C8370" s="801" t="s">
        <v>653</v>
      </c>
      <c r="D8370" s="803">
        <v>11.44</v>
      </c>
    </row>
    <row r="8371" spans="1:4" ht="25.5">
      <c r="A8371" s="801">
        <v>1330</v>
      </c>
      <c r="B8371" s="802" t="s">
        <v>9483</v>
      </c>
      <c r="C8371" s="801" t="s">
        <v>653</v>
      </c>
      <c r="D8371" s="803">
        <v>11.33</v>
      </c>
    </row>
    <row r="8372" spans="1:4" ht="25.5">
      <c r="A8372" s="801">
        <v>10957</v>
      </c>
      <c r="B8372" s="802" t="s">
        <v>9484</v>
      </c>
      <c r="C8372" s="801" t="s">
        <v>653</v>
      </c>
      <c r="D8372" s="803">
        <v>13.07</v>
      </c>
    </row>
    <row r="8373" spans="1:4" ht="25.5">
      <c r="A8373" s="801">
        <v>1332</v>
      </c>
      <c r="B8373" s="802" t="s">
        <v>9485</v>
      </c>
      <c r="C8373" s="801" t="s">
        <v>653</v>
      </c>
      <c r="D8373" s="803">
        <v>11.62</v>
      </c>
    </row>
    <row r="8374" spans="1:4" ht="25.5">
      <c r="A8374" s="801">
        <v>1334</v>
      </c>
      <c r="B8374" s="802" t="s">
        <v>9486</v>
      </c>
      <c r="C8374" s="801" t="s">
        <v>653</v>
      </c>
      <c r="D8374" s="803">
        <v>12.88</v>
      </c>
    </row>
    <row r="8375" spans="1:4" ht="25.5">
      <c r="A8375" s="801">
        <v>1335</v>
      </c>
      <c r="B8375" s="802" t="s">
        <v>9487</v>
      </c>
      <c r="C8375" s="801" t="s">
        <v>653</v>
      </c>
      <c r="D8375" s="803">
        <v>13.31</v>
      </c>
    </row>
    <row r="8376" spans="1:4" ht="25.5">
      <c r="A8376" s="801">
        <v>40425</v>
      </c>
      <c r="B8376" s="802" t="s">
        <v>9488</v>
      </c>
      <c r="C8376" s="801" t="s">
        <v>653</v>
      </c>
      <c r="D8376" s="803">
        <v>11.4</v>
      </c>
    </row>
    <row r="8377" spans="1:4" ht="25.5">
      <c r="A8377" s="801">
        <v>1337</v>
      </c>
      <c r="B8377" s="802" t="s">
        <v>9489</v>
      </c>
      <c r="C8377" s="801" t="s">
        <v>653</v>
      </c>
      <c r="D8377" s="803">
        <v>13.07</v>
      </c>
    </row>
    <row r="8378" spans="1:4" ht="25.5">
      <c r="A8378" s="801">
        <v>1338</v>
      </c>
      <c r="B8378" s="802" t="s">
        <v>9490</v>
      </c>
      <c r="C8378" s="801" t="s">
        <v>661</v>
      </c>
      <c r="D8378" s="803">
        <v>46.07</v>
      </c>
    </row>
    <row r="8379" spans="1:4" ht="25.5">
      <c r="A8379" s="801">
        <v>1340</v>
      </c>
      <c r="B8379" s="802" t="s">
        <v>9491</v>
      </c>
      <c r="C8379" s="801" t="s">
        <v>661</v>
      </c>
      <c r="D8379" s="803">
        <v>53.26</v>
      </c>
    </row>
    <row r="8380" spans="1:4" ht="25.5">
      <c r="A8380" s="801">
        <v>1341</v>
      </c>
      <c r="B8380" s="802" t="s">
        <v>9492</v>
      </c>
      <c r="C8380" s="801" t="s">
        <v>661</v>
      </c>
      <c r="D8380" s="803">
        <v>51.3</v>
      </c>
    </row>
    <row r="8381" spans="1:4" ht="25.5">
      <c r="A8381" s="801">
        <v>34659</v>
      </c>
      <c r="B8381" s="802" t="s">
        <v>9493</v>
      </c>
      <c r="C8381" s="801" t="s">
        <v>661</v>
      </c>
      <c r="D8381" s="803">
        <v>50.44</v>
      </c>
    </row>
    <row r="8382" spans="1:4" ht="25.5">
      <c r="A8382" s="801">
        <v>34514</v>
      </c>
      <c r="B8382" s="802" t="s">
        <v>9494</v>
      </c>
      <c r="C8382" s="801" t="s">
        <v>661</v>
      </c>
      <c r="D8382" s="803">
        <v>55.87</v>
      </c>
    </row>
    <row r="8383" spans="1:4" ht="25.5">
      <c r="A8383" s="801">
        <v>34660</v>
      </c>
      <c r="B8383" s="802" t="s">
        <v>9495</v>
      </c>
      <c r="C8383" s="801" t="s">
        <v>661</v>
      </c>
      <c r="D8383" s="803">
        <v>70.900000000000006</v>
      </c>
    </row>
    <row r="8384" spans="1:4" ht="25.5">
      <c r="A8384" s="801">
        <v>34661</v>
      </c>
      <c r="B8384" s="802" t="s">
        <v>9496</v>
      </c>
      <c r="C8384" s="801" t="s">
        <v>661</v>
      </c>
      <c r="D8384" s="803">
        <v>101.84</v>
      </c>
    </row>
    <row r="8385" spans="1:4">
      <c r="A8385" s="801">
        <v>34667</v>
      </c>
      <c r="B8385" s="802" t="s">
        <v>9497</v>
      </c>
      <c r="C8385" s="801" t="s">
        <v>661</v>
      </c>
      <c r="D8385" s="803">
        <v>36.880000000000003</v>
      </c>
    </row>
    <row r="8386" spans="1:4">
      <c r="A8386" s="801">
        <v>34668</v>
      </c>
      <c r="B8386" s="802" t="s">
        <v>9498</v>
      </c>
      <c r="C8386" s="801" t="s">
        <v>661</v>
      </c>
      <c r="D8386" s="803">
        <v>48.19</v>
      </c>
    </row>
    <row r="8387" spans="1:4" ht="25.5">
      <c r="A8387" s="801">
        <v>34741</v>
      </c>
      <c r="B8387" s="802" t="s">
        <v>9499</v>
      </c>
      <c r="C8387" s="801" t="s">
        <v>661</v>
      </c>
      <c r="D8387" s="803">
        <v>53.02</v>
      </c>
    </row>
    <row r="8388" spans="1:4" ht="25.5">
      <c r="A8388" s="801">
        <v>34664</v>
      </c>
      <c r="B8388" s="802" t="s">
        <v>9500</v>
      </c>
      <c r="C8388" s="801" t="s">
        <v>661</v>
      </c>
      <c r="D8388" s="803">
        <v>57.86</v>
      </c>
    </row>
    <row r="8389" spans="1:4" ht="25.5">
      <c r="A8389" s="801">
        <v>34665</v>
      </c>
      <c r="B8389" s="802" t="s">
        <v>9501</v>
      </c>
      <c r="C8389" s="801" t="s">
        <v>661</v>
      </c>
      <c r="D8389" s="803">
        <v>71.83</v>
      </c>
    </row>
    <row r="8390" spans="1:4" ht="25.5">
      <c r="A8390" s="801">
        <v>34666</v>
      </c>
      <c r="B8390" s="802" t="s">
        <v>9502</v>
      </c>
      <c r="C8390" s="801" t="s">
        <v>661</v>
      </c>
      <c r="D8390" s="803">
        <v>108.5</v>
      </c>
    </row>
    <row r="8391" spans="1:4" ht="25.5">
      <c r="A8391" s="801">
        <v>34669</v>
      </c>
      <c r="B8391" s="802" t="s">
        <v>9503</v>
      </c>
      <c r="C8391" s="801" t="s">
        <v>661</v>
      </c>
      <c r="D8391" s="803">
        <v>39.78</v>
      </c>
    </row>
    <row r="8392" spans="1:4" ht="25.5">
      <c r="A8392" s="801">
        <v>34670</v>
      </c>
      <c r="B8392" s="802" t="s">
        <v>9504</v>
      </c>
      <c r="C8392" s="801" t="s">
        <v>661</v>
      </c>
      <c r="D8392" s="803">
        <v>48.66</v>
      </c>
    </row>
    <row r="8393" spans="1:4">
      <c r="A8393" s="801">
        <v>34671</v>
      </c>
      <c r="B8393" s="802" t="s">
        <v>9505</v>
      </c>
      <c r="C8393" s="801" t="s">
        <v>661</v>
      </c>
      <c r="D8393" s="803">
        <v>40.61</v>
      </c>
    </row>
    <row r="8394" spans="1:4">
      <c r="A8394" s="801">
        <v>34672</v>
      </c>
      <c r="B8394" s="802" t="s">
        <v>9506</v>
      </c>
      <c r="C8394" s="801" t="s">
        <v>661</v>
      </c>
      <c r="D8394" s="803">
        <v>42.83</v>
      </c>
    </row>
    <row r="8395" spans="1:4">
      <c r="A8395" s="801">
        <v>34673</v>
      </c>
      <c r="B8395" s="802" t="s">
        <v>9507</v>
      </c>
      <c r="C8395" s="801" t="s">
        <v>661</v>
      </c>
      <c r="D8395" s="803">
        <v>52.26</v>
      </c>
    </row>
    <row r="8396" spans="1:4">
      <c r="A8396" s="801">
        <v>34674</v>
      </c>
      <c r="B8396" s="802" t="s">
        <v>9508</v>
      </c>
      <c r="C8396" s="801" t="s">
        <v>661</v>
      </c>
      <c r="D8396" s="803">
        <v>69.48</v>
      </c>
    </row>
    <row r="8397" spans="1:4">
      <c r="A8397" s="801">
        <v>34675</v>
      </c>
      <c r="B8397" s="802" t="s">
        <v>9509</v>
      </c>
      <c r="C8397" s="801" t="s">
        <v>661</v>
      </c>
      <c r="D8397" s="803">
        <v>84.7</v>
      </c>
    </row>
    <row r="8398" spans="1:4">
      <c r="A8398" s="801">
        <v>34676</v>
      </c>
      <c r="B8398" s="802" t="s">
        <v>9510</v>
      </c>
      <c r="C8398" s="801" t="s">
        <v>661</v>
      </c>
      <c r="D8398" s="803">
        <v>24.38</v>
      </c>
    </row>
    <row r="8399" spans="1:4">
      <c r="A8399" s="801">
        <v>34677</v>
      </c>
      <c r="B8399" s="802" t="s">
        <v>9511</v>
      </c>
      <c r="C8399" s="801" t="s">
        <v>661</v>
      </c>
      <c r="D8399" s="803">
        <v>32.78</v>
      </c>
    </row>
    <row r="8400" spans="1:4" ht="38.25">
      <c r="A8400" s="801">
        <v>43126</v>
      </c>
      <c r="B8400" s="802" t="s">
        <v>9512</v>
      </c>
      <c r="C8400" s="801" t="s">
        <v>661</v>
      </c>
      <c r="D8400" s="803">
        <v>113.76</v>
      </c>
    </row>
    <row r="8401" spans="1:4" ht="38.25">
      <c r="A8401" s="801">
        <v>43124</v>
      </c>
      <c r="B8401" s="802" t="s">
        <v>9513</v>
      </c>
      <c r="C8401" s="801" t="s">
        <v>661</v>
      </c>
      <c r="D8401" s="803">
        <v>132.83000000000001</v>
      </c>
    </row>
    <row r="8402" spans="1:4" ht="38.25">
      <c r="A8402" s="801">
        <v>43125</v>
      </c>
      <c r="B8402" s="802" t="s">
        <v>9514</v>
      </c>
      <c r="C8402" s="801" t="s">
        <v>661</v>
      </c>
      <c r="D8402" s="803">
        <v>172.26</v>
      </c>
    </row>
    <row r="8403" spans="1:4" ht="38.25">
      <c r="A8403" s="801">
        <v>40623</v>
      </c>
      <c r="B8403" s="802" t="s">
        <v>9515</v>
      </c>
      <c r="C8403" s="801" t="s">
        <v>665</v>
      </c>
      <c r="D8403" s="803">
        <v>127.23</v>
      </c>
    </row>
    <row r="8404" spans="1:4" ht="25.5">
      <c r="A8404" s="801">
        <v>43701</v>
      </c>
      <c r="B8404" s="802" t="s">
        <v>9516</v>
      </c>
      <c r="C8404" s="801" t="s">
        <v>653</v>
      </c>
      <c r="D8404" s="803">
        <v>47.83</v>
      </c>
    </row>
    <row r="8405" spans="1:4" ht="38.25">
      <c r="A8405" s="801">
        <v>1345</v>
      </c>
      <c r="B8405" s="802" t="s">
        <v>9517</v>
      </c>
      <c r="C8405" s="801" t="s">
        <v>661</v>
      </c>
      <c r="D8405" s="803">
        <v>109.96</v>
      </c>
    </row>
    <row r="8406" spans="1:4" ht="38.25">
      <c r="A8406" s="801">
        <v>1346</v>
      </c>
      <c r="B8406" s="802" t="s">
        <v>9518</v>
      </c>
      <c r="C8406" s="801" t="s">
        <v>661</v>
      </c>
      <c r="D8406" s="803">
        <v>63.96</v>
      </c>
    </row>
    <row r="8407" spans="1:4" ht="38.25">
      <c r="A8407" s="801">
        <v>1347</v>
      </c>
      <c r="B8407" s="802" t="s">
        <v>9519</v>
      </c>
      <c r="C8407" s="801" t="s">
        <v>661</v>
      </c>
      <c r="D8407" s="803">
        <v>79.25</v>
      </c>
    </row>
    <row r="8408" spans="1:4" ht="38.25">
      <c r="A8408" s="801">
        <v>43678</v>
      </c>
      <c r="B8408" s="802" t="s">
        <v>9520</v>
      </c>
      <c r="C8408" s="801" t="s">
        <v>661</v>
      </c>
      <c r="D8408" s="803">
        <v>91.93</v>
      </c>
    </row>
    <row r="8409" spans="1:4" ht="38.25">
      <c r="A8409" s="801">
        <v>43680</v>
      </c>
      <c r="B8409" s="802" t="s">
        <v>9521</v>
      </c>
      <c r="C8409" s="801" t="s">
        <v>661</v>
      </c>
      <c r="D8409" s="803">
        <v>132.44</v>
      </c>
    </row>
    <row r="8410" spans="1:4" ht="38.25">
      <c r="A8410" s="801">
        <v>43679</v>
      </c>
      <c r="B8410" s="802" t="s">
        <v>9522</v>
      </c>
      <c r="C8410" s="801" t="s">
        <v>661</v>
      </c>
      <c r="D8410" s="803">
        <v>46.48</v>
      </c>
    </row>
    <row r="8411" spans="1:4" ht="38.25">
      <c r="A8411" s="801">
        <v>1355</v>
      </c>
      <c r="B8411" s="802" t="s">
        <v>9523</v>
      </c>
      <c r="C8411" s="801" t="s">
        <v>661</v>
      </c>
      <c r="D8411" s="803">
        <v>52.89</v>
      </c>
    </row>
    <row r="8412" spans="1:4" ht="38.25">
      <c r="A8412" s="801">
        <v>1358</v>
      </c>
      <c r="B8412" s="802" t="s">
        <v>9524</v>
      </c>
      <c r="C8412" s="801" t="s">
        <v>661</v>
      </c>
      <c r="D8412" s="803">
        <v>64.930000000000007</v>
      </c>
    </row>
    <row r="8413" spans="1:4" ht="38.25">
      <c r="A8413" s="801">
        <v>43681</v>
      </c>
      <c r="B8413" s="802" t="s">
        <v>9525</v>
      </c>
      <c r="C8413" s="801" t="s">
        <v>661</v>
      </c>
      <c r="D8413" s="803">
        <v>40.909999999999997</v>
      </c>
    </row>
    <row r="8414" spans="1:4" ht="38.25">
      <c r="A8414" s="801">
        <v>43677</v>
      </c>
      <c r="B8414" s="802" t="s">
        <v>9526</v>
      </c>
      <c r="C8414" s="801" t="s">
        <v>661</v>
      </c>
      <c r="D8414" s="803">
        <v>80.56</v>
      </c>
    </row>
    <row r="8415" spans="1:4" ht="38.25">
      <c r="A8415" s="801">
        <v>43682</v>
      </c>
      <c r="B8415" s="802" t="s">
        <v>9527</v>
      </c>
      <c r="C8415" s="801" t="s">
        <v>661</v>
      </c>
      <c r="D8415" s="803">
        <v>24.7</v>
      </c>
    </row>
    <row r="8416" spans="1:4" ht="38.25">
      <c r="A8416" s="801">
        <v>20971</v>
      </c>
      <c r="B8416" s="802" t="s">
        <v>9528</v>
      </c>
      <c r="C8416" s="801" t="s">
        <v>656</v>
      </c>
      <c r="D8416" s="803">
        <v>14.8</v>
      </c>
    </row>
    <row r="8417" spans="1:4" ht="25.5">
      <c r="A8417" s="801">
        <v>13279</v>
      </c>
      <c r="B8417" s="802" t="s">
        <v>9529</v>
      </c>
      <c r="C8417" s="801" t="s">
        <v>653</v>
      </c>
      <c r="D8417" s="803">
        <v>23.62</v>
      </c>
    </row>
    <row r="8418" spans="1:4">
      <c r="A8418" s="801">
        <v>11977</v>
      </c>
      <c r="B8418" s="802" t="s">
        <v>9530</v>
      </c>
      <c r="C8418" s="801" t="s">
        <v>656</v>
      </c>
      <c r="D8418" s="803">
        <v>12.24</v>
      </c>
    </row>
    <row r="8419" spans="1:4" ht="25.5">
      <c r="A8419" s="801">
        <v>11975</v>
      </c>
      <c r="B8419" s="802" t="s">
        <v>9531</v>
      </c>
      <c r="C8419" s="801" t="s">
        <v>656</v>
      </c>
      <c r="D8419" s="803">
        <v>26.82</v>
      </c>
    </row>
    <row r="8420" spans="1:4" ht="25.5">
      <c r="A8420" s="801">
        <v>39746</v>
      </c>
      <c r="B8420" s="802" t="s">
        <v>9532</v>
      </c>
      <c r="C8420" s="801" t="s">
        <v>656</v>
      </c>
      <c r="D8420" s="803">
        <v>298.49</v>
      </c>
    </row>
    <row r="8421" spans="1:4">
      <c r="A8421" s="801">
        <v>11976</v>
      </c>
      <c r="B8421" s="802" t="s">
        <v>9533</v>
      </c>
      <c r="C8421" s="801" t="s">
        <v>656</v>
      </c>
      <c r="D8421" s="803">
        <v>1.37</v>
      </c>
    </row>
    <row r="8422" spans="1:4" ht="25.5">
      <c r="A8422" s="801">
        <v>1368</v>
      </c>
      <c r="B8422" s="802" t="s">
        <v>4620</v>
      </c>
      <c r="C8422" s="801" t="s">
        <v>656</v>
      </c>
      <c r="D8422" s="803">
        <v>74.7</v>
      </c>
    </row>
    <row r="8423" spans="1:4" ht="25.5">
      <c r="A8423" s="801">
        <v>1367</v>
      </c>
      <c r="B8423" s="802" t="s">
        <v>9534</v>
      </c>
      <c r="C8423" s="801" t="s">
        <v>656</v>
      </c>
      <c r="D8423" s="803">
        <v>241.63</v>
      </c>
    </row>
    <row r="8424" spans="1:4" ht="25.5">
      <c r="A8424" s="801">
        <v>41899</v>
      </c>
      <c r="B8424" s="802" t="s">
        <v>9535</v>
      </c>
      <c r="C8424" s="801" t="s">
        <v>662</v>
      </c>
      <c r="D8424" s="803">
        <v>5278.23</v>
      </c>
    </row>
    <row r="8425" spans="1:4">
      <c r="A8425" s="801">
        <v>1380</v>
      </c>
      <c r="B8425" s="802" t="s">
        <v>4621</v>
      </c>
      <c r="C8425" s="801" t="s">
        <v>653</v>
      </c>
      <c r="D8425" s="803">
        <v>2.2599999999999998</v>
      </c>
    </row>
    <row r="8426" spans="1:4" ht="25.5">
      <c r="A8426" s="801">
        <v>1375</v>
      </c>
      <c r="B8426" s="802" t="s">
        <v>9536</v>
      </c>
      <c r="C8426" s="801" t="s">
        <v>653</v>
      </c>
      <c r="D8426" s="803">
        <v>12.86</v>
      </c>
    </row>
    <row r="8427" spans="1:4">
      <c r="A8427" s="801">
        <v>1379</v>
      </c>
      <c r="B8427" s="802" t="s">
        <v>4622</v>
      </c>
      <c r="C8427" s="801" t="s">
        <v>653</v>
      </c>
      <c r="D8427" s="803">
        <v>0.72</v>
      </c>
    </row>
    <row r="8428" spans="1:4">
      <c r="A8428" s="801">
        <v>13284</v>
      </c>
      <c r="B8428" s="802" t="s">
        <v>9537</v>
      </c>
      <c r="C8428" s="801" t="s">
        <v>653</v>
      </c>
      <c r="D8428" s="803">
        <v>0.72</v>
      </c>
    </row>
    <row r="8429" spans="1:4">
      <c r="A8429" s="801">
        <v>44528</v>
      </c>
      <c r="B8429" s="802" t="s">
        <v>9538</v>
      </c>
      <c r="C8429" s="801" t="s">
        <v>653</v>
      </c>
      <c r="D8429" s="803">
        <v>2.71</v>
      </c>
    </row>
    <row r="8430" spans="1:4">
      <c r="A8430" s="801">
        <v>34753</v>
      </c>
      <c r="B8430" s="802" t="s">
        <v>9539</v>
      </c>
      <c r="C8430" s="801" t="s">
        <v>653</v>
      </c>
      <c r="D8430" s="803">
        <v>0.79</v>
      </c>
    </row>
    <row r="8431" spans="1:4" ht="25.5">
      <c r="A8431" s="801">
        <v>420</v>
      </c>
      <c r="B8431" s="802" t="s">
        <v>9540</v>
      </c>
      <c r="C8431" s="801" t="s">
        <v>656</v>
      </c>
      <c r="D8431" s="803">
        <v>36.270000000000003</v>
      </c>
    </row>
    <row r="8432" spans="1:4" ht="38.25">
      <c r="A8432" s="801">
        <v>12327</v>
      </c>
      <c r="B8432" s="802" t="s">
        <v>9541</v>
      </c>
      <c r="C8432" s="801" t="s">
        <v>656</v>
      </c>
      <c r="D8432" s="803">
        <v>43.21</v>
      </c>
    </row>
    <row r="8433" spans="1:4" ht="25.5">
      <c r="A8433" s="801">
        <v>36148</v>
      </c>
      <c r="B8433" s="802" t="s">
        <v>9542</v>
      </c>
      <c r="C8433" s="801" t="s">
        <v>656</v>
      </c>
      <c r="D8433" s="803">
        <v>96</v>
      </c>
    </row>
    <row r="8434" spans="1:4">
      <c r="A8434" s="801">
        <v>12329</v>
      </c>
      <c r="B8434" s="802" t="s">
        <v>9543</v>
      </c>
      <c r="C8434" s="801" t="s">
        <v>653</v>
      </c>
      <c r="D8434" s="803">
        <v>127.86</v>
      </c>
    </row>
    <row r="8435" spans="1:4" ht="25.5">
      <c r="A8435" s="801">
        <v>1339</v>
      </c>
      <c r="B8435" s="802" t="s">
        <v>9544</v>
      </c>
      <c r="C8435" s="801" t="s">
        <v>653</v>
      </c>
      <c r="D8435" s="803">
        <v>46.19</v>
      </c>
    </row>
    <row r="8436" spans="1:4">
      <c r="A8436" s="801">
        <v>44396</v>
      </c>
      <c r="B8436" s="802" t="s">
        <v>9545</v>
      </c>
      <c r="C8436" s="801" t="s">
        <v>653</v>
      </c>
      <c r="D8436" s="803">
        <v>17.29</v>
      </c>
    </row>
    <row r="8437" spans="1:4" ht="25.5">
      <c r="A8437" s="801">
        <v>44327</v>
      </c>
      <c r="B8437" s="802" t="s">
        <v>9546</v>
      </c>
      <c r="C8437" s="801" t="s">
        <v>655</v>
      </c>
      <c r="D8437" s="803">
        <v>58.8</v>
      </c>
    </row>
    <row r="8438" spans="1:4" ht="25.5">
      <c r="A8438" s="801">
        <v>37418</v>
      </c>
      <c r="B8438" s="802" t="s">
        <v>9547</v>
      </c>
      <c r="C8438" s="801" t="s">
        <v>656</v>
      </c>
      <c r="D8438" s="803">
        <v>19.899999999999999</v>
      </c>
    </row>
    <row r="8439" spans="1:4" ht="25.5">
      <c r="A8439" s="801">
        <v>37419</v>
      </c>
      <c r="B8439" s="802" t="s">
        <v>9548</v>
      </c>
      <c r="C8439" s="801" t="s">
        <v>656</v>
      </c>
      <c r="D8439" s="803">
        <v>20.43</v>
      </c>
    </row>
    <row r="8440" spans="1:4" ht="25.5">
      <c r="A8440" s="801">
        <v>1427</v>
      </c>
      <c r="B8440" s="802" t="s">
        <v>9549</v>
      </c>
      <c r="C8440" s="801" t="s">
        <v>656</v>
      </c>
      <c r="D8440" s="803">
        <v>24.08</v>
      </c>
    </row>
    <row r="8441" spans="1:4" ht="25.5">
      <c r="A8441" s="801">
        <v>1402</v>
      </c>
      <c r="B8441" s="802" t="s">
        <v>9550</v>
      </c>
      <c r="C8441" s="801" t="s">
        <v>656</v>
      </c>
      <c r="D8441" s="803">
        <v>8.33</v>
      </c>
    </row>
    <row r="8442" spans="1:4" ht="25.5">
      <c r="A8442" s="801">
        <v>1420</v>
      </c>
      <c r="B8442" s="802" t="s">
        <v>9551</v>
      </c>
      <c r="C8442" s="801" t="s">
        <v>656</v>
      </c>
      <c r="D8442" s="803">
        <v>10.72</v>
      </c>
    </row>
    <row r="8443" spans="1:4" ht="25.5">
      <c r="A8443" s="801">
        <v>1419</v>
      </c>
      <c r="B8443" s="802" t="s">
        <v>9552</v>
      </c>
      <c r="C8443" s="801" t="s">
        <v>656</v>
      </c>
      <c r="D8443" s="803">
        <v>12.94</v>
      </c>
    </row>
    <row r="8444" spans="1:4" ht="25.5">
      <c r="A8444" s="801">
        <v>1414</v>
      </c>
      <c r="B8444" s="802" t="s">
        <v>9553</v>
      </c>
      <c r="C8444" s="801" t="s">
        <v>656</v>
      </c>
      <c r="D8444" s="803">
        <v>12.66</v>
      </c>
    </row>
    <row r="8445" spans="1:4" ht="25.5">
      <c r="A8445" s="801">
        <v>1413</v>
      </c>
      <c r="B8445" s="802" t="s">
        <v>9554</v>
      </c>
      <c r="C8445" s="801" t="s">
        <v>656</v>
      </c>
      <c r="D8445" s="803">
        <v>18.7</v>
      </c>
    </row>
    <row r="8446" spans="1:4" ht="25.5">
      <c r="A8446" s="801">
        <v>1412</v>
      </c>
      <c r="B8446" s="802" t="s">
        <v>9555</v>
      </c>
      <c r="C8446" s="801" t="s">
        <v>656</v>
      </c>
      <c r="D8446" s="803">
        <v>15.85</v>
      </c>
    </row>
    <row r="8447" spans="1:4" ht="38.25">
      <c r="A8447" s="801">
        <v>1411</v>
      </c>
      <c r="B8447" s="802" t="s">
        <v>9556</v>
      </c>
      <c r="C8447" s="801" t="s">
        <v>656</v>
      </c>
      <c r="D8447" s="803">
        <v>28.83</v>
      </c>
    </row>
    <row r="8448" spans="1:4" ht="38.25">
      <c r="A8448" s="801">
        <v>1406</v>
      </c>
      <c r="B8448" s="802" t="s">
        <v>9557</v>
      </c>
      <c r="C8448" s="801" t="s">
        <v>656</v>
      </c>
      <c r="D8448" s="803">
        <v>19.12</v>
      </c>
    </row>
    <row r="8449" spans="1:4" ht="38.25">
      <c r="A8449" s="801">
        <v>1407</v>
      </c>
      <c r="B8449" s="802" t="s">
        <v>9558</v>
      </c>
      <c r="C8449" s="801" t="s">
        <v>656</v>
      </c>
      <c r="D8449" s="803">
        <v>23.84</v>
      </c>
    </row>
    <row r="8450" spans="1:4" ht="38.25">
      <c r="A8450" s="801">
        <v>1404</v>
      </c>
      <c r="B8450" s="802" t="s">
        <v>9559</v>
      </c>
      <c r="C8450" s="801" t="s">
        <v>656</v>
      </c>
      <c r="D8450" s="803">
        <v>25.35</v>
      </c>
    </row>
    <row r="8451" spans="1:4" ht="63.75">
      <c r="A8451" s="801">
        <v>11281</v>
      </c>
      <c r="B8451" s="802" t="s">
        <v>9560</v>
      </c>
      <c r="C8451" s="801" t="s">
        <v>656</v>
      </c>
      <c r="D8451" s="803">
        <v>11249</v>
      </c>
    </row>
    <row r="8452" spans="1:4" ht="63.75">
      <c r="A8452" s="801">
        <v>1442</v>
      </c>
      <c r="B8452" s="802" t="s">
        <v>4623</v>
      </c>
      <c r="C8452" s="801" t="s">
        <v>656</v>
      </c>
      <c r="D8452" s="803">
        <v>9443.4500000000007</v>
      </c>
    </row>
    <row r="8453" spans="1:4" ht="63.75">
      <c r="A8453" s="801">
        <v>13457</v>
      </c>
      <c r="B8453" s="802" t="s">
        <v>9561</v>
      </c>
      <c r="C8453" s="801" t="s">
        <v>656</v>
      </c>
      <c r="D8453" s="803">
        <v>8151.44</v>
      </c>
    </row>
    <row r="8454" spans="1:4" ht="76.5">
      <c r="A8454" s="801">
        <v>40699</v>
      </c>
      <c r="B8454" s="802" t="s">
        <v>9562</v>
      </c>
      <c r="C8454" s="801" t="s">
        <v>656</v>
      </c>
      <c r="D8454" s="803">
        <v>6301.38</v>
      </c>
    </row>
    <row r="8455" spans="1:4" ht="76.5">
      <c r="A8455" s="801">
        <v>40701</v>
      </c>
      <c r="B8455" s="802" t="s">
        <v>9563</v>
      </c>
      <c r="C8455" s="801" t="s">
        <v>656</v>
      </c>
      <c r="D8455" s="803">
        <v>111417.01</v>
      </c>
    </row>
    <row r="8456" spans="1:4" ht="76.5">
      <c r="A8456" s="801">
        <v>40700</v>
      </c>
      <c r="B8456" s="802" t="s">
        <v>9564</v>
      </c>
      <c r="C8456" s="801" t="s">
        <v>656</v>
      </c>
      <c r="D8456" s="803">
        <v>14668.79</v>
      </c>
    </row>
    <row r="8457" spans="1:4" ht="25.5">
      <c r="A8457" s="801">
        <v>13458</v>
      </c>
      <c r="B8457" s="802" t="s">
        <v>4624</v>
      </c>
      <c r="C8457" s="801" t="s">
        <v>656</v>
      </c>
      <c r="D8457" s="803">
        <v>13938.97</v>
      </c>
    </row>
    <row r="8458" spans="1:4" ht="25.5">
      <c r="A8458" s="801">
        <v>11134</v>
      </c>
      <c r="B8458" s="802" t="s">
        <v>9565</v>
      </c>
      <c r="C8458" s="801" t="s">
        <v>661</v>
      </c>
      <c r="D8458" s="803">
        <v>91.12</v>
      </c>
    </row>
    <row r="8459" spans="1:4" ht="25.5">
      <c r="A8459" s="801">
        <v>11135</v>
      </c>
      <c r="B8459" s="802" t="s">
        <v>9566</v>
      </c>
      <c r="C8459" s="801" t="s">
        <v>661</v>
      </c>
      <c r="D8459" s="803">
        <v>98.38</v>
      </c>
    </row>
    <row r="8460" spans="1:4" ht="25.5">
      <c r="A8460" s="801">
        <v>11136</v>
      </c>
      <c r="B8460" s="802" t="s">
        <v>9567</v>
      </c>
      <c r="C8460" s="801" t="s">
        <v>661</v>
      </c>
      <c r="D8460" s="803">
        <v>112.65</v>
      </c>
    </row>
    <row r="8461" spans="1:4" ht="25.5">
      <c r="A8461" s="801">
        <v>34743</v>
      </c>
      <c r="B8461" s="802" t="s">
        <v>9568</v>
      </c>
      <c r="C8461" s="801" t="s">
        <v>661</v>
      </c>
      <c r="D8461" s="803">
        <v>135.91999999999999</v>
      </c>
    </row>
    <row r="8462" spans="1:4" ht="25.5">
      <c r="A8462" s="801">
        <v>11137</v>
      </c>
      <c r="B8462" s="802" t="s">
        <v>9569</v>
      </c>
      <c r="C8462" s="801" t="s">
        <v>661</v>
      </c>
      <c r="D8462" s="803">
        <v>154.37</v>
      </c>
    </row>
    <row r="8463" spans="1:4" ht="25.5">
      <c r="A8463" s="801">
        <v>34745</v>
      </c>
      <c r="B8463" s="802" t="s">
        <v>9570</v>
      </c>
      <c r="C8463" s="801" t="s">
        <v>661</v>
      </c>
      <c r="D8463" s="803">
        <v>183.58</v>
      </c>
    </row>
    <row r="8464" spans="1:4" ht="25.5">
      <c r="A8464" s="801">
        <v>34746</v>
      </c>
      <c r="B8464" s="802" t="s">
        <v>9571</v>
      </c>
      <c r="C8464" s="801" t="s">
        <v>661</v>
      </c>
      <c r="D8464" s="803">
        <v>50.06</v>
      </c>
    </row>
    <row r="8465" spans="1:4" ht="25.5">
      <c r="A8465" s="801">
        <v>1360</v>
      </c>
      <c r="B8465" s="802" t="s">
        <v>9572</v>
      </c>
      <c r="C8465" s="801" t="s">
        <v>661</v>
      </c>
      <c r="D8465" s="803">
        <v>58.41</v>
      </c>
    </row>
    <row r="8466" spans="1:4" ht="38.25">
      <c r="A8466" s="801">
        <v>36524</v>
      </c>
      <c r="B8466" s="802" t="s">
        <v>9573</v>
      </c>
      <c r="C8466" s="801" t="s">
        <v>656</v>
      </c>
      <c r="D8466" s="803">
        <v>153599.12</v>
      </c>
    </row>
    <row r="8467" spans="1:4" ht="25.5">
      <c r="A8467" s="801">
        <v>36526</v>
      </c>
      <c r="B8467" s="802" t="s">
        <v>9574</v>
      </c>
      <c r="C8467" s="801" t="s">
        <v>656</v>
      </c>
      <c r="D8467" s="803">
        <v>123776.43</v>
      </c>
    </row>
    <row r="8468" spans="1:4" ht="25.5">
      <c r="A8468" s="801">
        <v>36523</v>
      </c>
      <c r="B8468" s="802" t="s">
        <v>9575</v>
      </c>
      <c r="C8468" s="801" t="s">
        <v>656</v>
      </c>
      <c r="D8468" s="803">
        <v>264988.63</v>
      </c>
    </row>
    <row r="8469" spans="1:4" ht="25.5">
      <c r="A8469" s="801">
        <v>36527</v>
      </c>
      <c r="B8469" s="802" t="s">
        <v>9576</v>
      </c>
      <c r="C8469" s="801" t="s">
        <v>656</v>
      </c>
      <c r="D8469" s="803">
        <v>287832.24</v>
      </c>
    </row>
    <row r="8470" spans="1:4" ht="38.25">
      <c r="A8470" s="801">
        <v>13803</v>
      </c>
      <c r="B8470" s="802" t="s">
        <v>9577</v>
      </c>
      <c r="C8470" s="801" t="s">
        <v>656</v>
      </c>
      <c r="D8470" s="803">
        <v>104077.63</v>
      </c>
    </row>
    <row r="8471" spans="1:4" ht="38.25">
      <c r="A8471" s="801">
        <v>38642</v>
      </c>
      <c r="B8471" s="802" t="s">
        <v>9578</v>
      </c>
      <c r="C8471" s="801" t="s">
        <v>656</v>
      </c>
      <c r="D8471" s="803">
        <v>67014.73</v>
      </c>
    </row>
    <row r="8472" spans="1:4" ht="25.5">
      <c r="A8472" s="801">
        <v>36522</v>
      </c>
      <c r="B8472" s="802" t="s">
        <v>9579</v>
      </c>
      <c r="C8472" s="801" t="s">
        <v>656</v>
      </c>
      <c r="D8472" s="803">
        <v>77937.33</v>
      </c>
    </row>
    <row r="8473" spans="1:4" ht="25.5">
      <c r="A8473" s="801">
        <v>36525</v>
      </c>
      <c r="B8473" s="802" t="s">
        <v>9580</v>
      </c>
      <c r="C8473" s="801" t="s">
        <v>656</v>
      </c>
      <c r="D8473" s="803">
        <v>104376.29</v>
      </c>
    </row>
    <row r="8474" spans="1:4" ht="25.5">
      <c r="A8474" s="801">
        <v>34348</v>
      </c>
      <c r="B8474" s="802" t="s">
        <v>9581</v>
      </c>
      <c r="C8474" s="801" t="s">
        <v>660</v>
      </c>
      <c r="D8474" s="803">
        <v>20.95</v>
      </c>
    </row>
    <row r="8475" spans="1:4" ht="25.5">
      <c r="A8475" s="801">
        <v>34347</v>
      </c>
      <c r="B8475" s="802" t="s">
        <v>9582</v>
      </c>
      <c r="C8475" s="801" t="s">
        <v>660</v>
      </c>
      <c r="D8475" s="803">
        <v>14.97</v>
      </c>
    </row>
    <row r="8476" spans="1:4" ht="38.25">
      <c r="A8476" s="801">
        <v>11146</v>
      </c>
      <c r="B8476" s="802" t="s">
        <v>9583</v>
      </c>
      <c r="C8476" s="801" t="s">
        <v>654</v>
      </c>
      <c r="D8476" s="803">
        <v>585.13</v>
      </c>
    </row>
    <row r="8477" spans="1:4" ht="38.25">
      <c r="A8477" s="801">
        <v>11147</v>
      </c>
      <c r="B8477" s="802" t="s">
        <v>9584</v>
      </c>
      <c r="C8477" s="801" t="s">
        <v>654</v>
      </c>
      <c r="D8477" s="803">
        <v>608.03</v>
      </c>
    </row>
    <row r="8478" spans="1:4" ht="38.25">
      <c r="A8478" s="801">
        <v>34872</v>
      </c>
      <c r="B8478" s="802" t="s">
        <v>9585</v>
      </c>
      <c r="C8478" s="801" t="s">
        <v>654</v>
      </c>
      <c r="D8478" s="803">
        <v>614.85</v>
      </c>
    </row>
    <row r="8479" spans="1:4" ht="38.25">
      <c r="A8479" s="801">
        <v>34491</v>
      </c>
      <c r="B8479" s="802" t="s">
        <v>9586</v>
      </c>
      <c r="C8479" s="801" t="s">
        <v>654</v>
      </c>
      <c r="D8479" s="803">
        <v>632.66999999999996</v>
      </c>
    </row>
    <row r="8480" spans="1:4" ht="38.25">
      <c r="A8480" s="801">
        <v>34770</v>
      </c>
      <c r="B8480" s="802" t="s">
        <v>9587</v>
      </c>
      <c r="C8480" s="801" t="s">
        <v>662</v>
      </c>
      <c r="D8480" s="803">
        <v>475.73</v>
      </c>
    </row>
    <row r="8481" spans="1:4" ht="38.25">
      <c r="A8481" s="801">
        <v>1518</v>
      </c>
      <c r="B8481" s="802" t="s">
        <v>9588</v>
      </c>
      <c r="C8481" s="801" t="s">
        <v>662</v>
      </c>
      <c r="D8481" s="803">
        <v>485</v>
      </c>
    </row>
    <row r="8482" spans="1:4" ht="38.25">
      <c r="A8482" s="801">
        <v>41965</v>
      </c>
      <c r="B8482" s="802" t="s">
        <v>9589</v>
      </c>
      <c r="C8482" s="801" t="s">
        <v>662</v>
      </c>
      <c r="D8482" s="803">
        <v>425.26</v>
      </c>
    </row>
    <row r="8483" spans="1:4" ht="38.25">
      <c r="A8483" s="801">
        <v>34492</v>
      </c>
      <c r="B8483" s="802" t="s">
        <v>4625</v>
      </c>
      <c r="C8483" s="801" t="s">
        <v>654</v>
      </c>
      <c r="D8483" s="803">
        <v>520</v>
      </c>
    </row>
    <row r="8484" spans="1:4" ht="38.25">
      <c r="A8484" s="801">
        <v>1524</v>
      </c>
      <c r="B8484" s="802" t="s">
        <v>4626</v>
      </c>
      <c r="C8484" s="801" t="s">
        <v>654</v>
      </c>
      <c r="D8484" s="803">
        <v>561.39</v>
      </c>
    </row>
    <row r="8485" spans="1:4" ht="38.25">
      <c r="A8485" s="801">
        <v>38404</v>
      </c>
      <c r="B8485" s="802" t="s">
        <v>9590</v>
      </c>
      <c r="C8485" s="801" t="s">
        <v>654</v>
      </c>
      <c r="D8485" s="803">
        <v>538.62</v>
      </c>
    </row>
    <row r="8486" spans="1:4" ht="38.25">
      <c r="A8486" s="801">
        <v>39849</v>
      </c>
      <c r="B8486" s="802" t="s">
        <v>9591</v>
      </c>
      <c r="C8486" s="801" t="s">
        <v>654</v>
      </c>
      <c r="D8486" s="803">
        <v>617.26</v>
      </c>
    </row>
    <row r="8487" spans="1:4" ht="38.25">
      <c r="A8487" s="801">
        <v>38464</v>
      </c>
      <c r="B8487" s="802" t="s">
        <v>9592</v>
      </c>
      <c r="C8487" s="801" t="s">
        <v>654</v>
      </c>
      <c r="D8487" s="803">
        <v>626.22</v>
      </c>
    </row>
    <row r="8488" spans="1:4" ht="38.25">
      <c r="A8488" s="801">
        <v>34493</v>
      </c>
      <c r="B8488" s="802" t="s">
        <v>9593</v>
      </c>
      <c r="C8488" s="801" t="s">
        <v>654</v>
      </c>
      <c r="D8488" s="803">
        <v>534.65</v>
      </c>
    </row>
    <row r="8489" spans="1:4" ht="38.25">
      <c r="A8489" s="801">
        <v>1527</v>
      </c>
      <c r="B8489" s="802" t="s">
        <v>4627</v>
      </c>
      <c r="C8489" s="801" t="s">
        <v>654</v>
      </c>
      <c r="D8489" s="803">
        <v>579.21</v>
      </c>
    </row>
    <row r="8490" spans="1:4" ht="38.25">
      <c r="A8490" s="801">
        <v>38405</v>
      </c>
      <c r="B8490" s="802" t="s">
        <v>4628</v>
      </c>
      <c r="C8490" s="801" t="s">
        <v>654</v>
      </c>
      <c r="D8490" s="803">
        <v>555.23</v>
      </c>
    </row>
    <row r="8491" spans="1:4" ht="38.25">
      <c r="A8491" s="801">
        <v>38408</v>
      </c>
      <c r="B8491" s="802" t="s">
        <v>9594</v>
      </c>
      <c r="C8491" s="801" t="s">
        <v>654</v>
      </c>
      <c r="D8491" s="803">
        <v>614.58000000000004</v>
      </c>
    </row>
    <row r="8492" spans="1:4" ht="38.25">
      <c r="A8492" s="801">
        <v>34494</v>
      </c>
      <c r="B8492" s="802" t="s">
        <v>9595</v>
      </c>
      <c r="C8492" s="801" t="s">
        <v>654</v>
      </c>
      <c r="D8492" s="803">
        <v>552.48</v>
      </c>
    </row>
    <row r="8493" spans="1:4" ht="38.25">
      <c r="A8493" s="801">
        <v>1525</v>
      </c>
      <c r="B8493" s="802" t="s">
        <v>4629</v>
      </c>
      <c r="C8493" s="801" t="s">
        <v>654</v>
      </c>
      <c r="D8493" s="803">
        <v>597.03</v>
      </c>
    </row>
    <row r="8494" spans="1:4" ht="38.25">
      <c r="A8494" s="801">
        <v>38406</v>
      </c>
      <c r="B8494" s="802" t="s">
        <v>9596</v>
      </c>
      <c r="C8494" s="801" t="s">
        <v>654</v>
      </c>
      <c r="D8494" s="803">
        <v>586.28</v>
      </c>
    </row>
    <row r="8495" spans="1:4" ht="38.25">
      <c r="A8495" s="801">
        <v>38409</v>
      </c>
      <c r="B8495" s="802" t="s">
        <v>9597</v>
      </c>
      <c r="C8495" s="801" t="s">
        <v>654</v>
      </c>
      <c r="D8495" s="803">
        <v>618.77</v>
      </c>
    </row>
    <row r="8496" spans="1:4" ht="38.25">
      <c r="A8496" s="801">
        <v>43360</v>
      </c>
      <c r="B8496" s="802" t="s">
        <v>9598</v>
      </c>
      <c r="C8496" s="801" t="s">
        <v>654</v>
      </c>
      <c r="D8496" s="803">
        <v>645.20000000000005</v>
      </c>
    </row>
    <row r="8497" spans="1:4" ht="38.25">
      <c r="A8497" s="801">
        <v>34495</v>
      </c>
      <c r="B8497" s="802" t="s">
        <v>9599</v>
      </c>
      <c r="C8497" s="801" t="s">
        <v>654</v>
      </c>
      <c r="D8497" s="803">
        <v>570.29999999999995</v>
      </c>
    </row>
    <row r="8498" spans="1:4" ht="38.25">
      <c r="A8498" s="801">
        <v>11145</v>
      </c>
      <c r="B8498" s="802" t="s">
        <v>9600</v>
      </c>
      <c r="C8498" s="801" t="s">
        <v>654</v>
      </c>
      <c r="D8498" s="803">
        <v>614.85</v>
      </c>
    </row>
    <row r="8499" spans="1:4" ht="38.25">
      <c r="A8499" s="801">
        <v>34496</v>
      </c>
      <c r="B8499" s="802" t="s">
        <v>9601</v>
      </c>
      <c r="C8499" s="801" t="s">
        <v>654</v>
      </c>
      <c r="D8499" s="803">
        <v>594.91999999999996</v>
      </c>
    </row>
    <row r="8500" spans="1:4" ht="38.25">
      <c r="A8500" s="801">
        <v>34479</v>
      </c>
      <c r="B8500" s="802" t="s">
        <v>9602</v>
      </c>
      <c r="C8500" s="801" t="s">
        <v>654</v>
      </c>
      <c r="D8500" s="803">
        <v>632.66999999999996</v>
      </c>
    </row>
    <row r="8501" spans="1:4" ht="38.25">
      <c r="A8501" s="801">
        <v>34481</v>
      </c>
      <c r="B8501" s="802" t="s">
        <v>9603</v>
      </c>
      <c r="C8501" s="801" t="s">
        <v>654</v>
      </c>
      <c r="D8501" s="803">
        <v>661.07</v>
      </c>
    </row>
    <row r="8502" spans="1:4" ht="38.25">
      <c r="A8502" s="801">
        <v>34483</v>
      </c>
      <c r="B8502" s="802" t="s">
        <v>9604</v>
      </c>
      <c r="C8502" s="801" t="s">
        <v>654</v>
      </c>
      <c r="D8502" s="803">
        <v>706.3</v>
      </c>
    </row>
    <row r="8503" spans="1:4" ht="38.25">
      <c r="A8503" s="801">
        <v>34485</v>
      </c>
      <c r="B8503" s="802" t="s">
        <v>9605</v>
      </c>
      <c r="C8503" s="801" t="s">
        <v>654</v>
      </c>
      <c r="D8503" s="803">
        <v>755.31</v>
      </c>
    </row>
    <row r="8504" spans="1:4" ht="38.25">
      <c r="A8504" s="801">
        <v>14041</v>
      </c>
      <c r="B8504" s="802" t="s">
        <v>9606</v>
      </c>
      <c r="C8504" s="801" t="s">
        <v>654</v>
      </c>
      <c r="D8504" s="803">
        <v>490.99</v>
      </c>
    </row>
    <row r="8505" spans="1:4" ht="38.25">
      <c r="A8505" s="801">
        <v>1523</v>
      </c>
      <c r="B8505" s="802" t="s">
        <v>9607</v>
      </c>
      <c r="C8505" s="801" t="s">
        <v>654</v>
      </c>
      <c r="D8505" s="803">
        <v>499.01</v>
      </c>
    </row>
    <row r="8506" spans="1:4" ht="25.5">
      <c r="A8506" s="801">
        <v>14052</v>
      </c>
      <c r="B8506" s="802" t="s">
        <v>9608</v>
      </c>
      <c r="C8506" s="801" t="s">
        <v>656</v>
      </c>
      <c r="D8506" s="803">
        <v>9.82</v>
      </c>
    </row>
    <row r="8507" spans="1:4" ht="25.5">
      <c r="A8507" s="801">
        <v>14054</v>
      </c>
      <c r="B8507" s="802" t="s">
        <v>9609</v>
      </c>
      <c r="C8507" s="801" t="s">
        <v>656</v>
      </c>
      <c r="D8507" s="803">
        <v>12.77</v>
      </c>
    </row>
    <row r="8508" spans="1:4" ht="25.5">
      <c r="A8508" s="801">
        <v>14053</v>
      </c>
      <c r="B8508" s="802" t="s">
        <v>9610</v>
      </c>
      <c r="C8508" s="801" t="s">
        <v>656</v>
      </c>
      <c r="D8508" s="803">
        <v>9.9700000000000006</v>
      </c>
    </row>
    <row r="8509" spans="1:4" ht="25.5">
      <c r="A8509" s="801">
        <v>2558</v>
      </c>
      <c r="B8509" s="802" t="s">
        <v>9611</v>
      </c>
      <c r="C8509" s="801" t="s">
        <v>656</v>
      </c>
      <c r="D8509" s="803">
        <v>7.51</v>
      </c>
    </row>
    <row r="8510" spans="1:4" ht="25.5">
      <c r="A8510" s="801">
        <v>2560</v>
      </c>
      <c r="B8510" s="802" t="s">
        <v>9612</v>
      </c>
      <c r="C8510" s="801" t="s">
        <v>656</v>
      </c>
      <c r="D8510" s="803">
        <v>13.21</v>
      </c>
    </row>
    <row r="8511" spans="1:4" ht="25.5">
      <c r="A8511" s="801">
        <v>2559</v>
      </c>
      <c r="B8511" s="802" t="s">
        <v>9613</v>
      </c>
      <c r="C8511" s="801" t="s">
        <v>656</v>
      </c>
      <c r="D8511" s="803">
        <v>10.57</v>
      </c>
    </row>
    <row r="8512" spans="1:4" ht="25.5">
      <c r="A8512" s="801">
        <v>2592</v>
      </c>
      <c r="B8512" s="802" t="s">
        <v>9614</v>
      </c>
      <c r="C8512" s="801" t="s">
        <v>656</v>
      </c>
      <c r="D8512" s="803">
        <v>175.22</v>
      </c>
    </row>
    <row r="8513" spans="1:4" ht="25.5">
      <c r="A8513" s="801">
        <v>2566</v>
      </c>
      <c r="B8513" s="802" t="s">
        <v>9615</v>
      </c>
      <c r="C8513" s="801" t="s">
        <v>656</v>
      </c>
      <c r="D8513" s="803">
        <v>17.63</v>
      </c>
    </row>
    <row r="8514" spans="1:4" ht="25.5">
      <c r="A8514" s="801">
        <v>2589</v>
      </c>
      <c r="B8514" s="802" t="s">
        <v>9616</v>
      </c>
      <c r="C8514" s="801" t="s">
        <v>656</v>
      </c>
      <c r="D8514" s="803">
        <v>23.44</v>
      </c>
    </row>
    <row r="8515" spans="1:4" ht="25.5">
      <c r="A8515" s="801">
        <v>2591</v>
      </c>
      <c r="B8515" s="802" t="s">
        <v>9617</v>
      </c>
      <c r="C8515" s="801" t="s">
        <v>656</v>
      </c>
      <c r="D8515" s="803">
        <v>8.5500000000000007</v>
      </c>
    </row>
    <row r="8516" spans="1:4" ht="25.5">
      <c r="A8516" s="801">
        <v>2590</v>
      </c>
      <c r="B8516" s="802" t="s">
        <v>9618</v>
      </c>
      <c r="C8516" s="801" t="s">
        <v>656</v>
      </c>
      <c r="D8516" s="803">
        <v>14.38</v>
      </c>
    </row>
    <row r="8517" spans="1:4" ht="25.5">
      <c r="A8517" s="801">
        <v>2567</v>
      </c>
      <c r="B8517" s="802" t="s">
        <v>9619</v>
      </c>
      <c r="C8517" s="801" t="s">
        <v>656</v>
      </c>
      <c r="D8517" s="803">
        <v>34.380000000000003</v>
      </c>
    </row>
    <row r="8518" spans="1:4" ht="25.5">
      <c r="A8518" s="801">
        <v>2565</v>
      </c>
      <c r="B8518" s="802" t="s">
        <v>9620</v>
      </c>
      <c r="C8518" s="801" t="s">
        <v>656</v>
      </c>
      <c r="D8518" s="803">
        <v>8.56</v>
      </c>
    </row>
    <row r="8519" spans="1:4" ht="25.5">
      <c r="A8519" s="801">
        <v>2568</v>
      </c>
      <c r="B8519" s="802" t="s">
        <v>9621</v>
      </c>
      <c r="C8519" s="801" t="s">
        <v>656</v>
      </c>
      <c r="D8519" s="803">
        <v>95.47</v>
      </c>
    </row>
    <row r="8520" spans="1:4" ht="25.5">
      <c r="A8520" s="801">
        <v>2594</v>
      </c>
      <c r="B8520" s="802" t="s">
        <v>9622</v>
      </c>
      <c r="C8520" s="801" t="s">
        <v>656</v>
      </c>
      <c r="D8520" s="803">
        <v>159.04</v>
      </c>
    </row>
    <row r="8521" spans="1:4" ht="25.5">
      <c r="A8521" s="801">
        <v>2587</v>
      </c>
      <c r="B8521" s="802" t="s">
        <v>9623</v>
      </c>
      <c r="C8521" s="801" t="s">
        <v>656</v>
      </c>
      <c r="D8521" s="803">
        <v>27.1</v>
      </c>
    </row>
    <row r="8522" spans="1:4" ht="25.5">
      <c r="A8522" s="801">
        <v>2588</v>
      </c>
      <c r="B8522" s="802" t="s">
        <v>9624</v>
      </c>
      <c r="C8522" s="801" t="s">
        <v>656</v>
      </c>
      <c r="D8522" s="803">
        <v>21.53</v>
      </c>
    </row>
    <row r="8523" spans="1:4" ht="25.5">
      <c r="A8523" s="801">
        <v>2569</v>
      </c>
      <c r="B8523" s="802" t="s">
        <v>9625</v>
      </c>
      <c r="C8523" s="801" t="s">
        <v>656</v>
      </c>
      <c r="D8523" s="803">
        <v>8.2899999999999991</v>
      </c>
    </row>
    <row r="8524" spans="1:4" ht="25.5">
      <c r="A8524" s="801">
        <v>2570</v>
      </c>
      <c r="B8524" s="802" t="s">
        <v>9626</v>
      </c>
      <c r="C8524" s="801" t="s">
        <v>656</v>
      </c>
      <c r="D8524" s="803">
        <v>13.91</v>
      </c>
    </row>
    <row r="8525" spans="1:4" ht="25.5">
      <c r="A8525" s="801">
        <v>2571</v>
      </c>
      <c r="B8525" s="802" t="s">
        <v>9627</v>
      </c>
      <c r="C8525" s="801" t="s">
        <v>656</v>
      </c>
      <c r="D8525" s="803">
        <v>41.28</v>
      </c>
    </row>
    <row r="8526" spans="1:4" ht="25.5">
      <c r="A8526" s="801">
        <v>2593</v>
      </c>
      <c r="B8526" s="802" t="s">
        <v>9628</v>
      </c>
      <c r="C8526" s="801" t="s">
        <v>656</v>
      </c>
      <c r="D8526" s="803">
        <v>8.84</v>
      </c>
    </row>
    <row r="8527" spans="1:4" ht="25.5">
      <c r="A8527" s="801">
        <v>2572</v>
      </c>
      <c r="B8527" s="802" t="s">
        <v>9629</v>
      </c>
      <c r="C8527" s="801" t="s">
        <v>656</v>
      </c>
      <c r="D8527" s="803">
        <v>122.08</v>
      </c>
    </row>
    <row r="8528" spans="1:4" ht="25.5">
      <c r="A8528" s="801">
        <v>2595</v>
      </c>
      <c r="B8528" s="802" t="s">
        <v>9630</v>
      </c>
      <c r="C8528" s="801" t="s">
        <v>656</v>
      </c>
      <c r="D8528" s="803">
        <v>190.48</v>
      </c>
    </row>
    <row r="8529" spans="1:4" ht="25.5">
      <c r="A8529" s="801">
        <v>2576</v>
      </c>
      <c r="B8529" s="802" t="s">
        <v>9631</v>
      </c>
      <c r="C8529" s="801" t="s">
        <v>656</v>
      </c>
      <c r="D8529" s="803">
        <v>32.47</v>
      </c>
    </row>
    <row r="8530" spans="1:4" ht="25.5">
      <c r="A8530" s="801">
        <v>2575</v>
      </c>
      <c r="B8530" s="802" t="s">
        <v>9632</v>
      </c>
      <c r="C8530" s="801" t="s">
        <v>656</v>
      </c>
      <c r="D8530" s="803">
        <v>24.41</v>
      </c>
    </row>
    <row r="8531" spans="1:4" ht="25.5">
      <c r="A8531" s="801">
        <v>2573</v>
      </c>
      <c r="B8531" s="802" t="s">
        <v>9633</v>
      </c>
      <c r="C8531" s="801" t="s">
        <v>656</v>
      </c>
      <c r="D8531" s="803">
        <v>10.130000000000001</v>
      </c>
    </row>
    <row r="8532" spans="1:4" ht="25.5">
      <c r="A8532" s="801">
        <v>2586</v>
      </c>
      <c r="B8532" s="802" t="s">
        <v>9634</v>
      </c>
      <c r="C8532" s="801" t="s">
        <v>656</v>
      </c>
      <c r="D8532" s="803">
        <v>16.43</v>
      </c>
    </row>
    <row r="8533" spans="1:4" ht="25.5">
      <c r="A8533" s="801">
        <v>2577</v>
      </c>
      <c r="B8533" s="802" t="s">
        <v>9635</v>
      </c>
      <c r="C8533" s="801" t="s">
        <v>656</v>
      </c>
      <c r="D8533" s="803">
        <v>44</v>
      </c>
    </row>
    <row r="8534" spans="1:4" ht="25.5">
      <c r="A8534" s="801">
        <v>2574</v>
      </c>
      <c r="B8534" s="802" t="s">
        <v>9636</v>
      </c>
      <c r="C8534" s="801" t="s">
        <v>656</v>
      </c>
      <c r="D8534" s="803">
        <v>10.199999999999999</v>
      </c>
    </row>
    <row r="8535" spans="1:4" ht="25.5">
      <c r="A8535" s="801">
        <v>2578</v>
      </c>
      <c r="B8535" s="802" t="s">
        <v>9637</v>
      </c>
      <c r="C8535" s="801" t="s">
        <v>656</v>
      </c>
      <c r="D8535" s="803">
        <v>137.37</v>
      </c>
    </row>
    <row r="8536" spans="1:4" ht="25.5">
      <c r="A8536" s="801">
        <v>2585</v>
      </c>
      <c r="B8536" s="802" t="s">
        <v>9638</v>
      </c>
      <c r="C8536" s="801" t="s">
        <v>656</v>
      </c>
      <c r="D8536" s="803">
        <v>188.5</v>
      </c>
    </row>
    <row r="8537" spans="1:4" ht="25.5">
      <c r="A8537" s="801">
        <v>12008</v>
      </c>
      <c r="B8537" s="802" t="s">
        <v>9639</v>
      </c>
      <c r="C8537" s="801" t="s">
        <v>656</v>
      </c>
      <c r="D8537" s="803">
        <v>101.14</v>
      </c>
    </row>
    <row r="8538" spans="1:4" ht="25.5">
      <c r="A8538" s="801">
        <v>2582</v>
      </c>
      <c r="B8538" s="802" t="s">
        <v>9640</v>
      </c>
      <c r="C8538" s="801" t="s">
        <v>656</v>
      </c>
      <c r="D8538" s="803">
        <v>30.12</v>
      </c>
    </row>
    <row r="8539" spans="1:4" ht="25.5">
      <c r="A8539" s="801">
        <v>2597</v>
      </c>
      <c r="B8539" s="802" t="s">
        <v>9641</v>
      </c>
      <c r="C8539" s="801" t="s">
        <v>656</v>
      </c>
      <c r="D8539" s="803">
        <v>25.81</v>
      </c>
    </row>
    <row r="8540" spans="1:4" ht="25.5">
      <c r="A8540" s="801">
        <v>2579</v>
      </c>
      <c r="B8540" s="802" t="s">
        <v>9642</v>
      </c>
      <c r="C8540" s="801" t="s">
        <v>656</v>
      </c>
      <c r="D8540" s="803">
        <v>12.29</v>
      </c>
    </row>
    <row r="8541" spans="1:4" ht="25.5">
      <c r="A8541" s="801">
        <v>2581</v>
      </c>
      <c r="B8541" s="802" t="s">
        <v>9643</v>
      </c>
      <c r="C8541" s="801" t="s">
        <v>656</v>
      </c>
      <c r="D8541" s="803">
        <v>15.72</v>
      </c>
    </row>
    <row r="8542" spans="1:4" ht="25.5">
      <c r="A8542" s="801">
        <v>2596</v>
      </c>
      <c r="B8542" s="802" t="s">
        <v>9644</v>
      </c>
      <c r="C8542" s="801" t="s">
        <v>656</v>
      </c>
      <c r="D8542" s="803">
        <v>46.51</v>
      </c>
    </row>
    <row r="8543" spans="1:4" ht="25.5">
      <c r="A8543" s="801">
        <v>2580</v>
      </c>
      <c r="B8543" s="802" t="s">
        <v>9645</v>
      </c>
      <c r="C8543" s="801" t="s">
        <v>656</v>
      </c>
      <c r="D8543" s="803">
        <v>13.47</v>
      </c>
    </row>
    <row r="8544" spans="1:4" ht="25.5">
      <c r="A8544" s="801">
        <v>2583</v>
      </c>
      <c r="B8544" s="802" t="s">
        <v>9646</v>
      </c>
      <c r="C8544" s="801" t="s">
        <v>656</v>
      </c>
      <c r="D8544" s="803">
        <v>113.12</v>
      </c>
    </row>
    <row r="8545" spans="1:4" ht="25.5">
      <c r="A8545" s="801">
        <v>2584</v>
      </c>
      <c r="B8545" s="802" t="s">
        <v>9647</v>
      </c>
      <c r="C8545" s="801" t="s">
        <v>656</v>
      </c>
      <c r="D8545" s="803">
        <v>188.31</v>
      </c>
    </row>
    <row r="8546" spans="1:4">
      <c r="A8546" s="801">
        <v>12010</v>
      </c>
      <c r="B8546" s="802" t="s">
        <v>9648</v>
      </c>
      <c r="C8546" s="801" t="s">
        <v>656</v>
      </c>
      <c r="D8546" s="803">
        <v>9.3699999999999992</v>
      </c>
    </row>
    <row r="8547" spans="1:4">
      <c r="A8547" s="801">
        <v>39329</v>
      </c>
      <c r="B8547" s="802" t="s">
        <v>9649</v>
      </c>
      <c r="C8547" s="801" t="s">
        <v>656</v>
      </c>
      <c r="D8547" s="803">
        <v>9.8000000000000007</v>
      </c>
    </row>
    <row r="8548" spans="1:4">
      <c r="A8548" s="801">
        <v>39330</v>
      </c>
      <c r="B8548" s="802" t="s">
        <v>9650</v>
      </c>
      <c r="C8548" s="801" t="s">
        <v>656</v>
      </c>
      <c r="D8548" s="803">
        <v>10.31</v>
      </c>
    </row>
    <row r="8549" spans="1:4">
      <c r="A8549" s="801">
        <v>39332</v>
      </c>
      <c r="B8549" s="802" t="s">
        <v>9651</v>
      </c>
      <c r="C8549" s="801" t="s">
        <v>656</v>
      </c>
      <c r="D8549" s="803">
        <v>11.52</v>
      </c>
    </row>
    <row r="8550" spans="1:4">
      <c r="A8550" s="801">
        <v>39331</v>
      </c>
      <c r="B8550" s="802" t="s">
        <v>9652</v>
      </c>
      <c r="C8550" s="801" t="s">
        <v>656</v>
      </c>
      <c r="D8550" s="803">
        <v>9.17</v>
      </c>
    </row>
    <row r="8551" spans="1:4">
      <c r="A8551" s="801">
        <v>39333</v>
      </c>
      <c r="B8551" s="802" t="s">
        <v>9653</v>
      </c>
      <c r="C8551" s="801" t="s">
        <v>656</v>
      </c>
      <c r="D8551" s="803">
        <v>8.94</v>
      </c>
    </row>
    <row r="8552" spans="1:4">
      <c r="A8552" s="801">
        <v>39335</v>
      </c>
      <c r="B8552" s="802" t="s">
        <v>9654</v>
      </c>
      <c r="C8552" s="801" t="s">
        <v>656</v>
      </c>
      <c r="D8552" s="803">
        <v>10.34</v>
      </c>
    </row>
    <row r="8553" spans="1:4">
      <c r="A8553" s="801">
        <v>39334</v>
      </c>
      <c r="B8553" s="802" t="s">
        <v>9655</v>
      </c>
      <c r="C8553" s="801" t="s">
        <v>656</v>
      </c>
      <c r="D8553" s="803">
        <v>8.2200000000000006</v>
      </c>
    </row>
    <row r="8554" spans="1:4">
      <c r="A8554" s="801">
        <v>12016</v>
      </c>
      <c r="B8554" s="802" t="s">
        <v>9656</v>
      </c>
      <c r="C8554" s="801" t="s">
        <v>656</v>
      </c>
      <c r="D8554" s="803">
        <v>10.32</v>
      </c>
    </row>
    <row r="8555" spans="1:4">
      <c r="A8555" s="801">
        <v>12015</v>
      </c>
      <c r="B8555" s="802" t="s">
        <v>9657</v>
      </c>
      <c r="C8555" s="801" t="s">
        <v>656</v>
      </c>
      <c r="D8555" s="803">
        <v>12.01</v>
      </c>
    </row>
    <row r="8556" spans="1:4">
      <c r="A8556" s="801">
        <v>12020</v>
      </c>
      <c r="B8556" s="802" t="s">
        <v>9658</v>
      </c>
      <c r="C8556" s="801" t="s">
        <v>656</v>
      </c>
      <c r="D8556" s="803">
        <v>10.32</v>
      </c>
    </row>
    <row r="8557" spans="1:4">
      <c r="A8557" s="801">
        <v>12019</v>
      </c>
      <c r="B8557" s="802" t="s">
        <v>9659</v>
      </c>
      <c r="C8557" s="801" t="s">
        <v>656</v>
      </c>
      <c r="D8557" s="803">
        <v>12.01</v>
      </c>
    </row>
    <row r="8558" spans="1:4">
      <c r="A8558" s="801">
        <v>39336</v>
      </c>
      <c r="B8558" s="802" t="s">
        <v>9660</v>
      </c>
      <c r="C8558" s="801" t="s">
        <v>656</v>
      </c>
      <c r="D8558" s="803">
        <v>10.31</v>
      </c>
    </row>
    <row r="8559" spans="1:4">
      <c r="A8559" s="801">
        <v>39338</v>
      </c>
      <c r="B8559" s="802" t="s">
        <v>9661</v>
      </c>
      <c r="C8559" s="801" t="s">
        <v>656</v>
      </c>
      <c r="D8559" s="803">
        <v>11.52</v>
      </c>
    </row>
    <row r="8560" spans="1:4">
      <c r="A8560" s="801">
        <v>39337</v>
      </c>
      <c r="B8560" s="802" t="s">
        <v>9662</v>
      </c>
      <c r="C8560" s="801" t="s">
        <v>656</v>
      </c>
      <c r="D8560" s="803">
        <v>9.17</v>
      </c>
    </row>
    <row r="8561" spans="1:4">
      <c r="A8561" s="801">
        <v>39341</v>
      </c>
      <c r="B8561" s="802" t="s">
        <v>9663</v>
      </c>
      <c r="C8561" s="801" t="s">
        <v>656</v>
      </c>
      <c r="D8561" s="803">
        <v>15.01</v>
      </c>
    </row>
    <row r="8562" spans="1:4">
      <c r="A8562" s="801">
        <v>39340</v>
      </c>
      <c r="B8562" s="802" t="s">
        <v>9664</v>
      </c>
      <c r="C8562" s="801" t="s">
        <v>656</v>
      </c>
      <c r="D8562" s="803">
        <v>11.02</v>
      </c>
    </row>
    <row r="8563" spans="1:4">
      <c r="A8563" s="801">
        <v>12025</v>
      </c>
      <c r="B8563" s="802" t="s">
        <v>9665</v>
      </c>
      <c r="C8563" s="801" t="s">
        <v>656</v>
      </c>
      <c r="D8563" s="803">
        <v>11.39</v>
      </c>
    </row>
    <row r="8564" spans="1:4">
      <c r="A8564" s="801">
        <v>39342</v>
      </c>
      <c r="B8564" s="802" t="s">
        <v>9666</v>
      </c>
      <c r="C8564" s="801" t="s">
        <v>656</v>
      </c>
      <c r="D8564" s="803">
        <v>15.01</v>
      </c>
    </row>
    <row r="8565" spans="1:4">
      <c r="A8565" s="801">
        <v>39343</v>
      </c>
      <c r="B8565" s="802" t="s">
        <v>9667</v>
      </c>
      <c r="C8565" s="801" t="s">
        <v>656</v>
      </c>
      <c r="D8565" s="803">
        <v>12.68</v>
      </c>
    </row>
    <row r="8566" spans="1:4">
      <c r="A8566" s="801">
        <v>39345</v>
      </c>
      <c r="B8566" s="802" t="s">
        <v>9668</v>
      </c>
      <c r="C8566" s="801" t="s">
        <v>656</v>
      </c>
      <c r="D8566" s="803">
        <v>17.16</v>
      </c>
    </row>
    <row r="8567" spans="1:4">
      <c r="A8567" s="801">
        <v>39344</v>
      </c>
      <c r="B8567" s="802" t="s">
        <v>9669</v>
      </c>
      <c r="C8567" s="801" t="s">
        <v>656</v>
      </c>
      <c r="D8567" s="803">
        <v>12.26</v>
      </c>
    </row>
    <row r="8568" spans="1:4" ht="25.5">
      <c r="A8568" s="801">
        <v>12623</v>
      </c>
      <c r="B8568" s="802" t="s">
        <v>9670</v>
      </c>
      <c r="C8568" s="801" t="s">
        <v>660</v>
      </c>
      <c r="D8568" s="803">
        <v>12.9</v>
      </c>
    </row>
    <row r="8569" spans="1:4" ht="25.5">
      <c r="A8569" s="801">
        <v>34498</v>
      </c>
      <c r="B8569" s="802" t="s">
        <v>9671</v>
      </c>
      <c r="C8569" s="801" t="s">
        <v>656</v>
      </c>
      <c r="D8569" s="803">
        <v>94.79</v>
      </c>
    </row>
    <row r="8570" spans="1:4" ht="25.5">
      <c r="A8570" s="801">
        <v>13244</v>
      </c>
      <c r="B8570" s="802" t="s">
        <v>9672</v>
      </c>
      <c r="C8570" s="801" t="s">
        <v>656</v>
      </c>
      <c r="D8570" s="803">
        <v>39.9</v>
      </c>
    </row>
    <row r="8571" spans="1:4" ht="25.5">
      <c r="A8571" s="801">
        <v>38998</v>
      </c>
      <c r="B8571" s="802" t="s">
        <v>9673</v>
      </c>
      <c r="C8571" s="801" t="s">
        <v>656</v>
      </c>
      <c r="D8571" s="803">
        <v>14.71</v>
      </c>
    </row>
    <row r="8572" spans="1:4" ht="25.5">
      <c r="A8572" s="801">
        <v>38999</v>
      </c>
      <c r="B8572" s="802" t="s">
        <v>9674</v>
      </c>
      <c r="C8572" s="801" t="s">
        <v>656</v>
      </c>
      <c r="D8572" s="803">
        <v>24.35</v>
      </c>
    </row>
    <row r="8573" spans="1:4" ht="25.5">
      <c r="A8573" s="801">
        <v>38996</v>
      </c>
      <c r="B8573" s="802" t="s">
        <v>9675</v>
      </c>
      <c r="C8573" s="801" t="s">
        <v>656</v>
      </c>
      <c r="D8573" s="803">
        <v>21.26</v>
      </c>
    </row>
    <row r="8574" spans="1:4" ht="25.5">
      <c r="A8574" s="801">
        <v>38997</v>
      </c>
      <c r="B8574" s="802" t="s">
        <v>9676</v>
      </c>
      <c r="C8574" s="801" t="s">
        <v>656</v>
      </c>
      <c r="D8574" s="803">
        <v>34.409999999999997</v>
      </c>
    </row>
    <row r="8575" spans="1:4" ht="25.5">
      <c r="A8575" s="801">
        <v>39862</v>
      </c>
      <c r="B8575" s="802" t="s">
        <v>9677</v>
      </c>
      <c r="C8575" s="801" t="s">
        <v>656</v>
      </c>
      <c r="D8575" s="803">
        <v>15.95</v>
      </c>
    </row>
    <row r="8576" spans="1:4" ht="25.5">
      <c r="A8576" s="801">
        <v>39863</v>
      </c>
      <c r="B8576" s="802" t="s">
        <v>9678</v>
      </c>
      <c r="C8576" s="801" t="s">
        <v>656</v>
      </c>
      <c r="D8576" s="803">
        <v>16.170000000000002</v>
      </c>
    </row>
    <row r="8577" spans="1:4" ht="25.5">
      <c r="A8577" s="801">
        <v>39864</v>
      </c>
      <c r="B8577" s="802" t="s">
        <v>9679</v>
      </c>
      <c r="C8577" s="801" t="s">
        <v>656</v>
      </c>
      <c r="D8577" s="803">
        <v>20.07</v>
      </c>
    </row>
    <row r="8578" spans="1:4" ht="25.5">
      <c r="A8578" s="801">
        <v>39865</v>
      </c>
      <c r="B8578" s="802" t="s">
        <v>9680</v>
      </c>
      <c r="C8578" s="801" t="s">
        <v>656</v>
      </c>
      <c r="D8578" s="803">
        <v>28.29</v>
      </c>
    </row>
    <row r="8579" spans="1:4" ht="38.25">
      <c r="A8579" s="801">
        <v>2517</v>
      </c>
      <c r="B8579" s="802" t="s">
        <v>9681</v>
      </c>
      <c r="C8579" s="801" t="s">
        <v>656</v>
      </c>
      <c r="D8579" s="803">
        <v>18.760000000000002</v>
      </c>
    </row>
    <row r="8580" spans="1:4" ht="38.25">
      <c r="A8580" s="801">
        <v>2522</v>
      </c>
      <c r="B8580" s="802" t="s">
        <v>9682</v>
      </c>
      <c r="C8580" s="801" t="s">
        <v>656</v>
      </c>
      <c r="D8580" s="803">
        <v>12.12</v>
      </c>
    </row>
    <row r="8581" spans="1:4" ht="38.25">
      <c r="A8581" s="801">
        <v>2548</v>
      </c>
      <c r="B8581" s="802" t="s">
        <v>9683</v>
      </c>
      <c r="C8581" s="801" t="s">
        <v>656</v>
      </c>
      <c r="D8581" s="803">
        <v>7.45</v>
      </c>
    </row>
    <row r="8582" spans="1:4" ht="38.25">
      <c r="A8582" s="801">
        <v>2516</v>
      </c>
      <c r="B8582" s="802" t="s">
        <v>9684</v>
      </c>
      <c r="C8582" s="801" t="s">
        <v>656</v>
      </c>
      <c r="D8582" s="803">
        <v>9.73</v>
      </c>
    </row>
    <row r="8583" spans="1:4" ht="38.25">
      <c r="A8583" s="801">
        <v>2518</v>
      </c>
      <c r="B8583" s="802" t="s">
        <v>9685</v>
      </c>
      <c r="C8583" s="801" t="s">
        <v>656</v>
      </c>
      <c r="D8583" s="803">
        <v>89.31</v>
      </c>
    </row>
    <row r="8584" spans="1:4" ht="38.25">
      <c r="A8584" s="801">
        <v>2521</v>
      </c>
      <c r="B8584" s="802" t="s">
        <v>9686</v>
      </c>
      <c r="C8584" s="801" t="s">
        <v>656</v>
      </c>
      <c r="D8584" s="803">
        <v>38.01</v>
      </c>
    </row>
    <row r="8585" spans="1:4" ht="38.25">
      <c r="A8585" s="801">
        <v>2515</v>
      </c>
      <c r="B8585" s="802" t="s">
        <v>9687</v>
      </c>
      <c r="C8585" s="801" t="s">
        <v>656</v>
      </c>
      <c r="D8585" s="803">
        <v>8.1</v>
      </c>
    </row>
    <row r="8586" spans="1:4" ht="38.25">
      <c r="A8586" s="801">
        <v>2519</v>
      </c>
      <c r="B8586" s="802" t="s">
        <v>9688</v>
      </c>
      <c r="C8586" s="801" t="s">
        <v>656</v>
      </c>
      <c r="D8586" s="803">
        <v>107.68</v>
      </c>
    </row>
    <row r="8587" spans="1:4" ht="38.25">
      <c r="A8587" s="801">
        <v>2520</v>
      </c>
      <c r="B8587" s="802" t="s">
        <v>9689</v>
      </c>
      <c r="C8587" s="801" t="s">
        <v>656</v>
      </c>
      <c r="D8587" s="803">
        <v>198.2</v>
      </c>
    </row>
    <row r="8588" spans="1:4" ht="25.5">
      <c r="A8588" s="801">
        <v>1602</v>
      </c>
      <c r="B8588" s="802" t="s">
        <v>9690</v>
      </c>
      <c r="C8588" s="801" t="s">
        <v>656</v>
      </c>
      <c r="D8588" s="803">
        <v>37.39</v>
      </c>
    </row>
    <row r="8589" spans="1:4" ht="25.5">
      <c r="A8589" s="801">
        <v>1601</v>
      </c>
      <c r="B8589" s="802" t="s">
        <v>9691</v>
      </c>
      <c r="C8589" s="801" t="s">
        <v>656</v>
      </c>
      <c r="D8589" s="803">
        <v>33.33</v>
      </c>
    </row>
    <row r="8590" spans="1:4" ht="25.5">
      <c r="A8590" s="801">
        <v>1598</v>
      </c>
      <c r="B8590" s="802" t="s">
        <v>9692</v>
      </c>
      <c r="C8590" s="801" t="s">
        <v>656</v>
      </c>
      <c r="D8590" s="803">
        <v>9.86</v>
      </c>
    </row>
    <row r="8591" spans="1:4" ht="25.5">
      <c r="A8591" s="801">
        <v>1600</v>
      </c>
      <c r="B8591" s="802" t="s">
        <v>9693</v>
      </c>
      <c r="C8591" s="801" t="s">
        <v>656</v>
      </c>
      <c r="D8591" s="803">
        <v>14.56</v>
      </c>
    </row>
    <row r="8592" spans="1:4" ht="25.5">
      <c r="A8592" s="801">
        <v>1603</v>
      </c>
      <c r="B8592" s="802" t="s">
        <v>9694</v>
      </c>
      <c r="C8592" s="801" t="s">
        <v>656</v>
      </c>
      <c r="D8592" s="803">
        <v>56.46</v>
      </c>
    </row>
    <row r="8593" spans="1:4" ht="25.5">
      <c r="A8593" s="801">
        <v>1599</v>
      </c>
      <c r="B8593" s="802" t="s">
        <v>9695</v>
      </c>
      <c r="C8593" s="801" t="s">
        <v>656</v>
      </c>
      <c r="D8593" s="803">
        <v>11.44</v>
      </c>
    </row>
    <row r="8594" spans="1:4" ht="25.5">
      <c r="A8594" s="801">
        <v>1597</v>
      </c>
      <c r="B8594" s="802" t="s">
        <v>9696</v>
      </c>
      <c r="C8594" s="801" t="s">
        <v>656</v>
      </c>
      <c r="D8594" s="803">
        <v>9.27</v>
      </c>
    </row>
    <row r="8595" spans="1:4">
      <c r="A8595" s="801">
        <v>39600</v>
      </c>
      <c r="B8595" s="802" t="s">
        <v>9697</v>
      </c>
      <c r="C8595" s="801" t="s">
        <v>656</v>
      </c>
      <c r="D8595" s="803">
        <v>14.33</v>
      </c>
    </row>
    <row r="8596" spans="1:4">
      <c r="A8596" s="801">
        <v>39601</v>
      </c>
      <c r="B8596" s="802" t="s">
        <v>9698</v>
      </c>
      <c r="C8596" s="801" t="s">
        <v>656</v>
      </c>
      <c r="D8596" s="803">
        <v>24.92</v>
      </c>
    </row>
    <row r="8597" spans="1:4">
      <c r="A8597" s="801">
        <v>39602</v>
      </c>
      <c r="B8597" s="802" t="s">
        <v>9699</v>
      </c>
      <c r="C8597" s="801" t="s">
        <v>656</v>
      </c>
      <c r="D8597" s="803">
        <v>1.64</v>
      </c>
    </row>
    <row r="8598" spans="1:4">
      <c r="A8598" s="801">
        <v>39603</v>
      </c>
      <c r="B8598" s="802" t="s">
        <v>9700</v>
      </c>
      <c r="C8598" s="801" t="s">
        <v>656</v>
      </c>
      <c r="D8598" s="803">
        <v>2.81</v>
      </c>
    </row>
    <row r="8599" spans="1:4" ht="38.25">
      <c r="A8599" s="801">
        <v>11821</v>
      </c>
      <c r="B8599" s="802" t="s">
        <v>9701</v>
      </c>
      <c r="C8599" s="801" t="s">
        <v>656</v>
      </c>
      <c r="D8599" s="803">
        <v>7.61</v>
      </c>
    </row>
    <row r="8600" spans="1:4" ht="38.25">
      <c r="A8600" s="801">
        <v>1562</v>
      </c>
      <c r="B8600" s="802" t="s">
        <v>9702</v>
      </c>
      <c r="C8600" s="801" t="s">
        <v>656</v>
      </c>
      <c r="D8600" s="803">
        <v>12.47</v>
      </c>
    </row>
    <row r="8601" spans="1:4" ht="38.25">
      <c r="A8601" s="801">
        <v>1563</v>
      </c>
      <c r="B8601" s="802" t="s">
        <v>9703</v>
      </c>
      <c r="C8601" s="801" t="s">
        <v>656</v>
      </c>
      <c r="D8601" s="803">
        <v>16.739999999999998</v>
      </c>
    </row>
    <row r="8602" spans="1:4" ht="25.5">
      <c r="A8602" s="801">
        <v>11856</v>
      </c>
      <c r="B8602" s="802" t="s">
        <v>9704</v>
      </c>
      <c r="C8602" s="801" t="s">
        <v>656</v>
      </c>
      <c r="D8602" s="803">
        <v>4.99</v>
      </c>
    </row>
    <row r="8603" spans="1:4" ht="25.5">
      <c r="A8603" s="801">
        <v>11857</v>
      </c>
      <c r="B8603" s="802" t="s">
        <v>9705</v>
      </c>
      <c r="C8603" s="801" t="s">
        <v>656</v>
      </c>
      <c r="D8603" s="803">
        <v>26.26</v>
      </c>
    </row>
    <row r="8604" spans="1:4" ht="25.5">
      <c r="A8604" s="801">
        <v>11858</v>
      </c>
      <c r="B8604" s="802" t="s">
        <v>9706</v>
      </c>
      <c r="C8604" s="801" t="s">
        <v>656</v>
      </c>
      <c r="D8604" s="803">
        <v>32.590000000000003</v>
      </c>
    </row>
    <row r="8605" spans="1:4" ht="25.5">
      <c r="A8605" s="801">
        <v>1539</v>
      </c>
      <c r="B8605" s="802" t="s">
        <v>9707</v>
      </c>
      <c r="C8605" s="801" t="s">
        <v>656</v>
      </c>
      <c r="D8605" s="803">
        <v>5.86</v>
      </c>
    </row>
    <row r="8606" spans="1:4" ht="25.5">
      <c r="A8606" s="801">
        <v>11859</v>
      </c>
      <c r="B8606" s="802" t="s">
        <v>9708</v>
      </c>
      <c r="C8606" s="801" t="s">
        <v>656</v>
      </c>
      <c r="D8606" s="803">
        <v>44.34</v>
      </c>
    </row>
    <row r="8607" spans="1:4" ht="25.5">
      <c r="A8607" s="801">
        <v>1550</v>
      </c>
      <c r="B8607" s="802" t="s">
        <v>9709</v>
      </c>
      <c r="C8607" s="801" t="s">
        <v>656</v>
      </c>
      <c r="D8607" s="803">
        <v>6.18</v>
      </c>
    </row>
    <row r="8608" spans="1:4" ht="25.5">
      <c r="A8608" s="801">
        <v>11854</v>
      </c>
      <c r="B8608" s="802" t="s">
        <v>9710</v>
      </c>
      <c r="C8608" s="801" t="s">
        <v>656</v>
      </c>
      <c r="D8608" s="803">
        <v>7.73</v>
      </c>
    </row>
    <row r="8609" spans="1:4" ht="25.5">
      <c r="A8609" s="801">
        <v>11862</v>
      </c>
      <c r="B8609" s="802" t="s">
        <v>9711</v>
      </c>
      <c r="C8609" s="801" t="s">
        <v>656</v>
      </c>
      <c r="D8609" s="803">
        <v>10.84</v>
      </c>
    </row>
    <row r="8610" spans="1:4" ht="25.5">
      <c r="A8610" s="801">
        <v>11863</v>
      </c>
      <c r="B8610" s="802" t="s">
        <v>9712</v>
      </c>
      <c r="C8610" s="801" t="s">
        <v>656</v>
      </c>
      <c r="D8610" s="803">
        <v>4.38</v>
      </c>
    </row>
    <row r="8611" spans="1:4" ht="25.5">
      <c r="A8611" s="801">
        <v>11855</v>
      </c>
      <c r="B8611" s="802" t="s">
        <v>9713</v>
      </c>
      <c r="C8611" s="801" t="s">
        <v>656</v>
      </c>
      <c r="D8611" s="803">
        <v>16.18</v>
      </c>
    </row>
    <row r="8612" spans="1:4" ht="25.5">
      <c r="A8612" s="801">
        <v>11864</v>
      </c>
      <c r="B8612" s="802" t="s">
        <v>9714</v>
      </c>
      <c r="C8612" s="801" t="s">
        <v>656</v>
      </c>
      <c r="D8612" s="803">
        <v>24.47</v>
      </c>
    </row>
    <row r="8613" spans="1:4" ht="38.25">
      <c r="A8613" s="801">
        <v>2527</v>
      </c>
      <c r="B8613" s="802" t="s">
        <v>9715</v>
      </c>
      <c r="C8613" s="801" t="s">
        <v>656</v>
      </c>
      <c r="D8613" s="803">
        <v>6.71</v>
      </c>
    </row>
    <row r="8614" spans="1:4" ht="38.25">
      <c r="A8614" s="801">
        <v>2526</v>
      </c>
      <c r="B8614" s="802" t="s">
        <v>9716</v>
      </c>
      <c r="C8614" s="801" t="s">
        <v>656</v>
      </c>
      <c r="D8614" s="803">
        <v>4.3</v>
      </c>
    </row>
    <row r="8615" spans="1:4" ht="38.25">
      <c r="A8615" s="801">
        <v>2487</v>
      </c>
      <c r="B8615" s="802" t="s">
        <v>9717</v>
      </c>
      <c r="C8615" s="801" t="s">
        <v>656</v>
      </c>
      <c r="D8615" s="803">
        <v>1.46</v>
      </c>
    </row>
    <row r="8616" spans="1:4" ht="38.25">
      <c r="A8616" s="801">
        <v>2483</v>
      </c>
      <c r="B8616" s="802" t="s">
        <v>9718</v>
      </c>
      <c r="C8616" s="801" t="s">
        <v>656</v>
      </c>
      <c r="D8616" s="803">
        <v>3.06</v>
      </c>
    </row>
    <row r="8617" spans="1:4" ht="38.25">
      <c r="A8617" s="801">
        <v>2528</v>
      </c>
      <c r="B8617" s="802" t="s">
        <v>9719</v>
      </c>
      <c r="C8617" s="801" t="s">
        <v>656</v>
      </c>
      <c r="D8617" s="803">
        <v>16.899999999999999</v>
      </c>
    </row>
    <row r="8618" spans="1:4" ht="38.25">
      <c r="A8618" s="801">
        <v>2489</v>
      </c>
      <c r="B8618" s="802" t="s">
        <v>9720</v>
      </c>
      <c r="C8618" s="801" t="s">
        <v>656</v>
      </c>
      <c r="D8618" s="803">
        <v>7.44</v>
      </c>
    </row>
    <row r="8619" spans="1:4" ht="38.25">
      <c r="A8619" s="801">
        <v>2488</v>
      </c>
      <c r="B8619" s="802" t="s">
        <v>9721</v>
      </c>
      <c r="C8619" s="801" t="s">
        <v>656</v>
      </c>
      <c r="D8619" s="803">
        <v>1.72</v>
      </c>
    </row>
    <row r="8620" spans="1:4" ht="38.25">
      <c r="A8620" s="801">
        <v>2484</v>
      </c>
      <c r="B8620" s="802" t="s">
        <v>9722</v>
      </c>
      <c r="C8620" s="801" t="s">
        <v>656</v>
      </c>
      <c r="D8620" s="803">
        <v>24.54</v>
      </c>
    </row>
    <row r="8621" spans="1:4" ht="38.25">
      <c r="A8621" s="801">
        <v>2485</v>
      </c>
      <c r="B8621" s="802" t="s">
        <v>9723</v>
      </c>
      <c r="C8621" s="801" t="s">
        <v>656</v>
      </c>
      <c r="D8621" s="803">
        <v>38.47</v>
      </c>
    </row>
    <row r="8622" spans="1:4">
      <c r="A8622" s="801">
        <v>38005</v>
      </c>
      <c r="B8622" s="802" t="s">
        <v>9724</v>
      </c>
      <c r="C8622" s="801" t="s">
        <v>656</v>
      </c>
      <c r="D8622" s="803">
        <v>26.88</v>
      </c>
    </row>
    <row r="8623" spans="1:4">
      <c r="A8623" s="801">
        <v>38006</v>
      </c>
      <c r="B8623" s="802" t="s">
        <v>9725</v>
      </c>
      <c r="C8623" s="801" t="s">
        <v>656</v>
      </c>
      <c r="D8623" s="803">
        <v>32.99</v>
      </c>
    </row>
    <row r="8624" spans="1:4">
      <c r="A8624" s="801">
        <v>38428</v>
      </c>
      <c r="B8624" s="802" t="s">
        <v>9726</v>
      </c>
      <c r="C8624" s="801" t="s">
        <v>656</v>
      </c>
      <c r="D8624" s="803">
        <v>30.91</v>
      </c>
    </row>
    <row r="8625" spans="1:4">
      <c r="A8625" s="801">
        <v>38007</v>
      </c>
      <c r="B8625" s="802" t="s">
        <v>9727</v>
      </c>
      <c r="C8625" s="801" t="s">
        <v>656</v>
      </c>
      <c r="D8625" s="803">
        <v>50.5</v>
      </c>
    </row>
    <row r="8626" spans="1:4" ht="25.5">
      <c r="A8626" s="801">
        <v>38008</v>
      </c>
      <c r="B8626" s="802" t="s">
        <v>9728</v>
      </c>
      <c r="C8626" s="801" t="s">
        <v>656</v>
      </c>
      <c r="D8626" s="803">
        <v>203.38</v>
      </c>
    </row>
    <row r="8627" spans="1:4" ht="25.5">
      <c r="A8627" s="801">
        <v>38009</v>
      </c>
      <c r="B8627" s="802" t="s">
        <v>9729</v>
      </c>
      <c r="C8627" s="801" t="s">
        <v>656</v>
      </c>
      <c r="D8627" s="803">
        <v>248.56</v>
      </c>
    </row>
    <row r="8628" spans="1:4" ht="25.5">
      <c r="A8628" s="801">
        <v>39279</v>
      </c>
      <c r="B8628" s="802" t="s">
        <v>9730</v>
      </c>
      <c r="C8628" s="801" t="s">
        <v>656</v>
      </c>
      <c r="D8628" s="803">
        <v>15.67</v>
      </c>
    </row>
    <row r="8629" spans="1:4" ht="25.5">
      <c r="A8629" s="801">
        <v>38845</v>
      </c>
      <c r="B8629" s="802" t="s">
        <v>9731</v>
      </c>
      <c r="C8629" s="801" t="s">
        <v>656</v>
      </c>
      <c r="D8629" s="803">
        <v>22.68</v>
      </c>
    </row>
    <row r="8630" spans="1:4" ht="25.5">
      <c r="A8630" s="801">
        <v>39280</v>
      </c>
      <c r="B8630" s="802" t="s">
        <v>9732</v>
      </c>
      <c r="C8630" s="801" t="s">
        <v>656</v>
      </c>
      <c r="D8630" s="803">
        <v>20.32</v>
      </c>
    </row>
    <row r="8631" spans="1:4" ht="25.5">
      <c r="A8631" s="801">
        <v>39281</v>
      </c>
      <c r="B8631" s="802" t="s">
        <v>9733</v>
      </c>
      <c r="C8631" s="801" t="s">
        <v>656</v>
      </c>
      <c r="D8631" s="803">
        <v>26.75</v>
      </c>
    </row>
    <row r="8632" spans="1:4" ht="25.5">
      <c r="A8632" s="801">
        <v>38849</v>
      </c>
      <c r="B8632" s="802" t="s">
        <v>9734</v>
      </c>
      <c r="C8632" s="801" t="s">
        <v>656</v>
      </c>
      <c r="D8632" s="803">
        <v>22.91</v>
      </c>
    </row>
    <row r="8633" spans="1:4" ht="25.5">
      <c r="A8633" s="801">
        <v>39282</v>
      </c>
      <c r="B8633" s="802" t="s">
        <v>9735</v>
      </c>
      <c r="C8633" s="801" t="s">
        <v>656</v>
      </c>
      <c r="D8633" s="803">
        <v>27.39</v>
      </c>
    </row>
    <row r="8634" spans="1:4" ht="25.5">
      <c r="A8634" s="801">
        <v>38852</v>
      </c>
      <c r="B8634" s="802" t="s">
        <v>9736</v>
      </c>
      <c r="C8634" s="801" t="s">
        <v>656</v>
      </c>
      <c r="D8634" s="803">
        <v>37.26</v>
      </c>
    </row>
    <row r="8635" spans="1:4" ht="25.5">
      <c r="A8635" s="801">
        <v>38844</v>
      </c>
      <c r="B8635" s="802" t="s">
        <v>9737</v>
      </c>
      <c r="C8635" s="801" t="s">
        <v>656</v>
      </c>
      <c r="D8635" s="803">
        <v>11.45</v>
      </c>
    </row>
    <row r="8636" spans="1:4" ht="25.5">
      <c r="A8636" s="801">
        <v>38846</v>
      </c>
      <c r="B8636" s="802" t="s">
        <v>9738</v>
      </c>
      <c r="C8636" s="801" t="s">
        <v>656</v>
      </c>
      <c r="D8636" s="803">
        <v>12.52</v>
      </c>
    </row>
    <row r="8637" spans="1:4" ht="25.5">
      <c r="A8637" s="801">
        <v>38847</v>
      </c>
      <c r="B8637" s="802" t="s">
        <v>9739</v>
      </c>
      <c r="C8637" s="801" t="s">
        <v>656</v>
      </c>
      <c r="D8637" s="803">
        <v>15.41</v>
      </c>
    </row>
    <row r="8638" spans="1:4" ht="25.5">
      <c r="A8638" s="801">
        <v>38850</v>
      </c>
      <c r="B8638" s="802" t="s">
        <v>9740</v>
      </c>
      <c r="C8638" s="801" t="s">
        <v>656</v>
      </c>
      <c r="D8638" s="803">
        <v>21.42</v>
      </c>
    </row>
    <row r="8639" spans="1:4" ht="25.5">
      <c r="A8639" s="801">
        <v>38848</v>
      </c>
      <c r="B8639" s="802" t="s">
        <v>9741</v>
      </c>
      <c r="C8639" s="801" t="s">
        <v>656</v>
      </c>
      <c r="D8639" s="803">
        <v>17.91</v>
      </c>
    </row>
    <row r="8640" spans="1:4" ht="25.5">
      <c r="A8640" s="801">
        <v>38851</v>
      </c>
      <c r="B8640" s="802" t="s">
        <v>9742</v>
      </c>
      <c r="C8640" s="801" t="s">
        <v>656</v>
      </c>
      <c r="D8640" s="803">
        <v>32.56</v>
      </c>
    </row>
    <row r="8641" spans="1:4" ht="25.5">
      <c r="A8641" s="801">
        <v>38860</v>
      </c>
      <c r="B8641" s="802" t="s">
        <v>9743</v>
      </c>
      <c r="C8641" s="801" t="s">
        <v>656</v>
      </c>
      <c r="D8641" s="803">
        <v>9.1999999999999993</v>
      </c>
    </row>
    <row r="8642" spans="1:4" ht="25.5">
      <c r="A8642" s="801">
        <v>38861</v>
      </c>
      <c r="B8642" s="802" t="s">
        <v>9744</v>
      </c>
      <c r="C8642" s="801" t="s">
        <v>656</v>
      </c>
      <c r="D8642" s="803">
        <v>12.38</v>
      </c>
    </row>
    <row r="8643" spans="1:4" ht="25.5">
      <c r="A8643" s="801">
        <v>38862</v>
      </c>
      <c r="B8643" s="802" t="s">
        <v>9745</v>
      </c>
      <c r="C8643" s="801" t="s">
        <v>656</v>
      </c>
      <c r="D8643" s="803">
        <v>10.44</v>
      </c>
    </row>
    <row r="8644" spans="1:4" ht="25.5">
      <c r="A8644" s="801">
        <v>38863</v>
      </c>
      <c r="B8644" s="802" t="s">
        <v>9746</v>
      </c>
      <c r="C8644" s="801" t="s">
        <v>656</v>
      </c>
      <c r="D8644" s="803">
        <v>11.99</v>
      </c>
    </row>
    <row r="8645" spans="1:4" ht="25.5">
      <c r="A8645" s="801">
        <v>38865</v>
      </c>
      <c r="B8645" s="802" t="s">
        <v>9747</v>
      </c>
      <c r="C8645" s="801" t="s">
        <v>656</v>
      </c>
      <c r="D8645" s="803">
        <v>16.29</v>
      </c>
    </row>
    <row r="8646" spans="1:4" ht="25.5">
      <c r="A8646" s="801">
        <v>38864</v>
      </c>
      <c r="B8646" s="802" t="s">
        <v>9748</v>
      </c>
      <c r="C8646" s="801" t="s">
        <v>656</v>
      </c>
      <c r="D8646" s="803">
        <v>24.89</v>
      </c>
    </row>
    <row r="8647" spans="1:4" ht="25.5">
      <c r="A8647" s="801">
        <v>38866</v>
      </c>
      <c r="B8647" s="802" t="s">
        <v>9749</v>
      </c>
      <c r="C8647" s="801" t="s">
        <v>656</v>
      </c>
      <c r="D8647" s="803">
        <v>17.52</v>
      </c>
    </row>
    <row r="8648" spans="1:4" ht="25.5">
      <c r="A8648" s="801">
        <v>38868</v>
      </c>
      <c r="B8648" s="802" t="s">
        <v>9750</v>
      </c>
      <c r="C8648" s="801" t="s">
        <v>656</v>
      </c>
      <c r="D8648" s="803">
        <v>29.21</v>
      </c>
    </row>
    <row r="8649" spans="1:4" ht="25.5">
      <c r="A8649" s="801">
        <v>38853</v>
      </c>
      <c r="B8649" s="802" t="s">
        <v>9751</v>
      </c>
      <c r="C8649" s="801" t="s">
        <v>656</v>
      </c>
      <c r="D8649" s="803">
        <v>9.44</v>
      </c>
    </row>
    <row r="8650" spans="1:4" ht="25.5">
      <c r="A8650" s="801">
        <v>38854</v>
      </c>
      <c r="B8650" s="802" t="s">
        <v>9752</v>
      </c>
      <c r="C8650" s="801" t="s">
        <v>656</v>
      </c>
      <c r="D8650" s="803">
        <v>12.9</v>
      </c>
    </row>
    <row r="8651" spans="1:4" ht="25.5">
      <c r="A8651" s="801">
        <v>38855</v>
      </c>
      <c r="B8651" s="802" t="s">
        <v>9753</v>
      </c>
      <c r="C8651" s="801" t="s">
        <v>656</v>
      </c>
      <c r="D8651" s="803">
        <v>9.57</v>
      </c>
    </row>
    <row r="8652" spans="1:4" ht="25.5">
      <c r="A8652" s="801">
        <v>38856</v>
      </c>
      <c r="B8652" s="802" t="s">
        <v>9754</v>
      </c>
      <c r="C8652" s="801" t="s">
        <v>656</v>
      </c>
      <c r="D8652" s="803">
        <v>15.37</v>
      </c>
    </row>
    <row r="8653" spans="1:4" ht="25.5">
      <c r="A8653" s="801">
        <v>38857</v>
      </c>
      <c r="B8653" s="802" t="s">
        <v>9755</v>
      </c>
      <c r="C8653" s="801" t="s">
        <v>656</v>
      </c>
      <c r="D8653" s="803">
        <v>20.329999999999998</v>
      </c>
    </row>
    <row r="8654" spans="1:4" ht="25.5">
      <c r="A8654" s="801">
        <v>38858</v>
      </c>
      <c r="B8654" s="802" t="s">
        <v>9756</v>
      </c>
      <c r="C8654" s="801" t="s">
        <v>656</v>
      </c>
      <c r="D8654" s="803">
        <v>18.48</v>
      </c>
    </row>
    <row r="8655" spans="1:4" ht="25.5">
      <c r="A8655" s="801">
        <v>38859</v>
      </c>
      <c r="B8655" s="802" t="s">
        <v>9757</v>
      </c>
      <c r="C8655" s="801" t="s">
        <v>656</v>
      </c>
      <c r="D8655" s="803">
        <v>29.93</v>
      </c>
    </row>
    <row r="8656" spans="1:4" ht="63.75">
      <c r="A8656" s="801">
        <v>3104</v>
      </c>
      <c r="B8656" s="802" t="s">
        <v>9758</v>
      </c>
      <c r="C8656" s="801" t="s">
        <v>663</v>
      </c>
      <c r="D8656" s="803">
        <v>142.9</v>
      </c>
    </row>
    <row r="8657" spans="1:4" ht="38.25">
      <c r="A8657" s="801">
        <v>1607</v>
      </c>
      <c r="B8657" s="802" t="s">
        <v>4630</v>
      </c>
      <c r="C8657" s="801" t="s">
        <v>663</v>
      </c>
      <c r="D8657" s="803">
        <v>0.25</v>
      </c>
    </row>
    <row r="8658" spans="1:4" ht="38.25">
      <c r="A8658" s="801">
        <v>38169</v>
      </c>
      <c r="B8658" s="802" t="s">
        <v>9759</v>
      </c>
      <c r="C8658" s="801" t="s">
        <v>663</v>
      </c>
      <c r="D8658" s="803">
        <v>84.93</v>
      </c>
    </row>
    <row r="8659" spans="1:4" ht="25.5">
      <c r="A8659" s="801">
        <v>6142</v>
      </c>
      <c r="B8659" s="802" t="s">
        <v>4631</v>
      </c>
      <c r="C8659" s="801" t="s">
        <v>656</v>
      </c>
      <c r="D8659" s="803">
        <v>9.08</v>
      </c>
    </row>
    <row r="8660" spans="1:4" ht="38.25">
      <c r="A8660" s="801">
        <v>11686</v>
      </c>
      <c r="B8660" s="802" t="s">
        <v>9760</v>
      </c>
      <c r="C8660" s="801" t="s">
        <v>656</v>
      </c>
      <c r="D8660" s="803">
        <v>12.6</v>
      </c>
    </row>
    <row r="8661" spans="1:4" ht="25.5">
      <c r="A8661" s="801">
        <v>37598</v>
      </c>
      <c r="B8661" s="802" t="s">
        <v>9761</v>
      </c>
      <c r="C8661" s="801" t="s">
        <v>656</v>
      </c>
      <c r="D8661" s="803">
        <v>44.96</v>
      </c>
    </row>
    <row r="8662" spans="1:4" ht="51">
      <c r="A8662" s="801">
        <v>25398</v>
      </c>
      <c r="B8662" s="802" t="s">
        <v>9762</v>
      </c>
      <c r="C8662" s="801" t="s">
        <v>656</v>
      </c>
      <c r="D8662" s="803">
        <v>5328.75</v>
      </c>
    </row>
    <row r="8663" spans="1:4" ht="51">
      <c r="A8663" s="801">
        <v>25399</v>
      </c>
      <c r="B8663" s="802" t="s">
        <v>9763</v>
      </c>
      <c r="C8663" s="801" t="s">
        <v>656</v>
      </c>
      <c r="D8663" s="803">
        <v>3235.02</v>
      </c>
    </row>
    <row r="8664" spans="1:4" ht="38.25">
      <c r="A8664" s="801">
        <v>43440</v>
      </c>
      <c r="B8664" s="802" t="s">
        <v>9764</v>
      </c>
      <c r="C8664" s="801" t="s">
        <v>656</v>
      </c>
      <c r="D8664" s="803">
        <v>397.76</v>
      </c>
    </row>
    <row r="8665" spans="1:4" ht="38.25">
      <c r="A8665" s="801">
        <v>10667</v>
      </c>
      <c r="B8665" s="802" t="s">
        <v>9765</v>
      </c>
      <c r="C8665" s="801" t="s">
        <v>656</v>
      </c>
      <c r="D8665" s="803">
        <v>15000</v>
      </c>
    </row>
    <row r="8666" spans="1:4" ht="25.5">
      <c r="A8666" s="801">
        <v>1613</v>
      </c>
      <c r="B8666" s="802" t="s">
        <v>9766</v>
      </c>
      <c r="C8666" s="801" t="s">
        <v>656</v>
      </c>
      <c r="D8666" s="803">
        <v>1533.1</v>
      </c>
    </row>
    <row r="8667" spans="1:4" ht="25.5">
      <c r="A8667" s="801">
        <v>1626</v>
      </c>
      <c r="B8667" s="802" t="s">
        <v>9767</v>
      </c>
      <c r="C8667" s="801" t="s">
        <v>656</v>
      </c>
      <c r="D8667" s="803">
        <v>2292.94</v>
      </c>
    </row>
    <row r="8668" spans="1:4" ht="25.5">
      <c r="A8668" s="801">
        <v>1625</v>
      </c>
      <c r="B8668" s="802" t="s">
        <v>9768</v>
      </c>
      <c r="C8668" s="801" t="s">
        <v>656</v>
      </c>
      <c r="D8668" s="803">
        <v>160.15</v>
      </c>
    </row>
    <row r="8669" spans="1:4" ht="25.5">
      <c r="A8669" s="801">
        <v>1622</v>
      </c>
      <c r="B8669" s="802" t="s">
        <v>9769</v>
      </c>
      <c r="C8669" s="801" t="s">
        <v>656</v>
      </c>
      <c r="D8669" s="803">
        <v>5174.2299999999996</v>
      </c>
    </row>
    <row r="8670" spans="1:4" ht="25.5">
      <c r="A8670" s="801">
        <v>1620</v>
      </c>
      <c r="B8670" s="802" t="s">
        <v>9770</v>
      </c>
      <c r="C8670" s="801" t="s">
        <v>656</v>
      </c>
      <c r="D8670" s="803">
        <v>337.37</v>
      </c>
    </row>
    <row r="8671" spans="1:4" ht="25.5">
      <c r="A8671" s="801">
        <v>1629</v>
      </c>
      <c r="B8671" s="802" t="s">
        <v>9771</v>
      </c>
      <c r="C8671" s="801" t="s">
        <v>656</v>
      </c>
      <c r="D8671" s="803">
        <v>12592.85</v>
      </c>
    </row>
    <row r="8672" spans="1:4" ht="25.5">
      <c r="A8672" s="801">
        <v>1627</v>
      </c>
      <c r="B8672" s="802" t="s">
        <v>9772</v>
      </c>
      <c r="C8672" s="801" t="s">
        <v>656</v>
      </c>
      <c r="D8672" s="803">
        <v>644.87</v>
      </c>
    </row>
    <row r="8673" spans="1:4" ht="25.5">
      <c r="A8673" s="801">
        <v>1623</v>
      </c>
      <c r="B8673" s="802" t="s">
        <v>9773</v>
      </c>
      <c r="C8673" s="801" t="s">
        <v>656</v>
      </c>
      <c r="D8673" s="803">
        <v>130.61000000000001</v>
      </c>
    </row>
    <row r="8674" spans="1:4" ht="25.5">
      <c r="A8674" s="801">
        <v>1619</v>
      </c>
      <c r="B8674" s="802" t="s">
        <v>9774</v>
      </c>
      <c r="C8674" s="801" t="s">
        <v>656</v>
      </c>
      <c r="D8674" s="803">
        <v>179.66</v>
      </c>
    </row>
    <row r="8675" spans="1:4" ht="25.5">
      <c r="A8675" s="801">
        <v>1630</v>
      </c>
      <c r="B8675" s="802" t="s">
        <v>9775</v>
      </c>
      <c r="C8675" s="801" t="s">
        <v>656</v>
      </c>
      <c r="D8675" s="803">
        <v>3955.81</v>
      </c>
    </row>
    <row r="8676" spans="1:4" ht="25.5">
      <c r="A8676" s="801">
        <v>1616</v>
      </c>
      <c r="B8676" s="802" t="s">
        <v>9776</v>
      </c>
      <c r="C8676" s="801" t="s">
        <v>656</v>
      </c>
      <c r="D8676" s="803">
        <v>6084.1</v>
      </c>
    </row>
    <row r="8677" spans="1:4" ht="25.5">
      <c r="A8677" s="801">
        <v>1614</v>
      </c>
      <c r="B8677" s="802" t="s">
        <v>9777</v>
      </c>
      <c r="C8677" s="801" t="s">
        <v>656</v>
      </c>
      <c r="D8677" s="803">
        <v>278.06</v>
      </c>
    </row>
    <row r="8678" spans="1:4" ht="25.5">
      <c r="A8678" s="801">
        <v>1617</v>
      </c>
      <c r="B8678" s="802" t="s">
        <v>9778</v>
      </c>
      <c r="C8678" s="801" t="s">
        <v>656</v>
      </c>
      <c r="D8678" s="803">
        <v>7263.1</v>
      </c>
    </row>
    <row r="8679" spans="1:4" ht="25.5">
      <c r="A8679" s="801">
        <v>1621</v>
      </c>
      <c r="B8679" s="802" t="s">
        <v>9779</v>
      </c>
      <c r="C8679" s="801" t="s">
        <v>656</v>
      </c>
      <c r="D8679" s="803">
        <v>497.31</v>
      </c>
    </row>
    <row r="8680" spans="1:4" ht="25.5">
      <c r="A8680" s="801">
        <v>1624</v>
      </c>
      <c r="B8680" s="802" t="s">
        <v>9780</v>
      </c>
      <c r="C8680" s="801" t="s">
        <v>656</v>
      </c>
      <c r="D8680" s="803">
        <v>17853.060000000001</v>
      </c>
    </row>
    <row r="8681" spans="1:4" ht="25.5">
      <c r="A8681" s="801">
        <v>1615</v>
      </c>
      <c r="B8681" s="802" t="s">
        <v>9781</v>
      </c>
      <c r="C8681" s="801" t="s">
        <v>656</v>
      </c>
      <c r="D8681" s="803">
        <v>933.87</v>
      </c>
    </row>
    <row r="8682" spans="1:4" ht="25.5">
      <c r="A8682" s="801">
        <v>1612</v>
      </c>
      <c r="B8682" s="802" t="s">
        <v>9782</v>
      </c>
      <c r="C8682" s="801" t="s">
        <v>656</v>
      </c>
      <c r="D8682" s="803">
        <v>123</v>
      </c>
    </row>
    <row r="8683" spans="1:4" ht="25.5">
      <c r="A8683" s="801">
        <v>1618</v>
      </c>
      <c r="B8683" s="802" t="s">
        <v>9783</v>
      </c>
      <c r="C8683" s="801" t="s">
        <v>656</v>
      </c>
      <c r="D8683" s="803">
        <v>1283.28</v>
      </c>
    </row>
    <row r="8684" spans="1:4" ht="25.5">
      <c r="A8684" s="801">
        <v>14211</v>
      </c>
      <c r="B8684" s="802" t="s">
        <v>9784</v>
      </c>
      <c r="C8684" s="801" t="s">
        <v>656</v>
      </c>
      <c r="D8684" s="803">
        <v>51.11</v>
      </c>
    </row>
    <row r="8685" spans="1:4" ht="38.25">
      <c r="A8685" s="801">
        <v>43657</v>
      </c>
      <c r="B8685" s="802" t="s">
        <v>9785</v>
      </c>
      <c r="C8685" s="801" t="s">
        <v>660</v>
      </c>
      <c r="D8685" s="803">
        <v>11.5</v>
      </c>
    </row>
    <row r="8686" spans="1:4">
      <c r="A8686" s="801">
        <v>34500</v>
      </c>
      <c r="B8686" s="802" t="s">
        <v>9786</v>
      </c>
      <c r="C8686" s="801" t="s">
        <v>659</v>
      </c>
      <c r="D8686" s="803">
        <v>115.13</v>
      </c>
    </row>
    <row r="8687" spans="1:4">
      <c r="A8687" s="801">
        <v>40934</v>
      </c>
      <c r="B8687" s="802" t="s">
        <v>9787</v>
      </c>
      <c r="C8687" s="801" t="s">
        <v>772</v>
      </c>
      <c r="D8687" s="803">
        <v>20329.11</v>
      </c>
    </row>
    <row r="8688" spans="1:4" ht="25.5">
      <c r="A8688" s="801">
        <v>38200</v>
      </c>
      <c r="B8688" s="802" t="s">
        <v>9788</v>
      </c>
      <c r="C8688" s="801" t="s">
        <v>774</v>
      </c>
      <c r="D8688" s="803">
        <v>853.65</v>
      </c>
    </row>
    <row r="8689" spans="1:4" ht="25.5">
      <c r="A8689" s="801">
        <v>39269</v>
      </c>
      <c r="B8689" s="802" t="s">
        <v>9789</v>
      </c>
      <c r="C8689" s="801" t="s">
        <v>660</v>
      </c>
      <c r="D8689" s="803">
        <v>1.49</v>
      </c>
    </row>
    <row r="8690" spans="1:4" ht="25.5">
      <c r="A8690" s="801">
        <v>11889</v>
      </c>
      <c r="B8690" s="802" t="s">
        <v>9790</v>
      </c>
      <c r="C8690" s="801" t="s">
        <v>660</v>
      </c>
      <c r="D8690" s="803">
        <v>2.0699999999999998</v>
      </c>
    </row>
    <row r="8691" spans="1:4" ht="25.5">
      <c r="A8691" s="801">
        <v>39270</v>
      </c>
      <c r="B8691" s="802" t="s">
        <v>9791</v>
      </c>
      <c r="C8691" s="801" t="s">
        <v>660</v>
      </c>
      <c r="D8691" s="803">
        <v>2.4700000000000002</v>
      </c>
    </row>
    <row r="8692" spans="1:4" ht="25.5">
      <c r="A8692" s="801">
        <v>11890</v>
      </c>
      <c r="B8692" s="802" t="s">
        <v>9792</v>
      </c>
      <c r="C8692" s="801" t="s">
        <v>660</v>
      </c>
      <c r="D8692" s="803">
        <v>3.21</v>
      </c>
    </row>
    <row r="8693" spans="1:4" ht="25.5">
      <c r="A8693" s="801">
        <v>11891</v>
      </c>
      <c r="B8693" s="802" t="s">
        <v>9793</v>
      </c>
      <c r="C8693" s="801" t="s">
        <v>660</v>
      </c>
      <c r="D8693" s="803">
        <v>5.3</v>
      </c>
    </row>
    <row r="8694" spans="1:4" ht="25.5">
      <c r="A8694" s="801">
        <v>11892</v>
      </c>
      <c r="B8694" s="802" t="s">
        <v>9794</v>
      </c>
      <c r="C8694" s="801" t="s">
        <v>660</v>
      </c>
      <c r="D8694" s="803">
        <v>8.16</v>
      </c>
    </row>
    <row r="8695" spans="1:4">
      <c r="A8695" s="801">
        <v>37601</v>
      </c>
      <c r="B8695" s="802" t="s">
        <v>9795</v>
      </c>
      <c r="C8695" s="801" t="s">
        <v>660</v>
      </c>
      <c r="D8695" s="803">
        <v>9.99</v>
      </c>
    </row>
    <row r="8696" spans="1:4">
      <c r="A8696" s="801">
        <v>1634</v>
      </c>
      <c r="B8696" s="802" t="s">
        <v>9796</v>
      </c>
      <c r="C8696" s="801" t="s">
        <v>660</v>
      </c>
      <c r="D8696" s="803">
        <v>10.32</v>
      </c>
    </row>
    <row r="8697" spans="1:4" ht="25.5">
      <c r="A8697" s="801">
        <v>5086</v>
      </c>
      <c r="B8697" s="802" t="s">
        <v>9797</v>
      </c>
      <c r="C8697" s="801" t="s">
        <v>653</v>
      </c>
      <c r="D8697" s="803">
        <v>35.159999999999997</v>
      </c>
    </row>
    <row r="8698" spans="1:4" ht="38.25">
      <c r="A8698" s="801">
        <v>11280</v>
      </c>
      <c r="B8698" s="802" t="s">
        <v>9798</v>
      </c>
      <c r="C8698" s="801" t="s">
        <v>656</v>
      </c>
      <c r="D8698" s="803">
        <v>16233.28</v>
      </c>
    </row>
    <row r="8699" spans="1:4" ht="38.25">
      <c r="A8699" s="801">
        <v>40519</v>
      </c>
      <c r="B8699" s="802" t="s">
        <v>9799</v>
      </c>
      <c r="C8699" s="801" t="s">
        <v>656</v>
      </c>
      <c r="D8699" s="803">
        <v>133821.63</v>
      </c>
    </row>
    <row r="8700" spans="1:4" ht="25.5">
      <c r="A8700" s="801">
        <v>39869</v>
      </c>
      <c r="B8700" s="802" t="s">
        <v>9800</v>
      </c>
      <c r="C8700" s="801" t="s">
        <v>656</v>
      </c>
      <c r="D8700" s="803">
        <v>15.84</v>
      </c>
    </row>
    <row r="8701" spans="1:4" ht="25.5">
      <c r="A8701" s="801">
        <v>39870</v>
      </c>
      <c r="B8701" s="802" t="s">
        <v>9801</v>
      </c>
      <c r="C8701" s="801" t="s">
        <v>656</v>
      </c>
      <c r="D8701" s="803">
        <v>24.22</v>
      </c>
    </row>
    <row r="8702" spans="1:4" ht="25.5">
      <c r="A8702" s="801">
        <v>39871</v>
      </c>
      <c r="B8702" s="802" t="s">
        <v>9802</v>
      </c>
      <c r="C8702" s="801" t="s">
        <v>656</v>
      </c>
      <c r="D8702" s="803">
        <v>27.16</v>
      </c>
    </row>
    <row r="8703" spans="1:4" ht="25.5">
      <c r="A8703" s="801">
        <v>12722</v>
      </c>
      <c r="B8703" s="802" t="s">
        <v>9803</v>
      </c>
      <c r="C8703" s="801" t="s">
        <v>656</v>
      </c>
      <c r="D8703" s="803">
        <v>908.73</v>
      </c>
    </row>
    <row r="8704" spans="1:4" ht="25.5">
      <c r="A8704" s="801">
        <v>12714</v>
      </c>
      <c r="B8704" s="802" t="s">
        <v>9804</v>
      </c>
      <c r="C8704" s="801" t="s">
        <v>656</v>
      </c>
      <c r="D8704" s="803">
        <v>5.93</v>
      </c>
    </row>
    <row r="8705" spans="1:4" ht="25.5">
      <c r="A8705" s="801">
        <v>12715</v>
      </c>
      <c r="B8705" s="802" t="s">
        <v>9805</v>
      </c>
      <c r="C8705" s="801" t="s">
        <v>656</v>
      </c>
      <c r="D8705" s="803">
        <v>13.39</v>
      </c>
    </row>
    <row r="8706" spans="1:4" ht="25.5">
      <c r="A8706" s="801">
        <v>12716</v>
      </c>
      <c r="B8706" s="802" t="s">
        <v>9806</v>
      </c>
      <c r="C8706" s="801" t="s">
        <v>656</v>
      </c>
      <c r="D8706" s="803">
        <v>23</v>
      </c>
    </row>
    <row r="8707" spans="1:4" ht="25.5">
      <c r="A8707" s="801">
        <v>12717</v>
      </c>
      <c r="B8707" s="802" t="s">
        <v>9807</v>
      </c>
      <c r="C8707" s="801" t="s">
        <v>656</v>
      </c>
      <c r="D8707" s="803">
        <v>45.21</v>
      </c>
    </row>
    <row r="8708" spans="1:4" ht="25.5">
      <c r="A8708" s="801">
        <v>12718</v>
      </c>
      <c r="B8708" s="802" t="s">
        <v>9808</v>
      </c>
      <c r="C8708" s="801" t="s">
        <v>656</v>
      </c>
      <c r="D8708" s="803">
        <v>69.38</v>
      </c>
    </row>
    <row r="8709" spans="1:4" ht="25.5">
      <c r="A8709" s="801">
        <v>12719</v>
      </c>
      <c r="B8709" s="802" t="s">
        <v>9809</v>
      </c>
      <c r="C8709" s="801" t="s">
        <v>656</v>
      </c>
      <c r="D8709" s="803">
        <v>110.14</v>
      </c>
    </row>
    <row r="8710" spans="1:4" ht="25.5">
      <c r="A8710" s="801">
        <v>12720</v>
      </c>
      <c r="B8710" s="802" t="s">
        <v>9810</v>
      </c>
      <c r="C8710" s="801" t="s">
        <v>656</v>
      </c>
      <c r="D8710" s="803">
        <v>383.51</v>
      </c>
    </row>
    <row r="8711" spans="1:4" ht="25.5">
      <c r="A8711" s="801">
        <v>12721</v>
      </c>
      <c r="B8711" s="802" t="s">
        <v>9811</v>
      </c>
      <c r="C8711" s="801" t="s">
        <v>656</v>
      </c>
      <c r="D8711" s="803">
        <v>367.76</v>
      </c>
    </row>
    <row r="8712" spans="1:4" ht="25.5">
      <c r="A8712" s="801">
        <v>3468</v>
      </c>
      <c r="B8712" s="802" t="s">
        <v>9812</v>
      </c>
      <c r="C8712" s="801" t="s">
        <v>656</v>
      </c>
      <c r="D8712" s="803">
        <v>33.47</v>
      </c>
    </row>
    <row r="8713" spans="1:4" ht="25.5">
      <c r="A8713" s="801">
        <v>3465</v>
      </c>
      <c r="B8713" s="802" t="s">
        <v>9813</v>
      </c>
      <c r="C8713" s="801" t="s">
        <v>656</v>
      </c>
      <c r="D8713" s="803">
        <v>33.46</v>
      </c>
    </row>
    <row r="8714" spans="1:4" ht="25.5">
      <c r="A8714" s="801">
        <v>12403</v>
      </c>
      <c r="B8714" s="802" t="s">
        <v>9814</v>
      </c>
      <c r="C8714" s="801" t="s">
        <v>656</v>
      </c>
      <c r="D8714" s="803">
        <v>23.85</v>
      </c>
    </row>
    <row r="8715" spans="1:4" ht="25.5">
      <c r="A8715" s="801">
        <v>3463</v>
      </c>
      <c r="B8715" s="802" t="s">
        <v>9815</v>
      </c>
      <c r="C8715" s="801" t="s">
        <v>656</v>
      </c>
      <c r="D8715" s="803">
        <v>13.93</v>
      </c>
    </row>
    <row r="8716" spans="1:4" ht="25.5">
      <c r="A8716" s="801">
        <v>3464</v>
      </c>
      <c r="B8716" s="802" t="s">
        <v>9816</v>
      </c>
      <c r="C8716" s="801" t="s">
        <v>656</v>
      </c>
      <c r="D8716" s="803">
        <v>13.93</v>
      </c>
    </row>
    <row r="8717" spans="1:4" ht="25.5">
      <c r="A8717" s="801">
        <v>3466</v>
      </c>
      <c r="B8717" s="802" t="s">
        <v>9817</v>
      </c>
      <c r="C8717" s="801" t="s">
        <v>656</v>
      </c>
      <c r="D8717" s="803">
        <v>84.98</v>
      </c>
    </row>
    <row r="8718" spans="1:4" ht="25.5">
      <c r="A8718" s="801">
        <v>3467</v>
      </c>
      <c r="B8718" s="802" t="s">
        <v>9818</v>
      </c>
      <c r="C8718" s="801" t="s">
        <v>656</v>
      </c>
      <c r="D8718" s="803">
        <v>47.99</v>
      </c>
    </row>
    <row r="8719" spans="1:4" ht="25.5">
      <c r="A8719" s="801">
        <v>3462</v>
      </c>
      <c r="B8719" s="802" t="s">
        <v>9819</v>
      </c>
      <c r="C8719" s="801" t="s">
        <v>656</v>
      </c>
      <c r="D8719" s="803">
        <v>9.19</v>
      </c>
    </row>
    <row r="8720" spans="1:4" ht="25.5">
      <c r="A8720" s="801">
        <v>3446</v>
      </c>
      <c r="B8720" s="802" t="s">
        <v>9820</v>
      </c>
      <c r="C8720" s="801" t="s">
        <v>656</v>
      </c>
      <c r="D8720" s="803">
        <v>28.29</v>
      </c>
    </row>
    <row r="8721" spans="1:4" ht="25.5">
      <c r="A8721" s="801">
        <v>3445</v>
      </c>
      <c r="B8721" s="802" t="s">
        <v>9821</v>
      </c>
      <c r="C8721" s="801" t="s">
        <v>656</v>
      </c>
      <c r="D8721" s="803">
        <v>23.1</v>
      </c>
    </row>
    <row r="8722" spans="1:4" ht="25.5">
      <c r="A8722" s="801">
        <v>3441</v>
      </c>
      <c r="B8722" s="802" t="s">
        <v>9822</v>
      </c>
      <c r="C8722" s="801" t="s">
        <v>656</v>
      </c>
      <c r="D8722" s="803">
        <v>6.52</v>
      </c>
    </row>
    <row r="8723" spans="1:4" ht="25.5">
      <c r="A8723" s="801">
        <v>3444</v>
      </c>
      <c r="B8723" s="802" t="s">
        <v>9823</v>
      </c>
      <c r="C8723" s="801" t="s">
        <v>656</v>
      </c>
      <c r="D8723" s="803">
        <v>14.22</v>
      </c>
    </row>
    <row r="8724" spans="1:4" ht="25.5">
      <c r="A8724" s="801">
        <v>12402</v>
      </c>
      <c r="B8724" s="802" t="s">
        <v>9824</v>
      </c>
      <c r="C8724" s="801" t="s">
        <v>656</v>
      </c>
      <c r="D8724" s="803">
        <v>79.53</v>
      </c>
    </row>
    <row r="8725" spans="1:4" ht="25.5">
      <c r="A8725" s="801">
        <v>3447</v>
      </c>
      <c r="B8725" s="802" t="s">
        <v>9825</v>
      </c>
      <c r="C8725" s="801" t="s">
        <v>656</v>
      </c>
      <c r="D8725" s="803">
        <v>41.15</v>
      </c>
    </row>
    <row r="8726" spans="1:4" ht="25.5">
      <c r="A8726" s="801">
        <v>3442</v>
      </c>
      <c r="B8726" s="802" t="s">
        <v>9826</v>
      </c>
      <c r="C8726" s="801" t="s">
        <v>656</v>
      </c>
      <c r="D8726" s="803">
        <v>9.75</v>
      </c>
    </row>
    <row r="8727" spans="1:4" ht="25.5">
      <c r="A8727" s="801">
        <v>3448</v>
      </c>
      <c r="B8727" s="802" t="s">
        <v>9827</v>
      </c>
      <c r="C8727" s="801" t="s">
        <v>656</v>
      </c>
      <c r="D8727" s="803">
        <v>116.28</v>
      </c>
    </row>
    <row r="8728" spans="1:4" ht="25.5">
      <c r="A8728" s="801">
        <v>3449</v>
      </c>
      <c r="B8728" s="802" t="s">
        <v>9828</v>
      </c>
      <c r="C8728" s="801" t="s">
        <v>656</v>
      </c>
      <c r="D8728" s="803">
        <v>203.75</v>
      </c>
    </row>
    <row r="8729" spans="1:4" ht="25.5">
      <c r="A8729" s="801">
        <v>37438</v>
      </c>
      <c r="B8729" s="802" t="s">
        <v>9829</v>
      </c>
      <c r="C8729" s="801" t="s">
        <v>656</v>
      </c>
      <c r="D8729" s="803">
        <v>255.01</v>
      </c>
    </row>
    <row r="8730" spans="1:4" ht="25.5">
      <c r="A8730" s="801">
        <v>37439</v>
      </c>
      <c r="B8730" s="802" t="s">
        <v>9830</v>
      </c>
      <c r="C8730" s="801" t="s">
        <v>656</v>
      </c>
      <c r="D8730" s="803">
        <v>1667.24</v>
      </c>
    </row>
    <row r="8731" spans="1:4" ht="25.5">
      <c r="A8731" s="801">
        <v>37435</v>
      </c>
      <c r="B8731" s="802" t="s">
        <v>9831</v>
      </c>
      <c r="C8731" s="801" t="s">
        <v>656</v>
      </c>
      <c r="D8731" s="803">
        <v>29.97</v>
      </c>
    </row>
    <row r="8732" spans="1:4" ht="25.5">
      <c r="A8732" s="801">
        <v>37436</v>
      </c>
      <c r="B8732" s="802" t="s">
        <v>9832</v>
      </c>
      <c r="C8732" s="801" t="s">
        <v>656</v>
      </c>
      <c r="D8732" s="803">
        <v>35.369999999999997</v>
      </c>
    </row>
    <row r="8733" spans="1:4" ht="25.5">
      <c r="A8733" s="801">
        <v>37437</v>
      </c>
      <c r="B8733" s="802" t="s">
        <v>9833</v>
      </c>
      <c r="C8733" s="801" t="s">
        <v>656</v>
      </c>
      <c r="D8733" s="803">
        <v>51.15</v>
      </c>
    </row>
    <row r="8734" spans="1:4" ht="25.5">
      <c r="A8734" s="801">
        <v>3473</v>
      </c>
      <c r="B8734" s="802" t="s">
        <v>9834</v>
      </c>
      <c r="C8734" s="801" t="s">
        <v>656</v>
      </c>
      <c r="D8734" s="803">
        <v>31.99</v>
      </c>
    </row>
    <row r="8735" spans="1:4" ht="25.5">
      <c r="A8735" s="801">
        <v>3474</v>
      </c>
      <c r="B8735" s="802" t="s">
        <v>9835</v>
      </c>
      <c r="C8735" s="801" t="s">
        <v>656</v>
      </c>
      <c r="D8735" s="803">
        <v>26.37</v>
      </c>
    </row>
    <row r="8736" spans="1:4" ht="25.5">
      <c r="A8736" s="801">
        <v>3450</v>
      </c>
      <c r="B8736" s="802" t="s">
        <v>9836</v>
      </c>
      <c r="C8736" s="801" t="s">
        <v>656</v>
      </c>
      <c r="D8736" s="803">
        <v>7.64</v>
      </c>
    </row>
    <row r="8737" spans="1:4" ht="25.5">
      <c r="A8737" s="801">
        <v>3443</v>
      </c>
      <c r="B8737" s="802" t="s">
        <v>9837</v>
      </c>
      <c r="C8737" s="801" t="s">
        <v>656</v>
      </c>
      <c r="D8737" s="803">
        <v>16.399999999999999</v>
      </c>
    </row>
    <row r="8738" spans="1:4" ht="25.5">
      <c r="A8738" s="801">
        <v>3453</v>
      </c>
      <c r="B8738" s="802" t="s">
        <v>9838</v>
      </c>
      <c r="C8738" s="801" t="s">
        <v>656</v>
      </c>
      <c r="D8738" s="803">
        <v>93.38</v>
      </c>
    </row>
    <row r="8739" spans="1:4" ht="25.5">
      <c r="A8739" s="801">
        <v>3452</v>
      </c>
      <c r="B8739" s="802" t="s">
        <v>9839</v>
      </c>
      <c r="C8739" s="801" t="s">
        <v>656</v>
      </c>
      <c r="D8739" s="803">
        <v>46.09</v>
      </c>
    </row>
    <row r="8740" spans="1:4" ht="25.5">
      <c r="A8740" s="801">
        <v>3451</v>
      </c>
      <c r="B8740" s="802" t="s">
        <v>9840</v>
      </c>
      <c r="C8740" s="801" t="s">
        <v>656</v>
      </c>
      <c r="D8740" s="803">
        <v>9.14</v>
      </c>
    </row>
    <row r="8741" spans="1:4" ht="25.5">
      <c r="A8741" s="801">
        <v>3454</v>
      </c>
      <c r="B8741" s="802" t="s">
        <v>9841</v>
      </c>
      <c r="C8741" s="801" t="s">
        <v>656</v>
      </c>
      <c r="D8741" s="803">
        <v>142.03</v>
      </c>
    </row>
    <row r="8742" spans="1:4" ht="25.5">
      <c r="A8742" s="801">
        <v>3458</v>
      </c>
      <c r="B8742" s="802" t="s">
        <v>9842</v>
      </c>
      <c r="C8742" s="801" t="s">
        <v>656</v>
      </c>
      <c r="D8742" s="803">
        <v>25.64</v>
      </c>
    </row>
    <row r="8743" spans="1:4" ht="25.5">
      <c r="A8743" s="801">
        <v>3457</v>
      </c>
      <c r="B8743" s="802" t="s">
        <v>9843</v>
      </c>
      <c r="C8743" s="801" t="s">
        <v>656</v>
      </c>
      <c r="D8743" s="803">
        <v>19.25</v>
      </c>
    </row>
    <row r="8744" spans="1:4" ht="25.5">
      <c r="A8744" s="801">
        <v>3455</v>
      </c>
      <c r="B8744" s="802" t="s">
        <v>9844</v>
      </c>
      <c r="C8744" s="801" t="s">
        <v>656</v>
      </c>
      <c r="D8744" s="803">
        <v>5.46</v>
      </c>
    </row>
    <row r="8745" spans="1:4" ht="25.5">
      <c r="A8745" s="801">
        <v>3472</v>
      </c>
      <c r="B8745" s="802" t="s">
        <v>9845</v>
      </c>
      <c r="C8745" s="801" t="s">
        <v>656</v>
      </c>
      <c r="D8745" s="803">
        <v>12.28</v>
      </c>
    </row>
    <row r="8746" spans="1:4" ht="25.5">
      <c r="A8746" s="801">
        <v>3470</v>
      </c>
      <c r="B8746" s="802" t="s">
        <v>9846</v>
      </c>
      <c r="C8746" s="801" t="s">
        <v>656</v>
      </c>
      <c r="D8746" s="803">
        <v>71.599999999999994</v>
      </c>
    </row>
    <row r="8747" spans="1:4" ht="25.5">
      <c r="A8747" s="801">
        <v>3471</v>
      </c>
      <c r="B8747" s="802" t="s">
        <v>9847</v>
      </c>
      <c r="C8747" s="801" t="s">
        <v>656</v>
      </c>
      <c r="D8747" s="803">
        <v>39.340000000000003</v>
      </c>
    </row>
    <row r="8748" spans="1:4" ht="25.5">
      <c r="A8748" s="801">
        <v>3456</v>
      </c>
      <c r="B8748" s="802" t="s">
        <v>4632</v>
      </c>
      <c r="C8748" s="801" t="s">
        <v>656</v>
      </c>
      <c r="D8748" s="803">
        <v>8.18</v>
      </c>
    </row>
    <row r="8749" spans="1:4" ht="25.5">
      <c r="A8749" s="801">
        <v>3459</v>
      </c>
      <c r="B8749" s="802" t="s">
        <v>9848</v>
      </c>
      <c r="C8749" s="801" t="s">
        <v>656</v>
      </c>
      <c r="D8749" s="803">
        <v>101</v>
      </c>
    </row>
    <row r="8750" spans="1:4" ht="25.5">
      <c r="A8750" s="801">
        <v>3469</v>
      </c>
      <c r="B8750" s="802" t="s">
        <v>9849</v>
      </c>
      <c r="C8750" s="801" t="s">
        <v>656</v>
      </c>
      <c r="D8750" s="803">
        <v>192.07</v>
      </c>
    </row>
    <row r="8751" spans="1:4" ht="25.5">
      <c r="A8751" s="801">
        <v>3460</v>
      </c>
      <c r="B8751" s="802" t="s">
        <v>9850</v>
      </c>
      <c r="C8751" s="801" t="s">
        <v>656</v>
      </c>
      <c r="D8751" s="803">
        <v>280.26</v>
      </c>
    </row>
    <row r="8752" spans="1:4" ht="25.5">
      <c r="A8752" s="801">
        <v>3461</v>
      </c>
      <c r="B8752" s="802" t="s">
        <v>9851</v>
      </c>
      <c r="C8752" s="801" t="s">
        <v>656</v>
      </c>
      <c r="D8752" s="803">
        <v>716.32</v>
      </c>
    </row>
    <row r="8753" spans="1:4" ht="25.5">
      <c r="A8753" s="801">
        <v>37433</v>
      </c>
      <c r="B8753" s="802" t="s">
        <v>9852</v>
      </c>
      <c r="C8753" s="801" t="s">
        <v>656</v>
      </c>
      <c r="D8753" s="803">
        <v>255.01</v>
      </c>
    </row>
    <row r="8754" spans="1:4" ht="25.5">
      <c r="A8754" s="801">
        <v>37430</v>
      </c>
      <c r="B8754" s="802" t="s">
        <v>9853</v>
      </c>
      <c r="C8754" s="801" t="s">
        <v>656</v>
      </c>
      <c r="D8754" s="803">
        <v>31.96</v>
      </c>
    </row>
    <row r="8755" spans="1:4" ht="25.5">
      <c r="A8755" s="801">
        <v>37434</v>
      </c>
      <c r="B8755" s="802" t="s">
        <v>9854</v>
      </c>
      <c r="C8755" s="801" t="s">
        <v>656</v>
      </c>
      <c r="D8755" s="803">
        <v>2377.71</v>
      </c>
    </row>
    <row r="8756" spans="1:4" ht="25.5">
      <c r="A8756" s="801">
        <v>37431</v>
      </c>
      <c r="B8756" s="802" t="s">
        <v>9855</v>
      </c>
      <c r="C8756" s="801" t="s">
        <v>656</v>
      </c>
      <c r="D8756" s="803">
        <v>43.35</v>
      </c>
    </row>
    <row r="8757" spans="1:4" ht="25.5">
      <c r="A8757" s="801">
        <v>37432</v>
      </c>
      <c r="B8757" s="802" t="s">
        <v>9856</v>
      </c>
      <c r="C8757" s="801" t="s">
        <v>656</v>
      </c>
      <c r="D8757" s="803">
        <v>79.959999999999994</v>
      </c>
    </row>
    <row r="8758" spans="1:4" ht="38.25">
      <c r="A8758" s="801">
        <v>37413</v>
      </c>
      <c r="B8758" s="802" t="s">
        <v>9857</v>
      </c>
      <c r="C8758" s="801" t="s">
        <v>656</v>
      </c>
      <c r="D8758" s="803">
        <v>4.5599999999999996</v>
      </c>
    </row>
    <row r="8759" spans="1:4" ht="38.25">
      <c r="A8759" s="801">
        <v>37414</v>
      </c>
      <c r="B8759" s="802" t="s">
        <v>9858</v>
      </c>
      <c r="C8759" s="801" t="s">
        <v>656</v>
      </c>
      <c r="D8759" s="803">
        <v>5.17</v>
      </c>
    </row>
    <row r="8760" spans="1:4" ht="38.25">
      <c r="A8760" s="801">
        <v>37415</v>
      </c>
      <c r="B8760" s="802" t="s">
        <v>9859</v>
      </c>
      <c r="C8760" s="801" t="s">
        <v>656</v>
      </c>
      <c r="D8760" s="803">
        <v>9.41</v>
      </c>
    </row>
    <row r="8761" spans="1:4" ht="25.5">
      <c r="A8761" s="801">
        <v>37416</v>
      </c>
      <c r="B8761" s="802" t="s">
        <v>9860</v>
      </c>
      <c r="C8761" s="801" t="s">
        <v>656</v>
      </c>
      <c r="D8761" s="803">
        <v>4.26</v>
      </c>
    </row>
    <row r="8762" spans="1:4" ht="25.5">
      <c r="A8762" s="801">
        <v>37417</v>
      </c>
      <c r="B8762" s="802" t="s">
        <v>9861</v>
      </c>
      <c r="C8762" s="801" t="s">
        <v>656</v>
      </c>
      <c r="D8762" s="803">
        <v>6.13</v>
      </c>
    </row>
    <row r="8763" spans="1:4" ht="38.25">
      <c r="A8763" s="801">
        <v>43590</v>
      </c>
      <c r="B8763" s="802" t="s">
        <v>9862</v>
      </c>
      <c r="C8763" s="801" t="s">
        <v>656</v>
      </c>
      <c r="D8763" s="803">
        <v>163.46</v>
      </c>
    </row>
    <row r="8764" spans="1:4" ht="38.25">
      <c r="A8764" s="801">
        <v>43589</v>
      </c>
      <c r="B8764" s="802" t="s">
        <v>9863</v>
      </c>
      <c r="C8764" s="801" t="s">
        <v>656</v>
      </c>
      <c r="D8764" s="803">
        <v>29.57</v>
      </c>
    </row>
    <row r="8765" spans="1:4" ht="25.5">
      <c r="A8765" s="801">
        <v>34519</v>
      </c>
      <c r="B8765" s="802" t="s">
        <v>9864</v>
      </c>
      <c r="C8765" s="801" t="s">
        <v>656</v>
      </c>
      <c r="D8765" s="803">
        <v>80.010000000000005</v>
      </c>
    </row>
    <row r="8766" spans="1:4">
      <c r="A8766" s="801">
        <v>1649</v>
      </c>
      <c r="B8766" s="802" t="s">
        <v>9865</v>
      </c>
      <c r="C8766" s="801" t="s">
        <v>656</v>
      </c>
      <c r="D8766" s="803">
        <v>60.47</v>
      </c>
    </row>
    <row r="8767" spans="1:4">
      <c r="A8767" s="801">
        <v>1653</v>
      </c>
      <c r="B8767" s="802" t="s">
        <v>9866</v>
      </c>
      <c r="C8767" s="801" t="s">
        <v>656</v>
      </c>
      <c r="D8767" s="803">
        <v>47.37</v>
      </c>
    </row>
    <row r="8768" spans="1:4">
      <c r="A8768" s="801">
        <v>1647</v>
      </c>
      <c r="B8768" s="802" t="s">
        <v>9867</v>
      </c>
      <c r="C8768" s="801" t="s">
        <v>656</v>
      </c>
      <c r="D8768" s="803">
        <v>16.96</v>
      </c>
    </row>
    <row r="8769" spans="1:4">
      <c r="A8769" s="801">
        <v>1648</v>
      </c>
      <c r="B8769" s="802" t="s">
        <v>9868</v>
      </c>
      <c r="C8769" s="801" t="s">
        <v>656</v>
      </c>
      <c r="D8769" s="803">
        <v>32.57</v>
      </c>
    </row>
    <row r="8770" spans="1:4">
      <c r="A8770" s="801">
        <v>1651</v>
      </c>
      <c r="B8770" s="802" t="s">
        <v>9869</v>
      </c>
      <c r="C8770" s="801" t="s">
        <v>656</v>
      </c>
      <c r="D8770" s="803">
        <v>151.09</v>
      </c>
    </row>
    <row r="8771" spans="1:4">
      <c r="A8771" s="801">
        <v>1650</v>
      </c>
      <c r="B8771" s="802" t="s">
        <v>9870</v>
      </c>
      <c r="C8771" s="801" t="s">
        <v>656</v>
      </c>
      <c r="D8771" s="803">
        <v>83.51</v>
      </c>
    </row>
    <row r="8772" spans="1:4">
      <c r="A8772" s="801">
        <v>1654</v>
      </c>
      <c r="B8772" s="802" t="s">
        <v>9871</v>
      </c>
      <c r="C8772" s="801" t="s">
        <v>656</v>
      </c>
      <c r="D8772" s="803">
        <v>23.28</v>
      </c>
    </row>
    <row r="8773" spans="1:4">
      <c r="A8773" s="801">
        <v>1652</v>
      </c>
      <c r="B8773" s="802" t="s">
        <v>9872</v>
      </c>
      <c r="C8773" s="801" t="s">
        <v>656</v>
      </c>
      <c r="D8773" s="803">
        <v>216.85</v>
      </c>
    </row>
    <row r="8774" spans="1:4" ht="25.5">
      <c r="A8774" s="801">
        <v>10510</v>
      </c>
      <c r="B8774" s="802" t="s">
        <v>9873</v>
      </c>
      <c r="C8774" s="801" t="s">
        <v>656</v>
      </c>
      <c r="D8774" s="803">
        <v>155.52000000000001</v>
      </c>
    </row>
    <row r="8775" spans="1:4" ht="25.5">
      <c r="A8775" s="801">
        <v>1747</v>
      </c>
      <c r="B8775" s="802" t="s">
        <v>9874</v>
      </c>
      <c r="C8775" s="801" t="s">
        <v>656</v>
      </c>
      <c r="D8775" s="803">
        <v>228.13</v>
      </c>
    </row>
    <row r="8776" spans="1:4" ht="25.5">
      <c r="A8776" s="801">
        <v>1744</v>
      </c>
      <c r="B8776" s="802" t="s">
        <v>9875</v>
      </c>
      <c r="C8776" s="801" t="s">
        <v>656</v>
      </c>
      <c r="D8776" s="803">
        <v>158.02000000000001</v>
      </c>
    </row>
    <row r="8777" spans="1:4" ht="25.5">
      <c r="A8777" s="801">
        <v>1743</v>
      </c>
      <c r="B8777" s="802" t="s">
        <v>9876</v>
      </c>
      <c r="C8777" s="801" t="s">
        <v>656</v>
      </c>
      <c r="D8777" s="803">
        <v>207.51</v>
      </c>
    </row>
    <row r="8778" spans="1:4" ht="38.25">
      <c r="A8778" s="801">
        <v>39640</v>
      </c>
      <c r="B8778" s="802" t="s">
        <v>9877</v>
      </c>
      <c r="C8778" s="801" t="s">
        <v>656</v>
      </c>
      <c r="D8778" s="803">
        <v>13.6</v>
      </c>
    </row>
    <row r="8779" spans="1:4" ht="25.5">
      <c r="A8779" s="801">
        <v>7216</v>
      </c>
      <c r="B8779" s="802" t="s">
        <v>9878</v>
      </c>
      <c r="C8779" s="801" t="s">
        <v>656</v>
      </c>
      <c r="D8779" s="803">
        <v>73.069999999999993</v>
      </c>
    </row>
    <row r="8780" spans="1:4" ht="25.5">
      <c r="A8780" s="801">
        <v>20235</v>
      </c>
      <c r="B8780" s="802" t="s">
        <v>9879</v>
      </c>
      <c r="C8780" s="801" t="s">
        <v>656</v>
      </c>
      <c r="D8780" s="803">
        <v>58.74</v>
      </c>
    </row>
    <row r="8781" spans="1:4" ht="25.5">
      <c r="A8781" s="801">
        <v>7181</v>
      </c>
      <c r="B8781" s="802" t="s">
        <v>9880</v>
      </c>
      <c r="C8781" s="801" t="s">
        <v>656</v>
      </c>
      <c r="D8781" s="803">
        <v>4.63</v>
      </c>
    </row>
    <row r="8782" spans="1:4" ht="25.5">
      <c r="A8782" s="801">
        <v>40742</v>
      </c>
      <c r="B8782" s="802" t="s">
        <v>9881</v>
      </c>
      <c r="C8782" s="801" t="s">
        <v>656</v>
      </c>
      <c r="D8782" s="803">
        <v>10.1</v>
      </c>
    </row>
    <row r="8783" spans="1:4" ht="25.5">
      <c r="A8783" s="801">
        <v>7214</v>
      </c>
      <c r="B8783" s="802" t="s">
        <v>9882</v>
      </c>
      <c r="C8783" s="801" t="s">
        <v>656</v>
      </c>
      <c r="D8783" s="803">
        <v>71.349999999999994</v>
      </c>
    </row>
    <row r="8784" spans="1:4" ht="38.25">
      <c r="A8784" s="801">
        <v>7219</v>
      </c>
      <c r="B8784" s="802" t="s">
        <v>4633</v>
      </c>
      <c r="C8784" s="801" t="s">
        <v>656</v>
      </c>
      <c r="D8784" s="803">
        <v>63.29</v>
      </c>
    </row>
    <row r="8785" spans="1:4">
      <c r="A8785" s="801">
        <v>37972</v>
      </c>
      <c r="B8785" s="802" t="s">
        <v>9883</v>
      </c>
      <c r="C8785" s="801" t="s">
        <v>656</v>
      </c>
      <c r="D8785" s="803">
        <v>9.6300000000000008</v>
      </c>
    </row>
    <row r="8786" spans="1:4">
      <c r="A8786" s="801">
        <v>37973</v>
      </c>
      <c r="B8786" s="802" t="s">
        <v>9884</v>
      </c>
      <c r="C8786" s="801" t="s">
        <v>656</v>
      </c>
      <c r="D8786" s="803">
        <v>15.42</v>
      </c>
    </row>
    <row r="8787" spans="1:4">
      <c r="A8787" s="801">
        <v>37971</v>
      </c>
      <c r="B8787" s="802" t="s">
        <v>9885</v>
      </c>
      <c r="C8787" s="801" t="s">
        <v>656</v>
      </c>
      <c r="D8787" s="803">
        <v>5.78</v>
      </c>
    </row>
    <row r="8788" spans="1:4" ht="25.5">
      <c r="A8788" s="801">
        <v>20094</v>
      </c>
      <c r="B8788" s="802" t="s">
        <v>9886</v>
      </c>
      <c r="C8788" s="801" t="s">
        <v>656</v>
      </c>
      <c r="D8788" s="803">
        <v>31.61</v>
      </c>
    </row>
    <row r="8789" spans="1:4" ht="25.5">
      <c r="A8789" s="801">
        <v>20095</v>
      </c>
      <c r="B8789" s="802" t="s">
        <v>9887</v>
      </c>
      <c r="C8789" s="801" t="s">
        <v>656</v>
      </c>
      <c r="D8789" s="803">
        <v>40.25</v>
      </c>
    </row>
    <row r="8790" spans="1:4" ht="25.5">
      <c r="A8790" s="801">
        <v>1954</v>
      </c>
      <c r="B8790" s="802" t="s">
        <v>9888</v>
      </c>
      <c r="C8790" s="801" t="s">
        <v>656</v>
      </c>
      <c r="D8790" s="803">
        <v>146.52000000000001</v>
      </c>
    </row>
    <row r="8791" spans="1:4" ht="25.5">
      <c r="A8791" s="801">
        <v>1926</v>
      </c>
      <c r="B8791" s="802" t="s">
        <v>9889</v>
      </c>
      <c r="C8791" s="801" t="s">
        <v>656</v>
      </c>
      <c r="D8791" s="803">
        <v>1.93</v>
      </c>
    </row>
    <row r="8792" spans="1:4" ht="25.5">
      <c r="A8792" s="801">
        <v>1927</v>
      </c>
      <c r="B8792" s="802" t="s">
        <v>9890</v>
      </c>
      <c r="C8792" s="801" t="s">
        <v>656</v>
      </c>
      <c r="D8792" s="803">
        <v>2.5499999999999998</v>
      </c>
    </row>
    <row r="8793" spans="1:4" ht="25.5">
      <c r="A8793" s="801">
        <v>1923</v>
      </c>
      <c r="B8793" s="802" t="s">
        <v>9891</v>
      </c>
      <c r="C8793" s="801" t="s">
        <v>656</v>
      </c>
      <c r="D8793" s="803">
        <v>4.18</v>
      </c>
    </row>
    <row r="8794" spans="1:4" ht="25.5">
      <c r="A8794" s="801">
        <v>1929</v>
      </c>
      <c r="B8794" s="802" t="s">
        <v>9892</v>
      </c>
      <c r="C8794" s="801" t="s">
        <v>656</v>
      </c>
      <c r="D8794" s="803">
        <v>6.84</v>
      </c>
    </row>
    <row r="8795" spans="1:4" ht="25.5">
      <c r="A8795" s="801">
        <v>1930</v>
      </c>
      <c r="B8795" s="802" t="s">
        <v>9893</v>
      </c>
      <c r="C8795" s="801" t="s">
        <v>656</v>
      </c>
      <c r="D8795" s="803">
        <v>13.27</v>
      </c>
    </row>
    <row r="8796" spans="1:4" ht="25.5">
      <c r="A8796" s="801">
        <v>1924</v>
      </c>
      <c r="B8796" s="802" t="s">
        <v>9894</v>
      </c>
      <c r="C8796" s="801" t="s">
        <v>656</v>
      </c>
      <c r="D8796" s="803">
        <v>22.87</v>
      </c>
    </row>
    <row r="8797" spans="1:4" ht="25.5">
      <c r="A8797" s="801">
        <v>1922</v>
      </c>
      <c r="B8797" s="802" t="s">
        <v>9895</v>
      </c>
      <c r="C8797" s="801" t="s">
        <v>656</v>
      </c>
      <c r="D8797" s="803">
        <v>33.97</v>
      </c>
    </row>
    <row r="8798" spans="1:4" ht="25.5">
      <c r="A8798" s="801">
        <v>1953</v>
      </c>
      <c r="B8798" s="802" t="s">
        <v>9896</v>
      </c>
      <c r="C8798" s="801" t="s">
        <v>656</v>
      </c>
      <c r="D8798" s="803">
        <v>59.36</v>
      </c>
    </row>
    <row r="8799" spans="1:4" ht="25.5">
      <c r="A8799" s="801">
        <v>1962</v>
      </c>
      <c r="B8799" s="802" t="s">
        <v>9897</v>
      </c>
      <c r="C8799" s="801" t="s">
        <v>656</v>
      </c>
      <c r="D8799" s="803">
        <v>194.23</v>
      </c>
    </row>
    <row r="8800" spans="1:4" ht="25.5">
      <c r="A8800" s="801">
        <v>1955</v>
      </c>
      <c r="B8800" s="802" t="s">
        <v>9898</v>
      </c>
      <c r="C8800" s="801" t="s">
        <v>656</v>
      </c>
      <c r="D8800" s="803">
        <v>2.56</v>
      </c>
    </row>
    <row r="8801" spans="1:4" ht="25.5">
      <c r="A8801" s="801">
        <v>1956</v>
      </c>
      <c r="B8801" s="802" t="s">
        <v>9899</v>
      </c>
      <c r="C8801" s="801" t="s">
        <v>656</v>
      </c>
      <c r="D8801" s="803">
        <v>3.31</v>
      </c>
    </row>
    <row r="8802" spans="1:4" ht="25.5">
      <c r="A8802" s="801">
        <v>1957</v>
      </c>
      <c r="B8802" s="802" t="s">
        <v>9900</v>
      </c>
      <c r="C8802" s="801" t="s">
        <v>656</v>
      </c>
      <c r="D8802" s="803">
        <v>7.53</v>
      </c>
    </row>
    <row r="8803" spans="1:4" ht="25.5">
      <c r="A8803" s="801">
        <v>1958</v>
      </c>
      <c r="B8803" s="802" t="s">
        <v>9901</v>
      </c>
      <c r="C8803" s="801" t="s">
        <v>656</v>
      </c>
      <c r="D8803" s="803">
        <v>13.36</v>
      </c>
    </row>
    <row r="8804" spans="1:4" ht="25.5">
      <c r="A8804" s="801">
        <v>1959</v>
      </c>
      <c r="B8804" s="802" t="s">
        <v>9902</v>
      </c>
      <c r="C8804" s="801" t="s">
        <v>656</v>
      </c>
      <c r="D8804" s="803">
        <v>16.29</v>
      </c>
    </row>
    <row r="8805" spans="1:4" ht="25.5">
      <c r="A8805" s="801">
        <v>1925</v>
      </c>
      <c r="B8805" s="802" t="s">
        <v>4634</v>
      </c>
      <c r="C8805" s="801" t="s">
        <v>656</v>
      </c>
      <c r="D8805" s="803">
        <v>40.270000000000003</v>
      </c>
    </row>
    <row r="8806" spans="1:4" ht="25.5">
      <c r="A8806" s="801">
        <v>1960</v>
      </c>
      <c r="B8806" s="802" t="s">
        <v>9903</v>
      </c>
      <c r="C8806" s="801" t="s">
        <v>656</v>
      </c>
      <c r="D8806" s="803">
        <v>57.26</v>
      </c>
    </row>
    <row r="8807" spans="1:4" ht="25.5">
      <c r="A8807" s="801">
        <v>1961</v>
      </c>
      <c r="B8807" s="802" t="s">
        <v>9904</v>
      </c>
      <c r="C8807" s="801" t="s">
        <v>656</v>
      </c>
      <c r="D8807" s="803">
        <v>82.27</v>
      </c>
    </row>
    <row r="8808" spans="1:4" ht="25.5">
      <c r="A8808" s="801">
        <v>38426</v>
      </c>
      <c r="B8808" s="802" t="s">
        <v>9905</v>
      </c>
      <c r="C8808" s="801" t="s">
        <v>656</v>
      </c>
      <c r="D8808" s="803">
        <v>31.45</v>
      </c>
    </row>
    <row r="8809" spans="1:4" ht="25.5">
      <c r="A8809" s="801">
        <v>38423</v>
      </c>
      <c r="B8809" s="802" t="s">
        <v>9906</v>
      </c>
      <c r="C8809" s="801" t="s">
        <v>656</v>
      </c>
      <c r="D8809" s="803">
        <v>71.33</v>
      </c>
    </row>
    <row r="8810" spans="1:4" ht="25.5">
      <c r="A8810" s="801">
        <v>38421</v>
      </c>
      <c r="B8810" s="802" t="s">
        <v>9907</v>
      </c>
      <c r="C8810" s="801" t="s">
        <v>656</v>
      </c>
      <c r="D8810" s="803">
        <v>33.67</v>
      </c>
    </row>
    <row r="8811" spans="1:4" ht="25.5">
      <c r="A8811" s="801">
        <v>38422</v>
      </c>
      <c r="B8811" s="802" t="s">
        <v>9908</v>
      </c>
      <c r="C8811" s="801" t="s">
        <v>656</v>
      </c>
      <c r="D8811" s="803">
        <v>49.22</v>
      </c>
    </row>
    <row r="8812" spans="1:4" ht="25.5">
      <c r="A8812" s="801">
        <v>39866</v>
      </c>
      <c r="B8812" s="802" t="s">
        <v>9909</v>
      </c>
      <c r="C8812" s="801" t="s">
        <v>656</v>
      </c>
      <c r="D8812" s="803">
        <v>20.98</v>
      </c>
    </row>
    <row r="8813" spans="1:4" ht="25.5">
      <c r="A8813" s="801">
        <v>39867</v>
      </c>
      <c r="B8813" s="802" t="s">
        <v>9910</v>
      </c>
      <c r="C8813" s="801" t="s">
        <v>656</v>
      </c>
      <c r="D8813" s="803">
        <v>46.64</v>
      </c>
    </row>
    <row r="8814" spans="1:4" ht="25.5">
      <c r="A8814" s="801">
        <v>39868</v>
      </c>
      <c r="B8814" s="802" t="s">
        <v>9911</v>
      </c>
      <c r="C8814" s="801" t="s">
        <v>656</v>
      </c>
      <c r="D8814" s="803">
        <v>84.02</v>
      </c>
    </row>
    <row r="8815" spans="1:4">
      <c r="A8815" s="801">
        <v>37999</v>
      </c>
      <c r="B8815" s="802" t="s">
        <v>9912</v>
      </c>
      <c r="C8815" s="801" t="s">
        <v>656</v>
      </c>
      <c r="D8815" s="803">
        <v>9.23</v>
      </c>
    </row>
    <row r="8816" spans="1:4">
      <c r="A8816" s="801">
        <v>38000</v>
      </c>
      <c r="B8816" s="802" t="s">
        <v>9913</v>
      </c>
      <c r="C8816" s="801" t="s">
        <v>656</v>
      </c>
      <c r="D8816" s="803">
        <v>12.22</v>
      </c>
    </row>
    <row r="8817" spans="1:4" ht="25.5">
      <c r="A8817" s="801">
        <v>38129</v>
      </c>
      <c r="B8817" s="802" t="s">
        <v>9914</v>
      </c>
      <c r="C8817" s="801" t="s">
        <v>656</v>
      </c>
      <c r="D8817" s="803">
        <v>4.45</v>
      </c>
    </row>
    <row r="8818" spans="1:4" ht="25.5">
      <c r="A8818" s="801">
        <v>38025</v>
      </c>
      <c r="B8818" s="802" t="s">
        <v>9915</v>
      </c>
      <c r="C8818" s="801" t="s">
        <v>656</v>
      </c>
      <c r="D8818" s="803">
        <v>7.43</v>
      </c>
    </row>
    <row r="8819" spans="1:4" ht="25.5">
      <c r="A8819" s="801">
        <v>38026</v>
      </c>
      <c r="B8819" s="802" t="s">
        <v>9916</v>
      </c>
      <c r="C8819" s="801" t="s">
        <v>656</v>
      </c>
      <c r="D8819" s="803">
        <v>19.91</v>
      </c>
    </row>
    <row r="8820" spans="1:4" ht="25.5">
      <c r="A8820" s="801">
        <v>1858</v>
      </c>
      <c r="B8820" s="802" t="s">
        <v>9917</v>
      </c>
      <c r="C8820" s="801" t="s">
        <v>656</v>
      </c>
      <c r="D8820" s="803">
        <v>44.26</v>
      </c>
    </row>
    <row r="8821" spans="1:4" ht="25.5">
      <c r="A8821" s="801">
        <v>1844</v>
      </c>
      <c r="B8821" s="802" t="s">
        <v>9918</v>
      </c>
      <c r="C8821" s="801" t="s">
        <v>656</v>
      </c>
      <c r="D8821" s="803">
        <v>163.18</v>
      </c>
    </row>
    <row r="8822" spans="1:4" ht="25.5">
      <c r="A8822" s="801">
        <v>1863</v>
      </c>
      <c r="B8822" s="802" t="s">
        <v>9919</v>
      </c>
      <c r="C8822" s="801" t="s">
        <v>656</v>
      </c>
      <c r="D8822" s="803">
        <v>64.23</v>
      </c>
    </row>
    <row r="8823" spans="1:4" ht="25.5">
      <c r="A8823" s="801">
        <v>1865</v>
      </c>
      <c r="B8823" s="802" t="s">
        <v>9920</v>
      </c>
      <c r="C8823" s="801" t="s">
        <v>656</v>
      </c>
      <c r="D8823" s="803">
        <v>234.32</v>
      </c>
    </row>
    <row r="8824" spans="1:4">
      <c r="A8824" s="801">
        <v>36355</v>
      </c>
      <c r="B8824" s="802" t="s">
        <v>9921</v>
      </c>
      <c r="C8824" s="801" t="s">
        <v>656</v>
      </c>
      <c r="D8824" s="803">
        <v>8.14</v>
      </c>
    </row>
    <row r="8825" spans="1:4">
      <c r="A8825" s="801">
        <v>36356</v>
      </c>
      <c r="B8825" s="802" t="s">
        <v>9922</v>
      </c>
      <c r="C8825" s="801" t="s">
        <v>656</v>
      </c>
      <c r="D8825" s="803">
        <v>13.68</v>
      </c>
    </row>
    <row r="8826" spans="1:4">
      <c r="A8826" s="801">
        <v>1932</v>
      </c>
      <c r="B8826" s="802" t="s">
        <v>9923</v>
      </c>
      <c r="C8826" s="801" t="s">
        <v>656</v>
      </c>
      <c r="D8826" s="803">
        <v>12.15</v>
      </c>
    </row>
    <row r="8827" spans="1:4">
      <c r="A8827" s="801">
        <v>1933</v>
      </c>
      <c r="B8827" s="802" t="s">
        <v>4635</v>
      </c>
      <c r="C8827" s="801" t="s">
        <v>656</v>
      </c>
      <c r="D8827" s="803">
        <v>5.35</v>
      </c>
    </row>
    <row r="8828" spans="1:4">
      <c r="A8828" s="801">
        <v>1951</v>
      </c>
      <c r="B8828" s="802" t="s">
        <v>9924</v>
      </c>
      <c r="C8828" s="801" t="s">
        <v>656</v>
      </c>
      <c r="D8828" s="803">
        <v>23.77</v>
      </c>
    </row>
    <row r="8829" spans="1:4">
      <c r="A8829" s="801">
        <v>1966</v>
      </c>
      <c r="B8829" s="802" t="s">
        <v>9925</v>
      </c>
      <c r="C8829" s="801" t="s">
        <v>656</v>
      </c>
      <c r="D8829" s="803">
        <v>27.35</v>
      </c>
    </row>
    <row r="8830" spans="1:4" ht="25.5">
      <c r="A8830" s="801">
        <v>1952</v>
      </c>
      <c r="B8830" s="802" t="s">
        <v>9926</v>
      </c>
      <c r="C8830" s="801" t="s">
        <v>656</v>
      </c>
      <c r="D8830" s="803">
        <v>102.7</v>
      </c>
    </row>
    <row r="8831" spans="1:4" ht="25.5">
      <c r="A8831" s="801">
        <v>20104</v>
      </c>
      <c r="B8831" s="802" t="s">
        <v>9927</v>
      </c>
      <c r="C8831" s="801" t="s">
        <v>656</v>
      </c>
      <c r="D8831" s="803">
        <v>758.86</v>
      </c>
    </row>
    <row r="8832" spans="1:4" ht="25.5">
      <c r="A8832" s="801">
        <v>20105</v>
      </c>
      <c r="B8832" s="802" t="s">
        <v>9928</v>
      </c>
      <c r="C8832" s="801" t="s">
        <v>656</v>
      </c>
      <c r="D8832" s="803">
        <v>1181.99</v>
      </c>
    </row>
    <row r="8833" spans="1:4">
      <c r="A8833" s="801">
        <v>1965</v>
      </c>
      <c r="B8833" s="802" t="s">
        <v>9929</v>
      </c>
      <c r="C8833" s="801" t="s">
        <v>656</v>
      </c>
      <c r="D8833" s="803">
        <v>55.44</v>
      </c>
    </row>
    <row r="8834" spans="1:4">
      <c r="A8834" s="801">
        <v>10765</v>
      </c>
      <c r="B8834" s="802" t="s">
        <v>9930</v>
      </c>
      <c r="C8834" s="801" t="s">
        <v>656</v>
      </c>
      <c r="D8834" s="803">
        <v>14.01</v>
      </c>
    </row>
    <row r="8835" spans="1:4">
      <c r="A8835" s="801">
        <v>10767</v>
      </c>
      <c r="B8835" s="802" t="s">
        <v>9931</v>
      </c>
      <c r="C8835" s="801" t="s">
        <v>656</v>
      </c>
      <c r="D8835" s="803">
        <v>45.92</v>
      </c>
    </row>
    <row r="8836" spans="1:4">
      <c r="A8836" s="801">
        <v>1970</v>
      </c>
      <c r="B8836" s="802" t="s">
        <v>9932</v>
      </c>
      <c r="C8836" s="801" t="s">
        <v>656</v>
      </c>
      <c r="D8836" s="803">
        <v>57.54</v>
      </c>
    </row>
    <row r="8837" spans="1:4">
      <c r="A8837" s="801">
        <v>1967</v>
      </c>
      <c r="B8837" s="802" t="s">
        <v>9933</v>
      </c>
      <c r="C8837" s="801" t="s">
        <v>656</v>
      </c>
      <c r="D8837" s="803">
        <v>6.4</v>
      </c>
    </row>
    <row r="8838" spans="1:4">
      <c r="A8838" s="801">
        <v>1968</v>
      </c>
      <c r="B8838" s="802" t="s">
        <v>9934</v>
      </c>
      <c r="C8838" s="801" t="s">
        <v>656</v>
      </c>
      <c r="D8838" s="803">
        <v>13.41</v>
      </c>
    </row>
    <row r="8839" spans="1:4">
      <c r="A8839" s="801">
        <v>1969</v>
      </c>
      <c r="B8839" s="802" t="s">
        <v>9935</v>
      </c>
      <c r="C8839" s="801" t="s">
        <v>656</v>
      </c>
      <c r="D8839" s="803">
        <v>39.47</v>
      </c>
    </row>
    <row r="8840" spans="1:4" ht="25.5">
      <c r="A8840" s="801">
        <v>1839</v>
      </c>
      <c r="B8840" s="802" t="s">
        <v>9936</v>
      </c>
      <c r="C8840" s="801" t="s">
        <v>656</v>
      </c>
      <c r="D8840" s="803">
        <v>172.55</v>
      </c>
    </row>
    <row r="8841" spans="1:4" ht="25.5">
      <c r="A8841" s="801">
        <v>1835</v>
      </c>
      <c r="B8841" s="802" t="s">
        <v>9937</v>
      </c>
      <c r="C8841" s="801" t="s">
        <v>656</v>
      </c>
      <c r="D8841" s="803">
        <v>36.68</v>
      </c>
    </row>
    <row r="8842" spans="1:4" ht="25.5">
      <c r="A8842" s="801">
        <v>1823</v>
      </c>
      <c r="B8842" s="802" t="s">
        <v>9938</v>
      </c>
      <c r="C8842" s="801" t="s">
        <v>656</v>
      </c>
      <c r="D8842" s="803">
        <v>70.930000000000007</v>
      </c>
    </row>
    <row r="8843" spans="1:4" ht="25.5">
      <c r="A8843" s="801">
        <v>1827</v>
      </c>
      <c r="B8843" s="802" t="s">
        <v>9939</v>
      </c>
      <c r="C8843" s="801" t="s">
        <v>656</v>
      </c>
      <c r="D8843" s="803">
        <v>170.87</v>
      </c>
    </row>
    <row r="8844" spans="1:4" ht="25.5">
      <c r="A8844" s="801">
        <v>1831</v>
      </c>
      <c r="B8844" s="802" t="s">
        <v>9940</v>
      </c>
      <c r="C8844" s="801" t="s">
        <v>656</v>
      </c>
      <c r="D8844" s="803">
        <v>37.299999999999997</v>
      </c>
    </row>
    <row r="8845" spans="1:4" ht="25.5">
      <c r="A8845" s="801">
        <v>1825</v>
      </c>
      <c r="B8845" s="802" t="s">
        <v>9941</v>
      </c>
      <c r="C8845" s="801" t="s">
        <v>656</v>
      </c>
      <c r="D8845" s="803">
        <v>92.06</v>
      </c>
    </row>
    <row r="8846" spans="1:4" ht="25.5">
      <c r="A8846" s="801">
        <v>1828</v>
      </c>
      <c r="B8846" s="802" t="s">
        <v>9942</v>
      </c>
      <c r="C8846" s="801" t="s">
        <v>656</v>
      </c>
      <c r="D8846" s="803">
        <v>208.52</v>
      </c>
    </row>
    <row r="8847" spans="1:4" ht="25.5">
      <c r="A8847" s="801">
        <v>1845</v>
      </c>
      <c r="B8847" s="802" t="s">
        <v>9943</v>
      </c>
      <c r="C8847" s="801" t="s">
        <v>656</v>
      </c>
      <c r="D8847" s="803">
        <v>46.75</v>
      </c>
    </row>
    <row r="8848" spans="1:4" ht="25.5">
      <c r="A8848" s="801">
        <v>1824</v>
      </c>
      <c r="B8848" s="802" t="s">
        <v>9944</v>
      </c>
      <c r="C8848" s="801" t="s">
        <v>656</v>
      </c>
      <c r="D8848" s="803">
        <v>110.36</v>
      </c>
    </row>
    <row r="8849" spans="1:4">
      <c r="A8849" s="801">
        <v>1941</v>
      </c>
      <c r="B8849" s="802" t="s">
        <v>9945</v>
      </c>
      <c r="C8849" s="801" t="s">
        <v>656</v>
      </c>
      <c r="D8849" s="803">
        <v>28.7</v>
      </c>
    </row>
    <row r="8850" spans="1:4">
      <c r="A8850" s="801">
        <v>1940</v>
      </c>
      <c r="B8850" s="802" t="s">
        <v>9946</v>
      </c>
      <c r="C8850" s="801" t="s">
        <v>656</v>
      </c>
      <c r="D8850" s="803">
        <v>21.69</v>
      </c>
    </row>
    <row r="8851" spans="1:4">
      <c r="A8851" s="801">
        <v>1937</v>
      </c>
      <c r="B8851" s="802" t="s">
        <v>9947</v>
      </c>
      <c r="C8851" s="801" t="s">
        <v>656</v>
      </c>
      <c r="D8851" s="803">
        <v>4.5</v>
      </c>
    </row>
    <row r="8852" spans="1:4">
      <c r="A8852" s="801">
        <v>1939</v>
      </c>
      <c r="B8852" s="802" t="s">
        <v>9948</v>
      </c>
      <c r="C8852" s="801" t="s">
        <v>656</v>
      </c>
      <c r="D8852" s="803">
        <v>8.92</v>
      </c>
    </row>
    <row r="8853" spans="1:4">
      <c r="A8853" s="801">
        <v>1942</v>
      </c>
      <c r="B8853" s="802" t="s">
        <v>9949</v>
      </c>
      <c r="C8853" s="801" t="s">
        <v>656</v>
      </c>
      <c r="D8853" s="803">
        <v>40.96</v>
      </c>
    </row>
    <row r="8854" spans="1:4">
      <c r="A8854" s="801">
        <v>1938</v>
      </c>
      <c r="B8854" s="802" t="s">
        <v>9950</v>
      </c>
      <c r="C8854" s="801" t="s">
        <v>656</v>
      </c>
      <c r="D8854" s="803">
        <v>5.7</v>
      </c>
    </row>
    <row r="8855" spans="1:4" ht="25.5">
      <c r="A8855" s="801">
        <v>42692</v>
      </c>
      <c r="B8855" s="802" t="s">
        <v>9951</v>
      </c>
      <c r="C8855" s="801" t="s">
        <v>656</v>
      </c>
      <c r="D8855" s="803">
        <v>519.88</v>
      </c>
    </row>
    <row r="8856" spans="1:4" ht="25.5">
      <c r="A8856" s="801">
        <v>42693</v>
      </c>
      <c r="B8856" s="802" t="s">
        <v>9952</v>
      </c>
      <c r="C8856" s="801" t="s">
        <v>656</v>
      </c>
      <c r="D8856" s="803">
        <v>855.17</v>
      </c>
    </row>
    <row r="8857" spans="1:4" ht="25.5">
      <c r="A8857" s="801">
        <v>42695</v>
      </c>
      <c r="B8857" s="802" t="s">
        <v>9953</v>
      </c>
      <c r="C8857" s="801" t="s">
        <v>656</v>
      </c>
      <c r="D8857" s="803">
        <v>650.23</v>
      </c>
    </row>
    <row r="8858" spans="1:4" ht="25.5">
      <c r="A8858" s="801">
        <v>42694</v>
      </c>
      <c r="B8858" s="802" t="s">
        <v>9954</v>
      </c>
      <c r="C8858" s="801" t="s">
        <v>656</v>
      </c>
      <c r="D8858" s="803">
        <v>961.28</v>
      </c>
    </row>
    <row r="8859" spans="1:4" ht="25.5">
      <c r="A8859" s="801">
        <v>20097</v>
      </c>
      <c r="B8859" s="802" t="s">
        <v>9955</v>
      </c>
      <c r="C8859" s="801" t="s">
        <v>656</v>
      </c>
      <c r="D8859" s="803">
        <v>54.36</v>
      </c>
    </row>
    <row r="8860" spans="1:4" ht="25.5">
      <c r="A8860" s="801">
        <v>20098</v>
      </c>
      <c r="B8860" s="802" t="s">
        <v>9956</v>
      </c>
      <c r="C8860" s="801" t="s">
        <v>656</v>
      </c>
      <c r="D8860" s="803">
        <v>183.3</v>
      </c>
    </row>
    <row r="8861" spans="1:4" ht="25.5">
      <c r="A8861" s="801">
        <v>20096</v>
      </c>
      <c r="B8861" s="802" t="s">
        <v>9957</v>
      </c>
      <c r="C8861" s="801" t="s">
        <v>656</v>
      </c>
      <c r="D8861" s="803">
        <v>35.57</v>
      </c>
    </row>
    <row r="8862" spans="1:4" ht="25.5">
      <c r="A8862" s="801">
        <v>1964</v>
      </c>
      <c r="B8862" s="802" t="s">
        <v>9958</v>
      </c>
      <c r="C8862" s="801" t="s">
        <v>656</v>
      </c>
      <c r="D8862" s="803">
        <v>32.880000000000003</v>
      </c>
    </row>
    <row r="8863" spans="1:4" ht="25.5">
      <c r="A8863" s="801">
        <v>1880</v>
      </c>
      <c r="B8863" s="802" t="s">
        <v>9959</v>
      </c>
      <c r="C8863" s="801" t="s">
        <v>656</v>
      </c>
      <c r="D8863" s="803">
        <v>3.06</v>
      </c>
    </row>
    <row r="8864" spans="1:4" ht="25.5">
      <c r="A8864" s="801">
        <v>39274</v>
      </c>
      <c r="B8864" s="802" t="s">
        <v>9960</v>
      </c>
      <c r="C8864" s="801" t="s">
        <v>656</v>
      </c>
      <c r="D8864" s="803">
        <v>2.37</v>
      </c>
    </row>
    <row r="8865" spans="1:4" ht="25.5">
      <c r="A8865" s="801">
        <v>2628</v>
      </c>
      <c r="B8865" s="802" t="s">
        <v>9961</v>
      </c>
      <c r="C8865" s="801" t="s">
        <v>656</v>
      </c>
      <c r="D8865" s="803">
        <v>233.33</v>
      </c>
    </row>
    <row r="8866" spans="1:4" ht="25.5">
      <c r="A8866" s="801">
        <v>2622</v>
      </c>
      <c r="B8866" s="802" t="s">
        <v>9962</v>
      </c>
      <c r="C8866" s="801" t="s">
        <v>656</v>
      </c>
      <c r="D8866" s="803">
        <v>5.54</v>
      </c>
    </row>
    <row r="8867" spans="1:4" ht="25.5">
      <c r="A8867" s="801">
        <v>2623</v>
      </c>
      <c r="B8867" s="802" t="s">
        <v>9963</v>
      </c>
      <c r="C8867" s="801" t="s">
        <v>656</v>
      </c>
      <c r="D8867" s="803">
        <v>6.67</v>
      </c>
    </row>
    <row r="8868" spans="1:4" ht="25.5">
      <c r="A8868" s="801">
        <v>2624</v>
      </c>
      <c r="B8868" s="802" t="s">
        <v>9964</v>
      </c>
      <c r="C8868" s="801" t="s">
        <v>656</v>
      </c>
      <c r="D8868" s="803">
        <v>10.6</v>
      </c>
    </row>
    <row r="8869" spans="1:4" ht="25.5">
      <c r="A8869" s="801">
        <v>2625</v>
      </c>
      <c r="B8869" s="802" t="s">
        <v>9965</v>
      </c>
      <c r="C8869" s="801" t="s">
        <v>656</v>
      </c>
      <c r="D8869" s="803">
        <v>22.39</v>
      </c>
    </row>
    <row r="8870" spans="1:4" ht="25.5">
      <c r="A8870" s="801">
        <v>2626</v>
      </c>
      <c r="B8870" s="802" t="s">
        <v>9966</v>
      </c>
      <c r="C8870" s="801" t="s">
        <v>656</v>
      </c>
      <c r="D8870" s="803">
        <v>32.799999999999997</v>
      </c>
    </row>
    <row r="8871" spans="1:4" ht="25.5">
      <c r="A8871" s="801">
        <v>2630</v>
      </c>
      <c r="B8871" s="802" t="s">
        <v>9967</v>
      </c>
      <c r="C8871" s="801" t="s">
        <v>656</v>
      </c>
      <c r="D8871" s="803">
        <v>49.89</v>
      </c>
    </row>
    <row r="8872" spans="1:4" ht="25.5">
      <c r="A8872" s="801">
        <v>2627</v>
      </c>
      <c r="B8872" s="802" t="s">
        <v>9968</v>
      </c>
      <c r="C8872" s="801" t="s">
        <v>656</v>
      </c>
      <c r="D8872" s="803">
        <v>87.88</v>
      </c>
    </row>
    <row r="8873" spans="1:4" ht="25.5">
      <c r="A8873" s="801">
        <v>2629</v>
      </c>
      <c r="B8873" s="802" t="s">
        <v>9969</v>
      </c>
      <c r="C8873" s="801" t="s">
        <v>656</v>
      </c>
      <c r="D8873" s="803">
        <v>118.87</v>
      </c>
    </row>
    <row r="8874" spans="1:4" ht="25.5">
      <c r="A8874" s="801">
        <v>12033</v>
      </c>
      <c r="B8874" s="802" t="s">
        <v>9970</v>
      </c>
      <c r="C8874" s="801" t="s">
        <v>656</v>
      </c>
      <c r="D8874" s="803">
        <v>9.7799999999999994</v>
      </c>
    </row>
    <row r="8875" spans="1:4" ht="25.5">
      <c r="A8875" s="801">
        <v>40408</v>
      </c>
      <c r="B8875" s="802" t="s">
        <v>9971</v>
      </c>
      <c r="C8875" s="801" t="s">
        <v>656</v>
      </c>
      <c r="D8875" s="803">
        <v>6.43</v>
      </c>
    </row>
    <row r="8876" spans="1:4" ht="25.5">
      <c r="A8876" s="801">
        <v>40409</v>
      </c>
      <c r="B8876" s="802" t="s">
        <v>9972</v>
      </c>
      <c r="C8876" s="801" t="s">
        <v>656</v>
      </c>
      <c r="D8876" s="803">
        <v>2.27</v>
      </c>
    </row>
    <row r="8877" spans="1:4" ht="25.5">
      <c r="A8877" s="801">
        <v>39276</v>
      </c>
      <c r="B8877" s="802" t="s">
        <v>9973</v>
      </c>
      <c r="C8877" s="801" t="s">
        <v>656</v>
      </c>
      <c r="D8877" s="803">
        <v>5.79</v>
      </c>
    </row>
    <row r="8878" spans="1:4" ht="25.5">
      <c r="A8878" s="801">
        <v>39277</v>
      </c>
      <c r="B8878" s="802" t="s">
        <v>9974</v>
      </c>
      <c r="C8878" s="801" t="s">
        <v>656</v>
      </c>
      <c r="D8878" s="803">
        <v>15.63</v>
      </c>
    </row>
    <row r="8879" spans="1:4" ht="25.5">
      <c r="A8879" s="801">
        <v>12034</v>
      </c>
      <c r="B8879" s="802" t="s">
        <v>9975</v>
      </c>
      <c r="C8879" s="801" t="s">
        <v>656</v>
      </c>
      <c r="D8879" s="803">
        <v>4.43</v>
      </c>
    </row>
    <row r="8880" spans="1:4" ht="25.5">
      <c r="A8880" s="801">
        <v>39879</v>
      </c>
      <c r="B8880" s="802" t="s">
        <v>9976</v>
      </c>
      <c r="C8880" s="801" t="s">
        <v>656</v>
      </c>
      <c r="D8880" s="803">
        <v>5.89</v>
      </c>
    </row>
    <row r="8881" spans="1:4" ht="25.5">
      <c r="A8881" s="801">
        <v>39880</v>
      </c>
      <c r="B8881" s="802" t="s">
        <v>9977</v>
      </c>
      <c r="C8881" s="801" t="s">
        <v>656</v>
      </c>
      <c r="D8881" s="803">
        <v>13.06</v>
      </c>
    </row>
    <row r="8882" spans="1:4" ht="25.5">
      <c r="A8882" s="801">
        <v>39881</v>
      </c>
      <c r="B8882" s="802" t="s">
        <v>9978</v>
      </c>
      <c r="C8882" s="801" t="s">
        <v>656</v>
      </c>
      <c r="D8882" s="803">
        <v>20.96</v>
      </c>
    </row>
    <row r="8883" spans="1:4" ht="25.5">
      <c r="A8883" s="801">
        <v>39882</v>
      </c>
      <c r="B8883" s="802" t="s">
        <v>9979</v>
      </c>
      <c r="C8883" s="801" t="s">
        <v>656</v>
      </c>
      <c r="D8883" s="803">
        <v>55.21</v>
      </c>
    </row>
    <row r="8884" spans="1:4" ht="25.5">
      <c r="A8884" s="801">
        <v>39883</v>
      </c>
      <c r="B8884" s="802" t="s">
        <v>9980</v>
      </c>
      <c r="C8884" s="801" t="s">
        <v>656</v>
      </c>
      <c r="D8884" s="803">
        <v>88.16</v>
      </c>
    </row>
    <row r="8885" spans="1:4" ht="25.5">
      <c r="A8885" s="801">
        <v>39884</v>
      </c>
      <c r="B8885" s="802" t="s">
        <v>9981</v>
      </c>
      <c r="C8885" s="801" t="s">
        <v>656</v>
      </c>
      <c r="D8885" s="803">
        <v>130.94</v>
      </c>
    </row>
    <row r="8886" spans="1:4" ht="25.5">
      <c r="A8886" s="801">
        <v>39885</v>
      </c>
      <c r="B8886" s="802" t="s">
        <v>9982</v>
      </c>
      <c r="C8886" s="801" t="s">
        <v>656</v>
      </c>
      <c r="D8886" s="803">
        <v>311.19</v>
      </c>
    </row>
    <row r="8887" spans="1:4" ht="25.5">
      <c r="A8887" s="801">
        <v>1777</v>
      </c>
      <c r="B8887" s="802" t="s">
        <v>9983</v>
      </c>
      <c r="C8887" s="801" t="s">
        <v>656</v>
      </c>
      <c r="D8887" s="803">
        <v>65.2</v>
      </c>
    </row>
    <row r="8888" spans="1:4" ht="25.5">
      <c r="A8888" s="801">
        <v>1819</v>
      </c>
      <c r="B8888" s="802" t="s">
        <v>9984</v>
      </c>
      <c r="C8888" s="801" t="s">
        <v>656</v>
      </c>
      <c r="D8888" s="803">
        <v>47.44</v>
      </c>
    </row>
    <row r="8889" spans="1:4" ht="25.5">
      <c r="A8889" s="801">
        <v>1775</v>
      </c>
      <c r="B8889" s="802" t="s">
        <v>9985</v>
      </c>
      <c r="C8889" s="801" t="s">
        <v>656</v>
      </c>
      <c r="D8889" s="803">
        <v>14.18</v>
      </c>
    </row>
    <row r="8890" spans="1:4" ht="25.5">
      <c r="A8890" s="801">
        <v>1776</v>
      </c>
      <c r="B8890" s="802" t="s">
        <v>9986</v>
      </c>
      <c r="C8890" s="801" t="s">
        <v>656</v>
      </c>
      <c r="D8890" s="803">
        <v>38.590000000000003</v>
      </c>
    </row>
    <row r="8891" spans="1:4" ht="25.5">
      <c r="A8891" s="801">
        <v>1778</v>
      </c>
      <c r="B8891" s="802" t="s">
        <v>9987</v>
      </c>
      <c r="C8891" s="801" t="s">
        <v>656</v>
      </c>
      <c r="D8891" s="803">
        <v>157.83000000000001</v>
      </c>
    </row>
    <row r="8892" spans="1:4" ht="25.5">
      <c r="A8892" s="801">
        <v>1818</v>
      </c>
      <c r="B8892" s="802" t="s">
        <v>9988</v>
      </c>
      <c r="C8892" s="801" t="s">
        <v>656</v>
      </c>
      <c r="D8892" s="803">
        <v>104.76</v>
      </c>
    </row>
    <row r="8893" spans="1:4" ht="25.5">
      <c r="A8893" s="801">
        <v>1820</v>
      </c>
      <c r="B8893" s="802" t="s">
        <v>9989</v>
      </c>
      <c r="C8893" s="801" t="s">
        <v>656</v>
      </c>
      <c r="D8893" s="803">
        <v>20.48</v>
      </c>
    </row>
    <row r="8894" spans="1:4" ht="25.5">
      <c r="A8894" s="801">
        <v>1779</v>
      </c>
      <c r="B8894" s="802" t="s">
        <v>9990</v>
      </c>
      <c r="C8894" s="801" t="s">
        <v>656</v>
      </c>
      <c r="D8894" s="803">
        <v>229.53</v>
      </c>
    </row>
    <row r="8895" spans="1:4" ht="25.5">
      <c r="A8895" s="801">
        <v>1780</v>
      </c>
      <c r="B8895" s="802" t="s">
        <v>9991</v>
      </c>
      <c r="C8895" s="801" t="s">
        <v>656</v>
      </c>
      <c r="D8895" s="803">
        <v>473.19</v>
      </c>
    </row>
    <row r="8896" spans="1:4" ht="25.5">
      <c r="A8896" s="801">
        <v>1783</v>
      </c>
      <c r="B8896" s="802" t="s">
        <v>9992</v>
      </c>
      <c r="C8896" s="801" t="s">
        <v>656</v>
      </c>
      <c r="D8896" s="803">
        <v>50.03</v>
      </c>
    </row>
    <row r="8897" spans="1:4" ht="25.5">
      <c r="A8897" s="801">
        <v>1782</v>
      </c>
      <c r="B8897" s="802" t="s">
        <v>9993</v>
      </c>
      <c r="C8897" s="801" t="s">
        <v>656</v>
      </c>
      <c r="D8897" s="803">
        <v>39.56</v>
      </c>
    </row>
    <row r="8898" spans="1:4" ht="25.5">
      <c r="A8898" s="801">
        <v>1817</v>
      </c>
      <c r="B8898" s="802" t="s">
        <v>9994</v>
      </c>
      <c r="C8898" s="801" t="s">
        <v>656</v>
      </c>
      <c r="D8898" s="803">
        <v>11.78</v>
      </c>
    </row>
    <row r="8899" spans="1:4" ht="25.5">
      <c r="A8899" s="801">
        <v>1781</v>
      </c>
      <c r="B8899" s="802" t="s">
        <v>9995</v>
      </c>
      <c r="C8899" s="801" t="s">
        <v>656</v>
      </c>
      <c r="D8899" s="803">
        <v>25.77</v>
      </c>
    </row>
    <row r="8900" spans="1:4" ht="25.5">
      <c r="A8900" s="801">
        <v>1784</v>
      </c>
      <c r="B8900" s="802" t="s">
        <v>9996</v>
      </c>
      <c r="C8900" s="801" t="s">
        <v>656</v>
      </c>
      <c r="D8900" s="803">
        <v>141.28</v>
      </c>
    </row>
    <row r="8901" spans="1:4" ht="25.5">
      <c r="A8901" s="801">
        <v>1810</v>
      </c>
      <c r="B8901" s="802" t="s">
        <v>9997</v>
      </c>
      <c r="C8901" s="801" t="s">
        <v>656</v>
      </c>
      <c r="D8901" s="803">
        <v>78.36</v>
      </c>
    </row>
    <row r="8902" spans="1:4" ht="25.5">
      <c r="A8902" s="801">
        <v>1811</v>
      </c>
      <c r="B8902" s="802" t="s">
        <v>9998</v>
      </c>
      <c r="C8902" s="801" t="s">
        <v>656</v>
      </c>
      <c r="D8902" s="803">
        <v>16.95</v>
      </c>
    </row>
    <row r="8903" spans="1:4" ht="25.5">
      <c r="A8903" s="801">
        <v>1812</v>
      </c>
      <c r="B8903" s="802" t="s">
        <v>9999</v>
      </c>
      <c r="C8903" s="801" t="s">
        <v>656</v>
      </c>
      <c r="D8903" s="803">
        <v>197.81</v>
      </c>
    </row>
    <row r="8904" spans="1:4" ht="25.5">
      <c r="A8904" s="801">
        <v>40386</v>
      </c>
      <c r="B8904" s="802" t="s">
        <v>10000</v>
      </c>
      <c r="C8904" s="801" t="s">
        <v>656</v>
      </c>
      <c r="D8904" s="803">
        <v>90.53</v>
      </c>
    </row>
    <row r="8905" spans="1:4" ht="25.5">
      <c r="A8905" s="801">
        <v>40384</v>
      </c>
      <c r="B8905" s="802" t="s">
        <v>10001</v>
      </c>
      <c r="C8905" s="801" t="s">
        <v>656</v>
      </c>
      <c r="D8905" s="803">
        <v>61.98</v>
      </c>
    </row>
    <row r="8906" spans="1:4" ht="25.5">
      <c r="A8906" s="801">
        <v>40379</v>
      </c>
      <c r="B8906" s="802" t="s">
        <v>10002</v>
      </c>
      <c r="C8906" s="801" t="s">
        <v>656</v>
      </c>
      <c r="D8906" s="803">
        <v>21.42</v>
      </c>
    </row>
    <row r="8907" spans="1:4" ht="25.5">
      <c r="A8907" s="801">
        <v>40423</v>
      </c>
      <c r="B8907" s="802" t="s">
        <v>10003</v>
      </c>
      <c r="C8907" s="801" t="s">
        <v>656</v>
      </c>
      <c r="D8907" s="803">
        <v>40.549999999999997</v>
      </c>
    </row>
    <row r="8908" spans="1:4" ht="25.5">
      <c r="A8908" s="801">
        <v>40389</v>
      </c>
      <c r="B8908" s="802" t="s">
        <v>10004</v>
      </c>
      <c r="C8908" s="801" t="s">
        <v>656</v>
      </c>
      <c r="D8908" s="803">
        <v>257.13</v>
      </c>
    </row>
    <row r="8909" spans="1:4" ht="25.5">
      <c r="A8909" s="801">
        <v>40388</v>
      </c>
      <c r="B8909" s="802" t="s">
        <v>10005</v>
      </c>
      <c r="C8909" s="801" t="s">
        <v>656</v>
      </c>
      <c r="D8909" s="803">
        <v>128.69999999999999</v>
      </c>
    </row>
    <row r="8910" spans="1:4" ht="25.5">
      <c r="A8910" s="801">
        <v>40381</v>
      </c>
      <c r="B8910" s="802" t="s">
        <v>10006</v>
      </c>
      <c r="C8910" s="801" t="s">
        <v>656</v>
      </c>
      <c r="D8910" s="803">
        <v>28.57</v>
      </c>
    </row>
    <row r="8911" spans="1:4" ht="25.5">
      <c r="A8911" s="801">
        <v>40391</v>
      </c>
      <c r="B8911" s="802" t="s">
        <v>10007</v>
      </c>
      <c r="C8911" s="801" t="s">
        <v>656</v>
      </c>
      <c r="D8911" s="803">
        <v>667.39</v>
      </c>
    </row>
    <row r="8912" spans="1:4">
      <c r="A8912" s="801">
        <v>40414</v>
      </c>
      <c r="B8912" s="802" t="s">
        <v>10008</v>
      </c>
      <c r="C8912" s="801" t="s">
        <v>656</v>
      </c>
      <c r="D8912" s="803">
        <v>27.37</v>
      </c>
    </row>
    <row r="8913" spans="1:4" ht="25.5">
      <c r="A8913" s="801">
        <v>40416</v>
      </c>
      <c r="B8913" s="802" t="s">
        <v>10009</v>
      </c>
      <c r="C8913" s="801" t="s">
        <v>656</v>
      </c>
      <c r="D8913" s="803">
        <v>37.840000000000003</v>
      </c>
    </row>
    <row r="8914" spans="1:4">
      <c r="A8914" s="801">
        <v>40418</v>
      </c>
      <c r="B8914" s="802" t="s">
        <v>10010</v>
      </c>
      <c r="C8914" s="801" t="s">
        <v>656</v>
      </c>
      <c r="D8914" s="803">
        <v>45.13</v>
      </c>
    </row>
    <row r="8915" spans="1:4" ht="25.5">
      <c r="A8915" s="801">
        <v>2609</v>
      </c>
      <c r="B8915" s="802" t="s">
        <v>10011</v>
      </c>
      <c r="C8915" s="801" t="s">
        <v>656</v>
      </c>
      <c r="D8915" s="803">
        <v>5.2</v>
      </c>
    </row>
    <row r="8916" spans="1:4" ht="25.5">
      <c r="A8916" s="801">
        <v>2634</v>
      </c>
      <c r="B8916" s="802" t="s">
        <v>10012</v>
      </c>
      <c r="C8916" s="801" t="s">
        <v>656</v>
      </c>
      <c r="D8916" s="803">
        <v>6.84</v>
      </c>
    </row>
    <row r="8917" spans="1:4" ht="25.5">
      <c r="A8917" s="801">
        <v>2611</v>
      </c>
      <c r="B8917" s="802" t="s">
        <v>10013</v>
      </c>
      <c r="C8917" s="801" t="s">
        <v>656</v>
      </c>
      <c r="D8917" s="803">
        <v>19.27</v>
      </c>
    </row>
    <row r="8918" spans="1:4" ht="25.5">
      <c r="A8918" s="801">
        <v>34359</v>
      </c>
      <c r="B8918" s="802" t="s">
        <v>10014</v>
      </c>
      <c r="C8918" s="801" t="s">
        <v>656</v>
      </c>
      <c r="D8918" s="803">
        <v>12.03</v>
      </c>
    </row>
    <row r="8919" spans="1:4" ht="25.5">
      <c r="A8919" s="801">
        <v>1789</v>
      </c>
      <c r="B8919" s="802" t="s">
        <v>10015</v>
      </c>
      <c r="C8919" s="801" t="s">
        <v>656</v>
      </c>
      <c r="D8919" s="803">
        <v>62.58</v>
      </c>
    </row>
    <row r="8920" spans="1:4" ht="25.5">
      <c r="A8920" s="801">
        <v>1788</v>
      </c>
      <c r="B8920" s="802" t="s">
        <v>10016</v>
      </c>
      <c r="C8920" s="801" t="s">
        <v>656</v>
      </c>
      <c r="D8920" s="803">
        <v>50.16</v>
      </c>
    </row>
    <row r="8921" spans="1:4" ht="25.5">
      <c r="A8921" s="801">
        <v>1786</v>
      </c>
      <c r="B8921" s="802" t="s">
        <v>10017</v>
      </c>
      <c r="C8921" s="801" t="s">
        <v>656</v>
      </c>
      <c r="D8921" s="803">
        <v>12.45</v>
      </c>
    </row>
    <row r="8922" spans="1:4" ht="25.5">
      <c r="A8922" s="801">
        <v>1787</v>
      </c>
      <c r="B8922" s="802" t="s">
        <v>10018</v>
      </c>
      <c r="C8922" s="801" t="s">
        <v>656</v>
      </c>
      <c r="D8922" s="803">
        <v>29.82</v>
      </c>
    </row>
    <row r="8923" spans="1:4" ht="25.5">
      <c r="A8923" s="801">
        <v>1791</v>
      </c>
      <c r="B8923" s="802" t="s">
        <v>10019</v>
      </c>
      <c r="C8923" s="801" t="s">
        <v>656</v>
      </c>
      <c r="D8923" s="803">
        <v>180.86</v>
      </c>
    </row>
    <row r="8924" spans="1:4" ht="25.5">
      <c r="A8924" s="801">
        <v>1790</v>
      </c>
      <c r="B8924" s="802" t="s">
        <v>10020</v>
      </c>
      <c r="C8924" s="801" t="s">
        <v>656</v>
      </c>
      <c r="D8924" s="803">
        <v>104.22</v>
      </c>
    </row>
    <row r="8925" spans="1:4" ht="25.5">
      <c r="A8925" s="801">
        <v>1813</v>
      </c>
      <c r="B8925" s="802" t="s">
        <v>10021</v>
      </c>
      <c r="C8925" s="801" t="s">
        <v>656</v>
      </c>
      <c r="D8925" s="803">
        <v>19.77</v>
      </c>
    </row>
    <row r="8926" spans="1:4" ht="25.5">
      <c r="A8926" s="801">
        <v>1792</v>
      </c>
      <c r="B8926" s="802" t="s">
        <v>10022</v>
      </c>
      <c r="C8926" s="801" t="s">
        <v>656</v>
      </c>
      <c r="D8926" s="803">
        <v>244.13</v>
      </c>
    </row>
    <row r="8927" spans="1:4" ht="25.5">
      <c r="A8927" s="801">
        <v>1793</v>
      </c>
      <c r="B8927" s="802" t="s">
        <v>10023</v>
      </c>
      <c r="C8927" s="801" t="s">
        <v>656</v>
      </c>
      <c r="D8927" s="803">
        <v>493.31</v>
      </c>
    </row>
    <row r="8928" spans="1:4" ht="25.5">
      <c r="A8928" s="801">
        <v>1809</v>
      </c>
      <c r="B8928" s="802" t="s">
        <v>10024</v>
      </c>
      <c r="C8928" s="801" t="s">
        <v>656</v>
      </c>
      <c r="D8928" s="803">
        <v>58.67</v>
      </c>
    </row>
    <row r="8929" spans="1:4" ht="25.5">
      <c r="A8929" s="801">
        <v>1814</v>
      </c>
      <c r="B8929" s="802" t="s">
        <v>10025</v>
      </c>
      <c r="C8929" s="801" t="s">
        <v>656</v>
      </c>
      <c r="D8929" s="803">
        <v>48.2</v>
      </c>
    </row>
    <row r="8930" spans="1:4" ht="25.5">
      <c r="A8930" s="801">
        <v>1803</v>
      </c>
      <c r="B8930" s="802" t="s">
        <v>10026</v>
      </c>
      <c r="C8930" s="801" t="s">
        <v>656</v>
      </c>
      <c r="D8930" s="803">
        <v>12.18</v>
      </c>
    </row>
    <row r="8931" spans="1:4" ht="25.5">
      <c r="A8931" s="801">
        <v>1805</v>
      </c>
      <c r="B8931" s="802" t="s">
        <v>10027</v>
      </c>
      <c r="C8931" s="801" t="s">
        <v>656</v>
      </c>
      <c r="D8931" s="803">
        <v>27.97</v>
      </c>
    </row>
    <row r="8932" spans="1:4" ht="25.5">
      <c r="A8932" s="801">
        <v>1821</v>
      </c>
      <c r="B8932" s="802" t="s">
        <v>10028</v>
      </c>
      <c r="C8932" s="801" t="s">
        <v>656</v>
      </c>
      <c r="D8932" s="803">
        <v>165.24</v>
      </c>
    </row>
    <row r="8933" spans="1:4" ht="25.5">
      <c r="A8933" s="801">
        <v>1806</v>
      </c>
      <c r="B8933" s="802" t="s">
        <v>10029</v>
      </c>
      <c r="C8933" s="801" t="s">
        <v>656</v>
      </c>
      <c r="D8933" s="803">
        <v>98.35</v>
      </c>
    </row>
    <row r="8934" spans="1:4" ht="25.5">
      <c r="A8934" s="801">
        <v>1804</v>
      </c>
      <c r="B8934" s="802" t="s">
        <v>10030</v>
      </c>
      <c r="C8934" s="801" t="s">
        <v>656</v>
      </c>
      <c r="D8934" s="803">
        <v>17.329999999999998</v>
      </c>
    </row>
    <row r="8935" spans="1:4" ht="25.5">
      <c r="A8935" s="801">
        <v>1807</v>
      </c>
      <c r="B8935" s="802" t="s">
        <v>10031</v>
      </c>
      <c r="C8935" s="801" t="s">
        <v>656</v>
      </c>
      <c r="D8935" s="803">
        <v>236.32</v>
      </c>
    </row>
    <row r="8936" spans="1:4" ht="25.5">
      <c r="A8936" s="801">
        <v>1808</v>
      </c>
      <c r="B8936" s="802" t="s">
        <v>10032</v>
      </c>
      <c r="C8936" s="801" t="s">
        <v>656</v>
      </c>
      <c r="D8936" s="803">
        <v>473.78</v>
      </c>
    </row>
    <row r="8937" spans="1:4" ht="25.5">
      <c r="A8937" s="801">
        <v>1797</v>
      </c>
      <c r="B8937" s="802" t="s">
        <v>10033</v>
      </c>
      <c r="C8937" s="801" t="s">
        <v>656</v>
      </c>
      <c r="D8937" s="803">
        <v>71.06</v>
      </c>
    </row>
    <row r="8938" spans="1:4" ht="25.5">
      <c r="A8938" s="801">
        <v>1796</v>
      </c>
      <c r="B8938" s="802" t="s">
        <v>10034</v>
      </c>
      <c r="C8938" s="801" t="s">
        <v>656</v>
      </c>
      <c r="D8938" s="803">
        <v>54.51</v>
      </c>
    </row>
    <row r="8939" spans="1:4" ht="25.5">
      <c r="A8939" s="801">
        <v>1794</v>
      </c>
      <c r="B8939" s="802" t="s">
        <v>10035</v>
      </c>
      <c r="C8939" s="801" t="s">
        <v>656</v>
      </c>
      <c r="D8939" s="803">
        <v>13.01</v>
      </c>
    </row>
    <row r="8940" spans="1:4" ht="25.5">
      <c r="A8940" s="801">
        <v>1816</v>
      </c>
      <c r="B8940" s="802" t="s">
        <v>10036</v>
      </c>
      <c r="C8940" s="801" t="s">
        <v>656</v>
      </c>
      <c r="D8940" s="803">
        <v>29.34</v>
      </c>
    </row>
    <row r="8941" spans="1:4" ht="25.5">
      <c r="A8941" s="801">
        <v>1815</v>
      </c>
      <c r="B8941" s="802" t="s">
        <v>10037</v>
      </c>
      <c r="C8941" s="801" t="s">
        <v>656</v>
      </c>
      <c r="D8941" s="803">
        <v>225.3</v>
      </c>
    </row>
    <row r="8942" spans="1:4" ht="25.5">
      <c r="A8942" s="801">
        <v>1798</v>
      </c>
      <c r="B8942" s="802" t="s">
        <v>10038</v>
      </c>
      <c r="C8942" s="801" t="s">
        <v>656</v>
      </c>
      <c r="D8942" s="803">
        <v>100.81</v>
      </c>
    </row>
    <row r="8943" spans="1:4" ht="25.5">
      <c r="A8943" s="801">
        <v>1795</v>
      </c>
      <c r="B8943" s="802" t="s">
        <v>10039</v>
      </c>
      <c r="C8943" s="801" t="s">
        <v>656</v>
      </c>
      <c r="D8943" s="803">
        <v>18.02</v>
      </c>
    </row>
    <row r="8944" spans="1:4" ht="25.5">
      <c r="A8944" s="801">
        <v>1799</v>
      </c>
      <c r="B8944" s="802" t="s">
        <v>10040</v>
      </c>
      <c r="C8944" s="801" t="s">
        <v>656</v>
      </c>
      <c r="D8944" s="803">
        <v>293.43</v>
      </c>
    </row>
    <row r="8945" spans="1:4" ht="25.5">
      <c r="A8945" s="801">
        <v>1800</v>
      </c>
      <c r="B8945" s="802" t="s">
        <v>10041</v>
      </c>
      <c r="C8945" s="801" t="s">
        <v>656</v>
      </c>
      <c r="D8945" s="803">
        <v>560.22</v>
      </c>
    </row>
    <row r="8946" spans="1:4" ht="25.5">
      <c r="A8946" s="801">
        <v>1802</v>
      </c>
      <c r="B8946" s="802" t="s">
        <v>10042</v>
      </c>
      <c r="C8946" s="801" t="s">
        <v>656</v>
      </c>
      <c r="D8946" s="803">
        <v>1401.33</v>
      </c>
    </row>
    <row r="8947" spans="1:4" ht="25.5">
      <c r="A8947" s="801">
        <v>40385</v>
      </c>
      <c r="B8947" s="802" t="s">
        <v>10043</v>
      </c>
      <c r="C8947" s="801" t="s">
        <v>656</v>
      </c>
      <c r="D8947" s="803">
        <v>90.53</v>
      </c>
    </row>
    <row r="8948" spans="1:4" ht="25.5">
      <c r="A8948" s="801">
        <v>40383</v>
      </c>
      <c r="B8948" s="802" t="s">
        <v>10044</v>
      </c>
      <c r="C8948" s="801" t="s">
        <v>656</v>
      </c>
      <c r="D8948" s="803">
        <v>61.98</v>
      </c>
    </row>
    <row r="8949" spans="1:4" ht="25.5">
      <c r="A8949" s="801">
        <v>40378</v>
      </c>
      <c r="B8949" s="802" t="s">
        <v>10045</v>
      </c>
      <c r="C8949" s="801" t="s">
        <v>656</v>
      </c>
      <c r="D8949" s="803">
        <v>21.42</v>
      </c>
    </row>
    <row r="8950" spans="1:4" ht="25.5">
      <c r="A8950" s="801">
        <v>40382</v>
      </c>
      <c r="B8950" s="802" t="s">
        <v>10046</v>
      </c>
      <c r="C8950" s="801" t="s">
        <v>656</v>
      </c>
      <c r="D8950" s="803">
        <v>40.549999999999997</v>
      </c>
    </row>
    <row r="8951" spans="1:4" ht="25.5">
      <c r="A8951" s="801">
        <v>40422</v>
      </c>
      <c r="B8951" s="802" t="s">
        <v>10047</v>
      </c>
      <c r="C8951" s="801" t="s">
        <v>656</v>
      </c>
      <c r="D8951" s="803">
        <v>276.22000000000003</v>
      </c>
    </row>
    <row r="8952" spans="1:4" ht="25.5">
      <c r="A8952" s="801">
        <v>40387</v>
      </c>
      <c r="B8952" s="802" t="s">
        <v>10048</v>
      </c>
      <c r="C8952" s="801" t="s">
        <v>656</v>
      </c>
      <c r="D8952" s="803">
        <v>140.63999999999999</v>
      </c>
    </row>
    <row r="8953" spans="1:4" ht="25.5">
      <c r="A8953" s="801">
        <v>40380</v>
      </c>
      <c r="B8953" s="802" t="s">
        <v>10049</v>
      </c>
      <c r="C8953" s="801" t="s">
        <v>656</v>
      </c>
      <c r="D8953" s="803">
        <v>28.57</v>
      </c>
    </row>
    <row r="8954" spans="1:4" ht="25.5">
      <c r="A8954" s="801">
        <v>40390</v>
      </c>
      <c r="B8954" s="802" t="s">
        <v>10050</v>
      </c>
      <c r="C8954" s="801" t="s">
        <v>656</v>
      </c>
      <c r="D8954" s="803">
        <v>581.75</v>
      </c>
    </row>
    <row r="8955" spans="1:4">
      <c r="A8955" s="801">
        <v>40413</v>
      </c>
      <c r="B8955" s="802" t="s">
        <v>10051</v>
      </c>
      <c r="C8955" s="801" t="s">
        <v>656</v>
      </c>
      <c r="D8955" s="803">
        <v>29.74</v>
      </c>
    </row>
    <row r="8956" spans="1:4" ht="25.5">
      <c r="A8956" s="801">
        <v>40415</v>
      </c>
      <c r="B8956" s="802" t="s">
        <v>10052</v>
      </c>
      <c r="C8956" s="801" t="s">
        <v>656</v>
      </c>
      <c r="D8956" s="803">
        <v>42.38</v>
      </c>
    </row>
    <row r="8957" spans="1:4">
      <c r="A8957" s="801">
        <v>40417</v>
      </c>
      <c r="B8957" s="802" t="s">
        <v>10053</v>
      </c>
      <c r="C8957" s="801" t="s">
        <v>656</v>
      </c>
      <c r="D8957" s="803">
        <v>49.99</v>
      </c>
    </row>
    <row r="8958" spans="1:4" ht="25.5">
      <c r="A8958" s="801">
        <v>39271</v>
      </c>
      <c r="B8958" s="802" t="s">
        <v>10054</v>
      </c>
      <c r="C8958" s="801" t="s">
        <v>656</v>
      </c>
      <c r="D8958" s="803">
        <v>1.97</v>
      </c>
    </row>
    <row r="8959" spans="1:4" ht="25.5">
      <c r="A8959" s="801">
        <v>39273</v>
      </c>
      <c r="B8959" s="802" t="s">
        <v>10055</v>
      </c>
      <c r="C8959" s="801" t="s">
        <v>656</v>
      </c>
      <c r="D8959" s="803">
        <v>3.34</v>
      </c>
    </row>
    <row r="8960" spans="1:4" ht="25.5">
      <c r="A8960" s="801">
        <v>39272</v>
      </c>
      <c r="B8960" s="802" t="s">
        <v>10056</v>
      </c>
      <c r="C8960" s="801" t="s">
        <v>656</v>
      </c>
      <c r="D8960" s="803">
        <v>2.42</v>
      </c>
    </row>
    <row r="8961" spans="1:4" ht="25.5">
      <c r="A8961" s="801">
        <v>1875</v>
      </c>
      <c r="B8961" s="802" t="s">
        <v>10057</v>
      </c>
      <c r="C8961" s="801" t="s">
        <v>656</v>
      </c>
      <c r="D8961" s="803">
        <v>5.35</v>
      </c>
    </row>
    <row r="8962" spans="1:4" ht="25.5">
      <c r="A8962" s="801">
        <v>1874</v>
      </c>
      <c r="B8962" s="802" t="s">
        <v>10058</v>
      </c>
      <c r="C8962" s="801" t="s">
        <v>656</v>
      </c>
      <c r="D8962" s="803">
        <v>4.41</v>
      </c>
    </row>
    <row r="8963" spans="1:4" ht="25.5">
      <c r="A8963" s="801">
        <v>1870</v>
      </c>
      <c r="B8963" s="802" t="s">
        <v>10059</v>
      </c>
      <c r="C8963" s="801" t="s">
        <v>656</v>
      </c>
      <c r="D8963" s="803">
        <v>2.5499999999999998</v>
      </c>
    </row>
    <row r="8964" spans="1:4" ht="25.5">
      <c r="A8964" s="801">
        <v>1884</v>
      </c>
      <c r="B8964" s="802" t="s">
        <v>10060</v>
      </c>
      <c r="C8964" s="801" t="s">
        <v>656</v>
      </c>
      <c r="D8964" s="803">
        <v>3.91</v>
      </c>
    </row>
    <row r="8965" spans="1:4" ht="25.5">
      <c r="A8965" s="801">
        <v>1887</v>
      </c>
      <c r="B8965" s="802" t="s">
        <v>10061</v>
      </c>
      <c r="C8965" s="801" t="s">
        <v>656</v>
      </c>
      <c r="D8965" s="803">
        <v>22.17</v>
      </c>
    </row>
    <row r="8966" spans="1:4" ht="25.5">
      <c r="A8966" s="801">
        <v>1876</v>
      </c>
      <c r="B8966" s="802" t="s">
        <v>10062</v>
      </c>
      <c r="C8966" s="801" t="s">
        <v>656</v>
      </c>
      <c r="D8966" s="803">
        <v>8.69</v>
      </c>
    </row>
    <row r="8967" spans="1:4" ht="25.5">
      <c r="A8967" s="801">
        <v>1879</v>
      </c>
      <c r="B8967" s="802" t="s">
        <v>10063</v>
      </c>
      <c r="C8967" s="801" t="s">
        <v>656</v>
      </c>
      <c r="D8967" s="803">
        <v>2.58</v>
      </c>
    </row>
    <row r="8968" spans="1:4" ht="25.5">
      <c r="A8968" s="801">
        <v>1877</v>
      </c>
      <c r="B8968" s="802" t="s">
        <v>10064</v>
      </c>
      <c r="C8968" s="801" t="s">
        <v>656</v>
      </c>
      <c r="D8968" s="803">
        <v>22.2</v>
      </c>
    </row>
    <row r="8969" spans="1:4" ht="25.5">
      <c r="A8969" s="801">
        <v>1878</v>
      </c>
      <c r="B8969" s="802" t="s">
        <v>10065</v>
      </c>
      <c r="C8969" s="801" t="s">
        <v>656</v>
      </c>
      <c r="D8969" s="803">
        <v>44.6</v>
      </c>
    </row>
    <row r="8970" spans="1:4" ht="25.5">
      <c r="A8970" s="801">
        <v>2621</v>
      </c>
      <c r="B8970" s="802" t="s">
        <v>10066</v>
      </c>
      <c r="C8970" s="801" t="s">
        <v>656</v>
      </c>
      <c r="D8970" s="803">
        <v>164.85</v>
      </c>
    </row>
    <row r="8971" spans="1:4" ht="25.5">
      <c r="A8971" s="801">
        <v>2616</v>
      </c>
      <c r="B8971" s="802" t="s">
        <v>10067</v>
      </c>
      <c r="C8971" s="801" t="s">
        <v>656</v>
      </c>
      <c r="D8971" s="803">
        <v>4.66</v>
      </c>
    </row>
    <row r="8972" spans="1:4" ht="25.5">
      <c r="A8972" s="801">
        <v>2633</v>
      </c>
      <c r="B8972" s="802" t="s">
        <v>10068</v>
      </c>
      <c r="C8972" s="801" t="s">
        <v>656</v>
      </c>
      <c r="D8972" s="803">
        <v>5.28</v>
      </c>
    </row>
    <row r="8973" spans="1:4" ht="25.5">
      <c r="A8973" s="801">
        <v>2617</v>
      </c>
      <c r="B8973" s="802" t="s">
        <v>10069</v>
      </c>
      <c r="C8973" s="801" t="s">
        <v>656</v>
      </c>
      <c r="D8973" s="803">
        <v>7.17</v>
      </c>
    </row>
    <row r="8974" spans="1:4" ht="25.5">
      <c r="A8974" s="801">
        <v>2618</v>
      </c>
      <c r="B8974" s="802" t="s">
        <v>10070</v>
      </c>
      <c r="C8974" s="801" t="s">
        <v>656</v>
      </c>
      <c r="D8974" s="803">
        <v>16.329999999999998</v>
      </c>
    </row>
    <row r="8975" spans="1:4" ht="25.5">
      <c r="A8975" s="801">
        <v>2632</v>
      </c>
      <c r="B8975" s="802" t="s">
        <v>10071</v>
      </c>
      <c r="C8975" s="801" t="s">
        <v>656</v>
      </c>
      <c r="D8975" s="803">
        <v>19.920000000000002</v>
      </c>
    </row>
    <row r="8976" spans="1:4" ht="25.5">
      <c r="A8976" s="801">
        <v>2631</v>
      </c>
      <c r="B8976" s="802" t="s">
        <v>10072</v>
      </c>
      <c r="C8976" s="801" t="s">
        <v>656</v>
      </c>
      <c r="D8976" s="803">
        <v>29.24</v>
      </c>
    </row>
    <row r="8977" spans="1:4" ht="25.5">
      <c r="A8977" s="801">
        <v>2619</v>
      </c>
      <c r="B8977" s="802" t="s">
        <v>10073</v>
      </c>
      <c r="C8977" s="801" t="s">
        <v>656</v>
      </c>
      <c r="D8977" s="803">
        <v>74.040000000000006</v>
      </c>
    </row>
    <row r="8978" spans="1:4" ht="25.5">
      <c r="A8978" s="801">
        <v>2620</v>
      </c>
      <c r="B8978" s="802" t="s">
        <v>10074</v>
      </c>
      <c r="C8978" s="801" t="s">
        <v>656</v>
      </c>
      <c r="D8978" s="803">
        <v>97.2</v>
      </c>
    </row>
    <row r="8979" spans="1:4">
      <c r="A8979" s="801">
        <v>44472</v>
      </c>
      <c r="B8979" s="802" t="s">
        <v>10075</v>
      </c>
      <c r="C8979" s="801" t="s">
        <v>656</v>
      </c>
      <c r="D8979" s="803">
        <v>56.1</v>
      </c>
    </row>
    <row r="8980" spans="1:4" ht="25.5">
      <c r="A8980" s="801">
        <v>38369</v>
      </c>
      <c r="B8980" s="802" t="s">
        <v>10076</v>
      </c>
      <c r="C8980" s="801" t="s">
        <v>656</v>
      </c>
      <c r="D8980" s="803">
        <v>18.559999999999999</v>
      </c>
    </row>
    <row r="8981" spans="1:4" ht="25.5">
      <c r="A8981" s="801">
        <v>38370</v>
      </c>
      <c r="B8981" s="802" t="s">
        <v>10077</v>
      </c>
      <c r="C8981" s="801" t="s">
        <v>656</v>
      </c>
      <c r="D8981" s="803">
        <v>18.559999999999999</v>
      </c>
    </row>
    <row r="8982" spans="1:4">
      <c r="A8982" s="801">
        <v>38372</v>
      </c>
      <c r="B8982" s="802" t="s">
        <v>10078</v>
      </c>
      <c r="C8982" s="801" t="s">
        <v>656</v>
      </c>
      <c r="D8982" s="803">
        <v>20.34</v>
      </c>
    </row>
    <row r="8983" spans="1:4">
      <c r="A8983" s="801">
        <v>2357</v>
      </c>
      <c r="B8983" s="802" t="s">
        <v>10079</v>
      </c>
      <c r="C8983" s="801" t="s">
        <v>659</v>
      </c>
      <c r="D8983" s="803">
        <v>16.11</v>
      </c>
    </row>
    <row r="8984" spans="1:4">
      <c r="A8984" s="801">
        <v>40806</v>
      </c>
      <c r="B8984" s="802" t="s">
        <v>10080</v>
      </c>
      <c r="C8984" s="801" t="s">
        <v>772</v>
      </c>
      <c r="D8984" s="803">
        <v>2845.57</v>
      </c>
    </row>
    <row r="8985" spans="1:4">
      <c r="A8985" s="801">
        <v>2355</v>
      </c>
      <c r="B8985" s="802" t="s">
        <v>10081</v>
      </c>
      <c r="C8985" s="801" t="s">
        <v>659</v>
      </c>
      <c r="D8985" s="803">
        <v>21.36</v>
      </c>
    </row>
    <row r="8986" spans="1:4">
      <c r="A8986" s="801">
        <v>40805</v>
      </c>
      <c r="B8986" s="802" t="s">
        <v>10082</v>
      </c>
      <c r="C8986" s="801" t="s">
        <v>772</v>
      </c>
      <c r="D8986" s="803">
        <v>3772.48</v>
      </c>
    </row>
    <row r="8987" spans="1:4">
      <c r="A8987" s="801">
        <v>2358</v>
      </c>
      <c r="B8987" s="802" t="s">
        <v>10083</v>
      </c>
      <c r="C8987" s="801" t="s">
        <v>659</v>
      </c>
      <c r="D8987" s="803">
        <v>17.07</v>
      </c>
    </row>
    <row r="8988" spans="1:4">
      <c r="A8988" s="801">
        <v>40807</v>
      </c>
      <c r="B8988" s="802" t="s">
        <v>10084</v>
      </c>
      <c r="C8988" s="801" t="s">
        <v>772</v>
      </c>
      <c r="D8988" s="803">
        <v>3015.46</v>
      </c>
    </row>
    <row r="8989" spans="1:4">
      <c r="A8989" s="801">
        <v>2359</v>
      </c>
      <c r="B8989" s="802" t="s">
        <v>10085</v>
      </c>
      <c r="C8989" s="801" t="s">
        <v>659</v>
      </c>
      <c r="D8989" s="803">
        <v>17.05</v>
      </c>
    </row>
    <row r="8990" spans="1:4">
      <c r="A8990" s="801">
        <v>40808</v>
      </c>
      <c r="B8990" s="802" t="s">
        <v>10086</v>
      </c>
      <c r="C8990" s="801" t="s">
        <v>772</v>
      </c>
      <c r="D8990" s="803">
        <v>3014.61</v>
      </c>
    </row>
    <row r="8991" spans="1:4">
      <c r="A8991" s="801">
        <v>44330</v>
      </c>
      <c r="B8991" s="802" t="s">
        <v>10087</v>
      </c>
      <c r="C8991" s="801" t="s">
        <v>655</v>
      </c>
      <c r="D8991" s="803">
        <v>6.59</v>
      </c>
    </row>
    <row r="8992" spans="1:4">
      <c r="A8992" s="801">
        <v>43144</v>
      </c>
      <c r="B8992" s="802" t="s">
        <v>10088</v>
      </c>
      <c r="C8992" s="801" t="s">
        <v>653</v>
      </c>
      <c r="D8992" s="803">
        <v>28.53</v>
      </c>
    </row>
    <row r="8993" spans="1:4" ht="25.5">
      <c r="A8993" s="801">
        <v>39397</v>
      </c>
      <c r="B8993" s="802" t="s">
        <v>10089</v>
      </c>
      <c r="C8993" s="801" t="s">
        <v>655</v>
      </c>
      <c r="D8993" s="803">
        <v>13</v>
      </c>
    </row>
    <row r="8994" spans="1:4" ht="25.5">
      <c r="A8994" s="801">
        <v>2692</v>
      </c>
      <c r="B8994" s="802" t="s">
        <v>4636</v>
      </c>
      <c r="C8994" s="801" t="s">
        <v>655</v>
      </c>
      <c r="D8994" s="803">
        <v>5.24</v>
      </c>
    </row>
    <row r="8995" spans="1:4">
      <c r="A8995" s="801">
        <v>44329</v>
      </c>
      <c r="B8995" s="802" t="s">
        <v>10090</v>
      </c>
      <c r="C8995" s="801" t="s">
        <v>655</v>
      </c>
      <c r="D8995" s="803">
        <v>8.64</v>
      </c>
    </row>
    <row r="8996" spans="1:4">
      <c r="A8996" s="801">
        <v>5318</v>
      </c>
      <c r="B8996" s="802" t="s">
        <v>10091</v>
      </c>
      <c r="C8996" s="801" t="s">
        <v>655</v>
      </c>
      <c r="D8996" s="803">
        <v>13.98</v>
      </c>
    </row>
    <row r="8997" spans="1:4">
      <c r="A8997" s="801">
        <v>5330</v>
      </c>
      <c r="B8997" s="802" t="s">
        <v>10092</v>
      </c>
      <c r="C8997" s="801" t="s">
        <v>655</v>
      </c>
      <c r="D8997" s="803">
        <v>31.86</v>
      </c>
    </row>
    <row r="8998" spans="1:4" ht="25.5">
      <c r="A8998" s="801">
        <v>44532</v>
      </c>
      <c r="B8998" s="802" t="s">
        <v>10093</v>
      </c>
      <c r="C8998" s="801" t="s">
        <v>656</v>
      </c>
      <c r="D8998" s="803">
        <v>36.78</v>
      </c>
    </row>
    <row r="8999" spans="1:4" ht="25.5">
      <c r="A8999" s="801">
        <v>44531</v>
      </c>
      <c r="B8999" s="802" t="s">
        <v>10094</v>
      </c>
      <c r="C8999" s="801" t="s">
        <v>656</v>
      </c>
      <c r="D8999" s="803">
        <v>116.9</v>
      </c>
    </row>
    <row r="9000" spans="1:4" ht="25.5">
      <c r="A9000" s="801">
        <v>38140</v>
      </c>
      <c r="B9000" s="802" t="s">
        <v>10095</v>
      </c>
      <c r="C9000" s="801" t="s">
        <v>656</v>
      </c>
      <c r="D9000" s="803">
        <v>28.35</v>
      </c>
    </row>
    <row r="9001" spans="1:4" ht="25.5">
      <c r="A9001" s="801">
        <v>13887</v>
      </c>
      <c r="B9001" s="802" t="s">
        <v>10096</v>
      </c>
      <c r="C9001" s="801" t="s">
        <v>656</v>
      </c>
      <c r="D9001" s="803">
        <v>671.2</v>
      </c>
    </row>
    <row r="9002" spans="1:4" ht="25.5">
      <c r="A9002" s="801">
        <v>44495</v>
      </c>
      <c r="B9002" s="802" t="s">
        <v>10097</v>
      </c>
      <c r="C9002" s="801" t="s">
        <v>656</v>
      </c>
      <c r="D9002" s="803">
        <v>29.88</v>
      </c>
    </row>
    <row r="9003" spans="1:4" ht="25.5">
      <c r="A9003" s="801">
        <v>44533</v>
      </c>
      <c r="B9003" s="802" t="s">
        <v>10098</v>
      </c>
      <c r="C9003" s="801" t="s">
        <v>656</v>
      </c>
      <c r="D9003" s="803">
        <v>28.21</v>
      </c>
    </row>
    <row r="9004" spans="1:4">
      <c r="A9004" s="801">
        <v>44534</v>
      </c>
      <c r="B9004" s="802" t="s">
        <v>10099</v>
      </c>
      <c r="C9004" s="801" t="s">
        <v>656</v>
      </c>
      <c r="D9004" s="803">
        <v>7.35</v>
      </c>
    </row>
    <row r="9005" spans="1:4">
      <c r="A9005" s="801">
        <v>34544</v>
      </c>
      <c r="B9005" s="802" t="s">
        <v>10100</v>
      </c>
      <c r="C9005" s="801" t="s">
        <v>656</v>
      </c>
      <c r="D9005" s="803">
        <v>1596.19</v>
      </c>
    </row>
    <row r="9006" spans="1:4" ht="25.5">
      <c r="A9006" s="801">
        <v>34729</v>
      </c>
      <c r="B9006" s="802" t="s">
        <v>10101</v>
      </c>
      <c r="C9006" s="801" t="s">
        <v>656</v>
      </c>
      <c r="D9006" s="803">
        <v>1255.6500000000001</v>
      </c>
    </row>
    <row r="9007" spans="1:4" ht="25.5">
      <c r="A9007" s="801">
        <v>34734</v>
      </c>
      <c r="B9007" s="802" t="s">
        <v>10102</v>
      </c>
      <c r="C9007" s="801" t="s">
        <v>656</v>
      </c>
      <c r="D9007" s="803">
        <v>1944.14</v>
      </c>
    </row>
    <row r="9008" spans="1:4" ht="25.5">
      <c r="A9008" s="801">
        <v>34738</v>
      </c>
      <c r="B9008" s="802" t="s">
        <v>10103</v>
      </c>
      <c r="C9008" s="801" t="s">
        <v>656</v>
      </c>
      <c r="D9008" s="803">
        <v>4542.13</v>
      </c>
    </row>
    <row r="9009" spans="1:4">
      <c r="A9009" s="801">
        <v>2391</v>
      </c>
      <c r="B9009" s="802" t="s">
        <v>10104</v>
      </c>
      <c r="C9009" s="801" t="s">
        <v>656</v>
      </c>
      <c r="D9009" s="803">
        <v>369.42</v>
      </c>
    </row>
    <row r="9010" spans="1:4" ht="25.5">
      <c r="A9010" s="801">
        <v>2374</v>
      </c>
      <c r="B9010" s="802" t="s">
        <v>10105</v>
      </c>
      <c r="C9010" s="801" t="s">
        <v>656</v>
      </c>
      <c r="D9010" s="803">
        <v>419.1</v>
      </c>
    </row>
    <row r="9011" spans="1:4" ht="25.5">
      <c r="A9011" s="801">
        <v>2377</v>
      </c>
      <c r="B9011" s="802" t="s">
        <v>10106</v>
      </c>
      <c r="C9011" s="801" t="s">
        <v>656</v>
      </c>
      <c r="D9011" s="803">
        <v>588.16</v>
      </c>
    </row>
    <row r="9012" spans="1:4">
      <c r="A9012" s="801">
        <v>2393</v>
      </c>
      <c r="B9012" s="802" t="s">
        <v>10107</v>
      </c>
      <c r="C9012" s="801" t="s">
        <v>656</v>
      </c>
      <c r="D9012" s="803">
        <v>984.96</v>
      </c>
    </row>
    <row r="9013" spans="1:4">
      <c r="A9013" s="801">
        <v>34705</v>
      </c>
      <c r="B9013" s="802" t="s">
        <v>10108</v>
      </c>
      <c r="C9013" s="801" t="s">
        <v>656</v>
      </c>
      <c r="D9013" s="803">
        <v>861.49</v>
      </c>
    </row>
    <row r="9014" spans="1:4">
      <c r="A9014" s="801">
        <v>34707</v>
      </c>
      <c r="B9014" s="802" t="s">
        <v>10109</v>
      </c>
      <c r="C9014" s="801" t="s">
        <v>656</v>
      </c>
      <c r="D9014" s="803">
        <v>1596.35</v>
      </c>
    </row>
    <row r="9015" spans="1:4" ht="25.5">
      <c r="A9015" s="801">
        <v>2378</v>
      </c>
      <c r="B9015" s="802" t="s">
        <v>10110</v>
      </c>
      <c r="C9015" s="801" t="s">
        <v>656</v>
      </c>
      <c r="D9015" s="803">
        <v>1352.97</v>
      </c>
    </row>
    <row r="9016" spans="1:4" ht="25.5">
      <c r="A9016" s="801">
        <v>2379</v>
      </c>
      <c r="B9016" s="802" t="s">
        <v>10111</v>
      </c>
      <c r="C9016" s="801" t="s">
        <v>656</v>
      </c>
      <c r="D9016" s="803">
        <v>1352.97</v>
      </c>
    </row>
    <row r="9017" spans="1:4" ht="25.5">
      <c r="A9017" s="801">
        <v>2376</v>
      </c>
      <c r="B9017" s="802" t="s">
        <v>10112</v>
      </c>
      <c r="C9017" s="801" t="s">
        <v>656</v>
      </c>
      <c r="D9017" s="803">
        <v>2228.34</v>
      </c>
    </row>
    <row r="9018" spans="1:4">
      <c r="A9018" s="801">
        <v>2394</v>
      </c>
      <c r="B9018" s="802" t="s">
        <v>10113</v>
      </c>
      <c r="C9018" s="801" t="s">
        <v>656</v>
      </c>
      <c r="D9018" s="803">
        <v>4763.78</v>
      </c>
    </row>
    <row r="9019" spans="1:4">
      <c r="A9019" s="801">
        <v>34686</v>
      </c>
      <c r="B9019" s="802" t="s">
        <v>10114</v>
      </c>
      <c r="C9019" s="801" t="s">
        <v>656</v>
      </c>
      <c r="D9019" s="803">
        <v>14.3</v>
      </c>
    </row>
    <row r="9020" spans="1:4">
      <c r="A9020" s="801">
        <v>34616</v>
      </c>
      <c r="B9020" s="802" t="s">
        <v>4637</v>
      </c>
      <c r="C9020" s="801" t="s">
        <v>656</v>
      </c>
      <c r="D9020" s="803">
        <v>55.28</v>
      </c>
    </row>
    <row r="9021" spans="1:4">
      <c r="A9021" s="801">
        <v>34623</v>
      </c>
      <c r="B9021" s="802" t="s">
        <v>10115</v>
      </c>
      <c r="C9021" s="801" t="s">
        <v>656</v>
      </c>
      <c r="D9021" s="803">
        <v>54.43</v>
      </c>
    </row>
    <row r="9022" spans="1:4">
      <c r="A9022" s="801">
        <v>34628</v>
      </c>
      <c r="B9022" s="802" t="s">
        <v>10116</v>
      </c>
      <c r="C9022" s="801" t="s">
        <v>656</v>
      </c>
      <c r="D9022" s="803">
        <v>77.959999999999994</v>
      </c>
    </row>
    <row r="9023" spans="1:4">
      <c r="A9023" s="801">
        <v>34653</v>
      </c>
      <c r="B9023" s="802" t="s">
        <v>4638</v>
      </c>
      <c r="C9023" s="801" t="s">
        <v>656</v>
      </c>
      <c r="D9023" s="803">
        <v>9.64</v>
      </c>
    </row>
    <row r="9024" spans="1:4">
      <c r="A9024" s="801">
        <v>34688</v>
      </c>
      <c r="B9024" s="802" t="s">
        <v>10117</v>
      </c>
      <c r="C9024" s="801" t="s">
        <v>656</v>
      </c>
      <c r="D9024" s="803">
        <v>17.47</v>
      </c>
    </row>
    <row r="9025" spans="1:4">
      <c r="A9025" s="801">
        <v>34709</v>
      </c>
      <c r="B9025" s="802" t="s">
        <v>4639</v>
      </c>
      <c r="C9025" s="801" t="s">
        <v>656</v>
      </c>
      <c r="D9025" s="803">
        <v>67.73</v>
      </c>
    </row>
    <row r="9026" spans="1:4">
      <c r="A9026" s="801">
        <v>34714</v>
      </c>
      <c r="B9026" s="802" t="s">
        <v>10118</v>
      </c>
      <c r="C9026" s="801" t="s">
        <v>656</v>
      </c>
      <c r="D9026" s="803">
        <v>80.89</v>
      </c>
    </row>
    <row r="9027" spans="1:4" ht="25.5">
      <c r="A9027" s="801">
        <v>2388</v>
      </c>
      <c r="B9027" s="802" t="s">
        <v>10119</v>
      </c>
      <c r="C9027" s="801" t="s">
        <v>656</v>
      </c>
      <c r="D9027" s="803">
        <v>67.22</v>
      </c>
    </row>
    <row r="9028" spans="1:4" ht="25.5">
      <c r="A9028" s="801">
        <v>34606</v>
      </c>
      <c r="B9028" s="802" t="s">
        <v>10120</v>
      </c>
      <c r="C9028" s="801" t="s">
        <v>656</v>
      </c>
      <c r="D9028" s="803">
        <v>103.11</v>
      </c>
    </row>
    <row r="9029" spans="1:4" ht="25.5">
      <c r="A9029" s="801">
        <v>34689</v>
      </c>
      <c r="B9029" s="802" t="s">
        <v>10121</v>
      </c>
      <c r="C9029" s="801" t="s">
        <v>656</v>
      </c>
      <c r="D9029" s="803">
        <v>32.82</v>
      </c>
    </row>
    <row r="9030" spans="1:4" ht="25.5">
      <c r="A9030" s="801">
        <v>2370</v>
      </c>
      <c r="B9030" s="802" t="s">
        <v>10122</v>
      </c>
      <c r="C9030" s="801" t="s">
        <v>656</v>
      </c>
      <c r="D9030" s="803">
        <v>12.49</v>
      </c>
    </row>
    <row r="9031" spans="1:4" ht="25.5">
      <c r="A9031" s="801">
        <v>2386</v>
      </c>
      <c r="B9031" s="802" t="s">
        <v>10123</v>
      </c>
      <c r="C9031" s="801" t="s">
        <v>656</v>
      </c>
      <c r="D9031" s="803">
        <v>20.95</v>
      </c>
    </row>
    <row r="9032" spans="1:4" ht="25.5">
      <c r="A9032" s="801">
        <v>2392</v>
      </c>
      <c r="B9032" s="802" t="s">
        <v>10124</v>
      </c>
      <c r="C9032" s="801" t="s">
        <v>656</v>
      </c>
      <c r="D9032" s="803">
        <v>83.84</v>
      </c>
    </row>
    <row r="9033" spans="1:4" ht="25.5">
      <c r="A9033" s="801">
        <v>2373</v>
      </c>
      <c r="B9033" s="802" t="s">
        <v>10125</v>
      </c>
      <c r="C9033" s="801" t="s">
        <v>656</v>
      </c>
      <c r="D9033" s="803">
        <v>118.13</v>
      </c>
    </row>
    <row r="9034" spans="1:4" ht="25.5">
      <c r="A9034" s="801">
        <v>39465</v>
      </c>
      <c r="B9034" s="802" t="s">
        <v>10126</v>
      </c>
      <c r="C9034" s="801" t="s">
        <v>656</v>
      </c>
      <c r="D9034" s="803">
        <v>72.16</v>
      </c>
    </row>
    <row r="9035" spans="1:4" ht="25.5">
      <c r="A9035" s="801">
        <v>39466</v>
      </c>
      <c r="B9035" s="802" t="s">
        <v>10127</v>
      </c>
      <c r="C9035" s="801" t="s">
        <v>656</v>
      </c>
      <c r="D9035" s="803">
        <v>81.180000000000007</v>
      </c>
    </row>
    <row r="9036" spans="1:4" ht="25.5">
      <c r="A9036" s="801">
        <v>39467</v>
      </c>
      <c r="B9036" s="802" t="s">
        <v>10128</v>
      </c>
      <c r="C9036" s="801" t="s">
        <v>656</v>
      </c>
      <c r="D9036" s="803">
        <v>103.84</v>
      </c>
    </row>
    <row r="9037" spans="1:4" ht="25.5">
      <c r="A9037" s="801">
        <v>39468</v>
      </c>
      <c r="B9037" s="802" t="s">
        <v>10129</v>
      </c>
      <c r="C9037" s="801" t="s">
        <v>656</v>
      </c>
      <c r="D9037" s="803">
        <v>184.58</v>
      </c>
    </row>
    <row r="9038" spans="1:4" ht="25.5">
      <c r="A9038" s="801">
        <v>39469</v>
      </c>
      <c r="B9038" s="802" t="s">
        <v>10130</v>
      </c>
      <c r="C9038" s="801" t="s">
        <v>656</v>
      </c>
      <c r="D9038" s="803">
        <v>75.180000000000007</v>
      </c>
    </row>
    <row r="9039" spans="1:4" ht="25.5">
      <c r="A9039" s="801">
        <v>39470</v>
      </c>
      <c r="B9039" s="802" t="s">
        <v>10131</v>
      </c>
      <c r="C9039" s="801" t="s">
        <v>656</v>
      </c>
      <c r="D9039" s="803">
        <v>92.38</v>
      </c>
    </row>
    <row r="9040" spans="1:4" ht="25.5">
      <c r="A9040" s="801">
        <v>39471</v>
      </c>
      <c r="B9040" s="802" t="s">
        <v>10132</v>
      </c>
      <c r="C9040" s="801" t="s">
        <v>656</v>
      </c>
      <c r="D9040" s="803">
        <v>111.02</v>
      </c>
    </row>
    <row r="9041" spans="1:4" ht="25.5">
      <c r="A9041" s="801">
        <v>39472</v>
      </c>
      <c r="B9041" s="802" t="s">
        <v>10133</v>
      </c>
      <c r="C9041" s="801" t="s">
        <v>656</v>
      </c>
      <c r="D9041" s="803">
        <v>192.9</v>
      </c>
    </row>
    <row r="9042" spans="1:4" ht="25.5">
      <c r="A9042" s="801">
        <v>39473</v>
      </c>
      <c r="B9042" s="802" t="s">
        <v>10134</v>
      </c>
      <c r="C9042" s="801" t="s">
        <v>656</v>
      </c>
      <c r="D9042" s="803">
        <v>124.61</v>
      </c>
    </row>
    <row r="9043" spans="1:4" ht="25.5">
      <c r="A9043" s="801">
        <v>39474</v>
      </c>
      <c r="B9043" s="802" t="s">
        <v>10135</v>
      </c>
      <c r="C9043" s="801" t="s">
        <v>656</v>
      </c>
      <c r="D9043" s="803">
        <v>132.84</v>
      </c>
    </row>
    <row r="9044" spans="1:4" ht="25.5">
      <c r="A9044" s="801">
        <v>39475</v>
      </c>
      <c r="B9044" s="802" t="s">
        <v>10136</v>
      </c>
      <c r="C9044" s="801" t="s">
        <v>656</v>
      </c>
      <c r="D9044" s="803">
        <v>150.72</v>
      </c>
    </row>
    <row r="9045" spans="1:4" ht="25.5">
      <c r="A9045" s="801">
        <v>39476</v>
      </c>
      <c r="B9045" s="802" t="s">
        <v>10137</v>
      </c>
      <c r="C9045" s="801" t="s">
        <v>656</v>
      </c>
      <c r="D9045" s="803">
        <v>283.73</v>
      </c>
    </row>
    <row r="9046" spans="1:4" ht="25.5">
      <c r="A9046" s="801">
        <v>39477</v>
      </c>
      <c r="B9046" s="802" t="s">
        <v>10138</v>
      </c>
      <c r="C9046" s="801" t="s">
        <v>656</v>
      </c>
      <c r="D9046" s="803">
        <v>139.02000000000001</v>
      </c>
    </row>
    <row r="9047" spans="1:4" ht="25.5">
      <c r="A9047" s="801">
        <v>39478</v>
      </c>
      <c r="B9047" s="802" t="s">
        <v>10139</v>
      </c>
      <c r="C9047" s="801" t="s">
        <v>656</v>
      </c>
      <c r="D9047" s="803">
        <v>143.32</v>
      </c>
    </row>
    <row r="9048" spans="1:4" ht="25.5">
      <c r="A9048" s="801">
        <v>39479</v>
      </c>
      <c r="B9048" s="802" t="s">
        <v>10140</v>
      </c>
      <c r="C9048" s="801" t="s">
        <v>656</v>
      </c>
      <c r="D9048" s="803">
        <v>168.86</v>
      </c>
    </row>
    <row r="9049" spans="1:4" ht="25.5">
      <c r="A9049" s="801">
        <v>39480</v>
      </c>
      <c r="B9049" s="802" t="s">
        <v>10141</v>
      </c>
      <c r="C9049" s="801" t="s">
        <v>656</v>
      </c>
      <c r="D9049" s="803">
        <v>348.44</v>
      </c>
    </row>
    <row r="9050" spans="1:4" ht="25.5">
      <c r="A9050" s="801">
        <v>39459</v>
      </c>
      <c r="B9050" s="802" t="s">
        <v>10142</v>
      </c>
      <c r="C9050" s="801" t="s">
        <v>656</v>
      </c>
      <c r="D9050" s="803">
        <v>295.74</v>
      </c>
    </row>
    <row r="9051" spans="1:4" ht="25.5">
      <c r="A9051" s="801">
        <v>39445</v>
      </c>
      <c r="B9051" s="802" t="s">
        <v>10143</v>
      </c>
      <c r="C9051" s="801" t="s">
        <v>656</v>
      </c>
      <c r="D9051" s="803">
        <v>148.49</v>
      </c>
    </row>
    <row r="9052" spans="1:4" ht="25.5">
      <c r="A9052" s="801">
        <v>39446</v>
      </c>
      <c r="B9052" s="802" t="s">
        <v>10144</v>
      </c>
      <c r="C9052" s="801" t="s">
        <v>656</v>
      </c>
      <c r="D9052" s="803">
        <v>151.13</v>
      </c>
    </row>
    <row r="9053" spans="1:4" ht="25.5">
      <c r="A9053" s="801">
        <v>39447</v>
      </c>
      <c r="B9053" s="802" t="s">
        <v>10145</v>
      </c>
      <c r="C9053" s="801" t="s">
        <v>656</v>
      </c>
      <c r="D9053" s="803">
        <v>161.62</v>
      </c>
    </row>
    <row r="9054" spans="1:4" ht="25.5">
      <c r="A9054" s="801">
        <v>39448</v>
      </c>
      <c r="B9054" s="802" t="s">
        <v>10146</v>
      </c>
      <c r="C9054" s="801" t="s">
        <v>656</v>
      </c>
      <c r="D9054" s="803">
        <v>275.58999999999997</v>
      </c>
    </row>
    <row r="9055" spans="1:4" ht="25.5">
      <c r="A9055" s="801">
        <v>39450</v>
      </c>
      <c r="B9055" s="802" t="s">
        <v>10147</v>
      </c>
      <c r="C9055" s="801" t="s">
        <v>656</v>
      </c>
      <c r="D9055" s="803">
        <v>168.14</v>
      </c>
    </row>
    <row r="9056" spans="1:4" ht="25.5">
      <c r="A9056" s="801">
        <v>39451</v>
      </c>
      <c r="B9056" s="802" t="s">
        <v>10148</v>
      </c>
      <c r="C9056" s="801" t="s">
        <v>656</v>
      </c>
      <c r="D9056" s="803">
        <v>183.39</v>
      </c>
    </row>
    <row r="9057" spans="1:4" ht="25.5">
      <c r="A9057" s="801">
        <v>39452</v>
      </c>
      <c r="B9057" s="802" t="s">
        <v>10149</v>
      </c>
      <c r="C9057" s="801" t="s">
        <v>656</v>
      </c>
      <c r="D9057" s="803">
        <v>184.49</v>
      </c>
    </row>
    <row r="9058" spans="1:4" ht="25.5">
      <c r="A9058" s="801">
        <v>39523</v>
      </c>
      <c r="B9058" s="802" t="s">
        <v>10150</v>
      </c>
      <c r="C9058" s="801" t="s">
        <v>656</v>
      </c>
      <c r="D9058" s="803">
        <v>308.73</v>
      </c>
    </row>
    <row r="9059" spans="1:4" ht="25.5">
      <c r="A9059" s="801">
        <v>39449</v>
      </c>
      <c r="B9059" s="802" t="s">
        <v>10151</v>
      </c>
      <c r="C9059" s="801" t="s">
        <v>656</v>
      </c>
      <c r="D9059" s="803">
        <v>341.9</v>
      </c>
    </row>
    <row r="9060" spans="1:4" ht="25.5">
      <c r="A9060" s="801">
        <v>39455</v>
      </c>
      <c r="B9060" s="802" t="s">
        <v>10152</v>
      </c>
      <c r="C9060" s="801" t="s">
        <v>656</v>
      </c>
      <c r="D9060" s="803">
        <v>169.18</v>
      </c>
    </row>
    <row r="9061" spans="1:4" ht="25.5">
      <c r="A9061" s="801">
        <v>39456</v>
      </c>
      <c r="B9061" s="802" t="s">
        <v>10153</v>
      </c>
      <c r="C9061" s="801" t="s">
        <v>656</v>
      </c>
      <c r="D9061" s="803">
        <v>169.3</v>
      </c>
    </row>
    <row r="9062" spans="1:4" ht="25.5">
      <c r="A9062" s="801">
        <v>39457</v>
      </c>
      <c r="B9062" s="802" t="s">
        <v>10154</v>
      </c>
      <c r="C9062" s="801" t="s">
        <v>656</v>
      </c>
      <c r="D9062" s="803">
        <v>184.57</v>
      </c>
    </row>
    <row r="9063" spans="1:4" ht="25.5">
      <c r="A9063" s="801">
        <v>39458</v>
      </c>
      <c r="B9063" s="802" t="s">
        <v>10155</v>
      </c>
      <c r="C9063" s="801" t="s">
        <v>656</v>
      </c>
      <c r="D9063" s="803">
        <v>344.42</v>
      </c>
    </row>
    <row r="9064" spans="1:4" ht="25.5">
      <c r="A9064" s="801">
        <v>39464</v>
      </c>
      <c r="B9064" s="802" t="s">
        <v>10156</v>
      </c>
      <c r="C9064" s="801" t="s">
        <v>656</v>
      </c>
      <c r="D9064" s="803">
        <v>553.86</v>
      </c>
    </row>
    <row r="9065" spans="1:4" ht="25.5">
      <c r="A9065" s="801">
        <v>39460</v>
      </c>
      <c r="B9065" s="802" t="s">
        <v>10157</v>
      </c>
      <c r="C9065" s="801" t="s">
        <v>656</v>
      </c>
      <c r="D9065" s="803">
        <v>210.06</v>
      </c>
    </row>
    <row r="9066" spans="1:4" ht="25.5">
      <c r="A9066" s="801">
        <v>39461</v>
      </c>
      <c r="B9066" s="802" t="s">
        <v>10158</v>
      </c>
      <c r="C9066" s="801" t="s">
        <v>656</v>
      </c>
      <c r="D9066" s="803">
        <v>246.15</v>
      </c>
    </row>
    <row r="9067" spans="1:4" ht="25.5">
      <c r="A9067" s="801">
        <v>39462</v>
      </c>
      <c r="B9067" s="802" t="s">
        <v>10159</v>
      </c>
      <c r="C9067" s="801" t="s">
        <v>656</v>
      </c>
      <c r="D9067" s="803">
        <v>237.22</v>
      </c>
    </row>
    <row r="9068" spans="1:4" ht="25.5">
      <c r="A9068" s="801">
        <v>39463</v>
      </c>
      <c r="B9068" s="802" t="s">
        <v>10160</v>
      </c>
      <c r="C9068" s="801" t="s">
        <v>656</v>
      </c>
      <c r="D9068" s="803">
        <v>549.55999999999995</v>
      </c>
    </row>
    <row r="9069" spans="1:4" ht="25.5">
      <c r="A9069" s="801">
        <v>26039</v>
      </c>
      <c r="B9069" s="802" t="s">
        <v>10161</v>
      </c>
      <c r="C9069" s="801" t="s">
        <v>656</v>
      </c>
      <c r="D9069" s="803">
        <v>356844.13</v>
      </c>
    </row>
    <row r="9070" spans="1:4" ht="25.5">
      <c r="A9070" s="801">
        <v>2401</v>
      </c>
      <c r="B9070" s="802" t="s">
        <v>10162</v>
      </c>
      <c r="C9070" s="801" t="s">
        <v>656</v>
      </c>
      <c r="D9070" s="803">
        <v>82078.100000000006</v>
      </c>
    </row>
    <row r="9071" spans="1:4" ht="25.5">
      <c r="A9071" s="801">
        <v>38870</v>
      </c>
      <c r="B9071" s="802" t="s">
        <v>10163</v>
      </c>
      <c r="C9071" s="801" t="s">
        <v>656</v>
      </c>
      <c r="D9071" s="803">
        <v>53.58</v>
      </c>
    </row>
    <row r="9072" spans="1:4" ht="25.5">
      <c r="A9072" s="801">
        <v>38869</v>
      </c>
      <c r="B9072" s="802" t="s">
        <v>10164</v>
      </c>
      <c r="C9072" s="801" t="s">
        <v>656</v>
      </c>
      <c r="D9072" s="803">
        <v>47.26</v>
      </c>
    </row>
    <row r="9073" spans="1:4" ht="25.5">
      <c r="A9073" s="801">
        <v>38872</v>
      </c>
      <c r="B9073" s="802" t="s">
        <v>10165</v>
      </c>
      <c r="C9073" s="801" t="s">
        <v>656</v>
      </c>
      <c r="D9073" s="803">
        <v>73.19</v>
      </c>
    </row>
    <row r="9074" spans="1:4" ht="25.5">
      <c r="A9074" s="801">
        <v>38871</v>
      </c>
      <c r="B9074" s="802" t="s">
        <v>10166</v>
      </c>
      <c r="C9074" s="801" t="s">
        <v>656</v>
      </c>
      <c r="D9074" s="803">
        <v>58.87</v>
      </c>
    </row>
    <row r="9075" spans="1:4" ht="25.5">
      <c r="A9075" s="801">
        <v>39283</v>
      </c>
      <c r="B9075" s="802" t="s">
        <v>10167</v>
      </c>
      <c r="C9075" s="801" t="s">
        <v>656</v>
      </c>
      <c r="D9075" s="803">
        <v>183.37</v>
      </c>
    </row>
    <row r="9076" spans="1:4" ht="25.5">
      <c r="A9076" s="801">
        <v>39284</v>
      </c>
      <c r="B9076" s="802" t="s">
        <v>10168</v>
      </c>
      <c r="C9076" s="801" t="s">
        <v>656</v>
      </c>
      <c r="D9076" s="803">
        <v>198.72</v>
      </c>
    </row>
    <row r="9077" spans="1:4" ht="25.5">
      <c r="A9077" s="801">
        <v>39285</v>
      </c>
      <c r="B9077" s="802" t="s">
        <v>10169</v>
      </c>
      <c r="C9077" s="801" t="s">
        <v>656</v>
      </c>
      <c r="D9077" s="803">
        <v>201.58</v>
      </c>
    </row>
    <row r="9078" spans="1:4" ht="25.5">
      <c r="A9078" s="801">
        <v>39286</v>
      </c>
      <c r="B9078" s="802" t="s">
        <v>10170</v>
      </c>
      <c r="C9078" s="801" t="s">
        <v>656</v>
      </c>
      <c r="D9078" s="803">
        <v>197.19</v>
      </c>
    </row>
    <row r="9079" spans="1:4" ht="25.5">
      <c r="A9079" s="801">
        <v>39287</v>
      </c>
      <c r="B9079" s="802" t="s">
        <v>10171</v>
      </c>
      <c r="C9079" s="801" t="s">
        <v>656</v>
      </c>
      <c r="D9079" s="803">
        <v>231.54</v>
      </c>
    </row>
    <row r="9080" spans="1:4" ht="25.5">
      <c r="A9080" s="801">
        <v>39288</v>
      </c>
      <c r="B9080" s="802" t="s">
        <v>10172</v>
      </c>
      <c r="C9080" s="801" t="s">
        <v>656</v>
      </c>
      <c r="D9080" s="803">
        <v>247.1</v>
      </c>
    </row>
    <row r="9081" spans="1:4" ht="38.25">
      <c r="A9081" s="801">
        <v>44476</v>
      </c>
      <c r="B9081" s="802" t="s">
        <v>10173</v>
      </c>
      <c r="C9081" s="801" t="s">
        <v>661</v>
      </c>
      <c r="D9081" s="803">
        <v>623.16999999999996</v>
      </c>
    </row>
    <row r="9082" spans="1:4" ht="25.5">
      <c r="A9082" s="801">
        <v>10629</v>
      </c>
      <c r="B9082" s="802" t="s">
        <v>10174</v>
      </c>
      <c r="C9082" s="801" t="s">
        <v>661</v>
      </c>
      <c r="D9082" s="803">
        <v>586.85</v>
      </c>
    </row>
    <row r="9083" spans="1:4" ht="25.5">
      <c r="A9083" s="801">
        <v>10698</v>
      </c>
      <c r="B9083" s="802" t="s">
        <v>10175</v>
      </c>
      <c r="C9083" s="801" t="s">
        <v>661</v>
      </c>
      <c r="D9083" s="803">
        <v>168.34</v>
      </c>
    </row>
    <row r="9084" spans="1:4" ht="38.25">
      <c r="A9084" s="801">
        <v>40521</v>
      </c>
      <c r="B9084" s="802" t="s">
        <v>10176</v>
      </c>
      <c r="C9084" s="801" t="s">
        <v>656</v>
      </c>
      <c r="D9084" s="803">
        <v>141829.41</v>
      </c>
    </row>
    <row r="9085" spans="1:4" ht="25.5">
      <c r="A9085" s="801">
        <v>2432</v>
      </c>
      <c r="B9085" s="802" t="s">
        <v>10177</v>
      </c>
      <c r="C9085" s="801" t="s">
        <v>656</v>
      </c>
      <c r="D9085" s="803">
        <v>21.53</v>
      </c>
    </row>
    <row r="9086" spans="1:4" ht="25.5">
      <c r="A9086" s="801">
        <v>2433</v>
      </c>
      <c r="B9086" s="802" t="s">
        <v>10178</v>
      </c>
      <c r="C9086" s="801" t="s">
        <v>656</v>
      </c>
      <c r="D9086" s="803">
        <v>7.29</v>
      </c>
    </row>
    <row r="9087" spans="1:4" ht="25.5">
      <c r="A9087" s="801">
        <v>2420</v>
      </c>
      <c r="B9087" s="802" t="s">
        <v>10179</v>
      </c>
      <c r="C9087" s="801" t="s">
        <v>656</v>
      </c>
      <c r="D9087" s="803">
        <v>12.53</v>
      </c>
    </row>
    <row r="9088" spans="1:4" ht="25.5">
      <c r="A9088" s="801">
        <v>11447</v>
      </c>
      <c r="B9088" s="802" t="s">
        <v>10180</v>
      </c>
      <c r="C9088" s="801" t="s">
        <v>656</v>
      </c>
      <c r="D9088" s="803">
        <v>24.76</v>
      </c>
    </row>
    <row r="9089" spans="1:4" ht="25.5">
      <c r="A9089" s="801">
        <v>11451</v>
      </c>
      <c r="B9089" s="802" t="s">
        <v>10181</v>
      </c>
      <c r="C9089" s="801" t="s">
        <v>656</v>
      </c>
      <c r="D9089" s="803">
        <v>66.38</v>
      </c>
    </row>
    <row r="9090" spans="1:4" ht="25.5">
      <c r="A9090" s="801">
        <v>11116</v>
      </c>
      <c r="B9090" s="802" t="s">
        <v>10182</v>
      </c>
      <c r="C9090" s="801" t="s">
        <v>656</v>
      </c>
      <c r="D9090" s="803">
        <v>570.61</v>
      </c>
    </row>
    <row r="9091" spans="1:4">
      <c r="A9091" s="801">
        <v>38411</v>
      </c>
      <c r="B9091" s="802" t="s">
        <v>10183</v>
      </c>
      <c r="C9091" s="801" t="s">
        <v>656</v>
      </c>
      <c r="D9091" s="803">
        <v>1755.93</v>
      </c>
    </row>
    <row r="9092" spans="1:4" ht="25.5">
      <c r="A9092" s="801">
        <v>38189</v>
      </c>
      <c r="B9092" s="802" t="s">
        <v>10184</v>
      </c>
      <c r="C9092" s="801" t="s">
        <v>656</v>
      </c>
      <c r="D9092" s="803">
        <v>151.16999999999999</v>
      </c>
    </row>
    <row r="9093" spans="1:4" ht="25.5">
      <c r="A9093" s="801">
        <v>38190</v>
      </c>
      <c r="B9093" s="802" t="s">
        <v>10185</v>
      </c>
      <c r="C9093" s="801" t="s">
        <v>656</v>
      </c>
      <c r="D9093" s="803">
        <v>318.47000000000003</v>
      </c>
    </row>
    <row r="9094" spans="1:4" ht="25.5">
      <c r="A9094" s="801">
        <v>7608</v>
      </c>
      <c r="B9094" s="802" t="s">
        <v>10186</v>
      </c>
      <c r="C9094" s="801" t="s">
        <v>656</v>
      </c>
      <c r="D9094" s="803">
        <v>12.28</v>
      </c>
    </row>
    <row r="9095" spans="1:4">
      <c r="A9095" s="801">
        <v>1370</v>
      </c>
      <c r="B9095" s="802" t="s">
        <v>10187</v>
      </c>
      <c r="C9095" s="801" t="s">
        <v>656</v>
      </c>
      <c r="D9095" s="803">
        <v>101.72</v>
      </c>
    </row>
    <row r="9096" spans="1:4" ht="25.5">
      <c r="A9096" s="801">
        <v>36516</v>
      </c>
      <c r="B9096" s="802" t="s">
        <v>10188</v>
      </c>
      <c r="C9096" s="801" t="s">
        <v>656</v>
      </c>
      <c r="D9096" s="803">
        <v>132009.32</v>
      </c>
    </row>
    <row r="9097" spans="1:4" ht="25.5">
      <c r="A9097" s="801">
        <v>34777</v>
      </c>
      <c r="B9097" s="802" t="s">
        <v>10189</v>
      </c>
      <c r="C9097" s="801" t="s">
        <v>656</v>
      </c>
      <c r="D9097" s="803">
        <v>3.33</v>
      </c>
    </row>
    <row r="9098" spans="1:4" ht="25.5">
      <c r="A9098" s="801">
        <v>7272</v>
      </c>
      <c r="B9098" s="802" t="s">
        <v>10190</v>
      </c>
      <c r="C9098" s="801" t="s">
        <v>656</v>
      </c>
      <c r="D9098" s="803">
        <v>2.81</v>
      </c>
    </row>
    <row r="9099" spans="1:4" ht="25.5">
      <c r="A9099" s="801">
        <v>10605</v>
      </c>
      <c r="B9099" s="802" t="s">
        <v>10191</v>
      </c>
      <c r="C9099" s="801" t="s">
        <v>656</v>
      </c>
      <c r="D9099" s="803">
        <v>4.72</v>
      </c>
    </row>
    <row r="9100" spans="1:4" ht="25.5">
      <c r="A9100" s="801">
        <v>10604</v>
      </c>
      <c r="B9100" s="802" t="s">
        <v>10192</v>
      </c>
      <c r="C9100" s="801" t="s">
        <v>656</v>
      </c>
      <c r="D9100" s="803">
        <v>11.02</v>
      </c>
    </row>
    <row r="9101" spans="1:4" ht="25.5">
      <c r="A9101" s="801">
        <v>672</v>
      </c>
      <c r="B9101" s="802" t="s">
        <v>10193</v>
      </c>
      <c r="C9101" s="801" t="s">
        <v>656</v>
      </c>
      <c r="D9101" s="803">
        <v>15.15</v>
      </c>
    </row>
    <row r="9102" spans="1:4" ht="25.5">
      <c r="A9102" s="801">
        <v>668</v>
      </c>
      <c r="B9102" s="802" t="s">
        <v>10194</v>
      </c>
      <c r="C9102" s="801" t="s">
        <v>656</v>
      </c>
      <c r="D9102" s="803">
        <v>18.29</v>
      </c>
    </row>
    <row r="9103" spans="1:4" ht="25.5">
      <c r="A9103" s="801">
        <v>10578</v>
      </c>
      <c r="B9103" s="802" t="s">
        <v>10195</v>
      </c>
      <c r="C9103" s="801" t="s">
        <v>656</v>
      </c>
      <c r="D9103" s="803">
        <v>21.3</v>
      </c>
    </row>
    <row r="9104" spans="1:4" ht="25.5">
      <c r="A9104" s="801">
        <v>666</v>
      </c>
      <c r="B9104" s="802" t="s">
        <v>10196</v>
      </c>
      <c r="C9104" s="801" t="s">
        <v>656</v>
      </c>
      <c r="D9104" s="803">
        <v>23.69</v>
      </c>
    </row>
    <row r="9105" spans="1:4" ht="25.5">
      <c r="A9105" s="801">
        <v>665</v>
      </c>
      <c r="B9105" s="802" t="s">
        <v>10197</v>
      </c>
      <c r="C9105" s="801" t="s">
        <v>656</v>
      </c>
      <c r="D9105" s="803">
        <v>31.68</v>
      </c>
    </row>
    <row r="9106" spans="1:4" ht="25.5">
      <c r="A9106" s="801">
        <v>10577</v>
      </c>
      <c r="B9106" s="802" t="s">
        <v>10198</v>
      </c>
      <c r="C9106" s="801" t="s">
        <v>656</v>
      </c>
      <c r="D9106" s="803">
        <v>28.1</v>
      </c>
    </row>
    <row r="9107" spans="1:4">
      <c r="A9107" s="801">
        <v>10583</v>
      </c>
      <c r="B9107" s="802" t="s">
        <v>10199</v>
      </c>
      <c r="C9107" s="801" t="s">
        <v>656</v>
      </c>
      <c r="D9107" s="803">
        <v>14.6</v>
      </c>
    </row>
    <row r="9108" spans="1:4">
      <c r="A9108" s="801">
        <v>10579</v>
      </c>
      <c r="B9108" s="802" t="s">
        <v>10200</v>
      </c>
      <c r="C9108" s="801" t="s">
        <v>656</v>
      </c>
      <c r="D9108" s="803">
        <v>25.44</v>
      </c>
    </row>
    <row r="9109" spans="1:4">
      <c r="A9109" s="801">
        <v>10582</v>
      </c>
      <c r="B9109" s="802" t="s">
        <v>10201</v>
      </c>
      <c r="C9109" s="801" t="s">
        <v>656</v>
      </c>
      <c r="D9109" s="803">
        <v>12.85</v>
      </c>
    </row>
    <row r="9110" spans="1:4">
      <c r="A9110" s="801">
        <v>2436</v>
      </c>
      <c r="B9110" s="802" t="s">
        <v>4640</v>
      </c>
      <c r="C9110" s="801" t="s">
        <v>659</v>
      </c>
      <c r="D9110" s="803">
        <v>14.19</v>
      </c>
    </row>
    <row r="9111" spans="1:4">
      <c r="A9111" s="801">
        <v>40918</v>
      </c>
      <c r="B9111" s="802" t="s">
        <v>10202</v>
      </c>
      <c r="C9111" s="801" t="s">
        <v>772</v>
      </c>
      <c r="D9111" s="803">
        <v>2506.0100000000002</v>
      </c>
    </row>
    <row r="9112" spans="1:4">
      <c r="A9112" s="801">
        <v>2439</v>
      </c>
      <c r="B9112" s="802" t="s">
        <v>10203</v>
      </c>
      <c r="C9112" s="801" t="s">
        <v>659</v>
      </c>
      <c r="D9112" s="803">
        <v>14.19</v>
      </c>
    </row>
    <row r="9113" spans="1:4">
      <c r="A9113" s="801">
        <v>40923</v>
      </c>
      <c r="B9113" s="802" t="s">
        <v>10204</v>
      </c>
      <c r="C9113" s="801" t="s">
        <v>772</v>
      </c>
      <c r="D9113" s="803">
        <v>2506.0100000000002</v>
      </c>
    </row>
    <row r="9114" spans="1:4">
      <c r="A9114" s="801">
        <v>10998</v>
      </c>
      <c r="B9114" s="802" t="s">
        <v>10205</v>
      </c>
      <c r="C9114" s="801" t="s">
        <v>653</v>
      </c>
      <c r="D9114" s="803">
        <v>30.03</v>
      </c>
    </row>
    <row r="9115" spans="1:4">
      <c r="A9115" s="801">
        <v>11002</v>
      </c>
      <c r="B9115" s="802" t="s">
        <v>10206</v>
      </c>
      <c r="C9115" s="801" t="s">
        <v>653</v>
      </c>
      <c r="D9115" s="803">
        <v>27.51</v>
      </c>
    </row>
    <row r="9116" spans="1:4">
      <c r="A9116" s="801">
        <v>10999</v>
      </c>
      <c r="B9116" s="802" t="s">
        <v>10207</v>
      </c>
      <c r="C9116" s="801" t="s">
        <v>653</v>
      </c>
      <c r="D9116" s="803">
        <v>26.43</v>
      </c>
    </row>
    <row r="9117" spans="1:4">
      <c r="A9117" s="801">
        <v>10997</v>
      </c>
      <c r="B9117" s="802" t="s">
        <v>4641</v>
      </c>
      <c r="C9117" s="801" t="s">
        <v>653</v>
      </c>
      <c r="D9117" s="803">
        <v>28.65</v>
      </c>
    </row>
    <row r="9118" spans="1:4">
      <c r="A9118" s="801">
        <v>2685</v>
      </c>
      <c r="B9118" s="802" t="s">
        <v>10208</v>
      </c>
      <c r="C9118" s="801" t="s">
        <v>660</v>
      </c>
      <c r="D9118" s="803">
        <v>6.15</v>
      </c>
    </row>
    <row r="9119" spans="1:4">
      <c r="A9119" s="801">
        <v>2680</v>
      </c>
      <c r="B9119" s="802" t="s">
        <v>10209</v>
      </c>
      <c r="C9119" s="801" t="s">
        <v>660</v>
      </c>
      <c r="D9119" s="803">
        <v>9</v>
      </c>
    </row>
    <row r="9120" spans="1:4">
      <c r="A9120" s="801">
        <v>2684</v>
      </c>
      <c r="B9120" s="802" t="s">
        <v>10210</v>
      </c>
      <c r="C9120" s="801" t="s">
        <v>660</v>
      </c>
      <c r="D9120" s="803">
        <v>8.18</v>
      </c>
    </row>
    <row r="9121" spans="1:4">
      <c r="A9121" s="801">
        <v>2673</v>
      </c>
      <c r="B9121" s="802" t="s">
        <v>10211</v>
      </c>
      <c r="C9121" s="801" t="s">
        <v>660</v>
      </c>
      <c r="D9121" s="803">
        <v>3.16</v>
      </c>
    </row>
    <row r="9122" spans="1:4">
      <c r="A9122" s="801">
        <v>2681</v>
      </c>
      <c r="B9122" s="802" t="s">
        <v>10212</v>
      </c>
      <c r="C9122" s="801" t="s">
        <v>660</v>
      </c>
      <c r="D9122" s="803">
        <v>14.7</v>
      </c>
    </row>
    <row r="9123" spans="1:4">
      <c r="A9123" s="801">
        <v>2682</v>
      </c>
      <c r="B9123" s="802" t="s">
        <v>10213</v>
      </c>
      <c r="C9123" s="801" t="s">
        <v>660</v>
      </c>
      <c r="D9123" s="803">
        <v>21.45</v>
      </c>
    </row>
    <row r="9124" spans="1:4">
      <c r="A9124" s="801">
        <v>2686</v>
      </c>
      <c r="B9124" s="802" t="s">
        <v>10214</v>
      </c>
      <c r="C9124" s="801" t="s">
        <v>660</v>
      </c>
      <c r="D9124" s="803">
        <v>26.9</v>
      </c>
    </row>
    <row r="9125" spans="1:4">
      <c r="A9125" s="801">
        <v>2674</v>
      </c>
      <c r="B9125" s="802" t="s">
        <v>10215</v>
      </c>
      <c r="C9125" s="801" t="s">
        <v>660</v>
      </c>
      <c r="D9125" s="803">
        <v>3.93</v>
      </c>
    </row>
    <row r="9126" spans="1:4">
      <c r="A9126" s="801">
        <v>2683</v>
      </c>
      <c r="B9126" s="802" t="s">
        <v>10216</v>
      </c>
      <c r="C9126" s="801" t="s">
        <v>660</v>
      </c>
      <c r="D9126" s="803">
        <v>42.39</v>
      </c>
    </row>
    <row r="9127" spans="1:4">
      <c r="A9127" s="801">
        <v>2676</v>
      </c>
      <c r="B9127" s="802" t="s">
        <v>10217</v>
      </c>
      <c r="C9127" s="801" t="s">
        <v>660</v>
      </c>
      <c r="D9127" s="803">
        <v>1.83</v>
      </c>
    </row>
    <row r="9128" spans="1:4">
      <c r="A9128" s="801">
        <v>2678</v>
      </c>
      <c r="B9128" s="802" t="s">
        <v>10218</v>
      </c>
      <c r="C9128" s="801" t="s">
        <v>660</v>
      </c>
      <c r="D9128" s="803">
        <v>2.2999999999999998</v>
      </c>
    </row>
    <row r="9129" spans="1:4">
      <c r="A9129" s="801">
        <v>2679</v>
      </c>
      <c r="B9129" s="802" t="s">
        <v>10219</v>
      </c>
      <c r="C9129" s="801" t="s">
        <v>660</v>
      </c>
      <c r="D9129" s="803">
        <v>3.55</v>
      </c>
    </row>
    <row r="9130" spans="1:4">
      <c r="A9130" s="801">
        <v>12070</v>
      </c>
      <c r="B9130" s="802" t="s">
        <v>4642</v>
      </c>
      <c r="C9130" s="801" t="s">
        <v>660</v>
      </c>
      <c r="D9130" s="803">
        <v>4.9400000000000004</v>
      </c>
    </row>
    <row r="9131" spans="1:4">
      <c r="A9131" s="801">
        <v>2675</v>
      </c>
      <c r="B9131" s="802" t="s">
        <v>10220</v>
      </c>
      <c r="C9131" s="801" t="s">
        <v>660</v>
      </c>
      <c r="D9131" s="803">
        <v>6.42</v>
      </c>
    </row>
    <row r="9132" spans="1:4">
      <c r="A9132" s="801">
        <v>12067</v>
      </c>
      <c r="B9132" s="802" t="s">
        <v>10221</v>
      </c>
      <c r="C9132" s="801" t="s">
        <v>660</v>
      </c>
      <c r="D9132" s="803">
        <v>8.7100000000000009</v>
      </c>
    </row>
    <row r="9133" spans="1:4" ht="25.5">
      <c r="A9133" s="801">
        <v>40401</v>
      </c>
      <c r="B9133" s="802" t="s">
        <v>10222</v>
      </c>
      <c r="C9133" s="801" t="s">
        <v>660</v>
      </c>
      <c r="D9133" s="803">
        <v>2.0099999999999998</v>
      </c>
    </row>
    <row r="9134" spans="1:4" ht="25.5">
      <c r="A9134" s="801">
        <v>40402</v>
      </c>
      <c r="B9134" s="802" t="s">
        <v>10223</v>
      </c>
      <c r="C9134" s="801" t="s">
        <v>660</v>
      </c>
      <c r="D9134" s="803">
        <v>2.57</v>
      </c>
    </row>
    <row r="9135" spans="1:4" ht="25.5">
      <c r="A9135" s="801">
        <v>40400</v>
      </c>
      <c r="B9135" s="802" t="s">
        <v>10224</v>
      </c>
      <c r="C9135" s="801" t="s">
        <v>660</v>
      </c>
      <c r="D9135" s="803">
        <v>1.36</v>
      </c>
    </row>
    <row r="9136" spans="1:4" ht="38.25">
      <c r="A9136" s="801">
        <v>2504</v>
      </c>
      <c r="B9136" s="802" t="s">
        <v>10225</v>
      </c>
      <c r="C9136" s="801" t="s">
        <v>660</v>
      </c>
      <c r="D9136" s="803">
        <v>11.98</v>
      </c>
    </row>
    <row r="9137" spans="1:4" ht="38.25">
      <c r="A9137" s="801">
        <v>2501</v>
      </c>
      <c r="B9137" s="802" t="s">
        <v>10226</v>
      </c>
      <c r="C9137" s="801" t="s">
        <v>660</v>
      </c>
      <c r="D9137" s="803">
        <v>15.71</v>
      </c>
    </row>
    <row r="9138" spans="1:4" ht="38.25">
      <c r="A9138" s="801">
        <v>2502</v>
      </c>
      <c r="B9138" s="802" t="s">
        <v>10227</v>
      </c>
      <c r="C9138" s="801" t="s">
        <v>660</v>
      </c>
      <c r="D9138" s="803">
        <v>23.71</v>
      </c>
    </row>
    <row r="9139" spans="1:4" ht="38.25">
      <c r="A9139" s="801">
        <v>2503</v>
      </c>
      <c r="B9139" s="802" t="s">
        <v>10228</v>
      </c>
      <c r="C9139" s="801" t="s">
        <v>660</v>
      </c>
      <c r="D9139" s="803">
        <v>30.52</v>
      </c>
    </row>
    <row r="9140" spans="1:4" ht="38.25">
      <c r="A9140" s="801">
        <v>2500</v>
      </c>
      <c r="B9140" s="802" t="s">
        <v>10229</v>
      </c>
      <c r="C9140" s="801" t="s">
        <v>660</v>
      </c>
      <c r="D9140" s="803">
        <v>40.65</v>
      </c>
    </row>
    <row r="9141" spans="1:4" ht="38.25">
      <c r="A9141" s="801">
        <v>2505</v>
      </c>
      <c r="B9141" s="802" t="s">
        <v>10230</v>
      </c>
      <c r="C9141" s="801" t="s">
        <v>660</v>
      </c>
      <c r="D9141" s="803">
        <v>63.35</v>
      </c>
    </row>
    <row r="9142" spans="1:4" ht="25.5">
      <c r="A9142" s="801">
        <v>12056</v>
      </c>
      <c r="B9142" s="802" t="s">
        <v>10231</v>
      </c>
      <c r="C9142" s="801" t="s">
        <v>660</v>
      </c>
      <c r="D9142" s="803">
        <v>25.6</v>
      </c>
    </row>
    <row r="9143" spans="1:4" ht="25.5">
      <c r="A9143" s="801">
        <v>12057</v>
      </c>
      <c r="B9143" s="802" t="s">
        <v>10232</v>
      </c>
      <c r="C9143" s="801" t="s">
        <v>660</v>
      </c>
      <c r="D9143" s="803">
        <v>21.74</v>
      </c>
    </row>
    <row r="9144" spans="1:4" ht="25.5">
      <c r="A9144" s="801">
        <v>12059</v>
      </c>
      <c r="B9144" s="802" t="s">
        <v>10233</v>
      </c>
      <c r="C9144" s="801" t="s">
        <v>660</v>
      </c>
      <c r="D9144" s="803">
        <v>7.63</v>
      </c>
    </row>
    <row r="9145" spans="1:4">
      <c r="A9145" s="801">
        <v>12058</v>
      </c>
      <c r="B9145" s="802" t="s">
        <v>10234</v>
      </c>
      <c r="C9145" s="801" t="s">
        <v>660</v>
      </c>
      <c r="D9145" s="803">
        <v>13.55</v>
      </c>
    </row>
    <row r="9146" spans="1:4" ht="25.5">
      <c r="A9146" s="801">
        <v>12060</v>
      </c>
      <c r="B9146" s="802" t="s">
        <v>10235</v>
      </c>
      <c r="C9146" s="801" t="s">
        <v>660</v>
      </c>
      <c r="D9146" s="803">
        <v>56.49</v>
      </c>
    </row>
    <row r="9147" spans="1:4">
      <c r="A9147" s="801">
        <v>12061</v>
      </c>
      <c r="B9147" s="802" t="s">
        <v>10236</v>
      </c>
      <c r="C9147" s="801" t="s">
        <v>660</v>
      </c>
      <c r="D9147" s="803">
        <v>34.49</v>
      </c>
    </row>
    <row r="9148" spans="1:4">
      <c r="A9148" s="801">
        <v>12062</v>
      </c>
      <c r="B9148" s="802" t="s">
        <v>10237</v>
      </c>
      <c r="C9148" s="801" t="s">
        <v>660</v>
      </c>
      <c r="D9148" s="803">
        <v>63.61</v>
      </c>
    </row>
    <row r="9149" spans="1:4" ht="25.5">
      <c r="A9149" s="801">
        <v>21137</v>
      </c>
      <c r="B9149" s="802" t="s">
        <v>10238</v>
      </c>
      <c r="C9149" s="801" t="s">
        <v>660</v>
      </c>
      <c r="D9149" s="803">
        <v>11.05</v>
      </c>
    </row>
    <row r="9150" spans="1:4" ht="25.5">
      <c r="A9150" s="801">
        <v>2687</v>
      </c>
      <c r="B9150" s="802" t="s">
        <v>10239</v>
      </c>
      <c r="C9150" s="801" t="s">
        <v>660</v>
      </c>
      <c r="D9150" s="803">
        <v>1.6</v>
      </c>
    </row>
    <row r="9151" spans="1:4" ht="25.5">
      <c r="A9151" s="801">
        <v>2689</v>
      </c>
      <c r="B9151" s="802" t="s">
        <v>10240</v>
      </c>
      <c r="C9151" s="801" t="s">
        <v>660</v>
      </c>
      <c r="D9151" s="803">
        <v>1.91</v>
      </c>
    </row>
    <row r="9152" spans="1:4" ht="25.5">
      <c r="A9152" s="801">
        <v>2688</v>
      </c>
      <c r="B9152" s="802" t="s">
        <v>4643</v>
      </c>
      <c r="C9152" s="801" t="s">
        <v>660</v>
      </c>
      <c r="D9152" s="803">
        <v>2.0699999999999998</v>
      </c>
    </row>
    <row r="9153" spans="1:4" ht="25.5">
      <c r="A9153" s="801">
        <v>2690</v>
      </c>
      <c r="B9153" s="802" t="s">
        <v>4644</v>
      </c>
      <c r="C9153" s="801" t="s">
        <v>660</v>
      </c>
      <c r="D9153" s="803">
        <v>3.54</v>
      </c>
    </row>
    <row r="9154" spans="1:4" ht="25.5">
      <c r="A9154" s="801">
        <v>39243</v>
      </c>
      <c r="B9154" s="802" t="s">
        <v>10241</v>
      </c>
      <c r="C9154" s="801" t="s">
        <v>660</v>
      </c>
      <c r="D9154" s="803">
        <v>2.33</v>
      </c>
    </row>
    <row r="9155" spans="1:4" ht="25.5">
      <c r="A9155" s="801">
        <v>39244</v>
      </c>
      <c r="B9155" s="802" t="s">
        <v>10242</v>
      </c>
      <c r="C9155" s="801" t="s">
        <v>660</v>
      </c>
      <c r="D9155" s="803">
        <v>3.15</v>
      </c>
    </row>
    <row r="9156" spans="1:4" ht="25.5">
      <c r="A9156" s="801">
        <v>39245</v>
      </c>
      <c r="B9156" s="802" t="s">
        <v>10243</v>
      </c>
      <c r="C9156" s="801" t="s">
        <v>660</v>
      </c>
      <c r="D9156" s="803">
        <v>6.07</v>
      </c>
    </row>
    <row r="9157" spans="1:4" ht="25.5">
      <c r="A9157" s="801">
        <v>39254</v>
      </c>
      <c r="B9157" s="802" t="s">
        <v>10244</v>
      </c>
      <c r="C9157" s="801" t="s">
        <v>660</v>
      </c>
      <c r="D9157" s="803">
        <v>9.07</v>
      </c>
    </row>
    <row r="9158" spans="1:4" ht="25.5">
      <c r="A9158" s="801">
        <v>39255</v>
      </c>
      <c r="B9158" s="802" t="s">
        <v>10245</v>
      </c>
      <c r="C9158" s="801" t="s">
        <v>660</v>
      </c>
      <c r="D9158" s="803">
        <v>16.79</v>
      </c>
    </row>
    <row r="9159" spans="1:4" ht="25.5">
      <c r="A9159" s="801">
        <v>39253</v>
      </c>
      <c r="B9159" s="802" t="s">
        <v>10246</v>
      </c>
      <c r="C9159" s="801" t="s">
        <v>660</v>
      </c>
      <c r="D9159" s="803">
        <v>11.56</v>
      </c>
    </row>
    <row r="9160" spans="1:4" ht="38.25">
      <c r="A9160" s="801">
        <v>39246</v>
      </c>
      <c r="B9160" s="802" t="s">
        <v>10247</v>
      </c>
      <c r="C9160" s="801" t="s">
        <v>660</v>
      </c>
      <c r="D9160" s="803">
        <v>3.49</v>
      </c>
    </row>
    <row r="9161" spans="1:4" ht="38.25">
      <c r="A9161" s="801">
        <v>39247</v>
      </c>
      <c r="B9161" s="802" t="s">
        <v>10248</v>
      </c>
      <c r="C9161" s="801" t="s">
        <v>660</v>
      </c>
      <c r="D9161" s="803">
        <v>3.04</v>
      </c>
    </row>
    <row r="9162" spans="1:4" ht="38.25">
      <c r="A9162" s="801">
        <v>2446</v>
      </c>
      <c r="B9162" s="802" t="s">
        <v>10249</v>
      </c>
      <c r="C9162" s="801" t="s">
        <v>660</v>
      </c>
      <c r="D9162" s="803">
        <v>5.01</v>
      </c>
    </row>
    <row r="9163" spans="1:4" ht="38.25">
      <c r="A9163" s="801">
        <v>2442</v>
      </c>
      <c r="B9163" s="802" t="s">
        <v>4645</v>
      </c>
      <c r="C9163" s="801" t="s">
        <v>660</v>
      </c>
      <c r="D9163" s="803">
        <v>7.02</v>
      </c>
    </row>
    <row r="9164" spans="1:4" ht="38.25">
      <c r="A9164" s="801">
        <v>39248</v>
      </c>
      <c r="B9164" s="802" t="s">
        <v>10250</v>
      </c>
      <c r="C9164" s="801" t="s">
        <v>660</v>
      </c>
      <c r="D9164" s="803">
        <v>9.7799999999999994</v>
      </c>
    </row>
    <row r="9165" spans="1:4">
      <c r="A9165" s="801">
        <v>2438</v>
      </c>
      <c r="B9165" s="802" t="s">
        <v>10251</v>
      </c>
      <c r="C9165" s="801" t="s">
        <v>659</v>
      </c>
      <c r="D9165" s="803">
        <v>14.34</v>
      </c>
    </row>
    <row r="9166" spans="1:4">
      <c r="A9166" s="801">
        <v>40922</v>
      </c>
      <c r="B9166" s="802" t="s">
        <v>10252</v>
      </c>
      <c r="C9166" s="801" t="s">
        <v>772</v>
      </c>
      <c r="D9166" s="803">
        <v>2533.86</v>
      </c>
    </row>
    <row r="9167" spans="1:4" ht="51">
      <c r="A9167" s="801">
        <v>36486</v>
      </c>
      <c r="B9167" s="802" t="s">
        <v>10253</v>
      </c>
      <c r="C9167" s="801" t="s">
        <v>656</v>
      </c>
      <c r="D9167" s="803">
        <v>63535.11</v>
      </c>
    </row>
    <row r="9168" spans="1:4" ht="51">
      <c r="A9168" s="801">
        <v>37777</v>
      </c>
      <c r="B9168" s="802" t="s">
        <v>10254</v>
      </c>
      <c r="C9168" s="801" t="s">
        <v>656</v>
      </c>
      <c r="D9168" s="803">
        <v>299122.09999999998</v>
      </c>
    </row>
    <row r="9169" spans="1:4" ht="25.5">
      <c r="A9169" s="801">
        <v>12624</v>
      </c>
      <c r="B9169" s="802" t="s">
        <v>10255</v>
      </c>
      <c r="C9169" s="801" t="s">
        <v>656</v>
      </c>
      <c r="D9169" s="803">
        <v>12.38</v>
      </c>
    </row>
    <row r="9170" spans="1:4">
      <c r="A9170" s="801">
        <v>517</v>
      </c>
      <c r="B9170" s="802" t="s">
        <v>10256</v>
      </c>
      <c r="C9170" s="801" t="s">
        <v>655</v>
      </c>
      <c r="D9170" s="803">
        <v>7.9</v>
      </c>
    </row>
    <row r="9171" spans="1:4" ht="38.25">
      <c r="A9171" s="801">
        <v>41904</v>
      </c>
      <c r="B9171" s="802" t="s">
        <v>10257</v>
      </c>
      <c r="C9171" s="801" t="s">
        <v>662</v>
      </c>
      <c r="D9171" s="803">
        <v>1991.27</v>
      </c>
    </row>
    <row r="9172" spans="1:4" ht="38.25">
      <c r="A9172" s="801">
        <v>41903</v>
      </c>
      <c r="B9172" s="802" t="s">
        <v>10258</v>
      </c>
      <c r="C9172" s="801" t="s">
        <v>653</v>
      </c>
      <c r="D9172" s="803">
        <v>3.85</v>
      </c>
    </row>
    <row r="9173" spans="1:4" ht="25.5">
      <c r="A9173" s="801">
        <v>37534</v>
      </c>
      <c r="B9173" s="802" t="s">
        <v>10259</v>
      </c>
      <c r="C9173" s="801" t="s">
        <v>653</v>
      </c>
      <c r="D9173" s="803">
        <v>26.73</v>
      </c>
    </row>
    <row r="9174" spans="1:4" ht="25.5">
      <c r="A9174" s="801">
        <v>37535</v>
      </c>
      <c r="B9174" s="802" t="s">
        <v>10260</v>
      </c>
      <c r="C9174" s="801" t="s">
        <v>653</v>
      </c>
      <c r="D9174" s="803">
        <v>26.73</v>
      </c>
    </row>
    <row r="9175" spans="1:4" ht="25.5">
      <c r="A9175" s="801">
        <v>37533</v>
      </c>
      <c r="B9175" s="802" t="s">
        <v>10261</v>
      </c>
      <c r="C9175" s="801" t="s">
        <v>653</v>
      </c>
      <c r="D9175" s="803">
        <v>26.73</v>
      </c>
    </row>
    <row r="9176" spans="1:4" ht="25.5">
      <c r="A9176" s="801">
        <v>37537</v>
      </c>
      <c r="B9176" s="802" t="s">
        <v>10262</v>
      </c>
      <c r="C9176" s="801" t="s">
        <v>653</v>
      </c>
      <c r="D9176" s="803">
        <v>20.23</v>
      </c>
    </row>
    <row r="9177" spans="1:4" ht="25.5">
      <c r="A9177" s="801">
        <v>37536</v>
      </c>
      <c r="B9177" s="802" t="s">
        <v>10263</v>
      </c>
      <c r="C9177" s="801" t="s">
        <v>653</v>
      </c>
      <c r="D9177" s="803">
        <v>20.23</v>
      </c>
    </row>
    <row r="9178" spans="1:4" ht="25.5">
      <c r="A9178" s="801">
        <v>37532</v>
      </c>
      <c r="B9178" s="802" t="s">
        <v>10264</v>
      </c>
      <c r="C9178" s="801" t="s">
        <v>653</v>
      </c>
      <c r="D9178" s="803">
        <v>20.23</v>
      </c>
    </row>
    <row r="9179" spans="1:4">
      <c r="A9179" s="801">
        <v>2696</v>
      </c>
      <c r="B9179" s="802" t="s">
        <v>13450</v>
      </c>
      <c r="C9179" s="801" t="s">
        <v>659</v>
      </c>
      <c r="D9179" s="803">
        <v>14.19</v>
      </c>
    </row>
    <row r="9180" spans="1:4">
      <c r="A9180" s="801">
        <v>40928</v>
      </c>
      <c r="B9180" s="802" t="s">
        <v>10265</v>
      </c>
      <c r="C9180" s="801" t="s">
        <v>772</v>
      </c>
      <c r="D9180" s="803">
        <v>2506.0100000000002</v>
      </c>
    </row>
    <row r="9181" spans="1:4">
      <c r="A9181" s="801">
        <v>4083</v>
      </c>
      <c r="B9181" s="802" t="s">
        <v>4646</v>
      </c>
      <c r="C9181" s="801" t="s">
        <v>659</v>
      </c>
      <c r="D9181" s="803">
        <v>18.36</v>
      </c>
    </row>
    <row r="9182" spans="1:4">
      <c r="A9182" s="801">
        <v>40818</v>
      </c>
      <c r="B9182" s="802" t="s">
        <v>10266</v>
      </c>
      <c r="C9182" s="801" t="s">
        <v>772</v>
      </c>
      <c r="D9182" s="803">
        <v>3243.46</v>
      </c>
    </row>
    <row r="9183" spans="1:4" ht="25.5">
      <c r="A9183" s="801">
        <v>43146</v>
      </c>
      <c r="B9183" s="802" t="s">
        <v>10267</v>
      </c>
      <c r="C9183" s="801" t="s">
        <v>653</v>
      </c>
      <c r="D9183" s="803">
        <v>6.72</v>
      </c>
    </row>
    <row r="9184" spans="1:4">
      <c r="A9184" s="801">
        <v>2705</v>
      </c>
      <c r="B9184" s="802" t="s">
        <v>4647</v>
      </c>
      <c r="C9184" s="801" t="s">
        <v>13451</v>
      </c>
      <c r="D9184" s="803">
        <v>0.91</v>
      </c>
    </row>
    <row r="9185" spans="1:4" ht="38.25">
      <c r="A9185" s="801">
        <v>14250</v>
      </c>
      <c r="B9185" s="802" t="s">
        <v>10268</v>
      </c>
      <c r="C9185" s="801" t="s">
        <v>13451</v>
      </c>
      <c r="D9185" s="803">
        <v>0.93</v>
      </c>
    </row>
    <row r="9186" spans="1:4">
      <c r="A9186" s="801">
        <v>11683</v>
      </c>
      <c r="B9186" s="802" t="s">
        <v>4648</v>
      </c>
      <c r="C9186" s="801" t="s">
        <v>656</v>
      </c>
      <c r="D9186" s="803">
        <v>34.1</v>
      </c>
    </row>
    <row r="9187" spans="1:4">
      <c r="A9187" s="801">
        <v>11684</v>
      </c>
      <c r="B9187" s="802" t="s">
        <v>10269</v>
      </c>
      <c r="C9187" s="801" t="s">
        <v>656</v>
      </c>
      <c r="D9187" s="803">
        <v>37.32</v>
      </c>
    </row>
    <row r="9188" spans="1:4" ht="25.5">
      <c r="A9188" s="801">
        <v>6141</v>
      </c>
      <c r="B9188" s="802" t="s">
        <v>10270</v>
      </c>
      <c r="C9188" s="801" t="s">
        <v>656</v>
      </c>
      <c r="D9188" s="803">
        <v>4.9400000000000004</v>
      </c>
    </row>
    <row r="9189" spans="1:4" ht="25.5">
      <c r="A9189" s="801">
        <v>11681</v>
      </c>
      <c r="B9189" s="802" t="s">
        <v>10271</v>
      </c>
      <c r="C9189" s="801" t="s">
        <v>656</v>
      </c>
      <c r="D9189" s="803">
        <v>8.27</v>
      </c>
    </row>
    <row r="9190" spans="1:4">
      <c r="A9190" s="801">
        <v>2706</v>
      </c>
      <c r="B9190" s="802" t="s">
        <v>4649</v>
      </c>
      <c r="C9190" s="801" t="s">
        <v>659</v>
      </c>
      <c r="D9190" s="803">
        <v>78.540000000000006</v>
      </c>
    </row>
    <row r="9191" spans="1:4">
      <c r="A9191" s="801">
        <v>40811</v>
      </c>
      <c r="B9191" s="802" t="s">
        <v>10272</v>
      </c>
      <c r="C9191" s="801" t="s">
        <v>772</v>
      </c>
      <c r="D9191" s="803">
        <v>13867.92</v>
      </c>
    </row>
    <row r="9192" spans="1:4">
      <c r="A9192" s="801">
        <v>2707</v>
      </c>
      <c r="B9192" s="802" t="s">
        <v>4650</v>
      </c>
      <c r="C9192" s="801" t="s">
        <v>659</v>
      </c>
      <c r="D9192" s="803">
        <v>89.38</v>
      </c>
    </row>
    <row r="9193" spans="1:4">
      <c r="A9193" s="801">
        <v>40813</v>
      </c>
      <c r="B9193" s="802" t="s">
        <v>10273</v>
      </c>
      <c r="C9193" s="801" t="s">
        <v>772</v>
      </c>
      <c r="D9193" s="803">
        <v>15784.54</v>
      </c>
    </row>
    <row r="9194" spans="1:4">
      <c r="A9194" s="801">
        <v>2708</v>
      </c>
      <c r="B9194" s="802" t="s">
        <v>10274</v>
      </c>
      <c r="C9194" s="801" t="s">
        <v>659</v>
      </c>
      <c r="D9194" s="803">
        <v>122.18</v>
      </c>
    </row>
    <row r="9195" spans="1:4">
      <c r="A9195" s="801">
        <v>40814</v>
      </c>
      <c r="B9195" s="802" t="s">
        <v>10275</v>
      </c>
      <c r="C9195" s="801" t="s">
        <v>772</v>
      </c>
      <c r="D9195" s="803">
        <v>21577.040000000001</v>
      </c>
    </row>
    <row r="9196" spans="1:4">
      <c r="A9196" s="801">
        <v>34779</v>
      </c>
      <c r="B9196" s="802" t="s">
        <v>10276</v>
      </c>
      <c r="C9196" s="801" t="s">
        <v>659</v>
      </c>
      <c r="D9196" s="803">
        <v>79.680000000000007</v>
      </c>
    </row>
    <row r="9197" spans="1:4">
      <c r="A9197" s="801">
        <v>40936</v>
      </c>
      <c r="B9197" s="802" t="s">
        <v>10277</v>
      </c>
      <c r="C9197" s="801" t="s">
        <v>772</v>
      </c>
      <c r="D9197" s="803">
        <v>14070.22</v>
      </c>
    </row>
    <row r="9198" spans="1:4">
      <c r="A9198" s="801">
        <v>34780</v>
      </c>
      <c r="B9198" s="802" t="s">
        <v>10278</v>
      </c>
      <c r="C9198" s="801" t="s">
        <v>659</v>
      </c>
      <c r="D9198" s="803">
        <v>89.88</v>
      </c>
    </row>
    <row r="9199" spans="1:4">
      <c r="A9199" s="801">
        <v>40937</v>
      </c>
      <c r="B9199" s="802" t="s">
        <v>10279</v>
      </c>
      <c r="C9199" s="801" t="s">
        <v>772</v>
      </c>
      <c r="D9199" s="803">
        <v>15873.99</v>
      </c>
    </row>
    <row r="9200" spans="1:4">
      <c r="A9200" s="801">
        <v>34782</v>
      </c>
      <c r="B9200" s="802" t="s">
        <v>10280</v>
      </c>
      <c r="C9200" s="801" t="s">
        <v>659</v>
      </c>
      <c r="D9200" s="803">
        <v>123.18</v>
      </c>
    </row>
    <row r="9201" spans="1:4">
      <c r="A9201" s="801">
        <v>40938</v>
      </c>
      <c r="B9201" s="802" t="s">
        <v>10281</v>
      </c>
      <c r="C9201" s="801" t="s">
        <v>772</v>
      </c>
      <c r="D9201" s="803">
        <v>21753.79</v>
      </c>
    </row>
    <row r="9202" spans="1:4">
      <c r="A9202" s="801">
        <v>34783</v>
      </c>
      <c r="B9202" s="802" t="s">
        <v>10282</v>
      </c>
      <c r="C9202" s="801" t="s">
        <v>659</v>
      </c>
      <c r="D9202" s="803">
        <v>74.89</v>
      </c>
    </row>
    <row r="9203" spans="1:4">
      <c r="A9203" s="801">
        <v>40939</v>
      </c>
      <c r="B9203" s="802" t="s">
        <v>10283</v>
      </c>
      <c r="C9203" s="801" t="s">
        <v>772</v>
      </c>
      <c r="D9203" s="803">
        <v>13227.74</v>
      </c>
    </row>
    <row r="9204" spans="1:4">
      <c r="A9204" s="801">
        <v>34785</v>
      </c>
      <c r="B9204" s="802" t="s">
        <v>10284</v>
      </c>
      <c r="C9204" s="801" t="s">
        <v>659</v>
      </c>
      <c r="D9204" s="803">
        <v>74.16</v>
      </c>
    </row>
    <row r="9205" spans="1:4">
      <c r="A9205" s="801">
        <v>40940</v>
      </c>
      <c r="B9205" s="802" t="s">
        <v>10285</v>
      </c>
      <c r="C9205" s="801" t="s">
        <v>772</v>
      </c>
      <c r="D9205" s="803">
        <v>13097.47</v>
      </c>
    </row>
    <row r="9206" spans="1:4">
      <c r="A9206" s="801">
        <v>38403</v>
      </c>
      <c r="B9206" s="802" t="s">
        <v>10286</v>
      </c>
      <c r="C9206" s="801" t="s">
        <v>656</v>
      </c>
      <c r="D9206" s="803">
        <v>45.94</v>
      </c>
    </row>
    <row r="9207" spans="1:4" ht="25.5">
      <c r="A9207" s="801">
        <v>43482</v>
      </c>
      <c r="B9207" s="802" t="s">
        <v>10287</v>
      </c>
      <c r="C9207" s="801" t="s">
        <v>659</v>
      </c>
      <c r="D9207" s="803">
        <v>0.69</v>
      </c>
    </row>
    <row r="9208" spans="1:4" ht="25.5">
      <c r="A9208" s="801">
        <v>43494</v>
      </c>
      <c r="B9208" s="802" t="s">
        <v>10288</v>
      </c>
      <c r="C9208" s="801" t="s">
        <v>772</v>
      </c>
      <c r="D9208" s="803">
        <v>130.43</v>
      </c>
    </row>
    <row r="9209" spans="1:4" ht="25.5">
      <c r="A9209" s="801">
        <v>43483</v>
      </c>
      <c r="B9209" s="802" t="s">
        <v>4651</v>
      </c>
      <c r="C9209" s="801" t="s">
        <v>659</v>
      </c>
      <c r="D9209" s="803">
        <v>1.26</v>
      </c>
    </row>
    <row r="9210" spans="1:4" ht="25.5">
      <c r="A9210" s="801">
        <v>43495</v>
      </c>
      <c r="B9210" s="802" t="s">
        <v>10289</v>
      </c>
      <c r="C9210" s="801" t="s">
        <v>772</v>
      </c>
      <c r="D9210" s="803">
        <v>238.17</v>
      </c>
    </row>
    <row r="9211" spans="1:4" ht="25.5">
      <c r="A9211" s="801">
        <v>43484</v>
      </c>
      <c r="B9211" s="802" t="s">
        <v>4652</v>
      </c>
      <c r="C9211" s="801" t="s">
        <v>659</v>
      </c>
      <c r="D9211" s="803">
        <v>1.07</v>
      </c>
    </row>
    <row r="9212" spans="1:4" ht="25.5">
      <c r="A9212" s="801">
        <v>43496</v>
      </c>
      <c r="B9212" s="802" t="s">
        <v>10290</v>
      </c>
      <c r="C9212" s="801" t="s">
        <v>772</v>
      </c>
      <c r="D9212" s="803">
        <v>201.65</v>
      </c>
    </row>
    <row r="9213" spans="1:4" ht="25.5">
      <c r="A9213" s="801">
        <v>43485</v>
      </c>
      <c r="B9213" s="802" t="s">
        <v>4653</v>
      </c>
      <c r="C9213" s="801" t="s">
        <v>659</v>
      </c>
      <c r="D9213" s="803">
        <v>0.94</v>
      </c>
    </row>
    <row r="9214" spans="1:4" ht="25.5">
      <c r="A9214" s="801">
        <v>43497</v>
      </c>
      <c r="B9214" s="802" t="s">
        <v>10291</v>
      </c>
      <c r="C9214" s="801" t="s">
        <v>772</v>
      </c>
      <c r="D9214" s="803">
        <v>177.43</v>
      </c>
    </row>
    <row r="9215" spans="1:4" ht="25.5">
      <c r="A9215" s="801">
        <v>43487</v>
      </c>
      <c r="B9215" s="802" t="s">
        <v>4654</v>
      </c>
      <c r="C9215" s="801" t="s">
        <v>659</v>
      </c>
      <c r="D9215" s="803">
        <v>1.08</v>
      </c>
    </row>
    <row r="9216" spans="1:4" ht="25.5">
      <c r="A9216" s="801">
        <v>43499</v>
      </c>
      <c r="B9216" s="802" t="s">
        <v>10292</v>
      </c>
      <c r="C9216" s="801" t="s">
        <v>772</v>
      </c>
      <c r="D9216" s="803">
        <v>202.94</v>
      </c>
    </row>
    <row r="9217" spans="1:4" ht="25.5">
      <c r="A9217" s="801">
        <v>43486</v>
      </c>
      <c r="B9217" s="802" t="s">
        <v>4655</v>
      </c>
      <c r="C9217" s="801" t="s">
        <v>659</v>
      </c>
      <c r="D9217" s="803">
        <v>0.66</v>
      </c>
    </row>
    <row r="9218" spans="1:4" ht="25.5">
      <c r="A9218" s="801">
        <v>43498</v>
      </c>
      <c r="B9218" s="802" t="s">
        <v>10293</v>
      </c>
      <c r="C9218" s="801" t="s">
        <v>772</v>
      </c>
      <c r="D9218" s="803">
        <v>123.54</v>
      </c>
    </row>
    <row r="9219" spans="1:4" ht="25.5">
      <c r="A9219" s="801">
        <v>43488</v>
      </c>
      <c r="B9219" s="802" t="s">
        <v>4656</v>
      </c>
      <c r="C9219" s="801" t="s">
        <v>659</v>
      </c>
      <c r="D9219" s="803">
        <v>0.76</v>
      </c>
    </row>
    <row r="9220" spans="1:4" ht="25.5">
      <c r="A9220" s="801">
        <v>43500</v>
      </c>
      <c r="B9220" s="802" t="s">
        <v>10294</v>
      </c>
      <c r="C9220" s="801" t="s">
        <v>772</v>
      </c>
      <c r="D9220" s="803">
        <v>143.59</v>
      </c>
    </row>
    <row r="9221" spans="1:4" ht="25.5">
      <c r="A9221" s="801">
        <v>43489</v>
      </c>
      <c r="B9221" s="802" t="s">
        <v>4657</v>
      </c>
      <c r="C9221" s="801" t="s">
        <v>659</v>
      </c>
      <c r="D9221" s="803">
        <v>1.0900000000000001</v>
      </c>
    </row>
    <row r="9222" spans="1:4" ht="25.5">
      <c r="A9222" s="801">
        <v>43501</v>
      </c>
      <c r="B9222" s="802" t="s">
        <v>10295</v>
      </c>
      <c r="C9222" s="801" t="s">
        <v>772</v>
      </c>
      <c r="D9222" s="803">
        <v>204.95</v>
      </c>
    </row>
    <row r="9223" spans="1:4" ht="25.5">
      <c r="A9223" s="801">
        <v>43490</v>
      </c>
      <c r="B9223" s="802" t="s">
        <v>4658</v>
      </c>
      <c r="C9223" s="801" t="s">
        <v>659</v>
      </c>
      <c r="D9223" s="803">
        <v>1.5</v>
      </c>
    </row>
    <row r="9224" spans="1:4" ht="25.5">
      <c r="A9224" s="801">
        <v>43502</v>
      </c>
      <c r="B9224" s="802" t="s">
        <v>10296</v>
      </c>
      <c r="C9224" s="801" t="s">
        <v>772</v>
      </c>
      <c r="D9224" s="803">
        <v>283.14999999999998</v>
      </c>
    </row>
    <row r="9225" spans="1:4" ht="25.5">
      <c r="A9225" s="801">
        <v>43491</v>
      </c>
      <c r="B9225" s="802" t="s">
        <v>4659</v>
      </c>
      <c r="C9225" s="801" t="s">
        <v>659</v>
      </c>
      <c r="D9225" s="803">
        <v>1.1499999999999999</v>
      </c>
    </row>
    <row r="9226" spans="1:4" ht="25.5">
      <c r="A9226" s="801">
        <v>43503</v>
      </c>
      <c r="B9226" s="802" t="s">
        <v>10297</v>
      </c>
      <c r="C9226" s="801" t="s">
        <v>772</v>
      </c>
      <c r="D9226" s="803">
        <v>216.6</v>
      </c>
    </row>
    <row r="9227" spans="1:4" ht="25.5">
      <c r="A9227" s="801">
        <v>43492</v>
      </c>
      <c r="B9227" s="802" t="s">
        <v>4660</v>
      </c>
      <c r="C9227" s="801" t="s">
        <v>659</v>
      </c>
      <c r="D9227" s="803">
        <v>1.58</v>
      </c>
    </row>
    <row r="9228" spans="1:4" ht="25.5">
      <c r="A9228" s="801">
        <v>43504</v>
      </c>
      <c r="B9228" s="802" t="s">
        <v>10298</v>
      </c>
      <c r="C9228" s="801" t="s">
        <v>772</v>
      </c>
      <c r="D9228" s="803">
        <v>297.7</v>
      </c>
    </row>
    <row r="9229" spans="1:4" ht="25.5">
      <c r="A9229" s="801">
        <v>43493</v>
      </c>
      <c r="B9229" s="802" t="s">
        <v>4661</v>
      </c>
      <c r="C9229" s="801" t="s">
        <v>659</v>
      </c>
      <c r="D9229" s="803">
        <v>0.62</v>
      </c>
    </row>
    <row r="9230" spans="1:4" ht="25.5">
      <c r="A9230" s="801">
        <v>43505</v>
      </c>
      <c r="B9230" s="802" t="s">
        <v>10299</v>
      </c>
      <c r="C9230" s="801" t="s">
        <v>772</v>
      </c>
      <c r="D9230" s="803">
        <v>117.12</v>
      </c>
    </row>
    <row r="9231" spans="1:4" ht="51">
      <c r="A9231" s="801">
        <v>37774</v>
      </c>
      <c r="B9231" s="802" t="s">
        <v>10300</v>
      </c>
      <c r="C9231" s="801" t="s">
        <v>656</v>
      </c>
      <c r="D9231" s="803">
        <v>424322.45</v>
      </c>
    </row>
    <row r="9232" spans="1:4" ht="51">
      <c r="A9232" s="801">
        <v>38630</v>
      </c>
      <c r="B9232" s="802" t="s">
        <v>10301</v>
      </c>
      <c r="C9232" s="801" t="s">
        <v>656</v>
      </c>
      <c r="D9232" s="803">
        <v>1779511.16</v>
      </c>
    </row>
    <row r="9233" spans="1:4" ht="63.75">
      <c r="A9233" s="801">
        <v>38629</v>
      </c>
      <c r="B9233" s="802" t="s">
        <v>10302</v>
      </c>
      <c r="C9233" s="801" t="s">
        <v>656</v>
      </c>
      <c r="D9233" s="803">
        <v>2648890.66</v>
      </c>
    </row>
    <row r="9234" spans="1:4" ht="25.5">
      <c r="A9234" s="801">
        <v>38476</v>
      </c>
      <c r="B9234" s="802" t="s">
        <v>10303</v>
      </c>
      <c r="C9234" s="801" t="s">
        <v>656</v>
      </c>
      <c r="D9234" s="803">
        <v>345.28</v>
      </c>
    </row>
    <row r="9235" spans="1:4">
      <c r="A9235" s="801">
        <v>38477</v>
      </c>
      <c r="B9235" s="802" t="s">
        <v>10304</v>
      </c>
      <c r="C9235" s="801" t="s">
        <v>656</v>
      </c>
      <c r="D9235" s="803">
        <v>977.83</v>
      </c>
    </row>
    <row r="9236" spans="1:4" ht="38.25">
      <c r="A9236" s="801">
        <v>40635</v>
      </c>
      <c r="B9236" s="802" t="s">
        <v>10305</v>
      </c>
      <c r="C9236" s="801" t="s">
        <v>656</v>
      </c>
      <c r="D9236" s="803">
        <v>938024</v>
      </c>
    </row>
    <row r="9237" spans="1:4" ht="25.5">
      <c r="A9237" s="801">
        <v>36483</v>
      </c>
      <c r="B9237" s="802" t="s">
        <v>10306</v>
      </c>
      <c r="C9237" s="801" t="s">
        <v>656</v>
      </c>
      <c r="D9237" s="803">
        <v>850000</v>
      </c>
    </row>
    <row r="9238" spans="1:4" ht="25.5">
      <c r="A9238" s="801">
        <v>14525</v>
      </c>
      <c r="B9238" s="802" t="s">
        <v>10307</v>
      </c>
      <c r="C9238" s="801" t="s">
        <v>656</v>
      </c>
      <c r="D9238" s="803">
        <v>890000</v>
      </c>
    </row>
    <row r="9239" spans="1:4" ht="25.5">
      <c r="A9239" s="801">
        <v>36482</v>
      </c>
      <c r="B9239" s="802" t="s">
        <v>10308</v>
      </c>
      <c r="C9239" s="801" t="s">
        <v>656</v>
      </c>
      <c r="D9239" s="803">
        <v>763298.96</v>
      </c>
    </row>
    <row r="9240" spans="1:4" ht="25.5">
      <c r="A9240" s="801">
        <v>36408</v>
      </c>
      <c r="B9240" s="802" t="s">
        <v>10309</v>
      </c>
      <c r="C9240" s="801" t="s">
        <v>656</v>
      </c>
      <c r="D9240" s="803">
        <v>912000</v>
      </c>
    </row>
    <row r="9241" spans="1:4" ht="25.5">
      <c r="A9241" s="801">
        <v>2723</v>
      </c>
      <c r="B9241" s="802" t="s">
        <v>10310</v>
      </c>
      <c r="C9241" s="801" t="s">
        <v>656</v>
      </c>
      <c r="D9241" s="803">
        <v>700000</v>
      </c>
    </row>
    <row r="9242" spans="1:4" ht="25.5">
      <c r="A9242" s="801">
        <v>36481</v>
      </c>
      <c r="B9242" s="802" t="s">
        <v>10311</v>
      </c>
      <c r="C9242" s="801" t="s">
        <v>656</v>
      </c>
      <c r="D9242" s="803">
        <v>835000</v>
      </c>
    </row>
    <row r="9243" spans="1:4" ht="25.5">
      <c r="A9243" s="801">
        <v>10685</v>
      </c>
      <c r="B9243" s="802" t="s">
        <v>4662</v>
      </c>
      <c r="C9243" s="801" t="s">
        <v>656</v>
      </c>
      <c r="D9243" s="803">
        <v>800000</v>
      </c>
    </row>
    <row r="9244" spans="1:4" ht="51">
      <c r="A9244" s="801">
        <v>40636</v>
      </c>
      <c r="B9244" s="802" t="s">
        <v>10312</v>
      </c>
      <c r="C9244" s="801" t="s">
        <v>656</v>
      </c>
      <c r="D9244" s="803">
        <v>903024</v>
      </c>
    </row>
    <row r="9245" spans="1:4">
      <c r="A9245" s="801">
        <v>4111</v>
      </c>
      <c r="B9245" s="802" t="s">
        <v>10313</v>
      </c>
      <c r="C9245" s="801" t="s">
        <v>656</v>
      </c>
      <c r="D9245" s="803">
        <v>53.93</v>
      </c>
    </row>
    <row r="9246" spans="1:4" ht="25.5">
      <c r="A9246" s="801">
        <v>44538</v>
      </c>
      <c r="B9246" s="802" t="s">
        <v>10314</v>
      </c>
      <c r="C9246" s="801" t="s">
        <v>656</v>
      </c>
      <c r="D9246" s="803">
        <v>67.92</v>
      </c>
    </row>
    <row r="9247" spans="1:4">
      <c r="A9247" s="801">
        <v>12</v>
      </c>
      <c r="B9247" s="802" t="s">
        <v>10315</v>
      </c>
      <c r="C9247" s="801" t="s">
        <v>656</v>
      </c>
      <c r="D9247" s="803">
        <v>17.989999999999998</v>
      </c>
    </row>
    <row r="9248" spans="1:4" ht="25.5">
      <c r="A9248" s="801">
        <v>37554</v>
      </c>
      <c r="B9248" s="802" t="s">
        <v>10316</v>
      </c>
      <c r="C9248" s="801" t="s">
        <v>656</v>
      </c>
      <c r="D9248" s="803">
        <v>182.61</v>
      </c>
    </row>
    <row r="9249" spans="1:4" ht="25.5">
      <c r="A9249" s="801">
        <v>37555</v>
      </c>
      <c r="B9249" s="802" t="s">
        <v>10317</v>
      </c>
      <c r="C9249" s="801" t="s">
        <v>656</v>
      </c>
      <c r="D9249" s="803">
        <v>222.14</v>
      </c>
    </row>
    <row r="9250" spans="1:4" ht="38.25">
      <c r="A9250" s="801">
        <v>10902</v>
      </c>
      <c r="B9250" s="802" t="s">
        <v>10318</v>
      </c>
      <c r="C9250" s="801" t="s">
        <v>656</v>
      </c>
      <c r="D9250" s="803">
        <v>55.74</v>
      </c>
    </row>
    <row r="9251" spans="1:4" ht="38.25">
      <c r="A9251" s="801">
        <v>20965</v>
      </c>
      <c r="B9251" s="802" t="s">
        <v>10319</v>
      </c>
      <c r="C9251" s="801" t="s">
        <v>656</v>
      </c>
      <c r="D9251" s="803">
        <v>56.26</v>
      </c>
    </row>
    <row r="9252" spans="1:4" ht="38.25">
      <c r="A9252" s="801">
        <v>20966</v>
      </c>
      <c r="B9252" s="802" t="s">
        <v>10320</v>
      </c>
      <c r="C9252" s="801" t="s">
        <v>656</v>
      </c>
      <c r="D9252" s="803">
        <v>60.57</v>
      </c>
    </row>
    <row r="9253" spans="1:4" ht="38.25">
      <c r="A9253" s="801">
        <v>10903</v>
      </c>
      <c r="B9253" s="802" t="s">
        <v>10321</v>
      </c>
      <c r="C9253" s="801" t="s">
        <v>656</v>
      </c>
      <c r="D9253" s="803">
        <v>91.81</v>
      </c>
    </row>
    <row r="9254" spans="1:4" ht="38.25">
      <c r="A9254" s="801">
        <v>20967</v>
      </c>
      <c r="B9254" s="802" t="s">
        <v>10322</v>
      </c>
      <c r="C9254" s="801" t="s">
        <v>656</v>
      </c>
      <c r="D9254" s="803">
        <v>91.81</v>
      </c>
    </row>
    <row r="9255" spans="1:4" ht="38.25">
      <c r="A9255" s="801">
        <v>20968</v>
      </c>
      <c r="B9255" s="802" t="s">
        <v>10323</v>
      </c>
      <c r="C9255" s="801" t="s">
        <v>656</v>
      </c>
      <c r="D9255" s="803">
        <v>100.7</v>
      </c>
    </row>
    <row r="9256" spans="1:4" ht="25.5">
      <c r="A9256" s="801">
        <v>11359</v>
      </c>
      <c r="B9256" s="802" t="s">
        <v>10324</v>
      </c>
      <c r="C9256" s="801" t="s">
        <v>656</v>
      </c>
      <c r="D9256" s="803">
        <v>1175</v>
      </c>
    </row>
    <row r="9257" spans="1:4" ht="38.25">
      <c r="A9257" s="801">
        <v>39017</v>
      </c>
      <c r="B9257" s="802" t="s">
        <v>4663</v>
      </c>
      <c r="C9257" s="801" t="s">
        <v>656</v>
      </c>
      <c r="D9257" s="803">
        <v>0.22</v>
      </c>
    </row>
    <row r="9258" spans="1:4" ht="38.25">
      <c r="A9258" s="801">
        <v>39315</v>
      </c>
      <c r="B9258" s="802" t="s">
        <v>10325</v>
      </c>
      <c r="C9258" s="801" t="s">
        <v>656</v>
      </c>
      <c r="D9258" s="803">
        <v>0.35</v>
      </c>
    </row>
    <row r="9259" spans="1:4" ht="25.5">
      <c r="A9259" s="801">
        <v>39016</v>
      </c>
      <c r="B9259" s="802" t="s">
        <v>10326</v>
      </c>
      <c r="C9259" s="801" t="s">
        <v>656</v>
      </c>
      <c r="D9259" s="803">
        <v>0.35</v>
      </c>
    </row>
    <row r="9260" spans="1:4" ht="25.5">
      <c r="A9260" s="801">
        <v>40432</v>
      </c>
      <c r="B9260" s="802" t="s">
        <v>10327</v>
      </c>
      <c r="C9260" s="801" t="s">
        <v>656</v>
      </c>
      <c r="D9260" s="803">
        <v>2.74</v>
      </c>
    </row>
    <row r="9261" spans="1:4" ht="38.25">
      <c r="A9261" s="801">
        <v>39481</v>
      </c>
      <c r="B9261" s="802" t="s">
        <v>10328</v>
      </c>
      <c r="C9261" s="801" t="s">
        <v>656</v>
      </c>
      <c r="D9261" s="803">
        <v>1.72</v>
      </c>
    </row>
    <row r="9262" spans="1:4" ht="25.5">
      <c r="A9262" s="801">
        <v>40433</v>
      </c>
      <c r="B9262" s="802" t="s">
        <v>10329</v>
      </c>
      <c r="C9262" s="801" t="s">
        <v>656</v>
      </c>
      <c r="D9262" s="803">
        <v>1.52</v>
      </c>
    </row>
    <row r="9263" spans="1:4" ht="25.5">
      <c r="A9263" s="801">
        <v>20219</v>
      </c>
      <c r="B9263" s="802" t="s">
        <v>10330</v>
      </c>
      <c r="C9263" s="801" t="s">
        <v>656</v>
      </c>
      <c r="D9263" s="803">
        <v>105800</v>
      </c>
    </row>
    <row r="9264" spans="1:4" ht="38.25">
      <c r="A9264" s="801">
        <v>36484</v>
      </c>
      <c r="B9264" s="802" t="s">
        <v>10331</v>
      </c>
      <c r="C9264" s="801" t="s">
        <v>656</v>
      </c>
      <c r="D9264" s="803">
        <v>224594.13</v>
      </c>
    </row>
    <row r="9265" spans="1:4">
      <c r="A9265" s="801">
        <v>38367</v>
      </c>
      <c r="B9265" s="802" t="s">
        <v>10332</v>
      </c>
      <c r="C9265" s="801" t="s">
        <v>656</v>
      </c>
      <c r="D9265" s="803">
        <v>18.55</v>
      </c>
    </row>
    <row r="9266" spans="1:4">
      <c r="A9266" s="801">
        <v>38368</v>
      </c>
      <c r="B9266" s="802" t="s">
        <v>10333</v>
      </c>
      <c r="C9266" s="801" t="s">
        <v>656</v>
      </c>
      <c r="D9266" s="803">
        <v>7.91</v>
      </c>
    </row>
    <row r="9267" spans="1:4" ht="25.5">
      <c r="A9267" s="801">
        <v>38091</v>
      </c>
      <c r="B9267" s="802" t="s">
        <v>10334</v>
      </c>
      <c r="C9267" s="801" t="s">
        <v>656</v>
      </c>
      <c r="D9267" s="803">
        <v>2.08</v>
      </c>
    </row>
    <row r="9268" spans="1:4" ht="25.5">
      <c r="A9268" s="801">
        <v>38095</v>
      </c>
      <c r="B9268" s="802" t="s">
        <v>10335</v>
      </c>
      <c r="C9268" s="801" t="s">
        <v>656</v>
      </c>
      <c r="D9268" s="803">
        <v>4.4000000000000004</v>
      </c>
    </row>
    <row r="9269" spans="1:4" ht="25.5">
      <c r="A9269" s="801">
        <v>38092</v>
      </c>
      <c r="B9269" s="802" t="s">
        <v>10336</v>
      </c>
      <c r="C9269" s="801" t="s">
        <v>656</v>
      </c>
      <c r="D9269" s="803">
        <v>1.97</v>
      </c>
    </row>
    <row r="9270" spans="1:4" ht="25.5">
      <c r="A9270" s="801">
        <v>38093</v>
      </c>
      <c r="B9270" s="802" t="s">
        <v>10337</v>
      </c>
      <c r="C9270" s="801" t="s">
        <v>656</v>
      </c>
      <c r="D9270" s="803">
        <v>2.04</v>
      </c>
    </row>
    <row r="9271" spans="1:4" ht="25.5">
      <c r="A9271" s="801">
        <v>38096</v>
      </c>
      <c r="B9271" s="802" t="s">
        <v>10338</v>
      </c>
      <c r="C9271" s="801" t="s">
        <v>656</v>
      </c>
      <c r="D9271" s="803">
        <v>4.74</v>
      </c>
    </row>
    <row r="9272" spans="1:4" ht="25.5">
      <c r="A9272" s="801">
        <v>38094</v>
      </c>
      <c r="B9272" s="802" t="s">
        <v>4664</v>
      </c>
      <c r="C9272" s="801" t="s">
        <v>656</v>
      </c>
      <c r="D9272" s="803">
        <v>2.5</v>
      </c>
    </row>
    <row r="9273" spans="1:4" ht="25.5">
      <c r="A9273" s="801">
        <v>38097</v>
      </c>
      <c r="B9273" s="802" t="s">
        <v>10339</v>
      </c>
      <c r="C9273" s="801" t="s">
        <v>656</v>
      </c>
      <c r="D9273" s="803">
        <v>5.08</v>
      </c>
    </row>
    <row r="9274" spans="1:4" ht="25.5">
      <c r="A9274" s="801">
        <v>38098</v>
      </c>
      <c r="B9274" s="802" t="s">
        <v>10340</v>
      </c>
      <c r="C9274" s="801" t="s">
        <v>656</v>
      </c>
      <c r="D9274" s="803">
        <v>5.08</v>
      </c>
    </row>
    <row r="9275" spans="1:4">
      <c r="A9275" s="801">
        <v>11186</v>
      </c>
      <c r="B9275" s="802" t="s">
        <v>10341</v>
      </c>
      <c r="C9275" s="801" t="s">
        <v>661</v>
      </c>
      <c r="D9275" s="803">
        <v>677.6</v>
      </c>
    </row>
    <row r="9276" spans="1:4" ht="38.25">
      <c r="A9276" s="801">
        <v>11558</v>
      </c>
      <c r="B9276" s="802" t="s">
        <v>10342</v>
      </c>
      <c r="C9276" s="801" t="s">
        <v>665</v>
      </c>
      <c r="D9276" s="803">
        <v>15.4</v>
      </c>
    </row>
    <row r="9277" spans="1:4" ht="38.25">
      <c r="A9277" s="801">
        <v>11557</v>
      </c>
      <c r="B9277" s="802" t="s">
        <v>10343</v>
      </c>
      <c r="C9277" s="801" t="s">
        <v>665</v>
      </c>
      <c r="D9277" s="803">
        <v>39</v>
      </c>
    </row>
    <row r="9278" spans="1:4">
      <c r="A9278" s="801">
        <v>2759</v>
      </c>
      <c r="B9278" s="802" t="s">
        <v>10344</v>
      </c>
      <c r="C9278" s="801" t="s">
        <v>656</v>
      </c>
      <c r="D9278" s="803">
        <v>11.42</v>
      </c>
    </row>
    <row r="9279" spans="1:4" ht="25.5">
      <c r="A9279" s="801">
        <v>38124</v>
      </c>
      <c r="B9279" s="802" t="s">
        <v>10345</v>
      </c>
      <c r="C9279" s="801" t="s">
        <v>656</v>
      </c>
      <c r="D9279" s="803">
        <v>31.74</v>
      </c>
    </row>
    <row r="9280" spans="1:4">
      <c r="A9280" s="801">
        <v>38380</v>
      </c>
      <c r="B9280" s="802" t="s">
        <v>10346</v>
      </c>
      <c r="C9280" s="801" t="s">
        <v>656</v>
      </c>
      <c r="D9280" s="803">
        <v>29.47</v>
      </c>
    </row>
    <row r="9281" spans="1:4" ht="25.5">
      <c r="A9281" s="801">
        <v>20059</v>
      </c>
      <c r="B9281" s="802" t="s">
        <v>10347</v>
      </c>
      <c r="C9281" s="801" t="s">
        <v>656</v>
      </c>
      <c r="D9281" s="803">
        <v>17.57</v>
      </c>
    </row>
    <row r="9282" spans="1:4" ht="38.25">
      <c r="A9282" s="801">
        <v>42429</v>
      </c>
      <c r="B9282" s="802" t="s">
        <v>10348</v>
      </c>
      <c r="C9282" s="801" t="s">
        <v>656</v>
      </c>
      <c r="D9282" s="803">
        <v>5916.32</v>
      </c>
    </row>
    <row r="9283" spans="1:4">
      <c r="A9283" s="801">
        <v>39616</v>
      </c>
      <c r="B9283" s="802" t="s">
        <v>10349</v>
      </c>
      <c r="C9283" s="801" t="s">
        <v>656</v>
      </c>
      <c r="D9283" s="803">
        <v>306.89999999999998</v>
      </c>
    </row>
    <row r="9284" spans="1:4">
      <c r="A9284" s="801">
        <v>39618</v>
      </c>
      <c r="B9284" s="802" t="s">
        <v>10350</v>
      </c>
      <c r="C9284" s="801" t="s">
        <v>656</v>
      </c>
      <c r="D9284" s="803">
        <v>556.66</v>
      </c>
    </row>
    <row r="9285" spans="1:4">
      <c r="A9285" s="801">
        <v>39619</v>
      </c>
      <c r="B9285" s="802" t="s">
        <v>10351</v>
      </c>
      <c r="C9285" s="801" t="s">
        <v>656</v>
      </c>
      <c r="D9285" s="803">
        <v>762.4</v>
      </c>
    </row>
    <row r="9286" spans="1:4">
      <c r="A9286" s="801">
        <v>39613</v>
      </c>
      <c r="B9286" s="802" t="s">
        <v>10352</v>
      </c>
      <c r="C9286" s="801" t="s">
        <v>656</v>
      </c>
      <c r="D9286" s="803">
        <v>121.9</v>
      </c>
    </row>
    <row r="9287" spans="1:4">
      <c r="A9287" s="801">
        <v>39614</v>
      </c>
      <c r="B9287" s="802" t="s">
        <v>10353</v>
      </c>
      <c r="C9287" s="801" t="s">
        <v>656</v>
      </c>
      <c r="D9287" s="803">
        <v>177.85</v>
      </c>
    </row>
    <row r="9288" spans="1:4" ht="38.25">
      <c r="A9288" s="801">
        <v>38538</v>
      </c>
      <c r="B9288" s="802" t="s">
        <v>10354</v>
      </c>
      <c r="C9288" s="801" t="s">
        <v>660</v>
      </c>
      <c r="D9288" s="803">
        <v>75.319999999999993</v>
      </c>
    </row>
    <row r="9289" spans="1:4" ht="38.25">
      <c r="A9289" s="801">
        <v>38539</v>
      </c>
      <c r="B9289" s="802" t="s">
        <v>10355</v>
      </c>
      <c r="C9289" s="801" t="s">
        <v>660</v>
      </c>
      <c r="D9289" s="803">
        <v>102.42</v>
      </c>
    </row>
    <row r="9290" spans="1:4" ht="38.25">
      <c r="A9290" s="801">
        <v>38540</v>
      </c>
      <c r="B9290" s="802" t="s">
        <v>10356</v>
      </c>
      <c r="C9290" s="801" t="s">
        <v>660</v>
      </c>
      <c r="D9290" s="803">
        <v>262.49</v>
      </c>
    </row>
    <row r="9291" spans="1:4">
      <c r="A9291" s="801">
        <v>38384</v>
      </c>
      <c r="B9291" s="802" t="s">
        <v>10357</v>
      </c>
      <c r="C9291" s="801" t="s">
        <v>656</v>
      </c>
      <c r="D9291" s="803">
        <v>20.49</v>
      </c>
    </row>
    <row r="9292" spans="1:4">
      <c r="A9292" s="801">
        <v>13</v>
      </c>
      <c r="B9292" s="802" t="s">
        <v>10358</v>
      </c>
      <c r="C9292" s="801" t="s">
        <v>653</v>
      </c>
      <c r="D9292" s="803">
        <v>27.7</v>
      </c>
    </row>
    <row r="9293" spans="1:4">
      <c r="A9293" s="801">
        <v>2762</v>
      </c>
      <c r="B9293" s="802" t="s">
        <v>10359</v>
      </c>
      <c r="C9293" s="801" t="s">
        <v>660</v>
      </c>
      <c r="D9293" s="803">
        <v>14.27</v>
      </c>
    </row>
    <row r="9294" spans="1:4" ht="25.5">
      <c r="A9294" s="801">
        <v>21142</v>
      </c>
      <c r="B9294" s="802" t="s">
        <v>10360</v>
      </c>
      <c r="C9294" s="801" t="s">
        <v>656</v>
      </c>
      <c r="D9294" s="803">
        <v>31.58</v>
      </c>
    </row>
    <row r="9295" spans="1:4">
      <c r="A9295" s="801">
        <v>4223</v>
      </c>
      <c r="B9295" s="802" t="s">
        <v>10361</v>
      </c>
      <c r="C9295" s="801" t="s">
        <v>655</v>
      </c>
      <c r="D9295" s="803">
        <v>4.47</v>
      </c>
    </row>
    <row r="9296" spans="1:4">
      <c r="A9296" s="801">
        <v>37372</v>
      </c>
      <c r="B9296" s="802" t="s">
        <v>4665</v>
      </c>
      <c r="C9296" s="801" t="s">
        <v>659</v>
      </c>
      <c r="D9296" s="803">
        <v>0.81</v>
      </c>
    </row>
    <row r="9297" spans="1:4">
      <c r="A9297" s="801">
        <v>40863</v>
      </c>
      <c r="B9297" s="802" t="s">
        <v>10362</v>
      </c>
      <c r="C9297" s="801" t="s">
        <v>772</v>
      </c>
      <c r="D9297" s="803">
        <v>152.35</v>
      </c>
    </row>
    <row r="9298" spans="1:4">
      <c r="A9298" s="801">
        <v>38475</v>
      </c>
      <c r="B9298" s="802" t="s">
        <v>10363</v>
      </c>
      <c r="C9298" s="801" t="s">
        <v>656</v>
      </c>
      <c r="D9298" s="803">
        <v>31.36</v>
      </c>
    </row>
    <row r="9299" spans="1:4">
      <c r="A9299" s="801">
        <v>38474</v>
      </c>
      <c r="B9299" s="802" t="s">
        <v>10364</v>
      </c>
      <c r="C9299" s="801" t="s">
        <v>656</v>
      </c>
      <c r="D9299" s="803">
        <v>38.770000000000003</v>
      </c>
    </row>
    <row r="9300" spans="1:4" ht="25.5">
      <c r="A9300" s="801">
        <v>10886</v>
      </c>
      <c r="B9300" s="802" t="s">
        <v>4666</v>
      </c>
      <c r="C9300" s="801" t="s">
        <v>656</v>
      </c>
      <c r="D9300" s="803">
        <v>169.62</v>
      </c>
    </row>
    <row r="9301" spans="1:4" ht="25.5">
      <c r="A9301" s="801">
        <v>10888</v>
      </c>
      <c r="B9301" s="802" t="s">
        <v>10365</v>
      </c>
      <c r="C9301" s="801" t="s">
        <v>656</v>
      </c>
      <c r="D9301" s="803">
        <v>536.84</v>
      </c>
    </row>
    <row r="9302" spans="1:4" ht="25.5">
      <c r="A9302" s="801">
        <v>10889</v>
      </c>
      <c r="B9302" s="802" t="s">
        <v>10366</v>
      </c>
      <c r="C9302" s="801" t="s">
        <v>656</v>
      </c>
      <c r="D9302" s="803">
        <v>581.58000000000004</v>
      </c>
    </row>
    <row r="9303" spans="1:4" ht="25.5">
      <c r="A9303" s="801">
        <v>10890</v>
      </c>
      <c r="B9303" s="802" t="s">
        <v>10367</v>
      </c>
      <c r="C9303" s="801" t="s">
        <v>656</v>
      </c>
      <c r="D9303" s="803">
        <v>268.42</v>
      </c>
    </row>
    <row r="9304" spans="1:4" ht="25.5">
      <c r="A9304" s="801">
        <v>10891</v>
      </c>
      <c r="B9304" s="802" t="s">
        <v>10368</v>
      </c>
      <c r="C9304" s="801" t="s">
        <v>656</v>
      </c>
      <c r="D9304" s="803">
        <v>164.03</v>
      </c>
    </row>
    <row r="9305" spans="1:4" ht="25.5">
      <c r="A9305" s="801">
        <v>10892</v>
      </c>
      <c r="B9305" s="802" t="s">
        <v>10369</v>
      </c>
      <c r="C9305" s="801" t="s">
        <v>656</v>
      </c>
      <c r="D9305" s="803">
        <v>193.86</v>
      </c>
    </row>
    <row r="9306" spans="1:4" ht="25.5">
      <c r="A9306" s="801">
        <v>20977</v>
      </c>
      <c r="B9306" s="802" t="s">
        <v>10370</v>
      </c>
      <c r="C9306" s="801" t="s">
        <v>656</v>
      </c>
      <c r="D9306" s="803">
        <v>231.14</v>
      </c>
    </row>
    <row r="9307" spans="1:4">
      <c r="A9307" s="801">
        <v>3073</v>
      </c>
      <c r="B9307" s="802" t="s">
        <v>10371</v>
      </c>
      <c r="C9307" s="801" t="s">
        <v>656</v>
      </c>
      <c r="D9307" s="803">
        <v>251.32</v>
      </c>
    </row>
    <row r="9308" spans="1:4">
      <c r="A9308" s="801">
        <v>3068</v>
      </c>
      <c r="B9308" s="802" t="s">
        <v>10372</v>
      </c>
      <c r="C9308" s="801" t="s">
        <v>656</v>
      </c>
      <c r="D9308" s="803">
        <v>50.24</v>
      </c>
    </row>
    <row r="9309" spans="1:4">
      <c r="A9309" s="801">
        <v>3074</v>
      </c>
      <c r="B9309" s="802" t="s">
        <v>10373</v>
      </c>
      <c r="C9309" s="801" t="s">
        <v>656</v>
      </c>
      <c r="D9309" s="803">
        <v>158.66</v>
      </c>
    </row>
    <row r="9310" spans="1:4">
      <c r="A9310" s="801">
        <v>3076</v>
      </c>
      <c r="B9310" s="802" t="s">
        <v>10374</v>
      </c>
      <c r="C9310" s="801" t="s">
        <v>656</v>
      </c>
      <c r="D9310" s="803">
        <v>206.61</v>
      </c>
    </row>
    <row r="9311" spans="1:4">
      <c r="A9311" s="801">
        <v>3072</v>
      </c>
      <c r="B9311" s="802" t="s">
        <v>10375</v>
      </c>
      <c r="C9311" s="801" t="s">
        <v>656</v>
      </c>
      <c r="D9311" s="803">
        <v>52.05</v>
      </c>
    </row>
    <row r="9312" spans="1:4">
      <c r="A9312" s="801">
        <v>3075</v>
      </c>
      <c r="B9312" s="802" t="s">
        <v>10376</v>
      </c>
      <c r="C9312" s="801" t="s">
        <v>656</v>
      </c>
      <c r="D9312" s="803">
        <v>130.57</v>
      </c>
    </row>
    <row r="9313" spans="1:4" ht="25.5">
      <c r="A9313" s="801">
        <v>10780</v>
      </c>
      <c r="B9313" s="802" t="s">
        <v>10377</v>
      </c>
      <c r="C9313" s="801" t="s">
        <v>656</v>
      </c>
      <c r="D9313" s="803">
        <v>11.03</v>
      </c>
    </row>
    <row r="9314" spans="1:4" ht="25.5">
      <c r="A9314" s="801">
        <v>10781</v>
      </c>
      <c r="B9314" s="802" t="s">
        <v>10378</v>
      </c>
      <c r="C9314" s="801" t="s">
        <v>656</v>
      </c>
      <c r="D9314" s="803">
        <v>17.7</v>
      </c>
    </row>
    <row r="9315" spans="1:4" ht="25.5">
      <c r="A9315" s="801">
        <v>20106</v>
      </c>
      <c r="B9315" s="802" t="s">
        <v>10379</v>
      </c>
      <c r="C9315" s="801" t="s">
        <v>656</v>
      </c>
      <c r="D9315" s="803">
        <v>5.83</v>
      </c>
    </row>
    <row r="9316" spans="1:4" ht="25.5">
      <c r="A9316" s="801">
        <v>20107</v>
      </c>
      <c r="B9316" s="802" t="s">
        <v>10380</v>
      </c>
      <c r="C9316" s="801" t="s">
        <v>656</v>
      </c>
      <c r="D9316" s="803">
        <v>6.68</v>
      </c>
    </row>
    <row r="9317" spans="1:4" ht="25.5">
      <c r="A9317" s="801">
        <v>20108</v>
      </c>
      <c r="B9317" s="802" t="s">
        <v>10381</v>
      </c>
      <c r="C9317" s="801" t="s">
        <v>656</v>
      </c>
      <c r="D9317" s="803">
        <v>8.82</v>
      </c>
    </row>
    <row r="9318" spans="1:4" ht="25.5">
      <c r="A9318" s="801">
        <v>20109</v>
      </c>
      <c r="B9318" s="802" t="s">
        <v>10382</v>
      </c>
      <c r="C9318" s="801" t="s">
        <v>656</v>
      </c>
      <c r="D9318" s="803">
        <v>11.03</v>
      </c>
    </row>
    <row r="9319" spans="1:4" ht="38.25">
      <c r="A9319" s="801">
        <v>43612</v>
      </c>
      <c r="B9319" s="802" t="s">
        <v>10383</v>
      </c>
      <c r="C9319" s="801" t="s">
        <v>663</v>
      </c>
      <c r="D9319" s="803">
        <v>90.26</v>
      </c>
    </row>
    <row r="9320" spans="1:4" ht="38.25">
      <c r="A9320" s="801">
        <v>43613</v>
      </c>
      <c r="B9320" s="802" t="s">
        <v>10384</v>
      </c>
      <c r="C9320" s="801" t="s">
        <v>663</v>
      </c>
      <c r="D9320" s="803">
        <v>74.72</v>
      </c>
    </row>
    <row r="9321" spans="1:4" ht="38.25">
      <c r="A9321" s="801">
        <v>11480</v>
      </c>
      <c r="B9321" s="802" t="s">
        <v>10385</v>
      </c>
      <c r="C9321" s="801" t="s">
        <v>663</v>
      </c>
      <c r="D9321" s="803">
        <v>114.67</v>
      </c>
    </row>
    <row r="9322" spans="1:4" ht="51">
      <c r="A9322" s="801">
        <v>11469</v>
      </c>
      <c r="B9322" s="802" t="s">
        <v>10386</v>
      </c>
      <c r="C9322" s="801" t="s">
        <v>656</v>
      </c>
      <c r="D9322" s="803">
        <v>12.24</v>
      </c>
    </row>
    <row r="9323" spans="1:4" ht="38.25">
      <c r="A9323" s="801">
        <v>11468</v>
      </c>
      <c r="B9323" s="802" t="s">
        <v>10387</v>
      </c>
      <c r="C9323" s="801" t="s">
        <v>656</v>
      </c>
      <c r="D9323" s="803">
        <v>12.25</v>
      </c>
    </row>
    <row r="9324" spans="1:4" ht="38.25">
      <c r="A9324" s="801">
        <v>11484</v>
      </c>
      <c r="B9324" s="802" t="s">
        <v>10388</v>
      </c>
      <c r="C9324" s="801" t="s">
        <v>656</v>
      </c>
      <c r="D9324" s="803">
        <v>53.8</v>
      </c>
    </row>
    <row r="9325" spans="1:4" ht="38.25">
      <c r="A9325" s="801">
        <v>38155</v>
      </c>
      <c r="B9325" s="802" t="s">
        <v>10389</v>
      </c>
      <c r="C9325" s="801" t="s">
        <v>656</v>
      </c>
      <c r="D9325" s="803">
        <v>83.52</v>
      </c>
    </row>
    <row r="9326" spans="1:4" ht="38.25">
      <c r="A9326" s="801">
        <v>11467</v>
      </c>
      <c r="B9326" s="802" t="s">
        <v>10390</v>
      </c>
      <c r="C9326" s="801" t="s">
        <v>656</v>
      </c>
      <c r="D9326" s="803">
        <v>19.079999999999998</v>
      </c>
    </row>
    <row r="9327" spans="1:4" ht="51">
      <c r="A9327" s="801">
        <v>38153</v>
      </c>
      <c r="B9327" s="802" t="s">
        <v>10391</v>
      </c>
      <c r="C9327" s="801" t="s">
        <v>663</v>
      </c>
      <c r="D9327" s="803">
        <v>48.75</v>
      </c>
    </row>
    <row r="9328" spans="1:4" ht="63.75">
      <c r="A9328" s="801">
        <v>43607</v>
      </c>
      <c r="B9328" s="802" t="s">
        <v>10392</v>
      </c>
      <c r="C9328" s="801" t="s">
        <v>663</v>
      </c>
      <c r="D9328" s="803">
        <v>92.21</v>
      </c>
    </row>
    <row r="9329" spans="1:4" ht="51">
      <c r="A9329" s="801">
        <v>3080</v>
      </c>
      <c r="B9329" s="802" t="s">
        <v>10393</v>
      </c>
      <c r="C9329" s="801" t="s">
        <v>663</v>
      </c>
      <c r="D9329" s="803">
        <v>62</v>
      </c>
    </row>
    <row r="9330" spans="1:4" ht="51">
      <c r="A9330" s="801">
        <v>3081</v>
      </c>
      <c r="B9330" s="802" t="s">
        <v>10394</v>
      </c>
      <c r="C9330" s="801" t="s">
        <v>663</v>
      </c>
      <c r="D9330" s="803">
        <v>122.66</v>
      </c>
    </row>
    <row r="9331" spans="1:4" ht="51">
      <c r="A9331" s="801">
        <v>3090</v>
      </c>
      <c r="B9331" s="802" t="s">
        <v>10395</v>
      </c>
      <c r="C9331" s="801" t="s">
        <v>663</v>
      </c>
      <c r="D9331" s="803">
        <v>55.34</v>
      </c>
    </row>
    <row r="9332" spans="1:4" ht="51">
      <c r="A9332" s="801">
        <v>43611</v>
      </c>
      <c r="B9332" s="802" t="s">
        <v>10396</v>
      </c>
      <c r="C9332" s="801" t="s">
        <v>663</v>
      </c>
      <c r="D9332" s="803">
        <v>91.83</v>
      </c>
    </row>
    <row r="9333" spans="1:4" ht="51">
      <c r="A9333" s="801">
        <v>3103</v>
      </c>
      <c r="B9333" s="802" t="s">
        <v>10397</v>
      </c>
      <c r="C9333" s="801" t="s">
        <v>656</v>
      </c>
      <c r="D9333" s="803">
        <v>45.88</v>
      </c>
    </row>
    <row r="9334" spans="1:4" ht="51">
      <c r="A9334" s="801">
        <v>3097</v>
      </c>
      <c r="B9334" s="802" t="s">
        <v>10398</v>
      </c>
      <c r="C9334" s="801" t="s">
        <v>663</v>
      </c>
      <c r="D9334" s="803">
        <v>69.42</v>
      </c>
    </row>
    <row r="9335" spans="1:4" ht="51">
      <c r="A9335" s="801">
        <v>3099</v>
      </c>
      <c r="B9335" s="802" t="s">
        <v>10399</v>
      </c>
      <c r="C9335" s="801" t="s">
        <v>663</v>
      </c>
      <c r="D9335" s="803">
        <v>111.15</v>
      </c>
    </row>
    <row r="9336" spans="1:4" ht="51">
      <c r="A9336" s="801">
        <v>38151</v>
      </c>
      <c r="B9336" s="802" t="s">
        <v>10400</v>
      </c>
      <c r="C9336" s="801" t="s">
        <v>663</v>
      </c>
      <c r="D9336" s="803">
        <v>80.58</v>
      </c>
    </row>
    <row r="9337" spans="1:4" ht="51">
      <c r="A9337" s="801">
        <v>38152</v>
      </c>
      <c r="B9337" s="802" t="s">
        <v>10401</v>
      </c>
      <c r="C9337" s="801" t="s">
        <v>663</v>
      </c>
      <c r="D9337" s="803">
        <v>129.99</v>
      </c>
    </row>
    <row r="9338" spans="1:4" ht="63.75">
      <c r="A9338" s="801">
        <v>43610</v>
      </c>
      <c r="B9338" s="802" t="s">
        <v>10402</v>
      </c>
      <c r="C9338" s="801" t="s">
        <v>663</v>
      </c>
      <c r="D9338" s="803">
        <v>68.88</v>
      </c>
    </row>
    <row r="9339" spans="1:4" ht="51">
      <c r="A9339" s="801">
        <v>3093</v>
      </c>
      <c r="B9339" s="802" t="s">
        <v>10403</v>
      </c>
      <c r="C9339" s="801" t="s">
        <v>663</v>
      </c>
      <c r="D9339" s="803">
        <v>111.15</v>
      </c>
    </row>
    <row r="9340" spans="1:4" ht="38.25">
      <c r="A9340" s="801">
        <v>38165</v>
      </c>
      <c r="B9340" s="802" t="s">
        <v>10404</v>
      </c>
      <c r="C9340" s="801" t="s">
        <v>663</v>
      </c>
      <c r="D9340" s="803">
        <v>74.11</v>
      </c>
    </row>
    <row r="9341" spans="1:4" ht="25.5">
      <c r="A9341" s="801">
        <v>38177</v>
      </c>
      <c r="B9341" s="802" t="s">
        <v>10405</v>
      </c>
      <c r="C9341" s="801" t="s">
        <v>656</v>
      </c>
      <c r="D9341" s="803">
        <v>22.02</v>
      </c>
    </row>
    <row r="9342" spans="1:4" ht="25.5">
      <c r="A9342" s="801">
        <v>11458</v>
      </c>
      <c r="B9342" s="802" t="s">
        <v>10406</v>
      </c>
      <c r="C9342" s="801" t="s">
        <v>656</v>
      </c>
      <c r="D9342" s="803">
        <v>26.29</v>
      </c>
    </row>
    <row r="9343" spans="1:4" ht="51">
      <c r="A9343" s="801">
        <v>3108</v>
      </c>
      <c r="B9343" s="802" t="s">
        <v>10407</v>
      </c>
      <c r="C9343" s="801" t="s">
        <v>656</v>
      </c>
      <c r="D9343" s="803">
        <v>111.76</v>
      </c>
    </row>
    <row r="9344" spans="1:4" ht="51">
      <c r="A9344" s="801">
        <v>3105</v>
      </c>
      <c r="B9344" s="802" t="s">
        <v>10408</v>
      </c>
      <c r="C9344" s="801" t="s">
        <v>656</v>
      </c>
      <c r="D9344" s="803">
        <v>146.18</v>
      </c>
    </row>
    <row r="9345" spans="1:4" ht="38.25">
      <c r="A9345" s="801">
        <v>38178</v>
      </c>
      <c r="B9345" s="802" t="s">
        <v>10409</v>
      </c>
      <c r="C9345" s="801" t="s">
        <v>656</v>
      </c>
      <c r="D9345" s="803">
        <v>24.23</v>
      </c>
    </row>
    <row r="9346" spans="1:4" ht="38.25">
      <c r="A9346" s="801">
        <v>43575</v>
      </c>
      <c r="B9346" s="802" t="s">
        <v>10410</v>
      </c>
      <c r="C9346" s="801" t="s">
        <v>656</v>
      </c>
      <c r="D9346" s="803">
        <v>52.5</v>
      </c>
    </row>
    <row r="9347" spans="1:4" ht="38.25">
      <c r="A9347" s="801">
        <v>43577</v>
      </c>
      <c r="B9347" s="802" t="s">
        <v>10411</v>
      </c>
      <c r="C9347" s="801" t="s">
        <v>656</v>
      </c>
      <c r="D9347" s="803">
        <v>91.27</v>
      </c>
    </row>
    <row r="9348" spans="1:4" ht="25.5">
      <c r="A9348" s="801">
        <v>43458</v>
      </c>
      <c r="B9348" s="802" t="s">
        <v>10412</v>
      </c>
      <c r="C9348" s="801" t="s">
        <v>659</v>
      </c>
      <c r="D9348" s="803">
        <v>0.05</v>
      </c>
    </row>
    <row r="9349" spans="1:4" ht="25.5">
      <c r="A9349" s="801">
        <v>43470</v>
      </c>
      <c r="B9349" s="802" t="s">
        <v>10413</v>
      </c>
      <c r="C9349" s="801" t="s">
        <v>772</v>
      </c>
      <c r="D9349" s="803">
        <v>9.2100000000000009</v>
      </c>
    </row>
    <row r="9350" spans="1:4" ht="25.5">
      <c r="A9350" s="801">
        <v>43459</v>
      </c>
      <c r="B9350" s="802" t="s">
        <v>4667</v>
      </c>
      <c r="C9350" s="801" t="s">
        <v>659</v>
      </c>
      <c r="D9350" s="803">
        <v>0.45</v>
      </c>
    </row>
    <row r="9351" spans="1:4" ht="25.5">
      <c r="A9351" s="801">
        <v>43471</v>
      </c>
      <c r="B9351" s="802" t="s">
        <v>10414</v>
      </c>
      <c r="C9351" s="801" t="s">
        <v>772</v>
      </c>
      <c r="D9351" s="803">
        <v>84.46</v>
      </c>
    </row>
    <row r="9352" spans="1:4" ht="25.5">
      <c r="A9352" s="801">
        <v>43460</v>
      </c>
      <c r="B9352" s="802" t="s">
        <v>4668</v>
      </c>
      <c r="C9352" s="801" t="s">
        <v>659</v>
      </c>
      <c r="D9352" s="803">
        <v>0.78</v>
      </c>
    </row>
    <row r="9353" spans="1:4" ht="25.5">
      <c r="A9353" s="801">
        <v>43472</v>
      </c>
      <c r="B9353" s="802" t="s">
        <v>10415</v>
      </c>
      <c r="C9353" s="801" t="s">
        <v>772</v>
      </c>
      <c r="D9353" s="803">
        <v>147.22999999999999</v>
      </c>
    </row>
    <row r="9354" spans="1:4" ht="25.5">
      <c r="A9354" s="801">
        <v>43461</v>
      </c>
      <c r="B9354" s="802" t="s">
        <v>4669</v>
      </c>
      <c r="C9354" s="801" t="s">
        <v>659</v>
      </c>
      <c r="D9354" s="803">
        <v>0.32</v>
      </c>
    </row>
    <row r="9355" spans="1:4" ht="25.5">
      <c r="A9355" s="801">
        <v>43473</v>
      </c>
      <c r="B9355" s="802" t="s">
        <v>10416</v>
      </c>
      <c r="C9355" s="801" t="s">
        <v>772</v>
      </c>
      <c r="D9355" s="803">
        <v>60.93</v>
      </c>
    </row>
    <row r="9356" spans="1:4" ht="25.5">
      <c r="A9356" s="801">
        <v>43463</v>
      </c>
      <c r="B9356" s="802" t="s">
        <v>4670</v>
      </c>
      <c r="C9356" s="801" t="s">
        <v>659</v>
      </c>
      <c r="D9356" s="803">
        <v>0.1</v>
      </c>
    </row>
    <row r="9357" spans="1:4" ht="25.5">
      <c r="A9357" s="801">
        <v>43475</v>
      </c>
      <c r="B9357" s="802" t="s">
        <v>10417</v>
      </c>
      <c r="C9357" s="801" t="s">
        <v>772</v>
      </c>
      <c r="D9357" s="803">
        <v>18.579999999999998</v>
      </c>
    </row>
    <row r="9358" spans="1:4" ht="25.5">
      <c r="A9358" s="801">
        <v>43462</v>
      </c>
      <c r="B9358" s="802" t="s">
        <v>4671</v>
      </c>
      <c r="C9358" s="801" t="s">
        <v>659</v>
      </c>
      <c r="D9358" s="803">
        <v>0.01</v>
      </c>
    </row>
    <row r="9359" spans="1:4" ht="25.5">
      <c r="A9359" s="801">
        <v>43474</v>
      </c>
      <c r="B9359" s="802" t="s">
        <v>10418</v>
      </c>
      <c r="C9359" s="801" t="s">
        <v>772</v>
      </c>
      <c r="D9359" s="803">
        <v>1.9</v>
      </c>
    </row>
    <row r="9360" spans="1:4" ht="25.5">
      <c r="A9360" s="801">
        <v>43464</v>
      </c>
      <c r="B9360" s="802" t="s">
        <v>4672</v>
      </c>
      <c r="C9360" s="801" t="s">
        <v>659</v>
      </c>
      <c r="D9360" s="803">
        <v>0.01</v>
      </c>
    </row>
    <row r="9361" spans="1:4" ht="25.5">
      <c r="A9361" s="801">
        <v>43476</v>
      </c>
      <c r="B9361" s="802" t="s">
        <v>10419</v>
      </c>
      <c r="C9361" s="801" t="s">
        <v>772</v>
      </c>
      <c r="D9361" s="803">
        <v>0.01</v>
      </c>
    </row>
    <row r="9362" spans="1:4" ht="25.5">
      <c r="A9362" s="801">
        <v>43465</v>
      </c>
      <c r="B9362" s="802" t="s">
        <v>4673</v>
      </c>
      <c r="C9362" s="801" t="s">
        <v>659</v>
      </c>
      <c r="D9362" s="803">
        <v>0.74</v>
      </c>
    </row>
    <row r="9363" spans="1:4" ht="25.5">
      <c r="A9363" s="801">
        <v>43477</v>
      </c>
      <c r="B9363" s="802" t="s">
        <v>10420</v>
      </c>
      <c r="C9363" s="801" t="s">
        <v>772</v>
      </c>
      <c r="D9363" s="803">
        <v>139.44</v>
      </c>
    </row>
    <row r="9364" spans="1:4" ht="25.5">
      <c r="A9364" s="801">
        <v>43466</v>
      </c>
      <c r="B9364" s="802" t="s">
        <v>4674</v>
      </c>
      <c r="C9364" s="801" t="s">
        <v>659</v>
      </c>
      <c r="D9364" s="803">
        <v>1.48</v>
      </c>
    </row>
    <row r="9365" spans="1:4" ht="25.5">
      <c r="A9365" s="801">
        <v>43478</v>
      </c>
      <c r="B9365" s="802" t="s">
        <v>10421</v>
      </c>
      <c r="C9365" s="801" t="s">
        <v>772</v>
      </c>
      <c r="D9365" s="803">
        <v>279.08999999999997</v>
      </c>
    </row>
    <row r="9366" spans="1:4" ht="25.5">
      <c r="A9366" s="801">
        <v>43467</v>
      </c>
      <c r="B9366" s="802" t="s">
        <v>4675</v>
      </c>
      <c r="C9366" s="801" t="s">
        <v>659</v>
      </c>
      <c r="D9366" s="803">
        <v>0.56000000000000005</v>
      </c>
    </row>
    <row r="9367" spans="1:4" ht="25.5">
      <c r="A9367" s="801">
        <v>43479</v>
      </c>
      <c r="B9367" s="802" t="s">
        <v>10422</v>
      </c>
      <c r="C9367" s="801" t="s">
        <v>772</v>
      </c>
      <c r="D9367" s="803">
        <v>106.33</v>
      </c>
    </row>
    <row r="9368" spans="1:4" ht="25.5">
      <c r="A9368" s="801">
        <v>43468</v>
      </c>
      <c r="B9368" s="802" t="s">
        <v>4676</v>
      </c>
      <c r="C9368" s="801" t="s">
        <v>659</v>
      </c>
      <c r="D9368" s="803">
        <v>1.07</v>
      </c>
    </row>
    <row r="9369" spans="1:4" ht="25.5">
      <c r="A9369" s="801">
        <v>43480</v>
      </c>
      <c r="B9369" s="802" t="s">
        <v>10423</v>
      </c>
      <c r="C9369" s="801" t="s">
        <v>772</v>
      </c>
      <c r="D9369" s="803">
        <v>201.56</v>
      </c>
    </row>
    <row r="9370" spans="1:4" ht="25.5">
      <c r="A9370" s="801">
        <v>43469</v>
      </c>
      <c r="B9370" s="802" t="s">
        <v>4677</v>
      </c>
      <c r="C9370" s="801" t="s">
        <v>659</v>
      </c>
      <c r="D9370" s="803">
        <v>7.0000000000000007E-2</v>
      </c>
    </row>
    <row r="9371" spans="1:4" ht="25.5">
      <c r="A9371" s="801">
        <v>43481</v>
      </c>
      <c r="B9371" s="802" t="s">
        <v>10424</v>
      </c>
      <c r="C9371" s="801" t="s">
        <v>772</v>
      </c>
      <c r="D9371" s="803">
        <v>13.21</v>
      </c>
    </row>
    <row r="9372" spans="1:4" ht="51">
      <c r="A9372" s="801">
        <v>3119</v>
      </c>
      <c r="B9372" s="802" t="s">
        <v>10425</v>
      </c>
      <c r="C9372" s="801" t="s">
        <v>656</v>
      </c>
      <c r="D9372" s="803">
        <v>2.84</v>
      </c>
    </row>
    <row r="9373" spans="1:4" ht="38.25">
      <c r="A9373" s="801">
        <v>3122</v>
      </c>
      <c r="B9373" s="802" t="s">
        <v>10426</v>
      </c>
      <c r="C9373" s="801" t="s">
        <v>656</v>
      </c>
      <c r="D9373" s="803">
        <v>5.79</v>
      </c>
    </row>
    <row r="9374" spans="1:4" ht="38.25">
      <c r="A9374" s="801">
        <v>3121</v>
      </c>
      <c r="B9374" s="802" t="s">
        <v>10427</v>
      </c>
      <c r="C9374" s="801" t="s">
        <v>656</v>
      </c>
      <c r="D9374" s="803">
        <v>6.56</v>
      </c>
    </row>
    <row r="9375" spans="1:4" ht="38.25">
      <c r="A9375" s="801">
        <v>3120</v>
      </c>
      <c r="B9375" s="802" t="s">
        <v>10428</v>
      </c>
      <c r="C9375" s="801" t="s">
        <v>656</v>
      </c>
      <c r="D9375" s="803">
        <v>12.44</v>
      </c>
    </row>
    <row r="9376" spans="1:4" ht="38.25">
      <c r="A9376" s="801">
        <v>11455</v>
      </c>
      <c r="B9376" s="802" t="s">
        <v>10429</v>
      </c>
      <c r="C9376" s="801" t="s">
        <v>656</v>
      </c>
      <c r="D9376" s="803">
        <v>18</v>
      </c>
    </row>
    <row r="9377" spans="1:4" ht="38.25">
      <c r="A9377" s="801">
        <v>11456</v>
      </c>
      <c r="B9377" s="802" t="s">
        <v>10430</v>
      </c>
      <c r="C9377" s="801" t="s">
        <v>656</v>
      </c>
      <c r="D9377" s="803">
        <v>21.51</v>
      </c>
    </row>
    <row r="9378" spans="1:4" ht="51">
      <c r="A9378" s="801">
        <v>3107</v>
      </c>
      <c r="B9378" s="802" t="s">
        <v>10431</v>
      </c>
      <c r="C9378" s="801" t="s">
        <v>656</v>
      </c>
      <c r="D9378" s="803">
        <v>9.07</v>
      </c>
    </row>
    <row r="9379" spans="1:4" ht="51">
      <c r="A9379" s="801">
        <v>43583</v>
      </c>
      <c r="B9379" s="802" t="s">
        <v>10432</v>
      </c>
      <c r="C9379" s="801" t="s">
        <v>656</v>
      </c>
      <c r="D9379" s="803">
        <v>10.23</v>
      </c>
    </row>
    <row r="9380" spans="1:4" ht="51">
      <c r="A9380" s="801">
        <v>43586</v>
      </c>
      <c r="B9380" s="802" t="s">
        <v>10433</v>
      </c>
      <c r="C9380" s="801" t="s">
        <v>656</v>
      </c>
      <c r="D9380" s="803">
        <v>10.49</v>
      </c>
    </row>
    <row r="9381" spans="1:4" ht="51">
      <c r="A9381" s="801">
        <v>11461</v>
      </c>
      <c r="B9381" s="802" t="s">
        <v>10434</v>
      </c>
      <c r="C9381" s="801" t="s">
        <v>656</v>
      </c>
      <c r="D9381" s="803">
        <v>11.43</v>
      </c>
    </row>
    <row r="9382" spans="1:4" ht="51">
      <c r="A9382" s="801">
        <v>43587</v>
      </c>
      <c r="B9382" s="802" t="s">
        <v>10435</v>
      </c>
      <c r="C9382" s="801" t="s">
        <v>656</v>
      </c>
      <c r="D9382" s="803">
        <v>13.19</v>
      </c>
    </row>
    <row r="9383" spans="1:4" ht="51">
      <c r="A9383" s="801">
        <v>3106</v>
      </c>
      <c r="B9383" s="802" t="s">
        <v>10436</v>
      </c>
      <c r="C9383" s="801" t="s">
        <v>656</v>
      </c>
      <c r="D9383" s="803">
        <v>16.73</v>
      </c>
    </row>
    <row r="9384" spans="1:4">
      <c r="A9384" s="801">
        <v>44539</v>
      </c>
      <c r="B9384" s="802" t="s">
        <v>10437</v>
      </c>
      <c r="C9384" s="801" t="s">
        <v>653</v>
      </c>
      <c r="D9384" s="803">
        <v>3.64</v>
      </c>
    </row>
    <row r="9385" spans="1:4">
      <c r="A9385" s="801">
        <v>3123</v>
      </c>
      <c r="B9385" s="802" t="s">
        <v>10438</v>
      </c>
      <c r="C9385" s="801" t="s">
        <v>653</v>
      </c>
      <c r="D9385" s="803">
        <v>3.4</v>
      </c>
    </row>
    <row r="9386" spans="1:4">
      <c r="A9386" s="801">
        <v>38125</v>
      </c>
      <c r="B9386" s="802" t="s">
        <v>10439</v>
      </c>
      <c r="C9386" s="801" t="s">
        <v>653</v>
      </c>
      <c r="D9386" s="803">
        <v>1.1399999999999999</v>
      </c>
    </row>
    <row r="9387" spans="1:4" ht="38.25">
      <c r="A9387" s="801">
        <v>39014</v>
      </c>
      <c r="B9387" s="802" t="s">
        <v>4678</v>
      </c>
      <c r="C9387" s="801" t="s">
        <v>653</v>
      </c>
      <c r="D9387" s="803">
        <v>9.9</v>
      </c>
    </row>
    <row r="9388" spans="1:4" ht="25.5">
      <c r="A9388" s="801">
        <v>39365</v>
      </c>
      <c r="B9388" s="802" t="s">
        <v>10440</v>
      </c>
      <c r="C9388" s="801" t="s">
        <v>656</v>
      </c>
      <c r="D9388" s="803">
        <v>1161.3800000000001</v>
      </c>
    </row>
    <row r="9389" spans="1:4" ht="25.5">
      <c r="A9389" s="801">
        <v>39366</v>
      </c>
      <c r="B9389" s="802" t="s">
        <v>10441</v>
      </c>
      <c r="C9389" s="801" t="s">
        <v>656</v>
      </c>
      <c r="D9389" s="803">
        <v>2973.62</v>
      </c>
    </row>
    <row r="9390" spans="1:4" ht="25.5">
      <c r="A9390" s="801">
        <v>39367</v>
      </c>
      <c r="B9390" s="802" t="s">
        <v>10442</v>
      </c>
      <c r="C9390" s="801" t="s">
        <v>656</v>
      </c>
      <c r="D9390" s="803">
        <v>4064.4</v>
      </c>
    </row>
    <row r="9391" spans="1:4" ht="25.5">
      <c r="A9391" s="801">
        <v>37394</v>
      </c>
      <c r="B9391" s="802" t="s">
        <v>10443</v>
      </c>
      <c r="C9391" s="801" t="s">
        <v>773</v>
      </c>
      <c r="D9391" s="803">
        <v>43.05</v>
      </c>
    </row>
    <row r="9392" spans="1:4">
      <c r="A9392" s="801">
        <v>14146</v>
      </c>
      <c r="B9392" s="802" t="s">
        <v>10444</v>
      </c>
      <c r="C9392" s="801" t="s">
        <v>773</v>
      </c>
      <c r="D9392" s="803">
        <v>69.239999999999995</v>
      </c>
    </row>
    <row r="9393" spans="1:4">
      <c r="A9393" s="801">
        <v>38134</v>
      </c>
      <c r="B9393" s="802" t="s">
        <v>10445</v>
      </c>
      <c r="C9393" s="801" t="s">
        <v>653</v>
      </c>
      <c r="D9393" s="803">
        <v>90.59</v>
      </c>
    </row>
    <row r="9394" spans="1:4">
      <c r="A9394" s="801">
        <v>38132</v>
      </c>
      <c r="B9394" s="802" t="s">
        <v>10446</v>
      </c>
      <c r="C9394" s="801" t="s">
        <v>653</v>
      </c>
      <c r="D9394" s="803">
        <v>92.4</v>
      </c>
    </row>
    <row r="9395" spans="1:4">
      <c r="A9395" s="801">
        <v>38133</v>
      </c>
      <c r="B9395" s="802" t="s">
        <v>10447</v>
      </c>
      <c r="C9395" s="801" t="s">
        <v>653</v>
      </c>
      <c r="D9395" s="803">
        <v>89.37</v>
      </c>
    </row>
    <row r="9396" spans="1:4" ht="25.5">
      <c r="A9396" s="801">
        <v>938</v>
      </c>
      <c r="B9396" s="802" t="s">
        <v>10448</v>
      </c>
      <c r="C9396" s="801" t="s">
        <v>660</v>
      </c>
      <c r="D9396" s="803">
        <v>1.59</v>
      </c>
    </row>
    <row r="9397" spans="1:4" ht="25.5">
      <c r="A9397" s="801">
        <v>937</v>
      </c>
      <c r="B9397" s="802" t="s">
        <v>10449</v>
      </c>
      <c r="C9397" s="801" t="s">
        <v>660</v>
      </c>
      <c r="D9397" s="803">
        <v>9.82</v>
      </c>
    </row>
    <row r="9398" spans="1:4" ht="25.5">
      <c r="A9398" s="801">
        <v>939</v>
      </c>
      <c r="B9398" s="802" t="s">
        <v>10450</v>
      </c>
      <c r="C9398" s="801" t="s">
        <v>660</v>
      </c>
      <c r="D9398" s="803">
        <v>2.54</v>
      </c>
    </row>
    <row r="9399" spans="1:4" ht="25.5">
      <c r="A9399" s="801">
        <v>944</v>
      </c>
      <c r="B9399" s="802" t="s">
        <v>10451</v>
      </c>
      <c r="C9399" s="801" t="s">
        <v>660</v>
      </c>
      <c r="D9399" s="803">
        <v>4.34</v>
      </c>
    </row>
    <row r="9400" spans="1:4" ht="25.5">
      <c r="A9400" s="801">
        <v>940</v>
      </c>
      <c r="B9400" s="802" t="s">
        <v>10452</v>
      </c>
      <c r="C9400" s="801" t="s">
        <v>660</v>
      </c>
      <c r="D9400" s="803">
        <v>6.01</v>
      </c>
    </row>
    <row r="9401" spans="1:4" ht="25.5">
      <c r="A9401" s="801">
        <v>936</v>
      </c>
      <c r="B9401" s="802" t="s">
        <v>10453</v>
      </c>
      <c r="C9401" s="801" t="s">
        <v>660</v>
      </c>
      <c r="D9401" s="803">
        <v>2.12</v>
      </c>
    </row>
    <row r="9402" spans="1:4" ht="25.5">
      <c r="A9402" s="801">
        <v>935</v>
      </c>
      <c r="B9402" s="802" t="s">
        <v>10454</v>
      </c>
      <c r="C9402" s="801" t="s">
        <v>660</v>
      </c>
      <c r="D9402" s="803">
        <v>1.61</v>
      </c>
    </row>
    <row r="9403" spans="1:4" ht="25.5">
      <c r="A9403" s="801">
        <v>44397</v>
      </c>
      <c r="B9403" s="802" t="s">
        <v>10455</v>
      </c>
      <c r="C9403" s="801" t="s">
        <v>660</v>
      </c>
      <c r="D9403" s="803">
        <v>1.52</v>
      </c>
    </row>
    <row r="9404" spans="1:4" ht="25.5">
      <c r="A9404" s="801">
        <v>406</v>
      </c>
      <c r="B9404" s="802" t="s">
        <v>10456</v>
      </c>
      <c r="C9404" s="801" t="s">
        <v>656</v>
      </c>
      <c r="D9404" s="803">
        <v>98.58</v>
      </c>
    </row>
    <row r="9405" spans="1:4" ht="25.5">
      <c r="A9405" s="801">
        <v>42529</v>
      </c>
      <c r="B9405" s="802" t="s">
        <v>10457</v>
      </c>
      <c r="C9405" s="801" t="s">
        <v>660</v>
      </c>
      <c r="D9405" s="803">
        <v>1.33</v>
      </c>
    </row>
    <row r="9406" spans="1:4" ht="25.5">
      <c r="A9406" s="801">
        <v>39634</v>
      </c>
      <c r="B9406" s="802" t="s">
        <v>10458</v>
      </c>
      <c r="C9406" s="801" t="s">
        <v>660</v>
      </c>
      <c r="D9406" s="803">
        <v>9.74</v>
      </c>
    </row>
    <row r="9407" spans="1:4" ht="25.5">
      <c r="A9407" s="801">
        <v>39701</v>
      </c>
      <c r="B9407" s="802" t="s">
        <v>10459</v>
      </c>
      <c r="C9407" s="801" t="s">
        <v>656</v>
      </c>
      <c r="D9407" s="803">
        <v>92.21</v>
      </c>
    </row>
    <row r="9408" spans="1:4">
      <c r="A9408" s="801">
        <v>12815</v>
      </c>
      <c r="B9408" s="802" t="s">
        <v>4679</v>
      </c>
      <c r="C9408" s="801" t="s">
        <v>656</v>
      </c>
      <c r="D9408" s="803">
        <v>9.02</v>
      </c>
    </row>
    <row r="9409" spans="1:4" ht="25.5">
      <c r="A9409" s="801">
        <v>407</v>
      </c>
      <c r="B9409" s="802" t="s">
        <v>10460</v>
      </c>
      <c r="C9409" s="801" t="s">
        <v>653</v>
      </c>
      <c r="D9409" s="803">
        <v>64.89</v>
      </c>
    </row>
    <row r="9410" spans="1:4" ht="25.5">
      <c r="A9410" s="801">
        <v>39431</v>
      </c>
      <c r="B9410" s="802" t="s">
        <v>10461</v>
      </c>
      <c r="C9410" s="801" t="s">
        <v>660</v>
      </c>
      <c r="D9410" s="803">
        <v>0.33</v>
      </c>
    </row>
    <row r="9411" spans="1:4" ht="25.5">
      <c r="A9411" s="801">
        <v>39432</v>
      </c>
      <c r="B9411" s="802" t="s">
        <v>10462</v>
      </c>
      <c r="C9411" s="801" t="s">
        <v>660</v>
      </c>
      <c r="D9411" s="803">
        <v>2.97</v>
      </c>
    </row>
    <row r="9412" spans="1:4" ht="25.5">
      <c r="A9412" s="801">
        <v>20111</v>
      </c>
      <c r="B9412" s="802" t="s">
        <v>10463</v>
      </c>
      <c r="C9412" s="801" t="s">
        <v>656</v>
      </c>
      <c r="D9412" s="803">
        <v>10.45</v>
      </c>
    </row>
    <row r="9413" spans="1:4" ht="25.5">
      <c r="A9413" s="801">
        <v>21127</v>
      </c>
      <c r="B9413" s="802" t="s">
        <v>4680</v>
      </c>
      <c r="C9413" s="801" t="s">
        <v>656</v>
      </c>
      <c r="D9413" s="803">
        <v>3.95</v>
      </c>
    </row>
    <row r="9414" spans="1:4" ht="25.5">
      <c r="A9414" s="801">
        <v>404</v>
      </c>
      <c r="B9414" s="802" t="s">
        <v>10464</v>
      </c>
      <c r="C9414" s="801" t="s">
        <v>660</v>
      </c>
      <c r="D9414" s="803">
        <v>1.42</v>
      </c>
    </row>
    <row r="9415" spans="1:4" ht="25.5">
      <c r="A9415" s="801">
        <v>14151</v>
      </c>
      <c r="B9415" s="802" t="s">
        <v>10465</v>
      </c>
      <c r="C9415" s="801" t="s">
        <v>656</v>
      </c>
      <c r="D9415" s="803">
        <v>49.76</v>
      </c>
    </row>
    <row r="9416" spans="1:4" ht="25.5">
      <c r="A9416" s="801">
        <v>14153</v>
      </c>
      <c r="B9416" s="802" t="s">
        <v>10466</v>
      </c>
      <c r="C9416" s="801" t="s">
        <v>656</v>
      </c>
      <c r="D9416" s="803">
        <v>56.25</v>
      </c>
    </row>
    <row r="9417" spans="1:4" ht="25.5">
      <c r="A9417" s="801">
        <v>14152</v>
      </c>
      <c r="B9417" s="802" t="s">
        <v>10467</v>
      </c>
      <c r="C9417" s="801" t="s">
        <v>656</v>
      </c>
      <c r="D9417" s="803">
        <v>43.18</v>
      </c>
    </row>
    <row r="9418" spans="1:4" ht="25.5">
      <c r="A9418" s="801">
        <v>14154</v>
      </c>
      <c r="B9418" s="802" t="s">
        <v>10468</v>
      </c>
      <c r="C9418" s="801" t="s">
        <v>656</v>
      </c>
      <c r="D9418" s="803">
        <v>151.15</v>
      </c>
    </row>
    <row r="9419" spans="1:4">
      <c r="A9419" s="801">
        <v>3146</v>
      </c>
      <c r="B9419" s="802" t="s">
        <v>4681</v>
      </c>
      <c r="C9419" s="801" t="s">
        <v>656</v>
      </c>
      <c r="D9419" s="803">
        <v>5</v>
      </c>
    </row>
    <row r="9420" spans="1:4">
      <c r="A9420" s="801">
        <v>3143</v>
      </c>
      <c r="B9420" s="802" t="s">
        <v>10469</v>
      </c>
      <c r="C9420" s="801" t="s">
        <v>656</v>
      </c>
      <c r="D9420" s="803">
        <v>11.37</v>
      </c>
    </row>
    <row r="9421" spans="1:4">
      <c r="A9421" s="801">
        <v>3148</v>
      </c>
      <c r="B9421" s="802" t="s">
        <v>4682</v>
      </c>
      <c r="C9421" s="801" t="s">
        <v>656</v>
      </c>
      <c r="D9421" s="803">
        <v>18.440000000000001</v>
      </c>
    </row>
    <row r="9422" spans="1:4" ht="25.5">
      <c r="A9422" s="801">
        <v>4310</v>
      </c>
      <c r="B9422" s="802" t="s">
        <v>10470</v>
      </c>
      <c r="C9422" s="801" t="s">
        <v>656</v>
      </c>
      <c r="D9422" s="803">
        <v>3.02</v>
      </c>
    </row>
    <row r="9423" spans="1:4" ht="25.5">
      <c r="A9423" s="801">
        <v>4311</v>
      </c>
      <c r="B9423" s="802" t="s">
        <v>10471</v>
      </c>
      <c r="C9423" s="801" t="s">
        <v>656</v>
      </c>
      <c r="D9423" s="803">
        <v>2.12</v>
      </c>
    </row>
    <row r="9424" spans="1:4" ht="25.5">
      <c r="A9424" s="801">
        <v>4312</v>
      </c>
      <c r="B9424" s="802" t="s">
        <v>10472</v>
      </c>
      <c r="C9424" s="801" t="s">
        <v>656</v>
      </c>
      <c r="D9424" s="803">
        <v>2.97</v>
      </c>
    </row>
    <row r="9425" spans="1:4">
      <c r="A9425" s="801">
        <v>13261</v>
      </c>
      <c r="B9425" s="802" t="s">
        <v>10473</v>
      </c>
      <c r="C9425" s="801" t="s">
        <v>656</v>
      </c>
      <c r="D9425" s="803">
        <v>4.26</v>
      </c>
    </row>
    <row r="9426" spans="1:4">
      <c r="A9426" s="801">
        <v>3255</v>
      </c>
      <c r="B9426" s="802" t="s">
        <v>10474</v>
      </c>
      <c r="C9426" s="801" t="s">
        <v>656</v>
      </c>
      <c r="D9426" s="803">
        <v>8.19</v>
      </c>
    </row>
    <row r="9427" spans="1:4">
      <c r="A9427" s="801">
        <v>3254</v>
      </c>
      <c r="B9427" s="802" t="s">
        <v>10475</v>
      </c>
      <c r="C9427" s="801" t="s">
        <v>656</v>
      </c>
      <c r="D9427" s="803">
        <v>133.01</v>
      </c>
    </row>
    <row r="9428" spans="1:4">
      <c r="A9428" s="801">
        <v>3259</v>
      </c>
      <c r="B9428" s="802" t="s">
        <v>10476</v>
      </c>
      <c r="C9428" s="801" t="s">
        <v>656</v>
      </c>
      <c r="D9428" s="803">
        <v>15.98</v>
      </c>
    </row>
    <row r="9429" spans="1:4">
      <c r="A9429" s="801">
        <v>3258</v>
      </c>
      <c r="B9429" s="802" t="s">
        <v>10477</v>
      </c>
      <c r="C9429" s="801" t="s">
        <v>656</v>
      </c>
      <c r="D9429" s="803">
        <v>9.66</v>
      </c>
    </row>
    <row r="9430" spans="1:4">
      <c r="A9430" s="801">
        <v>3251</v>
      </c>
      <c r="B9430" s="802" t="s">
        <v>10478</v>
      </c>
      <c r="C9430" s="801" t="s">
        <v>656</v>
      </c>
      <c r="D9430" s="803">
        <v>5.69</v>
      </c>
    </row>
    <row r="9431" spans="1:4">
      <c r="A9431" s="801">
        <v>3256</v>
      </c>
      <c r="B9431" s="802" t="s">
        <v>10479</v>
      </c>
      <c r="C9431" s="801" t="s">
        <v>656</v>
      </c>
      <c r="D9431" s="803">
        <v>10.78</v>
      </c>
    </row>
    <row r="9432" spans="1:4">
      <c r="A9432" s="801">
        <v>3261</v>
      </c>
      <c r="B9432" s="802" t="s">
        <v>10480</v>
      </c>
      <c r="C9432" s="801" t="s">
        <v>656</v>
      </c>
      <c r="D9432" s="803">
        <v>117.63</v>
      </c>
    </row>
    <row r="9433" spans="1:4">
      <c r="A9433" s="801">
        <v>3260</v>
      </c>
      <c r="B9433" s="802" t="s">
        <v>10481</v>
      </c>
      <c r="C9433" s="801" t="s">
        <v>656</v>
      </c>
      <c r="D9433" s="803">
        <v>20.21</v>
      </c>
    </row>
    <row r="9434" spans="1:4" ht="25.5">
      <c r="A9434" s="801">
        <v>3272</v>
      </c>
      <c r="B9434" s="802" t="s">
        <v>10482</v>
      </c>
      <c r="C9434" s="801" t="s">
        <v>656</v>
      </c>
      <c r="D9434" s="803">
        <v>41.69</v>
      </c>
    </row>
    <row r="9435" spans="1:4" ht="25.5">
      <c r="A9435" s="801">
        <v>3265</v>
      </c>
      <c r="B9435" s="802" t="s">
        <v>10483</v>
      </c>
      <c r="C9435" s="801" t="s">
        <v>656</v>
      </c>
      <c r="D9435" s="803">
        <v>33.119999999999997</v>
      </c>
    </row>
    <row r="9436" spans="1:4" ht="25.5">
      <c r="A9436" s="801">
        <v>3262</v>
      </c>
      <c r="B9436" s="802" t="s">
        <v>10484</v>
      </c>
      <c r="C9436" s="801" t="s">
        <v>656</v>
      </c>
      <c r="D9436" s="803">
        <v>14.5</v>
      </c>
    </row>
    <row r="9437" spans="1:4" ht="25.5">
      <c r="A9437" s="801">
        <v>3264</v>
      </c>
      <c r="B9437" s="802" t="s">
        <v>10485</v>
      </c>
      <c r="C9437" s="801" t="s">
        <v>656</v>
      </c>
      <c r="D9437" s="803">
        <v>23.82</v>
      </c>
    </row>
    <row r="9438" spans="1:4" ht="25.5">
      <c r="A9438" s="801">
        <v>3267</v>
      </c>
      <c r="B9438" s="802" t="s">
        <v>10486</v>
      </c>
      <c r="C9438" s="801" t="s">
        <v>656</v>
      </c>
      <c r="D9438" s="803">
        <v>77.790000000000006</v>
      </c>
    </row>
    <row r="9439" spans="1:4" ht="25.5">
      <c r="A9439" s="801">
        <v>3266</v>
      </c>
      <c r="B9439" s="802" t="s">
        <v>10487</v>
      </c>
      <c r="C9439" s="801" t="s">
        <v>656</v>
      </c>
      <c r="D9439" s="803">
        <v>49.49</v>
      </c>
    </row>
    <row r="9440" spans="1:4" ht="25.5">
      <c r="A9440" s="801">
        <v>3263</v>
      </c>
      <c r="B9440" s="802" t="s">
        <v>10488</v>
      </c>
      <c r="C9440" s="801" t="s">
        <v>656</v>
      </c>
      <c r="D9440" s="803">
        <v>19.809999999999999</v>
      </c>
    </row>
    <row r="9441" spans="1:4" ht="25.5">
      <c r="A9441" s="801">
        <v>3268</v>
      </c>
      <c r="B9441" s="802" t="s">
        <v>10489</v>
      </c>
      <c r="C9441" s="801" t="s">
        <v>656</v>
      </c>
      <c r="D9441" s="803">
        <v>105.18</v>
      </c>
    </row>
    <row r="9442" spans="1:4" ht="25.5">
      <c r="A9442" s="801">
        <v>3271</v>
      </c>
      <c r="B9442" s="802" t="s">
        <v>10490</v>
      </c>
      <c r="C9442" s="801" t="s">
        <v>656</v>
      </c>
      <c r="D9442" s="803">
        <v>155.5</v>
      </c>
    </row>
    <row r="9443" spans="1:4" ht="25.5">
      <c r="A9443" s="801">
        <v>3270</v>
      </c>
      <c r="B9443" s="802" t="s">
        <v>10491</v>
      </c>
      <c r="C9443" s="801" t="s">
        <v>656</v>
      </c>
      <c r="D9443" s="803">
        <v>261.25</v>
      </c>
    </row>
    <row r="9444" spans="1:4" ht="38.25">
      <c r="A9444" s="801">
        <v>3275</v>
      </c>
      <c r="B9444" s="802" t="s">
        <v>10492</v>
      </c>
      <c r="C9444" s="801" t="s">
        <v>661</v>
      </c>
      <c r="D9444" s="803">
        <v>149.22999999999999</v>
      </c>
    </row>
    <row r="9445" spans="1:4" ht="38.25">
      <c r="A9445" s="801">
        <v>39512</v>
      </c>
      <c r="B9445" s="802" t="s">
        <v>10493</v>
      </c>
      <c r="C9445" s="801" t="s">
        <v>661</v>
      </c>
      <c r="D9445" s="803">
        <v>135.82</v>
      </c>
    </row>
    <row r="9446" spans="1:4" ht="38.25">
      <c r="A9446" s="801">
        <v>39511</v>
      </c>
      <c r="B9446" s="802" t="s">
        <v>10494</v>
      </c>
      <c r="C9446" s="801" t="s">
        <v>661</v>
      </c>
      <c r="D9446" s="803">
        <v>148.13999999999999</v>
      </c>
    </row>
    <row r="9447" spans="1:4" ht="38.25">
      <c r="A9447" s="801">
        <v>39513</v>
      </c>
      <c r="B9447" s="802" t="s">
        <v>10495</v>
      </c>
      <c r="C9447" s="801" t="s">
        <v>661</v>
      </c>
      <c r="D9447" s="803">
        <v>158.9</v>
      </c>
    </row>
    <row r="9448" spans="1:4" ht="38.25">
      <c r="A9448" s="801">
        <v>3286</v>
      </c>
      <c r="B9448" s="802" t="s">
        <v>10496</v>
      </c>
      <c r="C9448" s="801" t="s">
        <v>661</v>
      </c>
      <c r="D9448" s="803">
        <v>79.27</v>
      </c>
    </row>
    <row r="9449" spans="1:4" ht="38.25">
      <c r="A9449" s="801">
        <v>3287</v>
      </c>
      <c r="B9449" s="802" t="s">
        <v>10497</v>
      </c>
      <c r="C9449" s="801" t="s">
        <v>661</v>
      </c>
      <c r="D9449" s="803">
        <v>119.8</v>
      </c>
    </row>
    <row r="9450" spans="1:4" ht="25.5">
      <c r="A9450" s="801">
        <v>3283</v>
      </c>
      <c r="B9450" s="802" t="s">
        <v>10498</v>
      </c>
      <c r="C9450" s="801" t="s">
        <v>661</v>
      </c>
      <c r="D9450" s="803">
        <v>25.16</v>
      </c>
    </row>
    <row r="9451" spans="1:4" ht="25.5">
      <c r="A9451" s="801">
        <v>11587</v>
      </c>
      <c r="B9451" s="802" t="s">
        <v>10499</v>
      </c>
      <c r="C9451" s="801" t="s">
        <v>661</v>
      </c>
      <c r="D9451" s="803">
        <v>102.33</v>
      </c>
    </row>
    <row r="9452" spans="1:4" ht="25.5">
      <c r="A9452" s="801">
        <v>36225</v>
      </c>
      <c r="B9452" s="802" t="s">
        <v>4683</v>
      </c>
      <c r="C9452" s="801" t="s">
        <v>661</v>
      </c>
      <c r="D9452" s="803">
        <v>41.57</v>
      </c>
    </row>
    <row r="9453" spans="1:4" ht="38.25">
      <c r="A9453" s="801">
        <v>36230</v>
      </c>
      <c r="B9453" s="802" t="s">
        <v>10500</v>
      </c>
      <c r="C9453" s="801" t="s">
        <v>661</v>
      </c>
      <c r="D9453" s="803">
        <v>30.54</v>
      </c>
    </row>
    <row r="9454" spans="1:4" ht="38.25">
      <c r="A9454" s="801">
        <v>36238</v>
      </c>
      <c r="B9454" s="802" t="s">
        <v>10501</v>
      </c>
      <c r="C9454" s="801" t="s">
        <v>661</v>
      </c>
      <c r="D9454" s="803">
        <v>29.84</v>
      </c>
    </row>
    <row r="9455" spans="1:4" ht="38.25">
      <c r="A9455" s="801">
        <v>39363</v>
      </c>
      <c r="B9455" s="802" t="s">
        <v>10502</v>
      </c>
      <c r="C9455" s="801" t="s">
        <v>656</v>
      </c>
      <c r="D9455" s="803">
        <v>4730.76</v>
      </c>
    </row>
    <row r="9456" spans="1:4" ht="38.25">
      <c r="A9456" s="801">
        <v>39361</v>
      </c>
      <c r="B9456" s="802" t="s">
        <v>10503</v>
      </c>
      <c r="C9456" s="801" t="s">
        <v>656</v>
      </c>
      <c r="D9456" s="803">
        <v>1216.48</v>
      </c>
    </row>
    <row r="9457" spans="1:4" ht="38.25">
      <c r="A9457" s="801">
        <v>39362</v>
      </c>
      <c r="B9457" s="802" t="s">
        <v>10504</v>
      </c>
      <c r="C9457" s="801" t="s">
        <v>656</v>
      </c>
      <c r="D9457" s="803">
        <v>3743.42</v>
      </c>
    </row>
    <row r="9458" spans="1:4" ht="38.25">
      <c r="A9458" s="801">
        <v>39364</v>
      </c>
      <c r="B9458" s="802" t="s">
        <v>10505</v>
      </c>
      <c r="C9458" s="801" t="s">
        <v>656</v>
      </c>
      <c r="D9458" s="803">
        <v>10813.17</v>
      </c>
    </row>
    <row r="9459" spans="1:4" ht="25.5">
      <c r="A9459" s="801">
        <v>14576</v>
      </c>
      <c r="B9459" s="802" t="s">
        <v>10506</v>
      </c>
      <c r="C9459" s="801" t="s">
        <v>656</v>
      </c>
      <c r="D9459" s="803">
        <v>6140142.5800000001</v>
      </c>
    </row>
    <row r="9460" spans="1:4" ht="25.5">
      <c r="A9460" s="801">
        <v>13877</v>
      </c>
      <c r="B9460" s="802" t="s">
        <v>10507</v>
      </c>
      <c r="C9460" s="801" t="s">
        <v>656</v>
      </c>
      <c r="D9460" s="803">
        <v>2628503.46</v>
      </c>
    </row>
    <row r="9461" spans="1:4">
      <c r="A9461" s="801">
        <v>7307</v>
      </c>
      <c r="B9461" s="802" t="s">
        <v>4684</v>
      </c>
      <c r="C9461" s="801" t="s">
        <v>655</v>
      </c>
      <c r="D9461" s="803">
        <v>31.43</v>
      </c>
    </row>
    <row r="9462" spans="1:4">
      <c r="A9462" s="801">
        <v>38122</v>
      </c>
      <c r="B9462" s="802" t="s">
        <v>10508</v>
      </c>
      <c r="C9462" s="801" t="s">
        <v>655</v>
      </c>
      <c r="D9462" s="803">
        <v>7.94</v>
      </c>
    </row>
    <row r="9463" spans="1:4">
      <c r="A9463" s="801">
        <v>43653</v>
      </c>
      <c r="B9463" s="802" t="s">
        <v>10509</v>
      </c>
      <c r="C9463" s="801" t="s">
        <v>655</v>
      </c>
      <c r="D9463" s="803">
        <v>32.76</v>
      </c>
    </row>
    <row r="9464" spans="1:4" ht="25.5">
      <c r="A9464" s="801">
        <v>38633</v>
      </c>
      <c r="B9464" s="802" t="s">
        <v>10510</v>
      </c>
      <c r="C9464" s="801" t="s">
        <v>656</v>
      </c>
      <c r="D9464" s="803">
        <v>20.52</v>
      </c>
    </row>
    <row r="9465" spans="1:4" ht="38.25">
      <c r="A9465" s="801">
        <v>12344</v>
      </c>
      <c r="B9465" s="802" t="s">
        <v>10511</v>
      </c>
      <c r="C9465" s="801" t="s">
        <v>656</v>
      </c>
      <c r="D9465" s="803">
        <v>5.72</v>
      </c>
    </row>
    <row r="9466" spans="1:4" ht="38.25">
      <c r="A9466" s="801">
        <v>12343</v>
      </c>
      <c r="B9466" s="802" t="s">
        <v>10512</v>
      </c>
      <c r="C9466" s="801" t="s">
        <v>656</v>
      </c>
      <c r="D9466" s="803">
        <v>8.8800000000000008</v>
      </c>
    </row>
    <row r="9467" spans="1:4" ht="25.5">
      <c r="A9467" s="801">
        <v>3295</v>
      </c>
      <c r="B9467" s="802" t="s">
        <v>10513</v>
      </c>
      <c r="C9467" s="801" t="s">
        <v>656</v>
      </c>
      <c r="D9467" s="803">
        <v>31</v>
      </c>
    </row>
    <row r="9468" spans="1:4" ht="25.5">
      <c r="A9468" s="801">
        <v>3302</v>
      </c>
      <c r="B9468" s="802" t="s">
        <v>10514</v>
      </c>
      <c r="C9468" s="801" t="s">
        <v>656</v>
      </c>
      <c r="D9468" s="803">
        <v>32.409999999999997</v>
      </c>
    </row>
    <row r="9469" spans="1:4" ht="25.5">
      <c r="A9469" s="801">
        <v>3297</v>
      </c>
      <c r="B9469" s="802" t="s">
        <v>10515</v>
      </c>
      <c r="C9469" s="801" t="s">
        <v>656</v>
      </c>
      <c r="D9469" s="803">
        <v>34.6</v>
      </c>
    </row>
    <row r="9470" spans="1:4" ht="25.5">
      <c r="A9470" s="801">
        <v>3294</v>
      </c>
      <c r="B9470" s="802" t="s">
        <v>10516</v>
      </c>
      <c r="C9470" s="801" t="s">
        <v>656</v>
      </c>
      <c r="D9470" s="803">
        <v>35.130000000000003</v>
      </c>
    </row>
    <row r="9471" spans="1:4" ht="25.5">
      <c r="A9471" s="801">
        <v>3292</v>
      </c>
      <c r="B9471" s="802" t="s">
        <v>10517</v>
      </c>
      <c r="C9471" s="801" t="s">
        <v>656</v>
      </c>
      <c r="D9471" s="803">
        <v>33</v>
      </c>
    </row>
    <row r="9472" spans="1:4" ht="25.5">
      <c r="A9472" s="801">
        <v>3298</v>
      </c>
      <c r="B9472" s="802" t="s">
        <v>10518</v>
      </c>
      <c r="C9472" s="801" t="s">
        <v>656</v>
      </c>
      <c r="D9472" s="803">
        <v>77.34</v>
      </c>
    </row>
    <row r="9473" spans="1:4" ht="25.5">
      <c r="A9473" s="801">
        <v>11596</v>
      </c>
      <c r="B9473" s="802" t="s">
        <v>10519</v>
      </c>
      <c r="C9473" s="801" t="s">
        <v>656</v>
      </c>
      <c r="D9473" s="803">
        <v>470.66</v>
      </c>
    </row>
    <row r="9474" spans="1:4" ht="38.25">
      <c r="A9474" s="801">
        <v>34802</v>
      </c>
      <c r="B9474" s="802" t="s">
        <v>10520</v>
      </c>
      <c r="C9474" s="801" t="s">
        <v>656</v>
      </c>
      <c r="D9474" s="803">
        <v>1292.58</v>
      </c>
    </row>
    <row r="9475" spans="1:4" ht="38.25">
      <c r="A9475" s="801">
        <v>11588</v>
      </c>
      <c r="B9475" s="802" t="s">
        <v>10521</v>
      </c>
      <c r="C9475" s="801" t="s">
        <v>656</v>
      </c>
      <c r="D9475" s="803">
        <v>1394.49</v>
      </c>
    </row>
    <row r="9476" spans="1:4" ht="38.25">
      <c r="A9476" s="801">
        <v>34383</v>
      </c>
      <c r="B9476" s="802" t="s">
        <v>10522</v>
      </c>
      <c r="C9476" s="801" t="s">
        <v>656</v>
      </c>
      <c r="D9476" s="803">
        <v>1534.04</v>
      </c>
    </row>
    <row r="9477" spans="1:4" ht="38.25">
      <c r="A9477" s="801">
        <v>40451</v>
      </c>
      <c r="B9477" s="802" t="s">
        <v>10523</v>
      </c>
      <c r="C9477" s="801" t="s">
        <v>661</v>
      </c>
      <c r="D9477" s="803">
        <v>124</v>
      </c>
    </row>
    <row r="9478" spans="1:4" ht="38.25">
      <c r="A9478" s="801">
        <v>40453</v>
      </c>
      <c r="B9478" s="802" t="s">
        <v>10524</v>
      </c>
      <c r="C9478" s="801" t="s">
        <v>661</v>
      </c>
      <c r="D9478" s="803">
        <v>134.16999999999999</v>
      </c>
    </row>
    <row r="9479" spans="1:4" ht="38.25">
      <c r="A9479" s="801">
        <v>40452</v>
      </c>
      <c r="B9479" s="802" t="s">
        <v>10525</v>
      </c>
      <c r="C9479" s="801" t="s">
        <v>661</v>
      </c>
      <c r="D9479" s="803">
        <v>147.16</v>
      </c>
    </row>
    <row r="9480" spans="1:4" ht="25.5">
      <c r="A9480" s="801">
        <v>11594</v>
      </c>
      <c r="B9480" s="802" t="s">
        <v>10526</v>
      </c>
      <c r="C9480" s="801" t="s">
        <v>656</v>
      </c>
      <c r="D9480" s="803">
        <v>444.46</v>
      </c>
    </row>
    <row r="9481" spans="1:4" ht="25.5">
      <c r="A9481" s="801">
        <v>3311</v>
      </c>
      <c r="B9481" s="802" t="s">
        <v>10527</v>
      </c>
      <c r="C9481" s="801" t="s">
        <v>654</v>
      </c>
      <c r="D9481" s="803">
        <v>444.46</v>
      </c>
    </row>
    <row r="9482" spans="1:4" ht="25.5">
      <c r="A9482" s="801">
        <v>11599</v>
      </c>
      <c r="B9482" s="802" t="s">
        <v>10528</v>
      </c>
      <c r="C9482" s="801" t="s">
        <v>656</v>
      </c>
      <c r="D9482" s="803">
        <v>591.08000000000004</v>
      </c>
    </row>
    <row r="9483" spans="1:4" ht="38.25">
      <c r="A9483" s="801">
        <v>11593</v>
      </c>
      <c r="B9483" s="802" t="s">
        <v>10529</v>
      </c>
      <c r="C9483" s="801" t="s">
        <v>656</v>
      </c>
      <c r="D9483" s="803">
        <v>828.66</v>
      </c>
    </row>
    <row r="9484" spans="1:4" ht="25.5">
      <c r="A9484" s="801">
        <v>3314</v>
      </c>
      <c r="B9484" s="802" t="s">
        <v>10530</v>
      </c>
      <c r="C9484" s="801" t="s">
        <v>654</v>
      </c>
      <c r="D9484" s="803">
        <v>592.66</v>
      </c>
    </row>
    <row r="9485" spans="1:4" ht="25.5">
      <c r="A9485" s="801">
        <v>11597</v>
      </c>
      <c r="B9485" s="802" t="s">
        <v>10531</v>
      </c>
      <c r="C9485" s="801" t="s">
        <v>656</v>
      </c>
      <c r="D9485" s="803">
        <v>689.19</v>
      </c>
    </row>
    <row r="9486" spans="1:4" ht="25.5">
      <c r="A9486" s="801">
        <v>3309</v>
      </c>
      <c r="B9486" s="802" t="s">
        <v>10532</v>
      </c>
      <c r="C9486" s="801" t="s">
        <v>654</v>
      </c>
      <c r="D9486" s="803">
        <v>470.66</v>
      </c>
    </row>
    <row r="9487" spans="1:4" ht="38.25">
      <c r="A9487" s="801">
        <v>34612</v>
      </c>
      <c r="B9487" s="802" t="s">
        <v>10533</v>
      </c>
      <c r="C9487" s="801" t="s">
        <v>656</v>
      </c>
      <c r="D9487" s="803">
        <v>852.41</v>
      </c>
    </row>
    <row r="9488" spans="1:4" ht="38.25">
      <c r="A9488" s="801">
        <v>34635</v>
      </c>
      <c r="B9488" s="802" t="s">
        <v>10534</v>
      </c>
      <c r="C9488" s="801" t="s">
        <v>656</v>
      </c>
      <c r="D9488" s="803">
        <v>1096.1600000000001</v>
      </c>
    </row>
    <row r="9489" spans="1:4" ht="38.25">
      <c r="A9489" s="801">
        <v>34633</v>
      </c>
      <c r="B9489" s="802" t="s">
        <v>10535</v>
      </c>
      <c r="C9489" s="801" t="s">
        <v>656</v>
      </c>
      <c r="D9489" s="803">
        <v>1208.26</v>
      </c>
    </row>
    <row r="9490" spans="1:4" ht="38.25">
      <c r="A9490" s="801">
        <v>40440</v>
      </c>
      <c r="B9490" s="802" t="s">
        <v>10536</v>
      </c>
      <c r="C9490" s="801" t="s">
        <v>654</v>
      </c>
      <c r="D9490" s="803">
        <v>617.32000000000005</v>
      </c>
    </row>
    <row r="9491" spans="1:4" ht="38.25">
      <c r="A9491" s="801">
        <v>40441</v>
      </c>
      <c r="B9491" s="802" t="s">
        <v>10537</v>
      </c>
      <c r="C9491" s="801" t="s">
        <v>654</v>
      </c>
      <c r="D9491" s="803">
        <v>394.12</v>
      </c>
    </row>
    <row r="9492" spans="1:4" ht="51">
      <c r="A9492" s="801">
        <v>40449</v>
      </c>
      <c r="B9492" s="802" t="s">
        <v>10538</v>
      </c>
      <c r="C9492" s="801" t="s">
        <v>654</v>
      </c>
      <c r="D9492" s="803">
        <v>331.33</v>
      </c>
    </row>
    <row r="9493" spans="1:4" ht="38.25">
      <c r="A9493" s="801">
        <v>34800</v>
      </c>
      <c r="B9493" s="802" t="s">
        <v>10539</v>
      </c>
      <c r="C9493" s="801" t="s">
        <v>654</v>
      </c>
      <c r="D9493" s="803">
        <v>414.33</v>
      </c>
    </row>
    <row r="9494" spans="1:4" ht="38.25">
      <c r="A9494" s="801">
        <v>11592</v>
      </c>
      <c r="B9494" s="802" t="s">
        <v>10540</v>
      </c>
      <c r="C9494" s="801" t="s">
        <v>656</v>
      </c>
      <c r="D9494" s="803">
        <v>592.66</v>
      </c>
    </row>
    <row r="9495" spans="1:4" ht="25.5">
      <c r="A9495" s="801">
        <v>40438</v>
      </c>
      <c r="B9495" s="802" t="s">
        <v>10541</v>
      </c>
      <c r="C9495" s="801" t="s">
        <v>654</v>
      </c>
      <c r="D9495" s="803">
        <v>276.02999999999997</v>
      </c>
    </row>
    <row r="9496" spans="1:4" ht="25.5">
      <c r="A9496" s="801">
        <v>40436</v>
      </c>
      <c r="B9496" s="802" t="s">
        <v>10542</v>
      </c>
      <c r="C9496" s="801" t="s">
        <v>654</v>
      </c>
      <c r="D9496" s="803">
        <v>344.19</v>
      </c>
    </row>
    <row r="9497" spans="1:4" ht="38.25">
      <c r="A9497" s="801">
        <v>4315</v>
      </c>
      <c r="B9497" s="802" t="s">
        <v>10543</v>
      </c>
      <c r="C9497" s="801" t="s">
        <v>656</v>
      </c>
      <c r="D9497" s="803">
        <v>2.19</v>
      </c>
    </row>
    <row r="9498" spans="1:4" ht="25.5">
      <c r="A9498" s="801">
        <v>402</v>
      </c>
      <c r="B9498" s="802" t="s">
        <v>10544</v>
      </c>
      <c r="C9498" s="801" t="s">
        <v>656</v>
      </c>
      <c r="D9498" s="803">
        <v>16.149999999999999</v>
      </c>
    </row>
    <row r="9499" spans="1:4">
      <c r="A9499" s="801">
        <v>4226</v>
      </c>
      <c r="B9499" s="802" t="s">
        <v>10545</v>
      </c>
      <c r="C9499" s="801" t="s">
        <v>653</v>
      </c>
      <c r="D9499" s="803">
        <v>9.51</v>
      </c>
    </row>
    <row r="9500" spans="1:4">
      <c r="A9500" s="801">
        <v>4222</v>
      </c>
      <c r="B9500" s="802" t="s">
        <v>4685</v>
      </c>
      <c r="C9500" s="801" t="s">
        <v>655</v>
      </c>
      <c r="D9500" s="803">
        <v>6.42</v>
      </c>
    </row>
    <row r="9501" spans="1:4" ht="38.25">
      <c r="A9501" s="801">
        <v>34804</v>
      </c>
      <c r="B9501" s="802" t="s">
        <v>10546</v>
      </c>
      <c r="C9501" s="801" t="s">
        <v>661</v>
      </c>
      <c r="D9501" s="803">
        <v>50.03</v>
      </c>
    </row>
    <row r="9502" spans="1:4" ht="25.5">
      <c r="A9502" s="801">
        <v>4013</v>
      </c>
      <c r="B9502" s="802" t="s">
        <v>10547</v>
      </c>
      <c r="C9502" s="801" t="s">
        <v>661</v>
      </c>
      <c r="D9502" s="803">
        <v>6.5</v>
      </c>
    </row>
    <row r="9503" spans="1:4" ht="25.5">
      <c r="A9503" s="801">
        <v>4011</v>
      </c>
      <c r="B9503" s="802" t="s">
        <v>10548</v>
      </c>
      <c r="C9503" s="801" t="s">
        <v>661</v>
      </c>
      <c r="D9503" s="803">
        <v>7.26</v>
      </c>
    </row>
    <row r="9504" spans="1:4" ht="25.5">
      <c r="A9504" s="801">
        <v>4021</v>
      </c>
      <c r="B9504" s="802" t="s">
        <v>10549</v>
      </c>
      <c r="C9504" s="801" t="s">
        <v>661</v>
      </c>
      <c r="D9504" s="803">
        <v>9.06</v>
      </c>
    </row>
    <row r="9505" spans="1:4" ht="25.5">
      <c r="A9505" s="801">
        <v>4019</v>
      </c>
      <c r="B9505" s="802" t="s">
        <v>10550</v>
      </c>
      <c r="C9505" s="801" t="s">
        <v>661</v>
      </c>
      <c r="D9505" s="803">
        <v>10.87</v>
      </c>
    </row>
    <row r="9506" spans="1:4" ht="25.5">
      <c r="A9506" s="801">
        <v>4012</v>
      </c>
      <c r="B9506" s="802" t="s">
        <v>10551</v>
      </c>
      <c r="C9506" s="801" t="s">
        <v>661</v>
      </c>
      <c r="D9506" s="803">
        <v>14.57</v>
      </c>
    </row>
    <row r="9507" spans="1:4" ht="25.5">
      <c r="A9507" s="801">
        <v>4020</v>
      </c>
      <c r="B9507" s="802" t="s">
        <v>10552</v>
      </c>
      <c r="C9507" s="801" t="s">
        <v>661</v>
      </c>
      <c r="D9507" s="803">
        <v>18.25</v>
      </c>
    </row>
    <row r="9508" spans="1:4" ht="25.5">
      <c r="A9508" s="801">
        <v>4018</v>
      </c>
      <c r="B9508" s="802" t="s">
        <v>10553</v>
      </c>
      <c r="C9508" s="801" t="s">
        <v>661</v>
      </c>
      <c r="D9508" s="803">
        <v>21.86</v>
      </c>
    </row>
    <row r="9509" spans="1:4" ht="25.5">
      <c r="A9509" s="801">
        <v>36498</v>
      </c>
      <c r="B9509" s="802" t="s">
        <v>10554</v>
      </c>
      <c r="C9509" s="801" t="s">
        <v>656</v>
      </c>
      <c r="D9509" s="803">
        <v>6676.55</v>
      </c>
    </row>
    <row r="9510" spans="1:4">
      <c r="A9510" s="801">
        <v>12872</v>
      </c>
      <c r="B9510" s="802" t="s">
        <v>10555</v>
      </c>
      <c r="C9510" s="801" t="s">
        <v>659</v>
      </c>
      <c r="D9510" s="803">
        <v>13.12</v>
      </c>
    </row>
    <row r="9511" spans="1:4">
      <c r="A9511" s="801">
        <v>41075</v>
      </c>
      <c r="B9511" s="802" t="s">
        <v>10556</v>
      </c>
      <c r="C9511" s="801" t="s">
        <v>772</v>
      </c>
      <c r="D9511" s="803">
        <v>2317.36</v>
      </c>
    </row>
    <row r="9512" spans="1:4" ht="25.5">
      <c r="A9512" s="801">
        <v>44324</v>
      </c>
      <c r="B9512" s="802" t="s">
        <v>10557</v>
      </c>
      <c r="C9512" s="801" t="s">
        <v>653</v>
      </c>
      <c r="D9512" s="803">
        <v>2.94</v>
      </c>
    </row>
    <row r="9513" spans="1:4" ht="25.5">
      <c r="A9513" s="801">
        <v>3315</v>
      </c>
      <c r="B9513" s="802" t="s">
        <v>10558</v>
      </c>
      <c r="C9513" s="801" t="s">
        <v>653</v>
      </c>
      <c r="D9513" s="803">
        <v>0.85</v>
      </c>
    </row>
    <row r="9514" spans="1:4">
      <c r="A9514" s="801">
        <v>36870</v>
      </c>
      <c r="B9514" s="802" t="s">
        <v>10559</v>
      </c>
      <c r="C9514" s="801" t="s">
        <v>653</v>
      </c>
      <c r="D9514" s="803">
        <v>0.66</v>
      </c>
    </row>
    <row r="9515" spans="1:4" ht="38.25">
      <c r="A9515" s="801">
        <v>5092</v>
      </c>
      <c r="B9515" s="802" t="s">
        <v>10560</v>
      </c>
      <c r="C9515" s="801" t="s">
        <v>665</v>
      </c>
      <c r="D9515" s="803">
        <v>18.850000000000001</v>
      </c>
    </row>
    <row r="9516" spans="1:4" ht="25.5">
      <c r="A9516" s="801">
        <v>11462</v>
      </c>
      <c r="B9516" s="802" t="s">
        <v>10561</v>
      </c>
      <c r="C9516" s="801" t="s">
        <v>665</v>
      </c>
      <c r="D9516" s="803">
        <v>19.28</v>
      </c>
    </row>
    <row r="9517" spans="1:4" ht="25.5">
      <c r="A9517" s="801">
        <v>36529</v>
      </c>
      <c r="B9517" s="802" t="s">
        <v>10562</v>
      </c>
      <c r="C9517" s="801" t="s">
        <v>656</v>
      </c>
      <c r="D9517" s="803">
        <v>78443.87</v>
      </c>
    </row>
    <row r="9518" spans="1:4" ht="25.5">
      <c r="A9518" s="801">
        <v>3318</v>
      </c>
      <c r="B9518" s="802" t="s">
        <v>10563</v>
      </c>
      <c r="C9518" s="801" t="s">
        <v>656</v>
      </c>
      <c r="D9518" s="803">
        <v>61500</v>
      </c>
    </row>
    <row r="9519" spans="1:4">
      <c r="A9519" s="801">
        <v>3324</v>
      </c>
      <c r="B9519" s="802" t="s">
        <v>10564</v>
      </c>
      <c r="C9519" s="801" t="s">
        <v>661</v>
      </c>
      <c r="D9519" s="803">
        <v>10.71</v>
      </c>
    </row>
    <row r="9520" spans="1:4" ht="25.5">
      <c r="A9520" s="801">
        <v>3322</v>
      </c>
      <c r="B9520" s="802" t="s">
        <v>10565</v>
      </c>
      <c r="C9520" s="801" t="s">
        <v>661</v>
      </c>
      <c r="D9520" s="803">
        <v>15</v>
      </c>
    </row>
    <row r="9521" spans="1:4">
      <c r="A9521" s="801">
        <v>5076</v>
      </c>
      <c r="B9521" s="802" t="s">
        <v>10566</v>
      </c>
      <c r="C9521" s="801" t="s">
        <v>653</v>
      </c>
      <c r="D9521" s="803">
        <v>24</v>
      </c>
    </row>
    <row r="9522" spans="1:4">
      <c r="A9522" s="801">
        <v>5077</v>
      </c>
      <c r="B9522" s="802" t="s">
        <v>10567</v>
      </c>
      <c r="C9522" s="801" t="s">
        <v>653</v>
      </c>
      <c r="D9522" s="803">
        <v>26.53</v>
      </c>
    </row>
    <row r="9523" spans="1:4" ht="38.25">
      <c r="A9523" s="801">
        <v>11837</v>
      </c>
      <c r="B9523" s="802" t="s">
        <v>10568</v>
      </c>
      <c r="C9523" s="801" t="s">
        <v>656</v>
      </c>
      <c r="D9523" s="803">
        <v>52.61</v>
      </c>
    </row>
    <row r="9524" spans="1:4" ht="25.5">
      <c r="A9524" s="801">
        <v>38055</v>
      </c>
      <c r="B9524" s="802" t="s">
        <v>10569</v>
      </c>
      <c r="C9524" s="801" t="s">
        <v>656</v>
      </c>
      <c r="D9524" s="803">
        <v>4.7699999999999996</v>
      </c>
    </row>
    <row r="9525" spans="1:4" ht="25.5">
      <c r="A9525" s="801">
        <v>415</v>
      </c>
      <c r="B9525" s="802" t="s">
        <v>10570</v>
      </c>
      <c r="C9525" s="801" t="s">
        <v>656</v>
      </c>
      <c r="D9525" s="803">
        <v>21.57</v>
      </c>
    </row>
    <row r="9526" spans="1:4" ht="25.5">
      <c r="A9526" s="801">
        <v>416</v>
      </c>
      <c r="B9526" s="802" t="s">
        <v>10571</v>
      </c>
      <c r="C9526" s="801" t="s">
        <v>656</v>
      </c>
      <c r="D9526" s="803">
        <v>7.9</v>
      </c>
    </row>
    <row r="9527" spans="1:4" ht="25.5">
      <c r="A9527" s="801">
        <v>425</v>
      </c>
      <c r="B9527" s="802" t="s">
        <v>10572</v>
      </c>
      <c r="C9527" s="801" t="s">
        <v>656</v>
      </c>
      <c r="D9527" s="803">
        <v>4.8899999999999997</v>
      </c>
    </row>
    <row r="9528" spans="1:4" ht="25.5">
      <c r="A9528" s="801">
        <v>426</v>
      </c>
      <c r="B9528" s="802" t="s">
        <v>10573</v>
      </c>
      <c r="C9528" s="801" t="s">
        <v>656</v>
      </c>
      <c r="D9528" s="803">
        <v>26.96</v>
      </c>
    </row>
    <row r="9529" spans="1:4" ht="25.5">
      <c r="A9529" s="801">
        <v>38056</v>
      </c>
      <c r="B9529" s="802" t="s">
        <v>10574</v>
      </c>
      <c r="C9529" s="801" t="s">
        <v>656</v>
      </c>
      <c r="D9529" s="803">
        <v>26.33</v>
      </c>
    </row>
    <row r="9530" spans="1:4" ht="25.5">
      <c r="A9530" s="801">
        <v>1564</v>
      </c>
      <c r="B9530" s="802" t="s">
        <v>10575</v>
      </c>
      <c r="C9530" s="801" t="s">
        <v>656</v>
      </c>
      <c r="D9530" s="803">
        <v>10.050000000000001</v>
      </c>
    </row>
    <row r="9531" spans="1:4">
      <c r="A9531" s="801">
        <v>11032</v>
      </c>
      <c r="B9531" s="802" t="s">
        <v>10576</v>
      </c>
      <c r="C9531" s="801" t="s">
        <v>656</v>
      </c>
      <c r="D9531" s="803">
        <v>12.33</v>
      </c>
    </row>
    <row r="9532" spans="1:4" ht="25.5">
      <c r="A9532" s="801">
        <v>36786</v>
      </c>
      <c r="B9532" s="802" t="s">
        <v>10577</v>
      </c>
      <c r="C9532" s="801" t="s">
        <v>75</v>
      </c>
      <c r="D9532" s="803">
        <v>150.85</v>
      </c>
    </row>
    <row r="9533" spans="1:4" ht="25.5">
      <c r="A9533" s="801">
        <v>36785</v>
      </c>
      <c r="B9533" s="802" t="s">
        <v>10578</v>
      </c>
      <c r="C9533" s="801" t="s">
        <v>75</v>
      </c>
      <c r="D9533" s="803">
        <v>131.08000000000001</v>
      </c>
    </row>
    <row r="9534" spans="1:4" ht="25.5">
      <c r="A9534" s="801">
        <v>36782</v>
      </c>
      <c r="B9534" s="802" t="s">
        <v>10579</v>
      </c>
      <c r="C9534" s="801" t="s">
        <v>75</v>
      </c>
      <c r="D9534" s="803">
        <v>156.47</v>
      </c>
    </row>
    <row r="9535" spans="1:4" ht="25.5">
      <c r="A9535" s="801">
        <v>44481</v>
      </c>
      <c r="B9535" s="802" t="s">
        <v>10580</v>
      </c>
      <c r="C9535" s="801" t="s">
        <v>75</v>
      </c>
      <c r="D9535" s="803">
        <v>176.25</v>
      </c>
    </row>
    <row r="9536" spans="1:4" ht="38.25">
      <c r="A9536" s="801">
        <v>4824</v>
      </c>
      <c r="B9536" s="802" t="s">
        <v>4686</v>
      </c>
      <c r="C9536" s="801" t="s">
        <v>653</v>
      </c>
      <c r="D9536" s="803">
        <v>0.54</v>
      </c>
    </row>
    <row r="9537" spans="1:4" ht="38.25">
      <c r="A9537" s="801">
        <v>11795</v>
      </c>
      <c r="B9537" s="802" t="s">
        <v>10581</v>
      </c>
      <c r="C9537" s="801" t="s">
        <v>661</v>
      </c>
      <c r="D9537" s="803">
        <v>562.26</v>
      </c>
    </row>
    <row r="9538" spans="1:4">
      <c r="A9538" s="801">
        <v>134</v>
      </c>
      <c r="B9538" s="802" t="s">
        <v>10582</v>
      </c>
      <c r="C9538" s="801" t="s">
        <v>653</v>
      </c>
      <c r="D9538" s="803">
        <v>1.28</v>
      </c>
    </row>
    <row r="9539" spans="1:4">
      <c r="A9539" s="801">
        <v>4229</v>
      </c>
      <c r="B9539" s="802" t="s">
        <v>10583</v>
      </c>
      <c r="C9539" s="801" t="s">
        <v>653</v>
      </c>
      <c r="D9539" s="803">
        <v>35.89</v>
      </c>
    </row>
    <row r="9540" spans="1:4" ht="25.5">
      <c r="A9540" s="801">
        <v>11731</v>
      </c>
      <c r="B9540" s="802" t="s">
        <v>10584</v>
      </c>
      <c r="C9540" s="801" t="s">
        <v>656</v>
      </c>
      <c r="D9540" s="803">
        <v>10.25</v>
      </c>
    </row>
    <row r="9541" spans="1:4" ht="25.5">
      <c r="A9541" s="801">
        <v>11732</v>
      </c>
      <c r="B9541" s="802" t="s">
        <v>10585</v>
      </c>
      <c r="C9541" s="801" t="s">
        <v>656</v>
      </c>
      <c r="D9541" s="803">
        <v>26.87</v>
      </c>
    </row>
    <row r="9542" spans="1:4" ht="25.5">
      <c r="A9542" s="801">
        <v>11244</v>
      </c>
      <c r="B9542" s="802" t="s">
        <v>10586</v>
      </c>
      <c r="C9542" s="801" t="s">
        <v>656</v>
      </c>
      <c r="D9542" s="803">
        <v>292.55</v>
      </c>
    </row>
    <row r="9543" spans="1:4" ht="38.25">
      <c r="A9543" s="801">
        <v>11245</v>
      </c>
      <c r="B9543" s="802" t="s">
        <v>10587</v>
      </c>
      <c r="C9543" s="801" t="s">
        <v>656</v>
      </c>
      <c r="D9543" s="803">
        <v>404.65</v>
      </c>
    </row>
    <row r="9544" spans="1:4" ht="25.5">
      <c r="A9544" s="801">
        <v>11235</v>
      </c>
      <c r="B9544" s="802" t="s">
        <v>10588</v>
      </c>
      <c r="C9544" s="801" t="s">
        <v>656</v>
      </c>
      <c r="D9544" s="803">
        <v>223.25</v>
      </c>
    </row>
    <row r="9545" spans="1:4" ht="25.5">
      <c r="A9545" s="801">
        <v>11236</v>
      </c>
      <c r="B9545" s="802" t="s">
        <v>10589</v>
      </c>
      <c r="C9545" s="801" t="s">
        <v>656</v>
      </c>
      <c r="D9545" s="803">
        <v>283.72000000000003</v>
      </c>
    </row>
    <row r="9546" spans="1:4" ht="25.5">
      <c r="A9546" s="801">
        <v>36494</v>
      </c>
      <c r="B9546" s="802" t="s">
        <v>10590</v>
      </c>
      <c r="C9546" s="801" t="s">
        <v>656</v>
      </c>
      <c r="D9546" s="803">
        <v>651870.31000000006</v>
      </c>
    </row>
    <row r="9547" spans="1:4" ht="25.5">
      <c r="A9547" s="801">
        <v>36493</v>
      </c>
      <c r="B9547" s="802" t="s">
        <v>10591</v>
      </c>
      <c r="C9547" s="801" t="s">
        <v>656</v>
      </c>
      <c r="D9547" s="803">
        <v>738542.58</v>
      </c>
    </row>
    <row r="9548" spans="1:4" ht="25.5">
      <c r="A9548" s="801">
        <v>36492</v>
      </c>
      <c r="B9548" s="802" t="s">
        <v>10592</v>
      </c>
      <c r="C9548" s="801" t="s">
        <v>656</v>
      </c>
      <c r="D9548" s="803">
        <v>1371932.03</v>
      </c>
    </row>
    <row r="9549" spans="1:4" ht="25.5">
      <c r="A9549" s="801">
        <v>13333</v>
      </c>
      <c r="B9549" s="802" t="s">
        <v>10593</v>
      </c>
      <c r="C9549" s="801" t="s">
        <v>656</v>
      </c>
      <c r="D9549" s="803">
        <v>184889.11</v>
      </c>
    </row>
    <row r="9550" spans="1:4" ht="25.5">
      <c r="A9550" s="801">
        <v>13533</v>
      </c>
      <c r="B9550" s="802" t="s">
        <v>10594</v>
      </c>
      <c r="C9550" s="801" t="s">
        <v>656</v>
      </c>
      <c r="D9550" s="803">
        <v>165270.32</v>
      </c>
    </row>
    <row r="9551" spans="1:4" ht="25.5">
      <c r="A9551" s="801">
        <v>36499</v>
      </c>
      <c r="B9551" s="802" t="s">
        <v>10595</v>
      </c>
      <c r="C9551" s="801" t="s">
        <v>656</v>
      </c>
      <c r="D9551" s="803">
        <v>3605.34</v>
      </c>
    </row>
    <row r="9552" spans="1:4" ht="38.25">
      <c r="A9552" s="801">
        <v>39585</v>
      </c>
      <c r="B9552" s="802" t="s">
        <v>10596</v>
      </c>
      <c r="C9552" s="801" t="s">
        <v>656</v>
      </c>
      <c r="D9552" s="803">
        <v>119382.89</v>
      </c>
    </row>
    <row r="9553" spans="1:4" ht="38.25">
      <c r="A9553" s="801">
        <v>39586</v>
      </c>
      <c r="B9553" s="802" t="s">
        <v>10597</v>
      </c>
      <c r="C9553" s="801" t="s">
        <v>656</v>
      </c>
      <c r="D9553" s="803">
        <v>140028.04999999999</v>
      </c>
    </row>
    <row r="9554" spans="1:4" ht="38.25">
      <c r="A9554" s="801">
        <v>39587</v>
      </c>
      <c r="B9554" s="802" t="s">
        <v>10598</v>
      </c>
      <c r="C9554" s="801" t="s">
        <v>656</v>
      </c>
      <c r="D9554" s="803">
        <v>170546.99</v>
      </c>
    </row>
    <row r="9555" spans="1:4" ht="38.25">
      <c r="A9555" s="801">
        <v>39588</v>
      </c>
      <c r="B9555" s="802" t="s">
        <v>10599</v>
      </c>
      <c r="C9555" s="801" t="s">
        <v>656</v>
      </c>
      <c r="D9555" s="803">
        <v>197475.45</v>
      </c>
    </row>
    <row r="9556" spans="1:4" ht="38.25">
      <c r="A9556" s="801">
        <v>39584</v>
      </c>
      <c r="B9556" s="802" t="s">
        <v>10600</v>
      </c>
      <c r="C9556" s="801" t="s">
        <v>656</v>
      </c>
      <c r="D9556" s="803">
        <v>106313.61</v>
      </c>
    </row>
    <row r="9557" spans="1:4" ht="38.25">
      <c r="A9557" s="801">
        <v>39590</v>
      </c>
      <c r="B9557" s="802" t="s">
        <v>10601</v>
      </c>
      <c r="C9557" s="801" t="s">
        <v>656</v>
      </c>
      <c r="D9557" s="803">
        <v>103764.38</v>
      </c>
    </row>
    <row r="9558" spans="1:4" ht="38.25">
      <c r="A9558" s="801">
        <v>39592</v>
      </c>
      <c r="B9558" s="802" t="s">
        <v>10602</v>
      </c>
      <c r="C9558" s="801" t="s">
        <v>656</v>
      </c>
      <c r="D9558" s="803">
        <v>149111.92000000001</v>
      </c>
    </row>
    <row r="9559" spans="1:4" ht="38.25">
      <c r="A9559" s="801">
        <v>39593</v>
      </c>
      <c r="B9559" s="802" t="s">
        <v>10603</v>
      </c>
      <c r="C9559" s="801" t="s">
        <v>656</v>
      </c>
      <c r="D9559" s="803">
        <v>170546.99</v>
      </c>
    </row>
    <row r="9560" spans="1:4" ht="38.25">
      <c r="A9560" s="801">
        <v>14254</v>
      </c>
      <c r="B9560" s="802" t="s">
        <v>10604</v>
      </c>
      <c r="C9560" s="801" t="s">
        <v>656</v>
      </c>
      <c r="D9560" s="803">
        <v>96942.5</v>
      </c>
    </row>
    <row r="9561" spans="1:4" ht="25.5">
      <c r="A9561" s="801">
        <v>44494</v>
      </c>
      <c r="B9561" s="802" t="s">
        <v>10605</v>
      </c>
      <c r="C9561" s="801" t="s">
        <v>656</v>
      </c>
      <c r="D9561" s="803">
        <v>80954.720000000001</v>
      </c>
    </row>
    <row r="9562" spans="1:4" ht="25.5">
      <c r="A9562" s="801">
        <v>25019</v>
      </c>
      <c r="B9562" s="802" t="s">
        <v>10606</v>
      </c>
      <c r="C9562" s="801" t="s">
        <v>656</v>
      </c>
      <c r="D9562" s="803">
        <v>138765.44</v>
      </c>
    </row>
    <row r="9563" spans="1:4" ht="25.5">
      <c r="A9563" s="801">
        <v>36501</v>
      </c>
      <c r="B9563" s="802" t="s">
        <v>10607</v>
      </c>
      <c r="C9563" s="801" t="s">
        <v>656</v>
      </c>
      <c r="D9563" s="803">
        <v>123549.06</v>
      </c>
    </row>
    <row r="9564" spans="1:4" ht="25.5">
      <c r="A9564" s="801">
        <v>44493</v>
      </c>
      <c r="B9564" s="802" t="s">
        <v>10608</v>
      </c>
      <c r="C9564" s="801" t="s">
        <v>656</v>
      </c>
      <c r="D9564" s="803">
        <v>148529.64000000001</v>
      </c>
    </row>
    <row r="9565" spans="1:4" ht="25.5">
      <c r="A9565" s="801">
        <v>36500</v>
      </c>
      <c r="B9565" s="802" t="s">
        <v>10609</v>
      </c>
      <c r="C9565" s="801" t="s">
        <v>656</v>
      </c>
      <c r="D9565" s="803">
        <v>87308.75</v>
      </c>
    </row>
    <row r="9566" spans="1:4" ht="51">
      <c r="A9566" s="801">
        <v>20017</v>
      </c>
      <c r="B9566" s="802" t="s">
        <v>10610</v>
      </c>
      <c r="C9566" s="801" t="s">
        <v>660</v>
      </c>
      <c r="D9566" s="803">
        <v>4.45</v>
      </c>
    </row>
    <row r="9567" spans="1:4" ht="38.25">
      <c r="A9567" s="801">
        <v>20007</v>
      </c>
      <c r="B9567" s="802" t="s">
        <v>10611</v>
      </c>
      <c r="C9567" s="801" t="s">
        <v>660</v>
      </c>
      <c r="D9567" s="803">
        <v>2.65</v>
      </c>
    </row>
    <row r="9568" spans="1:4" ht="25.5">
      <c r="A9568" s="801">
        <v>39831</v>
      </c>
      <c r="B9568" s="802" t="s">
        <v>10612</v>
      </c>
      <c r="C9568" s="801" t="s">
        <v>658</v>
      </c>
      <c r="D9568" s="803">
        <v>284.20999999999998</v>
      </c>
    </row>
    <row r="9569" spans="1:4" ht="38.25">
      <c r="A9569" s="801">
        <v>36888</v>
      </c>
      <c r="B9569" s="802" t="s">
        <v>10613</v>
      </c>
      <c r="C9569" s="801" t="s">
        <v>660</v>
      </c>
      <c r="D9569" s="803">
        <v>43.85</v>
      </c>
    </row>
    <row r="9570" spans="1:4" ht="38.25">
      <c r="A9570" s="801">
        <v>39836</v>
      </c>
      <c r="B9570" s="802" t="s">
        <v>10614</v>
      </c>
      <c r="C9570" s="801" t="s">
        <v>658</v>
      </c>
      <c r="D9570" s="803">
        <v>249.73</v>
      </c>
    </row>
    <row r="9571" spans="1:4" ht="25.5">
      <c r="A9571" s="801">
        <v>39830</v>
      </c>
      <c r="B9571" s="802" t="s">
        <v>10615</v>
      </c>
      <c r="C9571" s="801" t="s">
        <v>658</v>
      </c>
      <c r="D9571" s="803">
        <v>284.82</v>
      </c>
    </row>
    <row r="9572" spans="1:4" ht="25.5">
      <c r="A9572" s="801">
        <v>40527</v>
      </c>
      <c r="B9572" s="802" t="s">
        <v>10616</v>
      </c>
      <c r="C9572" s="801" t="s">
        <v>656</v>
      </c>
      <c r="D9572" s="803">
        <v>2638.34</v>
      </c>
    </row>
    <row r="9573" spans="1:4" ht="25.5">
      <c r="A9573" s="801">
        <v>36497</v>
      </c>
      <c r="B9573" s="802" t="s">
        <v>10617</v>
      </c>
      <c r="C9573" s="801" t="s">
        <v>656</v>
      </c>
      <c r="D9573" s="803">
        <v>3011.95</v>
      </c>
    </row>
    <row r="9574" spans="1:4" ht="25.5">
      <c r="A9574" s="801">
        <v>36487</v>
      </c>
      <c r="B9574" s="802" t="s">
        <v>4687</v>
      </c>
      <c r="C9574" s="801" t="s">
        <v>656</v>
      </c>
      <c r="D9574" s="803">
        <v>5244.27</v>
      </c>
    </row>
    <row r="9575" spans="1:4" ht="38.25">
      <c r="A9575" s="801">
        <v>44475</v>
      </c>
      <c r="B9575" s="802" t="s">
        <v>10618</v>
      </c>
      <c r="C9575" s="801" t="s">
        <v>656</v>
      </c>
      <c r="D9575" s="803">
        <v>1139895.45</v>
      </c>
    </row>
    <row r="9576" spans="1:4" ht="38.25">
      <c r="A9576" s="801">
        <v>44474</v>
      </c>
      <c r="B9576" s="802" t="s">
        <v>10619</v>
      </c>
      <c r="C9576" s="801" t="s">
        <v>656</v>
      </c>
      <c r="D9576" s="803">
        <v>2192106.64</v>
      </c>
    </row>
    <row r="9577" spans="1:4" ht="38.25">
      <c r="A9577" s="801">
        <v>44490</v>
      </c>
      <c r="B9577" s="802" t="s">
        <v>10620</v>
      </c>
      <c r="C9577" s="801" t="s">
        <v>656</v>
      </c>
      <c r="D9577" s="803">
        <v>3726581.28</v>
      </c>
    </row>
    <row r="9578" spans="1:4" ht="63.75">
      <c r="A9578" s="801">
        <v>37776</v>
      </c>
      <c r="B9578" s="802" t="s">
        <v>10621</v>
      </c>
      <c r="C9578" s="801" t="s">
        <v>656</v>
      </c>
      <c r="D9578" s="803">
        <v>228391.8</v>
      </c>
    </row>
    <row r="9579" spans="1:4" ht="63.75">
      <c r="A9579" s="801">
        <v>37775</v>
      </c>
      <c r="B9579" s="802" t="s">
        <v>10622</v>
      </c>
      <c r="C9579" s="801" t="s">
        <v>656</v>
      </c>
      <c r="D9579" s="803">
        <v>359734.37</v>
      </c>
    </row>
    <row r="9580" spans="1:4" ht="63.75">
      <c r="A9580" s="801">
        <v>36491</v>
      </c>
      <c r="B9580" s="802" t="s">
        <v>10623</v>
      </c>
      <c r="C9580" s="801" t="s">
        <v>656</v>
      </c>
      <c r="D9580" s="803">
        <v>1332203.1200000001</v>
      </c>
    </row>
    <row r="9581" spans="1:4" ht="63.75">
      <c r="A9581" s="801">
        <v>10712</v>
      </c>
      <c r="B9581" s="802" t="s">
        <v>10624</v>
      </c>
      <c r="C9581" s="801" t="s">
        <v>656</v>
      </c>
      <c r="D9581" s="803">
        <v>89933.59</v>
      </c>
    </row>
    <row r="9582" spans="1:4" ht="63.75">
      <c r="A9582" s="801">
        <v>3363</v>
      </c>
      <c r="B9582" s="802" t="s">
        <v>10625</v>
      </c>
      <c r="C9582" s="801" t="s">
        <v>656</v>
      </c>
      <c r="D9582" s="803">
        <v>126500</v>
      </c>
    </row>
    <row r="9583" spans="1:4" ht="63.75">
      <c r="A9583" s="801">
        <v>3365</v>
      </c>
      <c r="B9583" s="802" t="s">
        <v>10626</v>
      </c>
      <c r="C9583" s="801" t="s">
        <v>656</v>
      </c>
      <c r="D9583" s="803">
        <v>295693.75</v>
      </c>
    </row>
    <row r="9584" spans="1:4" ht="25.5">
      <c r="A9584" s="801">
        <v>7569</v>
      </c>
      <c r="B9584" s="802" t="s">
        <v>10627</v>
      </c>
      <c r="C9584" s="801" t="s">
        <v>656</v>
      </c>
      <c r="D9584" s="803">
        <v>75.44</v>
      </c>
    </row>
    <row r="9585" spans="1:4" ht="25.5">
      <c r="A9585" s="801">
        <v>34349</v>
      </c>
      <c r="B9585" s="802" t="s">
        <v>10628</v>
      </c>
      <c r="C9585" s="801" t="s">
        <v>656</v>
      </c>
      <c r="D9585" s="803">
        <v>25.64</v>
      </c>
    </row>
    <row r="9586" spans="1:4" ht="38.25">
      <c r="A9586" s="801">
        <v>11991</v>
      </c>
      <c r="B9586" s="802" t="s">
        <v>10629</v>
      </c>
      <c r="C9586" s="801" t="s">
        <v>656</v>
      </c>
      <c r="D9586" s="803">
        <v>59.92</v>
      </c>
    </row>
    <row r="9587" spans="1:4" ht="25.5">
      <c r="A9587" s="801">
        <v>20062</v>
      </c>
      <c r="B9587" s="802" t="s">
        <v>10630</v>
      </c>
      <c r="C9587" s="801" t="s">
        <v>656</v>
      </c>
      <c r="D9587" s="803">
        <v>15.38</v>
      </c>
    </row>
    <row r="9588" spans="1:4" ht="38.25">
      <c r="A9588" s="801">
        <v>11029</v>
      </c>
      <c r="B9588" s="802" t="s">
        <v>10631</v>
      </c>
      <c r="C9588" s="801" t="s">
        <v>663</v>
      </c>
      <c r="D9588" s="803">
        <v>1.89</v>
      </c>
    </row>
    <row r="9589" spans="1:4" ht="38.25">
      <c r="A9589" s="801">
        <v>4316</v>
      </c>
      <c r="B9589" s="802" t="s">
        <v>10632</v>
      </c>
      <c r="C9589" s="801" t="s">
        <v>656</v>
      </c>
      <c r="D9589" s="803">
        <v>1.91</v>
      </c>
    </row>
    <row r="9590" spans="1:4" ht="38.25">
      <c r="A9590" s="801">
        <v>4313</v>
      </c>
      <c r="B9590" s="802" t="s">
        <v>10633</v>
      </c>
      <c r="C9590" s="801" t="s">
        <v>663</v>
      </c>
      <c r="D9590" s="803">
        <v>2.74</v>
      </c>
    </row>
    <row r="9591" spans="1:4" ht="38.25">
      <c r="A9591" s="801">
        <v>4317</v>
      </c>
      <c r="B9591" s="802" t="s">
        <v>10634</v>
      </c>
      <c r="C9591" s="801" t="s">
        <v>656</v>
      </c>
      <c r="D9591" s="803">
        <v>3.12</v>
      </c>
    </row>
    <row r="9592" spans="1:4" ht="38.25">
      <c r="A9592" s="801">
        <v>4314</v>
      </c>
      <c r="B9592" s="802" t="s">
        <v>10635</v>
      </c>
      <c r="C9592" s="801" t="s">
        <v>663</v>
      </c>
      <c r="D9592" s="803">
        <v>3.65</v>
      </c>
    </row>
    <row r="9593" spans="1:4" ht="38.25">
      <c r="A9593" s="801">
        <v>10921</v>
      </c>
      <c r="B9593" s="802" t="s">
        <v>10636</v>
      </c>
      <c r="C9593" s="801" t="s">
        <v>656</v>
      </c>
      <c r="D9593" s="803">
        <v>5284.33</v>
      </c>
    </row>
    <row r="9594" spans="1:4" ht="38.25">
      <c r="A9594" s="801">
        <v>10922</v>
      </c>
      <c r="B9594" s="802" t="s">
        <v>10637</v>
      </c>
      <c r="C9594" s="801" t="s">
        <v>656</v>
      </c>
      <c r="D9594" s="803">
        <v>4786.41</v>
      </c>
    </row>
    <row r="9595" spans="1:4" ht="25.5">
      <c r="A9595" s="801">
        <v>10923</v>
      </c>
      <c r="B9595" s="802" t="s">
        <v>10638</v>
      </c>
      <c r="C9595" s="801" t="s">
        <v>656</v>
      </c>
      <c r="D9595" s="803">
        <v>2828.97</v>
      </c>
    </row>
    <row r="9596" spans="1:4" ht="25.5">
      <c r="A9596" s="801">
        <v>10924</v>
      </c>
      <c r="B9596" s="802" t="s">
        <v>10639</v>
      </c>
      <c r="C9596" s="801" t="s">
        <v>656</v>
      </c>
      <c r="D9596" s="803">
        <v>2979.46</v>
      </c>
    </row>
    <row r="9597" spans="1:4" ht="38.25">
      <c r="A9597" s="801">
        <v>37772</v>
      </c>
      <c r="B9597" s="802" t="s">
        <v>10640</v>
      </c>
      <c r="C9597" s="801" t="s">
        <v>656</v>
      </c>
      <c r="D9597" s="803">
        <v>257539.77</v>
      </c>
    </row>
    <row r="9598" spans="1:4" ht="51">
      <c r="A9598" s="801">
        <v>37771</v>
      </c>
      <c r="B9598" s="802" t="s">
        <v>10641</v>
      </c>
      <c r="C9598" s="801" t="s">
        <v>656</v>
      </c>
      <c r="D9598" s="803">
        <v>273981.3</v>
      </c>
    </row>
    <row r="9599" spans="1:4" ht="38.25">
      <c r="A9599" s="801">
        <v>12772</v>
      </c>
      <c r="B9599" s="802" t="s">
        <v>10642</v>
      </c>
      <c r="C9599" s="801" t="s">
        <v>656</v>
      </c>
      <c r="D9599" s="803">
        <v>866.77</v>
      </c>
    </row>
    <row r="9600" spans="1:4" ht="38.25">
      <c r="A9600" s="801">
        <v>12770</v>
      </c>
      <c r="B9600" s="802" t="s">
        <v>10643</v>
      </c>
      <c r="C9600" s="801" t="s">
        <v>656</v>
      </c>
      <c r="D9600" s="803">
        <v>521.53</v>
      </c>
    </row>
    <row r="9601" spans="1:4" ht="38.25">
      <c r="A9601" s="801">
        <v>12775</v>
      </c>
      <c r="B9601" s="802" t="s">
        <v>10644</v>
      </c>
      <c r="C9601" s="801" t="s">
        <v>656</v>
      </c>
      <c r="D9601" s="803">
        <v>381.97</v>
      </c>
    </row>
    <row r="9602" spans="1:4" ht="38.25">
      <c r="A9602" s="801">
        <v>12768</v>
      </c>
      <c r="B9602" s="802" t="s">
        <v>10645</v>
      </c>
      <c r="C9602" s="801" t="s">
        <v>656</v>
      </c>
      <c r="D9602" s="803">
        <v>1219.3599999999999</v>
      </c>
    </row>
    <row r="9603" spans="1:4" ht="38.25">
      <c r="A9603" s="801">
        <v>12769</v>
      </c>
      <c r="B9603" s="802" t="s">
        <v>10646</v>
      </c>
      <c r="C9603" s="801" t="s">
        <v>656</v>
      </c>
      <c r="D9603" s="803">
        <v>99.9</v>
      </c>
    </row>
    <row r="9604" spans="1:4" ht="38.25">
      <c r="A9604" s="801">
        <v>12773</v>
      </c>
      <c r="B9604" s="802" t="s">
        <v>10647</v>
      </c>
      <c r="C9604" s="801" t="s">
        <v>656</v>
      </c>
      <c r="D9604" s="803">
        <v>107.24</v>
      </c>
    </row>
    <row r="9605" spans="1:4" ht="38.25">
      <c r="A9605" s="801">
        <v>12774</v>
      </c>
      <c r="B9605" s="802" t="s">
        <v>10648</v>
      </c>
      <c r="C9605" s="801" t="s">
        <v>656</v>
      </c>
      <c r="D9605" s="803">
        <v>132.22</v>
      </c>
    </row>
    <row r="9606" spans="1:4" ht="38.25">
      <c r="A9606" s="801">
        <v>12776</v>
      </c>
      <c r="B9606" s="802" t="s">
        <v>10649</v>
      </c>
      <c r="C9606" s="801" t="s">
        <v>656</v>
      </c>
      <c r="D9606" s="803">
        <v>1968.61</v>
      </c>
    </row>
    <row r="9607" spans="1:4" ht="38.25">
      <c r="A9607" s="801">
        <v>12777</v>
      </c>
      <c r="B9607" s="802" t="s">
        <v>10650</v>
      </c>
      <c r="C9607" s="801" t="s">
        <v>656</v>
      </c>
      <c r="D9607" s="803">
        <v>2570.9499999999998</v>
      </c>
    </row>
    <row r="9608" spans="1:4" ht="25.5">
      <c r="A9608" s="801">
        <v>3391</v>
      </c>
      <c r="B9608" s="802" t="s">
        <v>10651</v>
      </c>
      <c r="C9608" s="801" t="s">
        <v>656</v>
      </c>
      <c r="D9608" s="803">
        <v>35.700000000000003</v>
      </c>
    </row>
    <row r="9609" spans="1:4" ht="25.5">
      <c r="A9609" s="801">
        <v>3389</v>
      </c>
      <c r="B9609" s="802" t="s">
        <v>10652</v>
      </c>
      <c r="C9609" s="801" t="s">
        <v>656</v>
      </c>
      <c r="D9609" s="803">
        <v>18.52</v>
      </c>
    </row>
    <row r="9610" spans="1:4" ht="25.5">
      <c r="A9610" s="801">
        <v>3390</v>
      </c>
      <c r="B9610" s="802" t="s">
        <v>10653</v>
      </c>
      <c r="C9610" s="801" t="s">
        <v>656</v>
      </c>
      <c r="D9610" s="803">
        <v>20.84</v>
      </c>
    </row>
    <row r="9611" spans="1:4">
      <c r="A9611" s="801">
        <v>12873</v>
      </c>
      <c r="B9611" s="802" t="s">
        <v>10654</v>
      </c>
      <c r="C9611" s="801" t="s">
        <v>659</v>
      </c>
      <c r="D9611" s="803">
        <v>12.04</v>
      </c>
    </row>
    <row r="9612" spans="1:4">
      <c r="A9612" s="801">
        <v>41076</v>
      </c>
      <c r="B9612" s="802" t="s">
        <v>10655</v>
      </c>
      <c r="C9612" s="801" t="s">
        <v>772</v>
      </c>
      <c r="D9612" s="803">
        <v>2128.7600000000002</v>
      </c>
    </row>
    <row r="9613" spans="1:4" ht="25.5">
      <c r="A9613" s="801">
        <v>140</v>
      </c>
      <c r="B9613" s="802" t="s">
        <v>10656</v>
      </c>
      <c r="C9613" s="801" t="s">
        <v>653</v>
      </c>
      <c r="D9613" s="803">
        <v>14.35</v>
      </c>
    </row>
    <row r="9614" spans="1:4" ht="38.25">
      <c r="A9614" s="801">
        <v>151</v>
      </c>
      <c r="B9614" s="802" t="s">
        <v>10657</v>
      </c>
      <c r="C9614" s="801" t="s">
        <v>655</v>
      </c>
      <c r="D9614" s="803">
        <v>21.18</v>
      </c>
    </row>
    <row r="9615" spans="1:4">
      <c r="A9615" s="801">
        <v>7340</v>
      </c>
      <c r="B9615" s="802" t="s">
        <v>10658</v>
      </c>
      <c r="C9615" s="801" t="s">
        <v>655</v>
      </c>
      <c r="D9615" s="803">
        <v>49.65</v>
      </c>
    </row>
    <row r="9616" spans="1:4">
      <c r="A9616" s="801">
        <v>2701</v>
      </c>
      <c r="B9616" s="802" t="s">
        <v>10659</v>
      </c>
      <c r="C9616" s="801" t="s">
        <v>659</v>
      </c>
      <c r="D9616" s="803">
        <v>10.53</v>
      </c>
    </row>
    <row r="9617" spans="1:4" ht="25.5">
      <c r="A9617" s="801">
        <v>40929</v>
      </c>
      <c r="B9617" s="802" t="s">
        <v>10660</v>
      </c>
      <c r="C9617" s="801" t="s">
        <v>772</v>
      </c>
      <c r="D9617" s="803">
        <v>1862.69</v>
      </c>
    </row>
    <row r="9618" spans="1:4">
      <c r="A9618" s="801">
        <v>38114</v>
      </c>
      <c r="B9618" s="802" t="s">
        <v>10661</v>
      </c>
      <c r="C9618" s="801" t="s">
        <v>656</v>
      </c>
      <c r="D9618" s="803">
        <v>15.29</v>
      </c>
    </row>
    <row r="9619" spans="1:4" ht="25.5">
      <c r="A9619" s="801">
        <v>38064</v>
      </c>
      <c r="B9619" s="802" t="s">
        <v>10662</v>
      </c>
      <c r="C9619" s="801" t="s">
        <v>656</v>
      </c>
      <c r="D9619" s="803">
        <v>17.09</v>
      </c>
    </row>
    <row r="9620" spans="1:4">
      <c r="A9620" s="801">
        <v>38115</v>
      </c>
      <c r="B9620" s="802" t="s">
        <v>10663</v>
      </c>
      <c r="C9620" s="801" t="s">
        <v>656</v>
      </c>
      <c r="D9620" s="803">
        <v>16.32</v>
      </c>
    </row>
    <row r="9621" spans="1:4" ht="25.5">
      <c r="A9621" s="801">
        <v>38065</v>
      </c>
      <c r="B9621" s="802" t="s">
        <v>10664</v>
      </c>
      <c r="C9621" s="801" t="s">
        <v>656</v>
      </c>
      <c r="D9621" s="803">
        <v>24.25</v>
      </c>
    </row>
    <row r="9622" spans="1:4" ht="25.5">
      <c r="A9622" s="801">
        <v>38078</v>
      </c>
      <c r="B9622" s="802" t="s">
        <v>10665</v>
      </c>
      <c r="C9622" s="801" t="s">
        <v>656</v>
      </c>
      <c r="D9622" s="803">
        <v>14.15</v>
      </c>
    </row>
    <row r="9623" spans="1:4">
      <c r="A9623" s="801">
        <v>38113</v>
      </c>
      <c r="B9623" s="802" t="s">
        <v>10666</v>
      </c>
      <c r="C9623" s="801" t="s">
        <v>656</v>
      </c>
      <c r="D9623" s="803">
        <v>7.68</v>
      </c>
    </row>
    <row r="9624" spans="1:4" ht="25.5">
      <c r="A9624" s="801">
        <v>38063</v>
      </c>
      <c r="B9624" s="802" t="s">
        <v>10667</v>
      </c>
      <c r="C9624" s="801" t="s">
        <v>656</v>
      </c>
      <c r="D9624" s="803">
        <v>8.24</v>
      </c>
    </row>
    <row r="9625" spans="1:4" ht="38.25">
      <c r="A9625" s="801">
        <v>38080</v>
      </c>
      <c r="B9625" s="802" t="s">
        <v>10668</v>
      </c>
      <c r="C9625" s="801" t="s">
        <v>656</v>
      </c>
      <c r="D9625" s="803">
        <v>24.57</v>
      </c>
    </row>
    <row r="9626" spans="1:4" ht="38.25">
      <c r="A9626" s="801">
        <v>38069</v>
      </c>
      <c r="B9626" s="802" t="s">
        <v>10669</v>
      </c>
      <c r="C9626" s="801" t="s">
        <v>656</v>
      </c>
      <c r="D9626" s="803">
        <v>13.44</v>
      </c>
    </row>
    <row r="9627" spans="1:4" ht="25.5">
      <c r="A9627" s="801">
        <v>38077</v>
      </c>
      <c r="B9627" s="802" t="s">
        <v>10670</v>
      </c>
      <c r="C9627" s="801" t="s">
        <v>656</v>
      </c>
      <c r="D9627" s="803">
        <v>13.13</v>
      </c>
    </row>
    <row r="9628" spans="1:4" ht="38.25">
      <c r="A9628" s="801">
        <v>38073</v>
      </c>
      <c r="B9628" s="802" t="s">
        <v>10671</v>
      </c>
      <c r="C9628" s="801" t="s">
        <v>656</v>
      </c>
      <c r="D9628" s="803">
        <v>20</v>
      </c>
    </row>
    <row r="9629" spans="1:4">
      <c r="A9629" s="801">
        <v>38112</v>
      </c>
      <c r="B9629" s="802" t="s">
        <v>4688</v>
      </c>
      <c r="C9629" s="801" t="s">
        <v>656</v>
      </c>
      <c r="D9629" s="803">
        <v>5.9</v>
      </c>
    </row>
    <row r="9630" spans="1:4" ht="25.5">
      <c r="A9630" s="801">
        <v>38062</v>
      </c>
      <c r="B9630" s="802" t="s">
        <v>10672</v>
      </c>
      <c r="C9630" s="801" t="s">
        <v>656</v>
      </c>
      <c r="D9630" s="803">
        <v>6.05</v>
      </c>
    </row>
    <row r="9631" spans="1:4" ht="25.5">
      <c r="A9631" s="801">
        <v>12128</v>
      </c>
      <c r="B9631" s="802" t="s">
        <v>10673</v>
      </c>
      <c r="C9631" s="801" t="s">
        <v>656</v>
      </c>
      <c r="D9631" s="803">
        <v>8.09</v>
      </c>
    </row>
    <row r="9632" spans="1:4" ht="25.5">
      <c r="A9632" s="801">
        <v>12129</v>
      </c>
      <c r="B9632" s="802" t="s">
        <v>10674</v>
      </c>
      <c r="C9632" s="801" t="s">
        <v>656</v>
      </c>
      <c r="D9632" s="803">
        <v>10.7</v>
      </c>
    </row>
    <row r="9633" spans="1:4" ht="38.25">
      <c r="A9633" s="801">
        <v>38081</v>
      </c>
      <c r="B9633" s="802" t="s">
        <v>10675</v>
      </c>
      <c r="C9633" s="801" t="s">
        <v>656</v>
      </c>
      <c r="D9633" s="803">
        <v>20.84</v>
      </c>
    </row>
    <row r="9634" spans="1:4" ht="25.5">
      <c r="A9634" s="801">
        <v>38070</v>
      </c>
      <c r="B9634" s="802" t="s">
        <v>10676</v>
      </c>
      <c r="C9634" s="801" t="s">
        <v>656</v>
      </c>
      <c r="D9634" s="803">
        <v>14.36</v>
      </c>
    </row>
    <row r="9635" spans="1:4" ht="25.5">
      <c r="A9635" s="801">
        <v>38074</v>
      </c>
      <c r="B9635" s="802" t="s">
        <v>10677</v>
      </c>
      <c r="C9635" s="801" t="s">
        <v>656</v>
      </c>
      <c r="D9635" s="803">
        <v>21.83</v>
      </c>
    </row>
    <row r="9636" spans="1:4" ht="38.25">
      <c r="A9636" s="801">
        <v>38079</v>
      </c>
      <c r="B9636" s="802" t="s">
        <v>10678</v>
      </c>
      <c r="C9636" s="801" t="s">
        <v>656</v>
      </c>
      <c r="D9636" s="803">
        <v>18.739999999999998</v>
      </c>
    </row>
    <row r="9637" spans="1:4" ht="38.25">
      <c r="A9637" s="801">
        <v>38072</v>
      </c>
      <c r="B9637" s="802" t="s">
        <v>10679</v>
      </c>
      <c r="C9637" s="801" t="s">
        <v>656</v>
      </c>
      <c r="D9637" s="803">
        <v>18.010000000000002</v>
      </c>
    </row>
    <row r="9638" spans="1:4" ht="25.5">
      <c r="A9638" s="801">
        <v>38068</v>
      </c>
      <c r="B9638" s="802" t="s">
        <v>10680</v>
      </c>
      <c r="C9638" s="801" t="s">
        <v>656</v>
      </c>
      <c r="D9638" s="803">
        <v>12.43</v>
      </c>
    </row>
    <row r="9639" spans="1:4" ht="25.5">
      <c r="A9639" s="801">
        <v>38071</v>
      </c>
      <c r="B9639" s="802" t="s">
        <v>10681</v>
      </c>
      <c r="C9639" s="801" t="s">
        <v>656</v>
      </c>
      <c r="D9639" s="803">
        <v>14.86</v>
      </c>
    </row>
    <row r="9640" spans="1:4" ht="38.25">
      <c r="A9640" s="801">
        <v>38412</v>
      </c>
      <c r="B9640" s="802" t="s">
        <v>10682</v>
      </c>
      <c r="C9640" s="801" t="s">
        <v>656</v>
      </c>
      <c r="D9640" s="803">
        <v>1589.95</v>
      </c>
    </row>
    <row r="9641" spans="1:4" ht="25.5">
      <c r="A9641" s="801">
        <v>3405</v>
      </c>
      <c r="B9641" s="802" t="s">
        <v>10683</v>
      </c>
      <c r="C9641" s="801" t="s">
        <v>656</v>
      </c>
      <c r="D9641" s="803">
        <v>91.9</v>
      </c>
    </row>
    <row r="9642" spans="1:4" ht="25.5">
      <c r="A9642" s="801">
        <v>3394</v>
      </c>
      <c r="B9642" s="802" t="s">
        <v>10684</v>
      </c>
      <c r="C9642" s="801" t="s">
        <v>656</v>
      </c>
      <c r="D9642" s="803">
        <v>485.11</v>
      </c>
    </row>
    <row r="9643" spans="1:4" ht="25.5">
      <c r="A9643" s="801">
        <v>3393</v>
      </c>
      <c r="B9643" s="802" t="s">
        <v>10685</v>
      </c>
      <c r="C9643" s="801" t="s">
        <v>656</v>
      </c>
      <c r="D9643" s="803">
        <v>825.96</v>
      </c>
    </row>
    <row r="9644" spans="1:4" ht="25.5">
      <c r="A9644" s="801">
        <v>3406</v>
      </c>
      <c r="B9644" s="802" t="s">
        <v>10686</v>
      </c>
      <c r="C9644" s="801" t="s">
        <v>656</v>
      </c>
      <c r="D9644" s="803">
        <v>28.13</v>
      </c>
    </row>
    <row r="9645" spans="1:4" ht="25.5">
      <c r="A9645" s="801">
        <v>3395</v>
      </c>
      <c r="B9645" s="802" t="s">
        <v>10687</v>
      </c>
      <c r="C9645" s="801" t="s">
        <v>656</v>
      </c>
      <c r="D9645" s="803">
        <v>118.66</v>
      </c>
    </row>
    <row r="9646" spans="1:4" ht="25.5">
      <c r="A9646" s="801">
        <v>3398</v>
      </c>
      <c r="B9646" s="802" t="s">
        <v>10688</v>
      </c>
      <c r="C9646" s="801" t="s">
        <v>656</v>
      </c>
      <c r="D9646" s="803">
        <v>5.64</v>
      </c>
    </row>
    <row r="9647" spans="1:4" ht="63.75">
      <c r="A9647" s="801">
        <v>40662</v>
      </c>
      <c r="B9647" s="802" t="s">
        <v>10689</v>
      </c>
      <c r="C9647" s="801" t="s">
        <v>656</v>
      </c>
      <c r="D9647" s="803">
        <v>285.67</v>
      </c>
    </row>
    <row r="9648" spans="1:4" ht="63.75">
      <c r="A9648" s="801">
        <v>3437</v>
      </c>
      <c r="B9648" s="802" t="s">
        <v>10690</v>
      </c>
      <c r="C9648" s="801" t="s">
        <v>661</v>
      </c>
      <c r="D9648" s="803">
        <v>793.54</v>
      </c>
    </row>
    <row r="9649" spans="1:4" ht="25.5">
      <c r="A9649" s="801">
        <v>11190</v>
      </c>
      <c r="B9649" s="802" t="s">
        <v>4689</v>
      </c>
      <c r="C9649" s="801" t="s">
        <v>656</v>
      </c>
      <c r="D9649" s="803">
        <v>229</v>
      </c>
    </row>
    <row r="9650" spans="1:4" ht="38.25">
      <c r="A9650" s="801">
        <v>34377</v>
      </c>
      <c r="B9650" s="802" t="s">
        <v>10691</v>
      </c>
      <c r="C9650" s="801" t="s">
        <v>656</v>
      </c>
      <c r="D9650" s="803">
        <v>308.76</v>
      </c>
    </row>
    <row r="9651" spans="1:4" ht="63.75">
      <c r="A9651" s="801">
        <v>3428</v>
      </c>
      <c r="B9651" s="802" t="s">
        <v>10692</v>
      </c>
      <c r="C9651" s="801" t="s">
        <v>661</v>
      </c>
      <c r="D9651" s="803">
        <v>1177.08</v>
      </c>
    </row>
    <row r="9652" spans="1:4" ht="63.75">
      <c r="A9652" s="801">
        <v>3429</v>
      </c>
      <c r="B9652" s="802" t="s">
        <v>10693</v>
      </c>
      <c r="C9652" s="801" t="s">
        <v>661</v>
      </c>
      <c r="D9652" s="803">
        <v>672.52</v>
      </c>
    </row>
    <row r="9653" spans="1:4" ht="51">
      <c r="A9653" s="801">
        <v>34364</v>
      </c>
      <c r="B9653" s="802" t="s">
        <v>10694</v>
      </c>
      <c r="C9653" s="801" t="s">
        <v>656</v>
      </c>
      <c r="D9653" s="803">
        <v>1013.1</v>
      </c>
    </row>
    <row r="9654" spans="1:4" ht="38.25">
      <c r="A9654" s="801">
        <v>34369</v>
      </c>
      <c r="B9654" s="802" t="s">
        <v>10695</v>
      </c>
      <c r="C9654" s="801" t="s">
        <v>656</v>
      </c>
      <c r="D9654" s="803">
        <v>1073.9000000000001</v>
      </c>
    </row>
    <row r="9655" spans="1:4" ht="38.25">
      <c r="A9655" s="801">
        <v>36896</v>
      </c>
      <c r="B9655" s="802" t="s">
        <v>10696</v>
      </c>
      <c r="C9655" s="801" t="s">
        <v>656</v>
      </c>
      <c r="D9655" s="803">
        <v>598</v>
      </c>
    </row>
    <row r="9656" spans="1:4" ht="38.25">
      <c r="A9656" s="801">
        <v>34367</v>
      </c>
      <c r="B9656" s="802" t="s">
        <v>10697</v>
      </c>
      <c r="C9656" s="801" t="s">
        <v>656</v>
      </c>
      <c r="D9656" s="803">
        <v>770.73</v>
      </c>
    </row>
    <row r="9657" spans="1:4" ht="51">
      <c r="A9657" s="801">
        <v>36897</v>
      </c>
      <c r="B9657" s="802" t="s">
        <v>10698</v>
      </c>
      <c r="C9657" s="801" t="s">
        <v>656</v>
      </c>
      <c r="D9657" s="803">
        <v>933.17</v>
      </c>
    </row>
    <row r="9658" spans="1:4" ht="76.5">
      <c r="A9658" s="801">
        <v>40659</v>
      </c>
      <c r="B9658" s="802" t="s">
        <v>10699</v>
      </c>
      <c r="C9658" s="801" t="s">
        <v>661</v>
      </c>
      <c r="D9658" s="803">
        <v>1122.74</v>
      </c>
    </row>
    <row r="9659" spans="1:4" ht="76.5">
      <c r="A9659" s="801">
        <v>40660</v>
      </c>
      <c r="B9659" s="802" t="s">
        <v>10700</v>
      </c>
      <c r="C9659" s="801" t="s">
        <v>661</v>
      </c>
      <c r="D9659" s="803">
        <v>1422.94</v>
      </c>
    </row>
    <row r="9660" spans="1:4" ht="76.5">
      <c r="A9660" s="801">
        <v>40661</v>
      </c>
      <c r="B9660" s="802" t="s">
        <v>10701</v>
      </c>
      <c r="C9660" s="801" t="s">
        <v>661</v>
      </c>
      <c r="D9660" s="803">
        <v>874.86</v>
      </c>
    </row>
    <row r="9661" spans="1:4" ht="63.75">
      <c r="A9661" s="801">
        <v>3421</v>
      </c>
      <c r="B9661" s="802" t="s">
        <v>10702</v>
      </c>
      <c r="C9661" s="801" t="s">
        <v>661</v>
      </c>
      <c r="D9661" s="803">
        <v>881.56</v>
      </c>
    </row>
    <row r="9662" spans="1:4" ht="38.25">
      <c r="A9662" s="801">
        <v>599</v>
      </c>
      <c r="B9662" s="802" t="s">
        <v>10703</v>
      </c>
      <c r="C9662" s="801" t="s">
        <v>661</v>
      </c>
      <c r="D9662" s="803">
        <v>1090.6199999999999</v>
      </c>
    </row>
    <row r="9663" spans="1:4" ht="51">
      <c r="A9663" s="801">
        <v>44053</v>
      </c>
      <c r="B9663" s="802" t="s">
        <v>10704</v>
      </c>
      <c r="C9663" s="801" t="s">
        <v>656</v>
      </c>
      <c r="D9663" s="803">
        <v>2420.67</v>
      </c>
    </row>
    <row r="9664" spans="1:4" ht="63.75">
      <c r="A9664" s="801">
        <v>3423</v>
      </c>
      <c r="B9664" s="802" t="s">
        <v>10705</v>
      </c>
      <c r="C9664" s="801" t="s">
        <v>661</v>
      </c>
      <c r="D9664" s="803">
        <v>1243.21</v>
      </c>
    </row>
    <row r="9665" spans="1:4" ht="38.25">
      <c r="A9665" s="801">
        <v>34381</v>
      </c>
      <c r="B9665" s="802" t="s">
        <v>10706</v>
      </c>
      <c r="C9665" s="801" t="s">
        <v>656</v>
      </c>
      <c r="D9665" s="803">
        <v>440.37</v>
      </c>
    </row>
    <row r="9666" spans="1:4" ht="38.25">
      <c r="A9666" s="801">
        <v>34797</v>
      </c>
      <c r="B9666" s="802" t="s">
        <v>10707</v>
      </c>
      <c r="C9666" s="801" t="s">
        <v>656</v>
      </c>
      <c r="D9666" s="803">
        <v>498.8</v>
      </c>
    </row>
    <row r="9667" spans="1:4" ht="51">
      <c r="A9667" s="801">
        <v>44054</v>
      </c>
      <c r="B9667" s="802" t="s">
        <v>10708</v>
      </c>
      <c r="C9667" s="801" t="s">
        <v>656</v>
      </c>
      <c r="D9667" s="803">
        <v>868.39</v>
      </c>
    </row>
    <row r="9668" spans="1:4" ht="51">
      <c r="A9668" s="801">
        <v>44399</v>
      </c>
      <c r="B9668" s="802" t="s">
        <v>10709</v>
      </c>
      <c r="C9668" s="801" t="s">
        <v>656</v>
      </c>
      <c r="D9668" s="803">
        <v>1186.5</v>
      </c>
    </row>
    <row r="9669" spans="1:4">
      <c r="A9669" s="801">
        <v>44503</v>
      </c>
      <c r="B9669" s="802" t="s">
        <v>10710</v>
      </c>
      <c r="C9669" s="801" t="s">
        <v>659</v>
      </c>
      <c r="D9669" s="803">
        <v>11.47</v>
      </c>
    </row>
    <row r="9670" spans="1:4">
      <c r="A9670" s="801">
        <v>41077</v>
      </c>
      <c r="B9670" s="802" t="s">
        <v>10711</v>
      </c>
      <c r="C9670" s="801" t="s">
        <v>772</v>
      </c>
      <c r="D9670" s="803">
        <v>2029.24</v>
      </c>
    </row>
    <row r="9671" spans="1:4" ht="25.5">
      <c r="A9671" s="801">
        <v>20159</v>
      </c>
      <c r="B9671" s="802" t="s">
        <v>10712</v>
      </c>
      <c r="C9671" s="801" t="s">
        <v>656</v>
      </c>
      <c r="D9671" s="803">
        <v>67.87</v>
      </c>
    </row>
    <row r="9672" spans="1:4">
      <c r="A9672" s="801">
        <v>37963</v>
      </c>
      <c r="B9672" s="802" t="s">
        <v>10713</v>
      </c>
      <c r="C9672" s="801" t="s">
        <v>656</v>
      </c>
      <c r="D9672" s="803">
        <v>5.28</v>
      </c>
    </row>
    <row r="9673" spans="1:4">
      <c r="A9673" s="801">
        <v>37964</v>
      </c>
      <c r="B9673" s="802" t="s">
        <v>10714</v>
      </c>
      <c r="C9673" s="801" t="s">
        <v>656</v>
      </c>
      <c r="D9673" s="803">
        <v>8.8000000000000007</v>
      </c>
    </row>
    <row r="9674" spans="1:4">
      <c r="A9674" s="801">
        <v>37965</v>
      </c>
      <c r="B9674" s="802" t="s">
        <v>10715</v>
      </c>
      <c r="C9674" s="801" t="s">
        <v>656</v>
      </c>
      <c r="D9674" s="803">
        <v>12.76</v>
      </c>
    </row>
    <row r="9675" spans="1:4">
      <c r="A9675" s="801">
        <v>37966</v>
      </c>
      <c r="B9675" s="802" t="s">
        <v>10716</v>
      </c>
      <c r="C9675" s="801" t="s">
        <v>656</v>
      </c>
      <c r="D9675" s="803">
        <v>23.11</v>
      </c>
    </row>
    <row r="9676" spans="1:4">
      <c r="A9676" s="801">
        <v>37967</v>
      </c>
      <c r="B9676" s="802" t="s">
        <v>10717</v>
      </c>
      <c r="C9676" s="801" t="s">
        <v>656</v>
      </c>
      <c r="D9676" s="803">
        <v>37.06</v>
      </c>
    </row>
    <row r="9677" spans="1:4">
      <c r="A9677" s="801">
        <v>37968</v>
      </c>
      <c r="B9677" s="802" t="s">
        <v>10718</v>
      </c>
      <c r="C9677" s="801" t="s">
        <v>656</v>
      </c>
      <c r="D9677" s="803">
        <v>81.27</v>
      </c>
    </row>
    <row r="9678" spans="1:4">
      <c r="A9678" s="801">
        <v>37969</v>
      </c>
      <c r="B9678" s="802" t="s">
        <v>10719</v>
      </c>
      <c r="C9678" s="801" t="s">
        <v>656</v>
      </c>
      <c r="D9678" s="803">
        <v>217.11</v>
      </c>
    </row>
    <row r="9679" spans="1:4">
      <c r="A9679" s="801">
        <v>37970</v>
      </c>
      <c r="B9679" s="802" t="s">
        <v>10720</v>
      </c>
      <c r="C9679" s="801" t="s">
        <v>656</v>
      </c>
      <c r="D9679" s="803">
        <v>253.27</v>
      </c>
    </row>
    <row r="9680" spans="1:4">
      <c r="A9680" s="801">
        <v>21118</v>
      </c>
      <c r="B9680" s="802" t="s">
        <v>10721</v>
      </c>
      <c r="C9680" s="801" t="s">
        <v>656</v>
      </c>
      <c r="D9680" s="803">
        <v>3.99</v>
      </c>
    </row>
    <row r="9681" spans="1:4">
      <c r="A9681" s="801">
        <v>37956</v>
      </c>
      <c r="B9681" s="802" t="s">
        <v>10722</v>
      </c>
      <c r="C9681" s="801" t="s">
        <v>656</v>
      </c>
      <c r="D9681" s="803">
        <v>6.32</v>
      </c>
    </row>
    <row r="9682" spans="1:4">
      <c r="A9682" s="801">
        <v>37957</v>
      </c>
      <c r="B9682" s="802" t="s">
        <v>10723</v>
      </c>
      <c r="C9682" s="801" t="s">
        <v>656</v>
      </c>
      <c r="D9682" s="803">
        <v>13.33</v>
      </c>
    </row>
    <row r="9683" spans="1:4">
      <c r="A9683" s="801">
        <v>37958</v>
      </c>
      <c r="B9683" s="802" t="s">
        <v>10724</v>
      </c>
      <c r="C9683" s="801" t="s">
        <v>656</v>
      </c>
      <c r="D9683" s="803">
        <v>23.11</v>
      </c>
    </row>
    <row r="9684" spans="1:4">
      <c r="A9684" s="801">
        <v>37959</v>
      </c>
      <c r="B9684" s="802" t="s">
        <v>10725</v>
      </c>
      <c r="C9684" s="801" t="s">
        <v>656</v>
      </c>
      <c r="D9684" s="803">
        <v>37.06</v>
      </c>
    </row>
    <row r="9685" spans="1:4">
      <c r="A9685" s="801">
        <v>37960</v>
      </c>
      <c r="B9685" s="802" t="s">
        <v>10726</v>
      </c>
      <c r="C9685" s="801" t="s">
        <v>656</v>
      </c>
      <c r="D9685" s="803">
        <v>79.8</v>
      </c>
    </row>
    <row r="9686" spans="1:4">
      <c r="A9686" s="801">
        <v>37961</v>
      </c>
      <c r="B9686" s="802" t="s">
        <v>10727</v>
      </c>
      <c r="C9686" s="801" t="s">
        <v>656</v>
      </c>
      <c r="D9686" s="803">
        <v>211.72</v>
      </c>
    </row>
    <row r="9687" spans="1:4">
      <c r="A9687" s="801">
        <v>37962</v>
      </c>
      <c r="B9687" s="802" t="s">
        <v>10728</v>
      </c>
      <c r="C9687" s="801" t="s">
        <v>656</v>
      </c>
      <c r="D9687" s="803">
        <v>246.01</v>
      </c>
    </row>
    <row r="9688" spans="1:4" ht="25.5">
      <c r="A9688" s="801">
        <v>3533</v>
      </c>
      <c r="B9688" s="802" t="s">
        <v>10729</v>
      </c>
      <c r="C9688" s="801" t="s">
        <v>656</v>
      </c>
      <c r="D9688" s="803">
        <v>2.4500000000000002</v>
      </c>
    </row>
    <row r="9689" spans="1:4" ht="25.5">
      <c r="A9689" s="801">
        <v>3538</v>
      </c>
      <c r="B9689" s="802" t="s">
        <v>10730</v>
      </c>
      <c r="C9689" s="801" t="s">
        <v>656</v>
      </c>
      <c r="D9689" s="803">
        <v>4.2300000000000004</v>
      </c>
    </row>
    <row r="9690" spans="1:4" ht="25.5">
      <c r="A9690" s="801">
        <v>3497</v>
      </c>
      <c r="B9690" s="802" t="s">
        <v>10731</v>
      </c>
      <c r="C9690" s="801" t="s">
        <v>656</v>
      </c>
      <c r="D9690" s="803">
        <v>15.81</v>
      </c>
    </row>
    <row r="9691" spans="1:4" ht="25.5">
      <c r="A9691" s="801">
        <v>3498</v>
      </c>
      <c r="B9691" s="802" t="s">
        <v>10732</v>
      </c>
      <c r="C9691" s="801" t="s">
        <v>656</v>
      </c>
      <c r="D9691" s="803">
        <v>5.0199999999999996</v>
      </c>
    </row>
    <row r="9692" spans="1:4" ht="25.5">
      <c r="A9692" s="801">
        <v>3496</v>
      </c>
      <c r="B9692" s="802" t="s">
        <v>10733</v>
      </c>
      <c r="C9692" s="801" t="s">
        <v>656</v>
      </c>
      <c r="D9692" s="803">
        <v>4.05</v>
      </c>
    </row>
    <row r="9693" spans="1:4" ht="25.5">
      <c r="A9693" s="801">
        <v>38429</v>
      </c>
      <c r="B9693" s="802" t="s">
        <v>10734</v>
      </c>
      <c r="C9693" s="801" t="s">
        <v>656</v>
      </c>
      <c r="D9693" s="803">
        <v>13.47</v>
      </c>
    </row>
    <row r="9694" spans="1:4" ht="25.5">
      <c r="A9694" s="801">
        <v>38431</v>
      </c>
      <c r="B9694" s="802" t="s">
        <v>10735</v>
      </c>
      <c r="C9694" s="801" t="s">
        <v>656</v>
      </c>
      <c r="D9694" s="803">
        <v>21.35</v>
      </c>
    </row>
    <row r="9695" spans="1:4" ht="25.5">
      <c r="A9695" s="801">
        <v>38430</v>
      </c>
      <c r="B9695" s="802" t="s">
        <v>10736</v>
      </c>
      <c r="C9695" s="801" t="s">
        <v>656</v>
      </c>
      <c r="D9695" s="803">
        <v>27.28</v>
      </c>
    </row>
    <row r="9696" spans="1:4" ht="25.5">
      <c r="A9696" s="801">
        <v>36348</v>
      </c>
      <c r="B9696" s="802" t="s">
        <v>10737</v>
      </c>
      <c r="C9696" s="801" t="s">
        <v>656</v>
      </c>
      <c r="D9696" s="803">
        <v>1.94</v>
      </c>
    </row>
    <row r="9697" spans="1:4" ht="25.5">
      <c r="A9697" s="801">
        <v>36349</v>
      </c>
      <c r="B9697" s="802" t="s">
        <v>10738</v>
      </c>
      <c r="C9697" s="801" t="s">
        <v>656</v>
      </c>
      <c r="D9697" s="803">
        <v>2.91</v>
      </c>
    </row>
    <row r="9698" spans="1:4" ht="25.5">
      <c r="A9698" s="801">
        <v>38433</v>
      </c>
      <c r="B9698" s="802" t="s">
        <v>10739</v>
      </c>
      <c r="C9698" s="801" t="s">
        <v>656</v>
      </c>
      <c r="D9698" s="803">
        <v>5.39</v>
      </c>
    </row>
    <row r="9699" spans="1:4" ht="25.5">
      <c r="A9699" s="801">
        <v>38440</v>
      </c>
      <c r="B9699" s="802" t="s">
        <v>10740</v>
      </c>
      <c r="C9699" s="801" t="s">
        <v>656</v>
      </c>
      <c r="D9699" s="803">
        <v>186.04</v>
      </c>
    </row>
    <row r="9700" spans="1:4" ht="25.5">
      <c r="A9700" s="801">
        <v>36359</v>
      </c>
      <c r="B9700" s="802" t="s">
        <v>10741</v>
      </c>
      <c r="C9700" s="801" t="s">
        <v>656</v>
      </c>
      <c r="D9700" s="803">
        <v>2.31</v>
      </c>
    </row>
    <row r="9701" spans="1:4" ht="25.5">
      <c r="A9701" s="801">
        <v>36360</v>
      </c>
      <c r="B9701" s="802" t="s">
        <v>10742</v>
      </c>
      <c r="C9701" s="801" t="s">
        <v>656</v>
      </c>
      <c r="D9701" s="803">
        <v>3.57</v>
      </c>
    </row>
    <row r="9702" spans="1:4" ht="25.5">
      <c r="A9702" s="801">
        <v>38434</v>
      </c>
      <c r="B9702" s="802" t="s">
        <v>10743</v>
      </c>
      <c r="C9702" s="801" t="s">
        <v>656</v>
      </c>
      <c r="D9702" s="803">
        <v>5.46</v>
      </c>
    </row>
    <row r="9703" spans="1:4" ht="25.5">
      <c r="A9703" s="801">
        <v>38435</v>
      </c>
      <c r="B9703" s="802" t="s">
        <v>10744</v>
      </c>
      <c r="C9703" s="801" t="s">
        <v>656</v>
      </c>
      <c r="D9703" s="803">
        <v>10.37</v>
      </c>
    </row>
    <row r="9704" spans="1:4" ht="25.5">
      <c r="A9704" s="801">
        <v>38436</v>
      </c>
      <c r="B9704" s="802" t="s">
        <v>10745</v>
      </c>
      <c r="C9704" s="801" t="s">
        <v>656</v>
      </c>
      <c r="D9704" s="803">
        <v>21.45</v>
      </c>
    </row>
    <row r="9705" spans="1:4" ht="25.5">
      <c r="A9705" s="801">
        <v>38437</v>
      </c>
      <c r="B9705" s="802" t="s">
        <v>10746</v>
      </c>
      <c r="C9705" s="801" t="s">
        <v>656</v>
      </c>
      <c r="D9705" s="803">
        <v>32.21</v>
      </c>
    </row>
    <row r="9706" spans="1:4" ht="25.5">
      <c r="A9706" s="801">
        <v>38438</v>
      </c>
      <c r="B9706" s="802" t="s">
        <v>10747</v>
      </c>
      <c r="C9706" s="801" t="s">
        <v>656</v>
      </c>
      <c r="D9706" s="803">
        <v>81.39</v>
      </c>
    </row>
    <row r="9707" spans="1:4" ht="25.5">
      <c r="A9707" s="801">
        <v>38439</v>
      </c>
      <c r="B9707" s="802" t="s">
        <v>10748</v>
      </c>
      <c r="C9707" s="801" t="s">
        <v>656</v>
      </c>
      <c r="D9707" s="803">
        <v>124.05</v>
      </c>
    </row>
    <row r="9708" spans="1:4" ht="25.5">
      <c r="A9708" s="801">
        <v>10836</v>
      </c>
      <c r="B9708" s="802" t="s">
        <v>10749</v>
      </c>
      <c r="C9708" s="801" t="s">
        <v>656</v>
      </c>
      <c r="D9708" s="803">
        <v>23.79</v>
      </c>
    </row>
    <row r="9709" spans="1:4" ht="25.5">
      <c r="A9709" s="801">
        <v>20128</v>
      </c>
      <c r="B9709" s="802" t="s">
        <v>10750</v>
      </c>
      <c r="C9709" s="801" t="s">
        <v>656</v>
      </c>
      <c r="D9709" s="803">
        <v>69.73</v>
      </c>
    </row>
    <row r="9710" spans="1:4" ht="25.5">
      <c r="A9710" s="801">
        <v>20131</v>
      </c>
      <c r="B9710" s="802" t="s">
        <v>10751</v>
      </c>
      <c r="C9710" s="801" t="s">
        <v>656</v>
      </c>
      <c r="D9710" s="803">
        <v>63.64</v>
      </c>
    </row>
    <row r="9711" spans="1:4" ht="25.5">
      <c r="A9711" s="801">
        <v>3521</v>
      </c>
      <c r="B9711" s="802" t="s">
        <v>10752</v>
      </c>
      <c r="C9711" s="801" t="s">
        <v>656</v>
      </c>
      <c r="D9711" s="803">
        <v>2.13</v>
      </c>
    </row>
    <row r="9712" spans="1:4" ht="25.5">
      <c r="A9712" s="801">
        <v>3531</v>
      </c>
      <c r="B9712" s="802" t="s">
        <v>10753</v>
      </c>
      <c r="C9712" s="801" t="s">
        <v>656</v>
      </c>
      <c r="D9712" s="803">
        <v>2.41</v>
      </c>
    </row>
    <row r="9713" spans="1:4" ht="25.5">
      <c r="A9713" s="801">
        <v>3522</v>
      </c>
      <c r="B9713" s="802" t="s">
        <v>4690</v>
      </c>
      <c r="C9713" s="801" t="s">
        <v>656</v>
      </c>
      <c r="D9713" s="803">
        <v>3.59</v>
      </c>
    </row>
    <row r="9714" spans="1:4" ht="25.5">
      <c r="A9714" s="801">
        <v>3527</v>
      </c>
      <c r="B9714" s="802" t="s">
        <v>10754</v>
      </c>
      <c r="C9714" s="801" t="s">
        <v>656</v>
      </c>
      <c r="D9714" s="803">
        <v>12.34</v>
      </c>
    </row>
    <row r="9715" spans="1:4" ht="25.5">
      <c r="A9715" s="801">
        <v>10835</v>
      </c>
      <c r="B9715" s="802" t="s">
        <v>10755</v>
      </c>
      <c r="C9715" s="801" t="s">
        <v>656</v>
      </c>
      <c r="D9715" s="803">
        <v>4.9800000000000004</v>
      </c>
    </row>
    <row r="9716" spans="1:4" ht="25.5">
      <c r="A9716" s="801">
        <v>3475</v>
      </c>
      <c r="B9716" s="802" t="s">
        <v>10756</v>
      </c>
      <c r="C9716" s="801" t="s">
        <v>656</v>
      </c>
      <c r="D9716" s="803">
        <v>4.1500000000000004</v>
      </c>
    </row>
    <row r="9717" spans="1:4">
      <c r="A9717" s="801">
        <v>3485</v>
      </c>
      <c r="B9717" s="802" t="s">
        <v>10757</v>
      </c>
      <c r="C9717" s="801" t="s">
        <v>656</v>
      </c>
      <c r="D9717" s="803">
        <v>13.25</v>
      </c>
    </row>
    <row r="9718" spans="1:4" ht="25.5">
      <c r="A9718" s="801">
        <v>3534</v>
      </c>
      <c r="B9718" s="802" t="s">
        <v>10758</v>
      </c>
      <c r="C9718" s="801" t="s">
        <v>656</v>
      </c>
      <c r="D9718" s="803">
        <v>5.24</v>
      </c>
    </row>
    <row r="9719" spans="1:4" ht="25.5">
      <c r="A9719" s="801">
        <v>3543</v>
      </c>
      <c r="B9719" s="802" t="s">
        <v>10759</v>
      </c>
      <c r="C9719" s="801" t="s">
        <v>656</v>
      </c>
      <c r="D9719" s="803">
        <v>2.63</v>
      </c>
    </row>
    <row r="9720" spans="1:4">
      <c r="A9720" s="801">
        <v>3482</v>
      </c>
      <c r="B9720" s="802" t="s">
        <v>10760</v>
      </c>
      <c r="C9720" s="801" t="s">
        <v>656</v>
      </c>
      <c r="D9720" s="803">
        <v>6.66</v>
      </c>
    </row>
    <row r="9721" spans="1:4" ht="25.5">
      <c r="A9721" s="801">
        <v>3505</v>
      </c>
      <c r="B9721" s="802" t="s">
        <v>10761</v>
      </c>
      <c r="C9721" s="801" t="s">
        <v>656</v>
      </c>
      <c r="D9721" s="803">
        <v>3.78</v>
      </c>
    </row>
    <row r="9722" spans="1:4" ht="25.5">
      <c r="A9722" s="801">
        <v>3516</v>
      </c>
      <c r="B9722" s="802" t="s">
        <v>4691</v>
      </c>
      <c r="C9722" s="801" t="s">
        <v>656</v>
      </c>
      <c r="D9722" s="803">
        <v>1.3</v>
      </c>
    </row>
    <row r="9723" spans="1:4" ht="25.5">
      <c r="A9723" s="801">
        <v>3517</v>
      </c>
      <c r="B9723" s="802" t="s">
        <v>10762</v>
      </c>
      <c r="C9723" s="801" t="s">
        <v>656</v>
      </c>
      <c r="D9723" s="803">
        <v>4.54</v>
      </c>
    </row>
    <row r="9724" spans="1:4" ht="25.5">
      <c r="A9724" s="801">
        <v>3515</v>
      </c>
      <c r="B9724" s="802" t="s">
        <v>10763</v>
      </c>
      <c r="C9724" s="801" t="s">
        <v>656</v>
      </c>
      <c r="D9724" s="803">
        <v>6.12</v>
      </c>
    </row>
    <row r="9725" spans="1:4" ht="25.5">
      <c r="A9725" s="801">
        <v>20147</v>
      </c>
      <c r="B9725" s="802" t="s">
        <v>4692</v>
      </c>
      <c r="C9725" s="801" t="s">
        <v>656</v>
      </c>
      <c r="D9725" s="803">
        <v>6.58</v>
      </c>
    </row>
    <row r="9726" spans="1:4" ht="25.5">
      <c r="A9726" s="801">
        <v>3524</v>
      </c>
      <c r="B9726" s="802" t="s">
        <v>10764</v>
      </c>
      <c r="C9726" s="801" t="s">
        <v>656</v>
      </c>
      <c r="D9726" s="803">
        <v>7.81</v>
      </c>
    </row>
    <row r="9727" spans="1:4" ht="25.5">
      <c r="A9727" s="801">
        <v>3532</v>
      </c>
      <c r="B9727" s="802" t="s">
        <v>10765</v>
      </c>
      <c r="C9727" s="801" t="s">
        <v>656</v>
      </c>
      <c r="D9727" s="803">
        <v>14.29</v>
      </c>
    </row>
    <row r="9728" spans="1:4" ht="25.5">
      <c r="A9728" s="801">
        <v>3528</v>
      </c>
      <c r="B9728" s="802" t="s">
        <v>4693</v>
      </c>
      <c r="C9728" s="801" t="s">
        <v>656</v>
      </c>
      <c r="D9728" s="803">
        <v>10.26</v>
      </c>
    </row>
    <row r="9729" spans="1:4" ht="25.5">
      <c r="A9729" s="801">
        <v>37952</v>
      </c>
      <c r="B9729" s="802" t="s">
        <v>10766</v>
      </c>
      <c r="C9729" s="801" t="s">
        <v>656</v>
      </c>
      <c r="D9729" s="803">
        <v>73.099999999999994</v>
      </c>
    </row>
    <row r="9730" spans="1:4" ht="25.5">
      <c r="A9730" s="801">
        <v>37951</v>
      </c>
      <c r="B9730" s="802" t="s">
        <v>10767</v>
      </c>
      <c r="C9730" s="801" t="s">
        <v>656</v>
      </c>
      <c r="D9730" s="803">
        <v>2.66</v>
      </c>
    </row>
    <row r="9731" spans="1:4" ht="25.5">
      <c r="A9731" s="801">
        <v>3518</v>
      </c>
      <c r="B9731" s="802" t="s">
        <v>4694</v>
      </c>
      <c r="C9731" s="801" t="s">
        <v>656</v>
      </c>
      <c r="D9731" s="803">
        <v>3.89</v>
      </c>
    </row>
    <row r="9732" spans="1:4" ht="25.5">
      <c r="A9732" s="801">
        <v>3519</v>
      </c>
      <c r="B9732" s="802" t="s">
        <v>4695</v>
      </c>
      <c r="C9732" s="801" t="s">
        <v>656</v>
      </c>
      <c r="D9732" s="803">
        <v>9.2200000000000006</v>
      </c>
    </row>
    <row r="9733" spans="1:4" ht="25.5">
      <c r="A9733" s="801">
        <v>3520</v>
      </c>
      <c r="B9733" s="802" t="s">
        <v>4696</v>
      </c>
      <c r="C9733" s="801" t="s">
        <v>656</v>
      </c>
      <c r="D9733" s="803">
        <v>10.33</v>
      </c>
    </row>
    <row r="9734" spans="1:4" ht="25.5">
      <c r="A9734" s="801">
        <v>37950</v>
      </c>
      <c r="B9734" s="802" t="s">
        <v>10768</v>
      </c>
      <c r="C9734" s="801" t="s">
        <v>656</v>
      </c>
      <c r="D9734" s="803">
        <v>63.64</v>
      </c>
    </row>
    <row r="9735" spans="1:4" ht="25.5">
      <c r="A9735" s="801">
        <v>37949</v>
      </c>
      <c r="B9735" s="802" t="s">
        <v>10769</v>
      </c>
      <c r="C9735" s="801" t="s">
        <v>656</v>
      </c>
      <c r="D9735" s="803">
        <v>2.33</v>
      </c>
    </row>
    <row r="9736" spans="1:4" ht="25.5">
      <c r="A9736" s="801">
        <v>3526</v>
      </c>
      <c r="B9736" s="802" t="s">
        <v>4697</v>
      </c>
      <c r="C9736" s="801" t="s">
        <v>656</v>
      </c>
      <c r="D9736" s="803">
        <v>3.12</v>
      </c>
    </row>
    <row r="9737" spans="1:4" ht="25.5">
      <c r="A9737" s="801">
        <v>3509</v>
      </c>
      <c r="B9737" s="802" t="s">
        <v>10770</v>
      </c>
      <c r="C9737" s="801" t="s">
        <v>656</v>
      </c>
      <c r="D9737" s="803">
        <v>8.1199999999999992</v>
      </c>
    </row>
    <row r="9738" spans="1:4" ht="25.5">
      <c r="A9738" s="801">
        <v>3530</v>
      </c>
      <c r="B9738" s="802" t="s">
        <v>10771</v>
      </c>
      <c r="C9738" s="801" t="s">
        <v>656</v>
      </c>
      <c r="D9738" s="803">
        <v>245.95</v>
      </c>
    </row>
    <row r="9739" spans="1:4" ht="25.5">
      <c r="A9739" s="801">
        <v>3542</v>
      </c>
      <c r="B9739" s="802" t="s">
        <v>10772</v>
      </c>
      <c r="C9739" s="801" t="s">
        <v>656</v>
      </c>
      <c r="D9739" s="803">
        <v>0.56999999999999995</v>
      </c>
    </row>
    <row r="9740" spans="1:4" ht="25.5">
      <c r="A9740" s="801">
        <v>3529</v>
      </c>
      <c r="B9740" s="802" t="s">
        <v>4698</v>
      </c>
      <c r="C9740" s="801" t="s">
        <v>656</v>
      </c>
      <c r="D9740" s="803">
        <v>0.79</v>
      </c>
    </row>
    <row r="9741" spans="1:4" ht="25.5">
      <c r="A9741" s="801">
        <v>3536</v>
      </c>
      <c r="B9741" s="802" t="s">
        <v>10773</v>
      </c>
      <c r="C9741" s="801" t="s">
        <v>656</v>
      </c>
      <c r="D9741" s="803">
        <v>2.35</v>
      </c>
    </row>
    <row r="9742" spans="1:4" ht="25.5">
      <c r="A9742" s="801">
        <v>3535</v>
      </c>
      <c r="B9742" s="802" t="s">
        <v>10774</v>
      </c>
      <c r="C9742" s="801" t="s">
        <v>656</v>
      </c>
      <c r="D9742" s="803">
        <v>5.58</v>
      </c>
    </row>
    <row r="9743" spans="1:4" ht="25.5">
      <c r="A9743" s="801">
        <v>3540</v>
      </c>
      <c r="B9743" s="802" t="s">
        <v>4699</v>
      </c>
      <c r="C9743" s="801" t="s">
        <v>656</v>
      </c>
      <c r="D9743" s="803">
        <v>6.04</v>
      </c>
    </row>
    <row r="9744" spans="1:4" ht="25.5">
      <c r="A9744" s="801">
        <v>3539</v>
      </c>
      <c r="B9744" s="802" t="s">
        <v>4700</v>
      </c>
      <c r="C9744" s="801" t="s">
        <v>656</v>
      </c>
      <c r="D9744" s="803">
        <v>26.23</v>
      </c>
    </row>
    <row r="9745" spans="1:4" ht="25.5">
      <c r="A9745" s="801">
        <v>3513</v>
      </c>
      <c r="B9745" s="802" t="s">
        <v>10775</v>
      </c>
      <c r="C9745" s="801" t="s">
        <v>656</v>
      </c>
      <c r="D9745" s="803">
        <v>116.59</v>
      </c>
    </row>
    <row r="9746" spans="1:4">
      <c r="A9746" s="801">
        <v>3492</v>
      </c>
      <c r="B9746" s="802" t="s">
        <v>10776</v>
      </c>
      <c r="C9746" s="801" t="s">
        <v>656</v>
      </c>
      <c r="D9746" s="803">
        <v>22.44</v>
      </c>
    </row>
    <row r="9747" spans="1:4">
      <c r="A9747" s="801">
        <v>3491</v>
      </c>
      <c r="B9747" s="802" t="s">
        <v>10777</v>
      </c>
      <c r="C9747" s="801" t="s">
        <v>656</v>
      </c>
      <c r="D9747" s="803">
        <v>12.8</v>
      </c>
    </row>
    <row r="9748" spans="1:4">
      <c r="A9748" s="801">
        <v>3493</v>
      </c>
      <c r="B9748" s="802" t="s">
        <v>10778</v>
      </c>
      <c r="C9748" s="801" t="s">
        <v>656</v>
      </c>
      <c r="D9748" s="803">
        <v>30.68</v>
      </c>
    </row>
    <row r="9749" spans="1:4" ht="25.5">
      <c r="A9749" s="801">
        <v>12628</v>
      </c>
      <c r="B9749" s="802" t="s">
        <v>10779</v>
      </c>
      <c r="C9749" s="801" t="s">
        <v>656</v>
      </c>
      <c r="D9749" s="803">
        <v>7.79</v>
      </c>
    </row>
    <row r="9750" spans="1:4" ht="25.5">
      <c r="A9750" s="801">
        <v>12629</v>
      </c>
      <c r="B9750" s="802" t="s">
        <v>10780</v>
      </c>
      <c r="C9750" s="801" t="s">
        <v>656</v>
      </c>
      <c r="D9750" s="803">
        <v>8.4600000000000009</v>
      </c>
    </row>
    <row r="9751" spans="1:4">
      <c r="A9751" s="801">
        <v>3481</v>
      </c>
      <c r="B9751" s="802" t="s">
        <v>10781</v>
      </c>
      <c r="C9751" s="801" t="s">
        <v>656</v>
      </c>
      <c r="D9751" s="803">
        <v>15.54</v>
      </c>
    </row>
    <row r="9752" spans="1:4">
      <c r="A9752" s="801">
        <v>3510</v>
      </c>
      <c r="B9752" s="802" t="s">
        <v>10782</v>
      </c>
      <c r="C9752" s="801" t="s">
        <v>656</v>
      </c>
      <c r="D9752" s="803">
        <v>14.52</v>
      </c>
    </row>
    <row r="9753" spans="1:4">
      <c r="A9753" s="801">
        <v>3508</v>
      </c>
      <c r="B9753" s="802" t="s">
        <v>10783</v>
      </c>
      <c r="C9753" s="801" t="s">
        <v>656</v>
      </c>
      <c r="D9753" s="803">
        <v>37.97</v>
      </c>
    </row>
    <row r="9754" spans="1:4" ht="25.5">
      <c r="A9754" s="801">
        <v>38939</v>
      </c>
      <c r="B9754" s="802" t="s">
        <v>10784</v>
      </c>
      <c r="C9754" s="801" t="s">
        <v>656</v>
      </c>
      <c r="D9754" s="803">
        <v>18.97</v>
      </c>
    </row>
    <row r="9755" spans="1:4" ht="25.5">
      <c r="A9755" s="801">
        <v>38940</v>
      </c>
      <c r="B9755" s="802" t="s">
        <v>10785</v>
      </c>
      <c r="C9755" s="801" t="s">
        <v>656</v>
      </c>
      <c r="D9755" s="803">
        <v>28.96</v>
      </c>
    </row>
    <row r="9756" spans="1:4" ht="25.5">
      <c r="A9756" s="801">
        <v>38941</v>
      </c>
      <c r="B9756" s="802" t="s">
        <v>10786</v>
      </c>
      <c r="C9756" s="801" t="s">
        <v>656</v>
      </c>
      <c r="D9756" s="803">
        <v>34.22</v>
      </c>
    </row>
    <row r="9757" spans="1:4" ht="25.5">
      <c r="A9757" s="801">
        <v>38942</v>
      </c>
      <c r="B9757" s="802" t="s">
        <v>10787</v>
      </c>
      <c r="C9757" s="801" t="s">
        <v>656</v>
      </c>
      <c r="D9757" s="803">
        <v>38.33</v>
      </c>
    </row>
    <row r="9758" spans="1:4" ht="25.5">
      <c r="A9758" s="801">
        <v>38987</v>
      </c>
      <c r="B9758" s="802" t="s">
        <v>10788</v>
      </c>
      <c r="C9758" s="801" t="s">
        <v>656</v>
      </c>
      <c r="D9758" s="803">
        <v>9.66</v>
      </c>
    </row>
    <row r="9759" spans="1:4" ht="25.5">
      <c r="A9759" s="801">
        <v>38988</v>
      </c>
      <c r="B9759" s="802" t="s">
        <v>10789</v>
      </c>
      <c r="C9759" s="801" t="s">
        <v>656</v>
      </c>
      <c r="D9759" s="803">
        <v>22.43</v>
      </c>
    </row>
    <row r="9760" spans="1:4" ht="25.5">
      <c r="A9760" s="801">
        <v>38989</v>
      </c>
      <c r="B9760" s="802" t="s">
        <v>10790</v>
      </c>
      <c r="C9760" s="801" t="s">
        <v>656</v>
      </c>
      <c r="D9760" s="803">
        <v>29.8</v>
      </c>
    </row>
    <row r="9761" spans="1:4" ht="25.5">
      <c r="A9761" s="801">
        <v>38990</v>
      </c>
      <c r="B9761" s="802" t="s">
        <v>10791</v>
      </c>
      <c r="C9761" s="801" t="s">
        <v>656</v>
      </c>
      <c r="D9761" s="803">
        <v>78.56</v>
      </c>
    </row>
    <row r="9762" spans="1:4" ht="25.5">
      <c r="A9762" s="801">
        <v>38991</v>
      </c>
      <c r="B9762" s="802" t="s">
        <v>10792</v>
      </c>
      <c r="C9762" s="801" t="s">
        <v>656</v>
      </c>
      <c r="D9762" s="803">
        <v>158.72999999999999</v>
      </c>
    </row>
    <row r="9763" spans="1:4" ht="25.5">
      <c r="A9763" s="801">
        <v>38913</v>
      </c>
      <c r="B9763" s="802" t="s">
        <v>10793</v>
      </c>
      <c r="C9763" s="801" t="s">
        <v>656</v>
      </c>
      <c r="D9763" s="803">
        <v>17.600000000000001</v>
      </c>
    </row>
    <row r="9764" spans="1:4" ht="25.5">
      <c r="A9764" s="801">
        <v>38914</v>
      </c>
      <c r="B9764" s="802" t="s">
        <v>10794</v>
      </c>
      <c r="C9764" s="801" t="s">
        <v>656</v>
      </c>
      <c r="D9764" s="803">
        <v>20.420000000000002</v>
      </c>
    </row>
    <row r="9765" spans="1:4" ht="25.5">
      <c r="A9765" s="801">
        <v>38915</v>
      </c>
      <c r="B9765" s="802" t="s">
        <v>10795</v>
      </c>
      <c r="C9765" s="801" t="s">
        <v>656</v>
      </c>
      <c r="D9765" s="803">
        <v>35.450000000000003</v>
      </c>
    </row>
    <row r="9766" spans="1:4" ht="25.5">
      <c r="A9766" s="801">
        <v>38916</v>
      </c>
      <c r="B9766" s="802" t="s">
        <v>10796</v>
      </c>
      <c r="C9766" s="801" t="s">
        <v>656</v>
      </c>
      <c r="D9766" s="803">
        <v>46.77</v>
      </c>
    </row>
    <row r="9767" spans="1:4" ht="25.5">
      <c r="A9767" s="801">
        <v>39300</v>
      </c>
      <c r="B9767" s="802" t="s">
        <v>10797</v>
      </c>
      <c r="C9767" s="801" t="s">
        <v>656</v>
      </c>
      <c r="D9767" s="803">
        <v>15.91</v>
      </c>
    </row>
    <row r="9768" spans="1:4" ht="25.5">
      <c r="A9768" s="801">
        <v>39301</v>
      </c>
      <c r="B9768" s="802" t="s">
        <v>10798</v>
      </c>
      <c r="C9768" s="801" t="s">
        <v>656</v>
      </c>
      <c r="D9768" s="803">
        <v>22.07</v>
      </c>
    </row>
    <row r="9769" spans="1:4" ht="25.5">
      <c r="A9769" s="801">
        <v>39302</v>
      </c>
      <c r="B9769" s="802" t="s">
        <v>10799</v>
      </c>
      <c r="C9769" s="801" t="s">
        <v>656</v>
      </c>
      <c r="D9769" s="803">
        <v>27.73</v>
      </c>
    </row>
    <row r="9770" spans="1:4" ht="25.5">
      <c r="A9770" s="801">
        <v>39303</v>
      </c>
      <c r="B9770" s="802" t="s">
        <v>10800</v>
      </c>
      <c r="C9770" s="801" t="s">
        <v>656</v>
      </c>
      <c r="D9770" s="803">
        <v>48.75</v>
      </c>
    </row>
    <row r="9771" spans="1:4" ht="25.5">
      <c r="A9771" s="801">
        <v>38923</v>
      </c>
      <c r="B9771" s="802" t="s">
        <v>10801</v>
      </c>
      <c r="C9771" s="801" t="s">
        <v>656</v>
      </c>
      <c r="D9771" s="803">
        <v>15.53</v>
      </c>
    </row>
    <row r="9772" spans="1:4" ht="25.5">
      <c r="A9772" s="801">
        <v>38925</v>
      </c>
      <c r="B9772" s="802" t="s">
        <v>10802</v>
      </c>
      <c r="C9772" s="801" t="s">
        <v>656</v>
      </c>
      <c r="D9772" s="803">
        <v>16.690000000000001</v>
      </c>
    </row>
    <row r="9773" spans="1:4" ht="25.5">
      <c r="A9773" s="801">
        <v>38926</v>
      </c>
      <c r="B9773" s="802" t="s">
        <v>4701</v>
      </c>
      <c r="C9773" s="801" t="s">
        <v>656</v>
      </c>
      <c r="D9773" s="803">
        <v>23.83</v>
      </c>
    </row>
    <row r="9774" spans="1:4" ht="25.5">
      <c r="A9774" s="801">
        <v>38927</v>
      </c>
      <c r="B9774" s="802" t="s">
        <v>10803</v>
      </c>
      <c r="C9774" s="801" t="s">
        <v>656</v>
      </c>
      <c r="D9774" s="803">
        <v>25.49</v>
      </c>
    </row>
    <row r="9775" spans="1:4" ht="25.5">
      <c r="A9775" s="801">
        <v>39304</v>
      </c>
      <c r="B9775" s="802" t="s">
        <v>10804</v>
      </c>
      <c r="C9775" s="801" t="s">
        <v>656</v>
      </c>
      <c r="D9775" s="803">
        <v>19.64</v>
      </c>
    </row>
    <row r="9776" spans="1:4" ht="25.5">
      <c r="A9776" s="801">
        <v>38924</v>
      </c>
      <c r="B9776" s="802" t="s">
        <v>10805</v>
      </c>
      <c r="C9776" s="801" t="s">
        <v>656</v>
      </c>
      <c r="D9776" s="803">
        <v>27.99</v>
      </c>
    </row>
    <row r="9777" spans="1:4" ht="25.5">
      <c r="A9777" s="801">
        <v>39305</v>
      </c>
      <c r="B9777" s="802" t="s">
        <v>10806</v>
      </c>
      <c r="C9777" s="801" t="s">
        <v>656</v>
      </c>
      <c r="D9777" s="803">
        <v>25.71</v>
      </c>
    </row>
    <row r="9778" spans="1:4" ht="25.5">
      <c r="A9778" s="801">
        <v>39306</v>
      </c>
      <c r="B9778" s="802" t="s">
        <v>10807</v>
      </c>
      <c r="C9778" s="801" t="s">
        <v>656</v>
      </c>
      <c r="D9778" s="803">
        <v>32.17</v>
      </c>
    </row>
    <row r="9779" spans="1:4" ht="25.5">
      <c r="A9779" s="801">
        <v>38928</v>
      </c>
      <c r="B9779" s="802" t="s">
        <v>10808</v>
      </c>
      <c r="C9779" s="801" t="s">
        <v>656</v>
      </c>
      <c r="D9779" s="803">
        <v>28.26</v>
      </c>
    </row>
    <row r="9780" spans="1:4" ht="25.5">
      <c r="A9780" s="801">
        <v>38929</v>
      </c>
      <c r="B9780" s="802" t="s">
        <v>10809</v>
      </c>
      <c r="C9780" s="801" t="s">
        <v>656</v>
      </c>
      <c r="D9780" s="803">
        <v>50.1</v>
      </c>
    </row>
    <row r="9781" spans="1:4" ht="25.5">
      <c r="A9781" s="801">
        <v>39307</v>
      </c>
      <c r="B9781" s="802" t="s">
        <v>10810</v>
      </c>
      <c r="C9781" s="801" t="s">
        <v>656</v>
      </c>
      <c r="D9781" s="803">
        <v>37.020000000000003</v>
      </c>
    </row>
    <row r="9782" spans="1:4" ht="25.5">
      <c r="A9782" s="801">
        <v>38930</v>
      </c>
      <c r="B9782" s="802" t="s">
        <v>10811</v>
      </c>
      <c r="C9782" s="801" t="s">
        <v>656</v>
      </c>
      <c r="D9782" s="803">
        <v>62.94</v>
      </c>
    </row>
    <row r="9783" spans="1:4" ht="25.5">
      <c r="A9783" s="801">
        <v>38931</v>
      </c>
      <c r="B9783" s="802" t="s">
        <v>10812</v>
      </c>
      <c r="C9783" s="801" t="s">
        <v>656</v>
      </c>
      <c r="D9783" s="803">
        <v>15.85</v>
      </c>
    </row>
    <row r="9784" spans="1:4" ht="25.5">
      <c r="A9784" s="801">
        <v>38932</v>
      </c>
      <c r="B9784" s="802" t="s">
        <v>10813</v>
      </c>
      <c r="C9784" s="801" t="s">
        <v>656</v>
      </c>
      <c r="D9784" s="803">
        <v>16.010000000000002</v>
      </c>
    </row>
    <row r="9785" spans="1:4" ht="25.5">
      <c r="A9785" s="801">
        <v>38934</v>
      </c>
      <c r="B9785" s="802" t="s">
        <v>10814</v>
      </c>
      <c r="C9785" s="801" t="s">
        <v>656</v>
      </c>
      <c r="D9785" s="803">
        <v>23.65</v>
      </c>
    </row>
    <row r="9786" spans="1:4" ht="25.5">
      <c r="A9786" s="801">
        <v>38935</v>
      </c>
      <c r="B9786" s="802" t="s">
        <v>10815</v>
      </c>
      <c r="C9786" s="801" t="s">
        <v>656</v>
      </c>
      <c r="D9786" s="803">
        <v>25.31</v>
      </c>
    </row>
    <row r="9787" spans="1:4" ht="25.5">
      <c r="A9787" s="801">
        <v>38936</v>
      </c>
      <c r="B9787" s="802" t="s">
        <v>10816</v>
      </c>
      <c r="C9787" s="801" t="s">
        <v>656</v>
      </c>
      <c r="D9787" s="803">
        <v>27.11</v>
      </c>
    </row>
    <row r="9788" spans="1:4" ht="25.5">
      <c r="A9788" s="801">
        <v>38937</v>
      </c>
      <c r="B9788" s="802" t="s">
        <v>10817</v>
      </c>
      <c r="C9788" s="801" t="s">
        <v>656</v>
      </c>
      <c r="D9788" s="803">
        <v>33.04</v>
      </c>
    </row>
    <row r="9789" spans="1:4" ht="25.5">
      <c r="A9789" s="801">
        <v>38938</v>
      </c>
      <c r="B9789" s="802" t="s">
        <v>10818</v>
      </c>
      <c r="C9789" s="801" t="s">
        <v>656</v>
      </c>
      <c r="D9789" s="803">
        <v>49.12</v>
      </c>
    </row>
    <row r="9790" spans="1:4" ht="25.5">
      <c r="A9790" s="801">
        <v>3489</v>
      </c>
      <c r="B9790" s="802" t="s">
        <v>10819</v>
      </c>
      <c r="C9790" s="801" t="s">
        <v>656</v>
      </c>
      <c r="D9790" s="803">
        <v>14.35</v>
      </c>
    </row>
    <row r="9791" spans="1:4" ht="25.5">
      <c r="A9791" s="801">
        <v>20151</v>
      </c>
      <c r="B9791" s="802" t="s">
        <v>10820</v>
      </c>
      <c r="C9791" s="801" t="s">
        <v>656</v>
      </c>
      <c r="D9791" s="803">
        <v>28.66</v>
      </c>
    </row>
    <row r="9792" spans="1:4" ht="25.5">
      <c r="A9792" s="801">
        <v>20152</v>
      </c>
      <c r="B9792" s="802" t="s">
        <v>10821</v>
      </c>
      <c r="C9792" s="801" t="s">
        <v>656</v>
      </c>
      <c r="D9792" s="803">
        <v>99.73</v>
      </c>
    </row>
    <row r="9793" spans="1:4" ht="25.5">
      <c r="A9793" s="801">
        <v>20148</v>
      </c>
      <c r="B9793" s="802" t="s">
        <v>10822</v>
      </c>
      <c r="C9793" s="801" t="s">
        <v>656</v>
      </c>
      <c r="D9793" s="803">
        <v>5.7</v>
      </c>
    </row>
    <row r="9794" spans="1:4" ht="25.5">
      <c r="A9794" s="801">
        <v>20149</v>
      </c>
      <c r="B9794" s="802" t="s">
        <v>10823</v>
      </c>
      <c r="C9794" s="801" t="s">
        <v>656</v>
      </c>
      <c r="D9794" s="803">
        <v>8.82</v>
      </c>
    </row>
    <row r="9795" spans="1:4" ht="25.5">
      <c r="A9795" s="801">
        <v>20150</v>
      </c>
      <c r="B9795" s="802" t="s">
        <v>10824</v>
      </c>
      <c r="C9795" s="801" t="s">
        <v>656</v>
      </c>
      <c r="D9795" s="803">
        <v>20.58</v>
      </c>
    </row>
    <row r="9796" spans="1:4" ht="25.5">
      <c r="A9796" s="801">
        <v>20157</v>
      </c>
      <c r="B9796" s="802" t="s">
        <v>10825</v>
      </c>
      <c r="C9796" s="801" t="s">
        <v>656</v>
      </c>
      <c r="D9796" s="803">
        <v>38.67</v>
      </c>
    </row>
    <row r="9797" spans="1:4" ht="25.5">
      <c r="A9797" s="801">
        <v>20158</v>
      </c>
      <c r="B9797" s="802" t="s">
        <v>10826</v>
      </c>
      <c r="C9797" s="801" t="s">
        <v>656</v>
      </c>
      <c r="D9797" s="803">
        <v>128.47</v>
      </c>
    </row>
    <row r="9798" spans="1:4" ht="25.5">
      <c r="A9798" s="801">
        <v>20154</v>
      </c>
      <c r="B9798" s="802" t="s">
        <v>10827</v>
      </c>
      <c r="C9798" s="801" t="s">
        <v>656</v>
      </c>
      <c r="D9798" s="803">
        <v>7.33</v>
      </c>
    </row>
    <row r="9799" spans="1:4" ht="25.5">
      <c r="A9799" s="801">
        <v>20155</v>
      </c>
      <c r="B9799" s="802" t="s">
        <v>10828</v>
      </c>
      <c r="C9799" s="801" t="s">
        <v>656</v>
      </c>
      <c r="D9799" s="803">
        <v>10.97</v>
      </c>
    </row>
    <row r="9800" spans="1:4" ht="25.5">
      <c r="A9800" s="801">
        <v>20156</v>
      </c>
      <c r="B9800" s="802" t="s">
        <v>10829</v>
      </c>
      <c r="C9800" s="801" t="s">
        <v>656</v>
      </c>
      <c r="D9800" s="803">
        <v>24.69</v>
      </c>
    </row>
    <row r="9801" spans="1:4" ht="25.5">
      <c r="A9801" s="801">
        <v>3512</v>
      </c>
      <c r="B9801" s="802" t="s">
        <v>10830</v>
      </c>
      <c r="C9801" s="801" t="s">
        <v>656</v>
      </c>
      <c r="D9801" s="803">
        <v>224.92</v>
      </c>
    </row>
    <row r="9802" spans="1:4" ht="25.5">
      <c r="A9802" s="801">
        <v>3499</v>
      </c>
      <c r="B9802" s="802" t="s">
        <v>10831</v>
      </c>
      <c r="C9802" s="801" t="s">
        <v>656</v>
      </c>
      <c r="D9802" s="803">
        <v>0.95</v>
      </c>
    </row>
    <row r="9803" spans="1:4" ht="25.5">
      <c r="A9803" s="801">
        <v>3500</v>
      </c>
      <c r="B9803" s="802" t="s">
        <v>4702</v>
      </c>
      <c r="C9803" s="801" t="s">
        <v>656</v>
      </c>
      <c r="D9803" s="803">
        <v>1.61</v>
      </c>
    </row>
    <row r="9804" spans="1:4" ht="25.5">
      <c r="A9804" s="801">
        <v>3501</v>
      </c>
      <c r="B9804" s="802" t="s">
        <v>4703</v>
      </c>
      <c r="C9804" s="801" t="s">
        <v>656</v>
      </c>
      <c r="D9804" s="803">
        <v>4.66</v>
      </c>
    </row>
    <row r="9805" spans="1:4" ht="25.5">
      <c r="A9805" s="801">
        <v>3502</v>
      </c>
      <c r="B9805" s="802" t="s">
        <v>10832</v>
      </c>
      <c r="C9805" s="801" t="s">
        <v>656</v>
      </c>
      <c r="D9805" s="803">
        <v>6.64</v>
      </c>
    </row>
    <row r="9806" spans="1:4" ht="25.5">
      <c r="A9806" s="801">
        <v>3503</v>
      </c>
      <c r="B9806" s="802" t="s">
        <v>10833</v>
      </c>
      <c r="C9806" s="801" t="s">
        <v>656</v>
      </c>
      <c r="D9806" s="803">
        <v>7.95</v>
      </c>
    </row>
    <row r="9807" spans="1:4" ht="25.5">
      <c r="A9807" s="801">
        <v>3477</v>
      </c>
      <c r="B9807" s="802" t="s">
        <v>10834</v>
      </c>
      <c r="C9807" s="801" t="s">
        <v>656</v>
      </c>
      <c r="D9807" s="803">
        <v>30.79</v>
      </c>
    </row>
    <row r="9808" spans="1:4" ht="25.5">
      <c r="A9808" s="801">
        <v>3478</v>
      </c>
      <c r="B9808" s="802" t="s">
        <v>10835</v>
      </c>
      <c r="C9808" s="801" t="s">
        <v>656</v>
      </c>
      <c r="D9808" s="803">
        <v>70.739999999999995</v>
      </c>
    </row>
    <row r="9809" spans="1:4" ht="25.5">
      <c r="A9809" s="801">
        <v>3525</v>
      </c>
      <c r="B9809" s="802" t="s">
        <v>10836</v>
      </c>
      <c r="C9809" s="801" t="s">
        <v>656</v>
      </c>
      <c r="D9809" s="803">
        <v>83.93</v>
      </c>
    </row>
    <row r="9810" spans="1:4" ht="25.5">
      <c r="A9810" s="801">
        <v>3511</v>
      </c>
      <c r="B9810" s="802" t="s">
        <v>10837</v>
      </c>
      <c r="C9810" s="801" t="s">
        <v>656</v>
      </c>
      <c r="D9810" s="803">
        <v>98.48</v>
      </c>
    </row>
    <row r="9811" spans="1:4" ht="25.5">
      <c r="A9811" s="801">
        <v>38917</v>
      </c>
      <c r="B9811" s="802" t="s">
        <v>10838</v>
      </c>
      <c r="C9811" s="801" t="s">
        <v>656</v>
      </c>
      <c r="D9811" s="803">
        <v>15.16</v>
      </c>
    </row>
    <row r="9812" spans="1:4" ht="25.5">
      <c r="A9812" s="801">
        <v>38919</v>
      </c>
      <c r="B9812" s="802" t="s">
        <v>10839</v>
      </c>
      <c r="C9812" s="801" t="s">
        <v>656</v>
      </c>
      <c r="D9812" s="803">
        <v>22.56</v>
      </c>
    </row>
    <row r="9813" spans="1:4" ht="25.5">
      <c r="A9813" s="801">
        <v>38922</v>
      </c>
      <c r="B9813" s="802" t="s">
        <v>10840</v>
      </c>
      <c r="C9813" s="801" t="s">
        <v>656</v>
      </c>
      <c r="D9813" s="803">
        <v>29.14</v>
      </c>
    </row>
    <row r="9814" spans="1:4" ht="25.5">
      <c r="A9814" s="801">
        <v>38921</v>
      </c>
      <c r="B9814" s="802" t="s">
        <v>10841</v>
      </c>
      <c r="C9814" s="801" t="s">
        <v>656</v>
      </c>
      <c r="D9814" s="803">
        <v>36.03</v>
      </c>
    </row>
    <row r="9815" spans="1:4" ht="25.5">
      <c r="A9815" s="801">
        <v>38918</v>
      </c>
      <c r="B9815" s="802" t="s">
        <v>10842</v>
      </c>
      <c r="C9815" s="801" t="s">
        <v>656</v>
      </c>
      <c r="D9815" s="803">
        <v>34.25</v>
      </c>
    </row>
    <row r="9816" spans="1:4" ht="25.5">
      <c r="A9816" s="801">
        <v>38920</v>
      </c>
      <c r="B9816" s="802" t="s">
        <v>10843</v>
      </c>
      <c r="C9816" s="801" t="s">
        <v>656</v>
      </c>
      <c r="D9816" s="803">
        <v>42.81</v>
      </c>
    </row>
    <row r="9817" spans="1:4" ht="38.25">
      <c r="A9817" s="801">
        <v>12032</v>
      </c>
      <c r="B9817" s="802" t="s">
        <v>10844</v>
      </c>
      <c r="C9817" s="801" t="s">
        <v>658</v>
      </c>
      <c r="D9817" s="803">
        <v>58.68</v>
      </c>
    </row>
    <row r="9818" spans="1:4" ht="38.25">
      <c r="A9818" s="801">
        <v>12030</v>
      </c>
      <c r="B9818" s="802" t="s">
        <v>10845</v>
      </c>
      <c r="C9818" s="801" t="s">
        <v>658</v>
      </c>
      <c r="D9818" s="803">
        <v>55.14</v>
      </c>
    </row>
    <row r="9819" spans="1:4" ht="25.5">
      <c r="A9819" s="801">
        <v>10908</v>
      </c>
      <c r="B9819" s="802" t="s">
        <v>10846</v>
      </c>
      <c r="C9819" s="801" t="s">
        <v>656</v>
      </c>
      <c r="D9819" s="803">
        <v>21.65</v>
      </c>
    </row>
    <row r="9820" spans="1:4" ht="25.5">
      <c r="A9820" s="801">
        <v>10909</v>
      </c>
      <c r="B9820" s="802" t="s">
        <v>10847</v>
      </c>
      <c r="C9820" s="801" t="s">
        <v>656</v>
      </c>
      <c r="D9820" s="803">
        <v>34.53</v>
      </c>
    </row>
    <row r="9821" spans="1:4" ht="25.5">
      <c r="A9821" s="801">
        <v>3669</v>
      </c>
      <c r="B9821" s="802" t="s">
        <v>10848</v>
      </c>
      <c r="C9821" s="801" t="s">
        <v>656</v>
      </c>
      <c r="D9821" s="803">
        <v>14.79</v>
      </c>
    </row>
    <row r="9822" spans="1:4" ht="25.5">
      <c r="A9822" s="801">
        <v>20138</v>
      </c>
      <c r="B9822" s="802" t="s">
        <v>10849</v>
      </c>
      <c r="C9822" s="801" t="s">
        <v>656</v>
      </c>
      <c r="D9822" s="803">
        <v>73.510000000000005</v>
      </c>
    </row>
    <row r="9823" spans="1:4" ht="25.5">
      <c r="A9823" s="801">
        <v>20139</v>
      </c>
      <c r="B9823" s="802" t="s">
        <v>10850</v>
      </c>
      <c r="C9823" s="801" t="s">
        <v>656</v>
      </c>
      <c r="D9823" s="803">
        <v>123.49</v>
      </c>
    </row>
    <row r="9824" spans="1:4" ht="25.5">
      <c r="A9824" s="801">
        <v>3668</v>
      </c>
      <c r="B9824" s="802" t="s">
        <v>10851</v>
      </c>
      <c r="C9824" s="801" t="s">
        <v>656</v>
      </c>
      <c r="D9824" s="803">
        <v>48.96</v>
      </c>
    </row>
    <row r="9825" spans="1:4" ht="25.5">
      <c r="A9825" s="801">
        <v>3656</v>
      </c>
      <c r="B9825" s="802" t="s">
        <v>10852</v>
      </c>
      <c r="C9825" s="801" t="s">
        <v>656</v>
      </c>
      <c r="D9825" s="803">
        <v>24.27</v>
      </c>
    </row>
    <row r="9826" spans="1:4" ht="25.5">
      <c r="A9826" s="801">
        <v>10911</v>
      </c>
      <c r="B9826" s="802" t="s">
        <v>10853</v>
      </c>
      <c r="C9826" s="801" t="s">
        <v>656</v>
      </c>
      <c r="D9826" s="803">
        <v>26.93</v>
      </c>
    </row>
    <row r="9827" spans="1:4" ht="25.5">
      <c r="A9827" s="801">
        <v>3654</v>
      </c>
      <c r="B9827" s="802" t="s">
        <v>10854</v>
      </c>
      <c r="C9827" s="801" t="s">
        <v>656</v>
      </c>
      <c r="D9827" s="803">
        <v>4.99</v>
      </c>
    </row>
    <row r="9828" spans="1:4" ht="25.5">
      <c r="A9828" s="801">
        <v>3664</v>
      </c>
      <c r="B9828" s="802" t="s">
        <v>10855</v>
      </c>
      <c r="C9828" s="801" t="s">
        <v>656</v>
      </c>
      <c r="D9828" s="803">
        <v>6.2</v>
      </c>
    </row>
    <row r="9829" spans="1:4">
      <c r="A9829" s="801">
        <v>3657</v>
      </c>
      <c r="B9829" s="802" t="s">
        <v>10856</v>
      </c>
      <c r="C9829" s="801" t="s">
        <v>656</v>
      </c>
      <c r="D9829" s="803">
        <v>6.68</v>
      </c>
    </row>
    <row r="9830" spans="1:4" ht="25.5">
      <c r="A9830" s="801">
        <v>12625</v>
      </c>
      <c r="B9830" s="802" t="s">
        <v>10857</v>
      </c>
      <c r="C9830" s="801" t="s">
        <v>656</v>
      </c>
      <c r="D9830" s="803">
        <v>10.69</v>
      </c>
    </row>
    <row r="9831" spans="1:4">
      <c r="A9831" s="801">
        <v>20136</v>
      </c>
      <c r="B9831" s="802" t="s">
        <v>10858</v>
      </c>
      <c r="C9831" s="801" t="s">
        <v>656</v>
      </c>
      <c r="D9831" s="803">
        <v>165.88</v>
      </c>
    </row>
    <row r="9832" spans="1:4" ht="25.5">
      <c r="A9832" s="801">
        <v>20144</v>
      </c>
      <c r="B9832" s="802" t="s">
        <v>10859</v>
      </c>
      <c r="C9832" s="801" t="s">
        <v>656</v>
      </c>
      <c r="D9832" s="803">
        <v>72.86</v>
      </c>
    </row>
    <row r="9833" spans="1:4" ht="25.5">
      <c r="A9833" s="801">
        <v>20143</v>
      </c>
      <c r="B9833" s="802" t="s">
        <v>10860</v>
      </c>
      <c r="C9833" s="801" t="s">
        <v>656</v>
      </c>
      <c r="D9833" s="803">
        <v>68.05</v>
      </c>
    </row>
    <row r="9834" spans="1:4" ht="25.5">
      <c r="A9834" s="801">
        <v>20145</v>
      </c>
      <c r="B9834" s="802" t="s">
        <v>10861</v>
      </c>
      <c r="C9834" s="801" t="s">
        <v>656</v>
      </c>
      <c r="D9834" s="803">
        <v>193.11</v>
      </c>
    </row>
    <row r="9835" spans="1:4" ht="25.5">
      <c r="A9835" s="801">
        <v>20146</v>
      </c>
      <c r="B9835" s="802" t="s">
        <v>10862</v>
      </c>
      <c r="C9835" s="801" t="s">
        <v>656</v>
      </c>
      <c r="D9835" s="803">
        <v>217.76</v>
      </c>
    </row>
    <row r="9836" spans="1:4" ht="25.5">
      <c r="A9836" s="801">
        <v>20140</v>
      </c>
      <c r="B9836" s="802" t="s">
        <v>10863</v>
      </c>
      <c r="C9836" s="801" t="s">
        <v>656</v>
      </c>
      <c r="D9836" s="803">
        <v>8.67</v>
      </c>
    </row>
    <row r="9837" spans="1:4" ht="25.5">
      <c r="A9837" s="801">
        <v>20141</v>
      </c>
      <c r="B9837" s="802" t="s">
        <v>10864</v>
      </c>
      <c r="C9837" s="801" t="s">
        <v>656</v>
      </c>
      <c r="D9837" s="803">
        <v>15.22</v>
      </c>
    </row>
    <row r="9838" spans="1:4" ht="25.5">
      <c r="A9838" s="801">
        <v>20142</v>
      </c>
      <c r="B9838" s="802" t="s">
        <v>10865</v>
      </c>
      <c r="C9838" s="801" t="s">
        <v>656</v>
      </c>
      <c r="D9838" s="803">
        <v>46.57</v>
      </c>
    </row>
    <row r="9839" spans="1:4" ht="25.5">
      <c r="A9839" s="801">
        <v>3659</v>
      </c>
      <c r="B9839" s="802" t="s">
        <v>10866</v>
      </c>
      <c r="C9839" s="801" t="s">
        <v>656</v>
      </c>
      <c r="D9839" s="803">
        <v>20.2</v>
      </c>
    </row>
    <row r="9840" spans="1:4" ht="25.5">
      <c r="A9840" s="801">
        <v>3660</v>
      </c>
      <c r="B9840" s="802" t="s">
        <v>10867</v>
      </c>
      <c r="C9840" s="801" t="s">
        <v>656</v>
      </c>
      <c r="D9840" s="803">
        <v>29.11</v>
      </c>
    </row>
    <row r="9841" spans="1:4" ht="25.5">
      <c r="A9841" s="801">
        <v>3662</v>
      </c>
      <c r="B9841" s="802" t="s">
        <v>4704</v>
      </c>
      <c r="C9841" s="801" t="s">
        <v>656</v>
      </c>
      <c r="D9841" s="803">
        <v>11</v>
      </c>
    </row>
    <row r="9842" spans="1:4" ht="25.5">
      <c r="A9842" s="801">
        <v>3661</v>
      </c>
      <c r="B9842" s="802" t="s">
        <v>10868</v>
      </c>
      <c r="C9842" s="801" t="s">
        <v>656</v>
      </c>
      <c r="D9842" s="803">
        <v>16.18</v>
      </c>
    </row>
    <row r="9843" spans="1:4" ht="25.5">
      <c r="A9843" s="801">
        <v>3658</v>
      </c>
      <c r="B9843" s="802" t="s">
        <v>10869</v>
      </c>
      <c r="C9843" s="801" t="s">
        <v>656</v>
      </c>
      <c r="D9843" s="803">
        <v>20.6</v>
      </c>
    </row>
    <row r="9844" spans="1:4" ht="25.5">
      <c r="A9844" s="801">
        <v>3670</v>
      </c>
      <c r="B9844" s="802" t="s">
        <v>4705</v>
      </c>
      <c r="C9844" s="801" t="s">
        <v>656</v>
      </c>
      <c r="D9844" s="803">
        <v>26.88</v>
      </c>
    </row>
    <row r="9845" spans="1:4" ht="25.5">
      <c r="A9845" s="801">
        <v>3666</v>
      </c>
      <c r="B9845" s="802" t="s">
        <v>10870</v>
      </c>
      <c r="C9845" s="801" t="s">
        <v>656</v>
      </c>
      <c r="D9845" s="803">
        <v>4.55</v>
      </c>
    </row>
    <row r="9846" spans="1:4">
      <c r="A9846" s="801">
        <v>14157</v>
      </c>
      <c r="B9846" s="802" t="s">
        <v>10871</v>
      </c>
      <c r="C9846" s="801" t="s">
        <v>656</v>
      </c>
      <c r="D9846" s="803">
        <v>1.28</v>
      </c>
    </row>
    <row r="9847" spans="1:4" ht="25.5">
      <c r="A9847" s="801">
        <v>3653</v>
      </c>
      <c r="B9847" s="802" t="s">
        <v>10872</v>
      </c>
      <c r="C9847" s="801" t="s">
        <v>656</v>
      </c>
      <c r="D9847" s="803">
        <v>130.91</v>
      </c>
    </row>
    <row r="9848" spans="1:4" ht="25.5">
      <c r="A9848" s="801">
        <v>3649</v>
      </c>
      <c r="B9848" s="802" t="s">
        <v>10873</v>
      </c>
      <c r="C9848" s="801" t="s">
        <v>656</v>
      </c>
      <c r="D9848" s="803">
        <v>271.14</v>
      </c>
    </row>
    <row r="9849" spans="1:4" ht="25.5">
      <c r="A9849" s="801">
        <v>42696</v>
      </c>
      <c r="B9849" s="802" t="s">
        <v>10874</v>
      </c>
      <c r="C9849" s="801" t="s">
        <v>656</v>
      </c>
      <c r="D9849" s="803">
        <v>758.62</v>
      </c>
    </row>
    <row r="9850" spans="1:4" ht="25.5">
      <c r="A9850" s="801">
        <v>42697</v>
      </c>
      <c r="B9850" s="802" t="s">
        <v>10875</v>
      </c>
      <c r="C9850" s="801" t="s">
        <v>656</v>
      </c>
      <c r="D9850" s="803">
        <v>1142.5</v>
      </c>
    </row>
    <row r="9851" spans="1:4" ht="25.5">
      <c r="A9851" s="801">
        <v>42698</v>
      </c>
      <c r="B9851" s="802" t="s">
        <v>10876</v>
      </c>
      <c r="C9851" s="801" t="s">
        <v>656</v>
      </c>
      <c r="D9851" s="803">
        <v>1591.47</v>
      </c>
    </row>
    <row r="9852" spans="1:4" ht="25.5">
      <c r="A9852" s="801">
        <v>39875</v>
      </c>
      <c r="B9852" s="802" t="s">
        <v>10877</v>
      </c>
      <c r="C9852" s="801" t="s">
        <v>656</v>
      </c>
      <c r="D9852" s="803">
        <v>745.93</v>
      </c>
    </row>
    <row r="9853" spans="1:4" ht="25.5">
      <c r="A9853" s="801">
        <v>39876</v>
      </c>
      <c r="B9853" s="802" t="s">
        <v>10878</v>
      </c>
      <c r="C9853" s="801" t="s">
        <v>656</v>
      </c>
      <c r="D9853" s="803">
        <v>933.9</v>
      </c>
    </row>
    <row r="9854" spans="1:4" ht="25.5">
      <c r="A9854" s="801">
        <v>39877</v>
      </c>
      <c r="B9854" s="802" t="s">
        <v>10879</v>
      </c>
      <c r="C9854" s="801" t="s">
        <v>656</v>
      </c>
      <c r="D9854" s="803">
        <v>1295.28</v>
      </c>
    </row>
    <row r="9855" spans="1:4" ht="25.5">
      <c r="A9855" s="801">
        <v>39878</v>
      </c>
      <c r="B9855" s="802" t="s">
        <v>10880</v>
      </c>
      <c r="C9855" s="801" t="s">
        <v>656</v>
      </c>
      <c r="D9855" s="803">
        <v>1710.86</v>
      </c>
    </row>
    <row r="9856" spans="1:4" ht="25.5">
      <c r="A9856" s="801">
        <v>39872</v>
      </c>
      <c r="B9856" s="802" t="s">
        <v>10881</v>
      </c>
      <c r="C9856" s="801" t="s">
        <v>656</v>
      </c>
      <c r="D9856" s="803">
        <v>511.54</v>
      </c>
    </row>
    <row r="9857" spans="1:4" ht="25.5">
      <c r="A9857" s="801">
        <v>39873</v>
      </c>
      <c r="B9857" s="802" t="s">
        <v>10882</v>
      </c>
      <c r="C9857" s="801" t="s">
        <v>656</v>
      </c>
      <c r="D9857" s="803">
        <v>593.36</v>
      </c>
    </row>
    <row r="9858" spans="1:4" ht="25.5">
      <c r="A9858" s="801">
        <v>39874</v>
      </c>
      <c r="B9858" s="802" t="s">
        <v>10883</v>
      </c>
      <c r="C9858" s="801" t="s">
        <v>656</v>
      </c>
      <c r="D9858" s="803">
        <v>651.72</v>
      </c>
    </row>
    <row r="9859" spans="1:4" ht="25.5">
      <c r="A9859" s="801">
        <v>3674</v>
      </c>
      <c r="B9859" s="802" t="s">
        <v>10884</v>
      </c>
      <c r="C9859" s="801" t="s">
        <v>660</v>
      </c>
      <c r="D9859" s="803">
        <v>73.81</v>
      </c>
    </row>
    <row r="9860" spans="1:4" ht="25.5">
      <c r="A9860" s="801">
        <v>3681</v>
      </c>
      <c r="B9860" s="802" t="s">
        <v>10885</v>
      </c>
      <c r="C9860" s="801" t="s">
        <v>660</v>
      </c>
      <c r="D9860" s="803">
        <v>109.82</v>
      </c>
    </row>
    <row r="9861" spans="1:4" ht="25.5">
      <c r="A9861" s="801">
        <v>3676</v>
      </c>
      <c r="B9861" s="802" t="s">
        <v>10886</v>
      </c>
      <c r="C9861" s="801" t="s">
        <v>660</v>
      </c>
      <c r="D9861" s="803">
        <v>413.28</v>
      </c>
    </row>
    <row r="9862" spans="1:4" ht="25.5">
      <c r="A9862" s="801">
        <v>3679</v>
      </c>
      <c r="B9862" s="802" t="s">
        <v>10887</v>
      </c>
      <c r="C9862" s="801" t="s">
        <v>660</v>
      </c>
      <c r="D9862" s="803">
        <v>341.92</v>
      </c>
    </row>
    <row r="9863" spans="1:4" ht="25.5">
      <c r="A9863" s="801">
        <v>3672</v>
      </c>
      <c r="B9863" s="802" t="s">
        <v>10888</v>
      </c>
      <c r="C9863" s="801" t="s">
        <v>660</v>
      </c>
      <c r="D9863" s="803">
        <v>1.1599999999999999</v>
      </c>
    </row>
    <row r="9864" spans="1:4" ht="25.5">
      <c r="A9864" s="801">
        <v>3671</v>
      </c>
      <c r="B9864" s="802" t="s">
        <v>10889</v>
      </c>
      <c r="C9864" s="801" t="s">
        <v>660</v>
      </c>
      <c r="D9864" s="803">
        <v>1.1000000000000001</v>
      </c>
    </row>
    <row r="9865" spans="1:4" ht="25.5">
      <c r="A9865" s="801">
        <v>3673</v>
      </c>
      <c r="B9865" s="802" t="s">
        <v>10890</v>
      </c>
      <c r="C9865" s="801" t="s">
        <v>660</v>
      </c>
      <c r="D9865" s="803">
        <v>1.72</v>
      </c>
    </row>
    <row r="9866" spans="1:4" ht="25.5">
      <c r="A9866" s="801">
        <v>38394</v>
      </c>
      <c r="B9866" s="802" t="s">
        <v>10891</v>
      </c>
      <c r="C9866" s="801" t="s">
        <v>656</v>
      </c>
      <c r="D9866" s="803">
        <v>323.39</v>
      </c>
    </row>
    <row r="9867" spans="1:4" ht="25.5">
      <c r="A9867" s="801">
        <v>3729</v>
      </c>
      <c r="B9867" s="802" t="s">
        <v>10892</v>
      </c>
      <c r="C9867" s="801" t="s">
        <v>656</v>
      </c>
      <c r="D9867" s="803">
        <v>83.51</v>
      </c>
    </row>
    <row r="9868" spans="1:4" ht="76.5">
      <c r="A9868" s="801">
        <v>39357</v>
      </c>
      <c r="B9868" s="802" t="s">
        <v>10893</v>
      </c>
      <c r="C9868" s="801" t="s">
        <v>656</v>
      </c>
      <c r="D9868" s="803">
        <v>137.72999999999999</v>
      </c>
    </row>
    <row r="9869" spans="1:4" ht="76.5">
      <c r="A9869" s="801">
        <v>39358</v>
      </c>
      <c r="B9869" s="802" t="s">
        <v>10894</v>
      </c>
      <c r="C9869" s="801" t="s">
        <v>656</v>
      </c>
      <c r="D9869" s="803">
        <v>151.03</v>
      </c>
    </row>
    <row r="9870" spans="1:4" ht="89.25">
      <c r="A9870" s="801">
        <v>39356</v>
      </c>
      <c r="B9870" s="802" t="s">
        <v>10895</v>
      </c>
      <c r="C9870" s="801" t="s">
        <v>656</v>
      </c>
      <c r="D9870" s="803">
        <v>257.66000000000003</v>
      </c>
    </row>
    <row r="9871" spans="1:4" ht="89.25">
      <c r="A9871" s="801">
        <v>39355</v>
      </c>
      <c r="B9871" s="802" t="s">
        <v>10896</v>
      </c>
      <c r="C9871" s="801" t="s">
        <v>656</v>
      </c>
      <c r="D9871" s="803">
        <v>221.73</v>
      </c>
    </row>
    <row r="9872" spans="1:4" ht="76.5">
      <c r="A9872" s="801">
        <v>39353</v>
      </c>
      <c r="B9872" s="802" t="s">
        <v>10897</v>
      </c>
      <c r="C9872" s="801" t="s">
        <v>656</v>
      </c>
      <c r="D9872" s="803">
        <v>304.06</v>
      </c>
    </row>
    <row r="9873" spans="1:4" ht="76.5">
      <c r="A9873" s="801">
        <v>39354</v>
      </c>
      <c r="B9873" s="802" t="s">
        <v>10898</v>
      </c>
      <c r="C9873" s="801" t="s">
        <v>656</v>
      </c>
      <c r="D9873" s="803">
        <v>303.05</v>
      </c>
    </row>
    <row r="9874" spans="1:4" ht="25.5">
      <c r="A9874" s="801">
        <v>39398</v>
      </c>
      <c r="B9874" s="802" t="s">
        <v>10899</v>
      </c>
      <c r="C9874" s="801" t="s">
        <v>656</v>
      </c>
      <c r="D9874" s="803">
        <v>81.96</v>
      </c>
    </row>
    <row r="9875" spans="1:4" ht="38.25">
      <c r="A9875" s="801">
        <v>13343</v>
      </c>
      <c r="B9875" s="802" t="s">
        <v>10900</v>
      </c>
      <c r="C9875" s="801" t="s">
        <v>656</v>
      </c>
      <c r="D9875" s="803">
        <v>50.9</v>
      </c>
    </row>
    <row r="9876" spans="1:4" ht="25.5">
      <c r="A9876" s="801">
        <v>12118</v>
      </c>
      <c r="B9876" s="802" t="s">
        <v>10901</v>
      </c>
      <c r="C9876" s="801" t="s">
        <v>656</v>
      </c>
      <c r="D9876" s="803">
        <v>19.420000000000002</v>
      </c>
    </row>
    <row r="9877" spans="1:4" ht="63.75">
      <c r="A9877" s="801">
        <v>39482</v>
      </c>
      <c r="B9877" s="802" t="s">
        <v>10902</v>
      </c>
      <c r="C9877" s="801" t="s">
        <v>656</v>
      </c>
      <c r="D9877" s="803">
        <v>577.54</v>
      </c>
    </row>
    <row r="9878" spans="1:4" ht="63.75">
      <c r="A9878" s="801">
        <v>39486</v>
      </c>
      <c r="B9878" s="802" t="s">
        <v>10903</v>
      </c>
      <c r="C9878" s="801" t="s">
        <v>656</v>
      </c>
      <c r="D9878" s="803">
        <v>471.35</v>
      </c>
    </row>
    <row r="9879" spans="1:4" ht="63.75">
      <c r="A9879" s="801">
        <v>39484</v>
      </c>
      <c r="B9879" s="802" t="s">
        <v>10904</v>
      </c>
      <c r="C9879" s="801" t="s">
        <v>656</v>
      </c>
      <c r="D9879" s="803">
        <v>577.54</v>
      </c>
    </row>
    <row r="9880" spans="1:4" ht="63.75">
      <c r="A9880" s="801">
        <v>39488</v>
      </c>
      <c r="B9880" s="802" t="s">
        <v>10905</v>
      </c>
      <c r="C9880" s="801" t="s">
        <v>656</v>
      </c>
      <c r="D9880" s="803">
        <v>479.07</v>
      </c>
    </row>
    <row r="9881" spans="1:4" ht="63.75">
      <c r="A9881" s="801">
        <v>39485</v>
      </c>
      <c r="B9881" s="802" t="s">
        <v>10906</v>
      </c>
      <c r="C9881" s="801" t="s">
        <v>656</v>
      </c>
      <c r="D9881" s="803">
        <v>577.54</v>
      </c>
    </row>
    <row r="9882" spans="1:4" ht="63.75">
      <c r="A9882" s="801">
        <v>39489</v>
      </c>
      <c r="B9882" s="802" t="s">
        <v>10907</v>
      </c>
      <c r="C9882" s="801" t="s">
        <v>656</v>
      </c>
      <c r="D9882" s="803">
        <v>487.19</v>
      </c>
    </row>
    <row r="9883" spans="1:4" ht="63.75">
      <c r="A9883" s="801">
        <v>39490</v>
      </c>
      <c r="B9883" s="802" t="s">
        <v>10908</v>
      </c>
      <c r="C9883" s="801" t="s">
        <v>656</v>
      </c>
      <c r="D9883" s="803">
        <v>725.98</v>
      </c>
    </row>
    <row r="9884" spans="1:4" ht="63.75">
      <c r="A9884" s="801">
        <v>39494</v>
      </c>
      <c r="B9884" s="802" t="s">
        <v>10909</v>
      </c>
      <c r="C9884" s="801" t="s">
        <v>656</v>
      </c>
      <c r="D9884" s="803">
        <v>521.30999999999995</v>
      </c>
    </row>
    <row r="9885" spans="1:4" ht="63.75">
      <c r="A9885" s="801">
        <v>39495</v>
      </c>
      <c r="B9885" s="802" t="s">
        <v>10910</v>
      </c>
      <c r="C9885" s="801" t="s">
        <v>656</v>
      </c>
      <c r="D9885" s="803">
        <v>587.45000000000005</v>
      </c>
    </row>
    <row r="9886" spans="1:4" ht="63.75">
      <c r="A9886" s="801">
        <v>39496</v>
      </c>
      <c r="B9886" s="802" t="s">
        <v>10911</v>
      </c>
      <c r="C9886" s="801" t="s">
        <v>656</v>
      </c>
      <c r="D9886" s="803">
        <v>646.19000000000005</v>
      </c>
    </row>
    <row r="9887" spans="1:4" ht="63.75">
      <c r="A9887" s="801">
        <v>39492</v>
      </c>
      <c r="B9887" s="802" t="s">
        <v>10912</v>
      </c>
      <c r="C9887" s="801" t="s">
        <v>656</v>
      </c>
      <c r="D9887" s="803">
        <v>748.12</v>
      </c>
    </row>
    <row r="9888" spans="1:4" ht="63.75">
      <c r="A9888" s="801">
        <v>39497</v>
      </c>
      <c r="B9888" s="802" t="s">
        <v>10913</v>
      </c>
      <c r="C9888" s="801" t="s">
        <v>656</v>
      </c>
      <c r="D9888" s="803">
        <v>675.75</v>
      </c>
    </row>
    <row r="9889" spans="1:4" ht="63.75">
      <c r="A9889" s="801">
        <v>39493</v>
      </c>
      <c r="B9889" s="802" t="s">
        <v>10914</v>
      </c>
      <c r="C9889" s="801" t="s">
        <v>656</v>
      </c>
      <c r="D9889" s="803">
        <v>802.42</v>
      </c>
    </row>
    <row r="9890" spans="1:4" ht="51">
      <c r="A9890" s="801">
        <v>39500</v>
      </c>
      <c r="B9890" s="802" t="s">
        <v>10915</v>
      </c>
      <c r="C9890" s="801" t="s">
        <v>656</v>
      </c>
      <c r="D9890" s="803">
        <v>875.51</v>
      </c>
    </row>
    <row r="9891" spans="1:4" ht="63.75">
      <c r="A9891" s="801">
        <v>39498</v>
      </c>
      <c r="B9891" s="802" t="s">
        <v>10916</v>
      </c>
      <c r="C9891" s="801" t="s">
        <v>656</v>
      </c>
      <c r="D9891" s="803">
        <v>1079.8</v>
      </c>
    </row>
    <row r="9892" spans="1:4" ht="63.75">
      <c r="A9892" s="801">
        <v>43628</v>
      </c>
      <c r="B9892" s="802" t="s">
        <v>10917</v>
      </c>
      <c r="C9892" s="801" t="s">
        <v>656</v>
      </c>
      <c r="D9892" s="803">
        <v>851.11</v>
      </c>
    </row>
    <row r="9893" spans="1:4" ht="51">
      <c r="A9893" s="801">
        <v>39501</v>
      </c>
      <c r="B9893" s="802" t="s">
        <v>10918</v>
      </c>
      <c r="C9893" s="801" t="s">
        <v>656</v>
      </c>
      <c r="D9893" s="803">
        <v>899.22</v>
      </c>
    </row>
    <row r="9894" spans="1:4" ht="63.75">
      <c r="A9894" s="801">
        <v>39499</v>
      </c>
      <c r="B9894" s="802" t="s">
        <v>10919</v>
      </c>
      <c r="C9894" s="801" t="s">
        <v>656</v>
      </c>
      <c r="D9894" s="803">
        <v>1095.1300000000001</v>
      </c>
    </row>
    <row r="9895" spans="1:4" ht="63.75">
      <c r="A9895" s="801">
        <v>43621</v>
      </c>
      <c r="B9895" s="802" t="s">
        <v>10920</v>
      </c>
      <c r="C9895" s="801" t="s">
        <v>656</v>
      </c>
      <c r="D9895" s="803">
        <v>904.31</v>
      </c>
    </row>
    <row r="9896" spans="1:4" ht="25.5">
      <c r="A9896" s="801">
        <v>3733</v>
      </c>
      <c r="B9896" s="802" t="s">
        <v>10921</v>
      </c>
      <c r="C9896" s="801" t="s">
        <v>661</v>
      </c>
      <c r="D9896" s="803">
        <v>63.51</v>
      </c>
    </row>
    <row r="9897" spans="1:4" ht="25.5">
      <c r="A9897" s="801">
        <v>3731</v>
      </c>
      <c r="B9897" s="802" t="s">
        <v>10922</v>
      </c>
      <c r="C9897" s="801" t="s">
        <v>661</v>
      </c>
      <c r="D9897" s="803">
        <v>58.95</v>
      </c>
    </row>
    <row r="9898" spans="1:4">
      <c r="A9898" s="801">
        <v>38137</v>
      </c>
      <c r="B9898" s="802" t="s">
        <v>10923</v>
      </c>
      <c r="C9898" s="801" t="s">
        <v>661</v>
      </c>
      <c r="D9898" s="803">
        <v>59.3</v>
      </c>
    </row>
    <row r="9899" spans="1:4" ht="25.5">
      <c r="A9899" s="801">
        <v>38135</v>
      </c>
      <c r="B9899" s="802" t="s">
        <v>10924</v>
      </c>
      <c r="C9899" s="801" t="s">
        <v>661</v>
      </c>
      <c r="D9899" s="803">
        <v>75.17</v>
      </c>
    </row>
    <row r="9900" spans="1:4">
      <c r="A9900" s="801">
        <v>38138</v>
      </c>
      <c r="B9900" s="802" t="s">
        <v>10925</v>
      </c>
      <c r="C9900" s="801" t="s">
        <v>661</v>
      </c>
      <c r="D9900" s="803">
        <v>58.23</v>
      </c>
    </row>
    <row r="9901" spans="1:4" ht="38.25">
      <c r="A9901" s="801">
        <v>3736</v>
      </c>
      <c r="B9901" s="802" t="s">
        <v>10926</v>
      </c>
      <c r="C9901" s="801" t="s">
        <v>661</v>
      </c>
      <c r="D9901" s="803">
        <v>69.3</v>
      </c>
    </row>
    <row r="9902" spans="1:4" ht="38.25">
      <c r="A9902" s="801">
        <v>3741</v>
      </c>
      <c r="B9902" s="802" t="s">
        <v>10927</v>
      </c>
      <c r="C9902" s="801" t="s">
        <v>661</v>
      </c>
      <c r="D9902" s="803">
        <v>72.239999999999995</v>
      </c>
    </row>
    <row r="9903" spans="1:4" ht="38.25">
      <c r="A9903" s="801">
        <v>3745</v>
      </c>
      <c r="B9903" s="802" t="s">
        <v>10928</v>
      </c>
      <c r="C9903" s="801" t="s">
        <v>661</v>
      </c>
      <c r="D9903" s="803">
        <v>77.89</v>
      </c>
    </row>
    <row r="9904" spans="1:4" ht="38.25">
      <c r="A9904" s="801">
        <v>3743</v>
      </c>
      <c r="B9904" s="802" t="s">
        <v>10929</v>
      </c>
      <c r="C9904" s="801" t="s">
        <v>661</v>
      </c>
      <c r="D9904" s="803">
        <v>71.98</v>
      </c>
    </row>
    <row r="9905" spans="1:4" ht="38.25">
      <c r="A9905" s="801">
        <v>3744</v>
      </c>
      <c r="B9905" s="802" t="s">
        <v>10930</v>
      </c>
      <c r="C9905" s="801" t="s">
        <v>661</v>
      </c>
      <c r="D9905" s="803">
        <v>79.23</v>
      </c>
    </row>
    <row r="9906" spans="1:4" ht="38.25">
      <c r="A9906" s="801">
        <v>3739</v>
      </c>
      <c r="B9906" s="802" t="s">
        <v>10931</v>
      </c>
      <c r="C9906" s="801" t="s">
        <v>661</v>
      </c>
      <c r="D9906" s="803">
        <v>83.26</v>
      </c>
    </row>
    <row r="9907" spans="1:4" ht="38.25">
      <c r="A9907" s="801">
        <v>3737</v>
      </c>
      <c r="B9907" s="802" t="s">
        <v>10932</v>
      </c>
      <c r="C9907" s="801" t="s">
        <v>661</v>
      </c>
      <c r="D9907" s="803">
        <v>87.29</v>
      </c>
    </row>
    <row r="9908" spans="1:4" ht="38.25">
      <c r="A9908" s="801">
        <v>3738</v>
      </c>
      <c r="B9908" s="802" t="s">
        <v>10933</v>
      </c>
      <c r="C9908" s="801" t="s">
        <v>661</v>
      </c>
      <c r="D9908" s="803">
        <v>100.72</v>
      </c>
    </row>
    <row r="9909" spans="1:4" ht="38.25">
      <c r="A9909" s="801">
        <v>3747</v>
      </c>
      <c r="B9909" s="802" t="s">
        <v>10934</v>
      </c>
      <c r="C9909" s="801" t="s">
        <v>661</v>
      </c>
      <c r="D9909" s="803">
        <v>79.23</v>
      </c>
    </row>
    <row r="9910" spans="1:4" ht="38.25">
      <c r="A9910" s="801">
        <v>11649</v>
      </c>
      <c r="B9910" s="802" t="s">
        <v>10935</v>
      </c>
      <c r="C9910" s="801" t="s">
        <v>656</v>
      </c>
      <c r="D9910" s="803">
        <v>574.80999999999995</v>
      </c>
    </row>
    <row r="9911" spans="1:4" ht="38.25">
      <c r="A9911" s="801">
        <v>11650</v>
      </c>
      <c r="B9911" s="802" t="s">
        <v>10936</v>
      </c>
      <c r="C9911" s="801" t="s">
        <v>656</v>
      </c>
      <c r="D9911" s="803">
        <v>979.73</v>
      </c>
    </row>
    <row r="9912" spans="1:4" ht="38.25">
      <c r="A9912" s="801">
        <v>3742</v>
      </c>
      <c r="B9912" s="802" t="s">
        <v>10937</v>
      </c>
      <c r="C9912" s="801" t="s">
        <v>661</v>
      </c>
      <c r="D9912" s="803">
        <v>104.48</v>
      </c>
    </row>
    <row r="9913" spans="1:4" ht="38.25">
      <c r="A9913" s="801">
        <v>3746</v>
      </c>
      <c r="B9913" s="802" t="s">
        <v>10938</v>
      </c>
      <c r="C9913" s="801" t="s">
        <v>661</v>
      </c>
      <c r="D9913" s="803">
        <v>122</v>
      </c>
    </row>
    <row r="9914" spans="1:4" ht="38.25">
      <c r="A9914" s="801">
        <v>21106</v>
      </c>
      <c r="B9914" s="802" t="s">
        <v>10939</v>
      </c>
      <c r="C9914" s="801" t="s">
        <v>653</v>
      </c>
      <c r="D9914" s="803">
        <v>47.28</v>
      </c>
    </row>
    <row r="9915" spans="1:4">
      <c r="A9915" s="801">
        <v>3755</v>
      </c>
      <c r="B9915" s="802" t="s">
        <v>10940</v>
      </c>
      <c r="C9915" s="801" t="s">
        <v>656</v>
      </c>
      <c r="D9915" s="803">
        <v>17.55</v>
      </c>
    </row>
    <row r="9916" spans="1:4">
      <c r="A9916" s="801">
        <v>3750</v>
      </c>
      <c r="B9916" s="802" t="s">
        <v>10941</v>
      </c>
      <c r="C9916" s="801" t="s">
        <v>656</v>
      </c>
      <c r="D9916" s="803">
        <v>23.6</v>
      </c>
    </row>
    <row r="9917" spans="1:4">
      <c r="A9917" s="801">
        <v>3756</v>
      </c>
      <c r="B9917" s="802" t="s">
        <v>10942</v>
      </c>
      <c r="C9917" s="801" t="s">
        <v>656</v>
      </c>
      <c r="D9917" s="803">
        <v>44.1</v>
      </c>
    </row>
    <row r="9918" spans="1:4" ht="25.5">
      <c r="A9918" s="801">
        <v>39377</v>
      </c>
      <c r="B9918" s="802" t="s">
        <v>10943</v>
      </c>
      <c r="C9918" s="801" t="s">
        <v>656</v>
      </c>
      <c r="D9918" s="803">
        <v>130.63999999999999</v>
      </c>
    </row>
    <row r="9919" spans="1:4" ht="25.5">
      <c r="A9919" s="801">
        <v>38191</v>
      </c>
      <c r="B9919" s="802" t="s">
        <v>10944</v>
      </c>
      <c r="C9919" s="801" t="s">
        <v>656</v>
      </c>
      <c r="D9919" s="803">
        <v>9.7200000000000006</v>
      </c>
    </row>
    <row r="9920" spans="1:4" ht="25.5">
      <c r="A9920" s="801">
        <v>39381</v>
      </c>
      <c r="B9920" s="802" t="s">
        <v>10945</v>
      </c>
      <c r="C9920" s="801" t="s">
        <v>656</v>
      </c>
      <c r="D9920" s="803">
        <v>9.07</v>
      </c>
    </row>
    <row r="9921" spans="1:4" ht="25.5">
      <c r="A9921" s="801">
        <v>38780</v>
      </c>
      <c r="B9921" s="802" t="s">
        <v>10946</v>
      </c>
      <c r="C9921" s="801" t="s">
        <v>656</v>
      </c>
      <c r="D9921" s="803">
        <v>11.1</v>
      </c>
    </row>
    <row r="9922" spans="1:4" ht="25.5">
      <c r="A9922" s="801">
        <v>38781</v>
      </c>
      <c r="B9922" s="802" t="s">
        <v>10947</v>
      </c>
      <c r="C9922" s="801" t="s">
        <v>656</v>
      </c>
      <c r="D9922" s="803">
        <v>37.47</v>
      </c>
    </row>
    <row r="9923" spans="1:4" ht="25.5">
      <c r="A9923" s="801">
        <v>38192</v>
      </c>
      <c r="B9923" s="802" t="s">
        <v>10948</v>
      </c>
      <c r="C9923" s="801" t="s">
        <v>656</v>
      </c>
      <c r="D9923" s="803">
        <v>67.8</v>
      </c>
    </row>
    <row r="9924" spans="1:4">
      <c r="A9924" s="801">
        <v>3753</v>
      </c>
      <c r="B9924" s="802" t="s">
        <v>10949</v>
      </c>
      <c r="C9924" s="801" t="s">
        <v>656</v>
      </c>
      <c r="D9924" s="803">
        <v>5.93</v>
      </c>
    </row>
    <row r="9925" spans="1:4">
      <c r="A9925" s="801">
        <v>38782</v>
      </c>
      <c r="B9925" s="802" t="s">
        <v>10950</v>
      </c>
      <c r="C9925" s="801" t="s">
        <v>656</v>
      </c>
      <c r="D9925" s="803">
        <v>7.72</v>
      </c>
    </row>
    <row r="9926" spans="1:4">
      <c r="A9926" s="801">
        <v>38778</v>
      </c>
      <c r="B9926" s="802" t="s">
        <v>10951</v>
      </c>
      <c r="C9926" s="801" t="s">
        <v>656</v>
      </c>
      <c r="D9926" s="803">
        <v>5.8</v>
      </c>
    </row>
    <row r="9927" spans="1:4">
      <c r="A9927" s="801">
        <v>38779</v>
      </c>
      <c r="B9927" s="802" t="s">
        <v>10952</v>
      </c>
      <c r="C9927" s="801" t="s">
        <v>656</v>
      </c>
      <c r="D9927" s="803">
        <v>6.15</v>
      </c>
    </row>
    <row r="9928" spans="1:4" ht="25.5">
      <c r="A9928" s="801">
        <v>39388</v>
      </c>
      <c r="B9928" s="802" t="s">
        <v>10953</v>
      </c>
      <c r="C9928" s="801" t="s">
        <v>656</v>
      </c>
      <c r="D9928" s="803">
        <v>9.15</v>
      </c>
    </row>
    <row r="9929" spans="1:4">
      <c r="A9929" s="801">
        <v>39387</v>
      </c>
      <c r="B9929" s="802" t="s">
        <v>10954</v>
      </c>
      <c r="C9929" s="801" t="s">
        <v>656</v>
      </c>
      <c r="D9929" s="803">
        <v>14.26</v>
      </c>
    </row>
    <row r="9930" spans="1:4">
      <c r="A9930" s="801">
        <v>39386</v>
      </c>
      <c r="B9930" s="802" t="s">
        <v>10955</v>
      </c>
      <c r="C9930" s="801" t="s">
        <v>656</v>
      </c>
      <c r="D9930" s="803">
        <v>9.94</v>
      </c>
    </row>
    <row r="9931" spans="1:4" ht="25.5">
      <c r="A9931" s="801">
        <v>38194</v>
      </c>
      <c r="B9931" s="802" t="s">
        <v>10956</v>
      </c>
      <c r="C9931" s="801" t="s">
        <v>656</v>
      </c>
      <c r="D9931" s="803">
        <v>7.44</v>
      </c>
    </row>
    <row r="9932" spans="1:4" ht="25.5">
      <c r="A9932" s="801">
        <v>38193</v>
      </c>
      <c r="B9932" s="802" t="s">
        <v>10957</v>
      </c>
      <c r="C9932" s="801" t="s">
        <v>656</v>
      </c>
      <c r="D9932" s="803">
        <v>6.46</v>
      </c>
    </row>
    <row r="9933" spans="1:4">
      <c r="A9933" s="801">
        <v>12216</v>
      </c>
      <c r="B9933" s="802" t="s">
        <v>10958</v>
      </c>
      <c r="C9933" s="801" t="s">
        <v>656</v>
      </c>
      <c r="D9933" s="803">
        <v>33.909999999999997</v>
      </c>
    </row>
    <row r="9934" spans="1:4">
      <c r="A9934" s="801">
        <v>3757</v>
      </c>
      <c r="B9934" s="802" t="s">
        <v>10959</v>
      </c>
      <c r="C9934" s="801" t="s">
        <v>656</v>
      </c>
      <c r="D9934" s="803">
        <v>39.200000000000003</v>
      </c>
    </row>
    <row r="9935" spans="1:4">
      <c r="A9935" s="801">
        <v>3758</v>
      </c>
      <c r="B9935" s="802" t="s">
        <v>10960</v>
      </c>
      <c r="C9935" s="801" t="s">
        <v>656</v>
      </c>
      <c r="D9935" s="803">
        <v>45.71</v>
      </c>
    </row>
    <row r="9936" spans="1:4">
      <c r="A9936" s="801">
        <v>12214</v>
      </c>
      <c r="B9936" s="802" t="s">
        <v>10961</v>
      </c>
      <c r="C9936" s="801" t="s">
        <v>656</v>
      </c>
      <c r="D9936" s="803">
        <v>15.65</v>
      </c>
    </row>
    <row r="9937" spans="1:4">
      <c r="A9937" s="801">
        <v>3749</v>
      </c>
      <c r="B9937" s="802" t="s">
        <v>10962</v>
      </c>
      <c r="C9937" s="801" t="s">
        <v>656</v>
      </c>
      <c r="D9937" s="803">
        <v>27.9</v>
      </c>
    </row>
    <row r="9938" spans="1:4">
      <c r="A9938" s="801">
        <v>3751</v>
      </c>
      <c r="B9938" s="802" t="s">
        <v>10963</v>
      </c>
      <c r="C9938" s="801" t="s">
        <v>656</v>
      </c>
      <c r="D9938" s="803">
        <v>38.07</v>
      </c>
    </row>
    <row r="9939" spans="1:4">
      <c r="A9939" s="801">
        <v>39376</v>
      </c>
      <c r="B9939" s="802" t="s">
        <v>10964</v>
      </c>
      <c r="C9939" s="801" t="s">
        <v>656</v>
      </c>
      <c r="D9939" s="803">
        <v>32.1</v>
      </c>
    </row>
    <row r="9940" spans="1:4">
      <c r="A9940" s="801">
        <v>3752</v>
      </c>
      <c r="B9940" s="802" t="s">
        <v>10965</v>
      </c>
      <c r="C9940" s="801" t="s">
        <v>656</v>
      </c>
      <c r="D9940" s="803">
        <v>62.81</v>
      </c>
    </row>
    <row r="9941" spans="1:4" ht="51">
      <c r="A9941" s="801">
        <v>746</v>
      </c>
      <c r="B9941" s="802" t="s">
        <v>10966</v>
      </c>
      <c r="C9941" s="801" t="s">
        <v>656</v>
      </c>
      <c r="D9941" s="803">
        <v>3300</v>
      </c>
    </row>
    <row r="9942" spans="1:4" ht="25.5">
      <c r="A9942" s="801">
        <v>20269</v>
      </c>
      <c r="B9942" s="802" t="s">
        <v>10967</v>
      </c>
      <c r="C9942" s="801" t="s">
        <v>656</v>
      </c>
      <c r="D9942" s="803">
        <v>88.63</v>
      </c>
    </row>
    <row r="9943" spans="1:4" ht="25.5">
      <c r="A9943" s="801">
        <v>20270</v>
      </c>
      <c r="B9943" s="802" t="s">
        <v>10968</v>
      </c>
      <c r="C9943" s="801" t="s">
        <v>656</v>
      </c>
      <c r="D9943" s="803">
        <v>97.94</v>
      </c>
    </row>
    <row r="9944" spans="1:4" ht="25.5">
      <c r="A9944" s="801">
        <v>11696</v>
      </c>
      <c r="B9944" s="802" t="s">
        <v>10969</v>
      </c>
      <c r="C9944" s="801" t="s">
        <v>656</v>
      </c>
      <c r="D9944" s="803">
        <v>156.77000000000001</v>
      </c>
    </row>
    <row r="9945" spans="1:4" ht="25.5">
      <c r="A9945" s="801">
        <v>10427</v>
      </c>
      <c r="B9945" s="802" t="s">
        <v>10970</v>
      </c>
      <c r="C9945" s="801" t="s">
        <v>656</v>
      </c>
      <c r="D9945" s="803">
        <v>438.72</v>
      </c>
    </row>
    <row r="9946" spans="1:4" ht="25.5">
      <c r="A9946" s="801">
        <v>10428</v>
      </c>
      <c r="B9946" s="802" t="s">
        <v>10971</v>
      </c>
      <c r="C9946" s="801" t="s">
        <v>656</v>
      </c>
      <c r="D9946" s="803">
        <v>452.02</v>
      </c>
    </row>
    <row r="9947" spans="1:4" ht="25.5">
      <c r="A9947" s="801">
        <v>36521</v>
      </c>
      <c r="B9947" s="802" t="s">
        <v>10972</v>
      </c>
      <c r="C9947" s="801" t="s">
        <v>656</v>
      </c>
      <c r="D9947" s="803">
        <v>141.04</v>
      </c>
    </row>
    <row r="9948" spans="1:4" ht="25.5">
      <c r="A9948" s="801">
        <v>36794</v>
      </c>
      <c r="B9948" s="802" t="s">
        <v>10973</v>
      </c>
      <c r="C9948" s="801" t="s">
        <v>656</v>
      </c>
      <c r="D9948" s="803">
        <v>150.13999999999999</v>
      </c>
    </row>
    <row r="9949" spans="1:4" ht="25.5">
      <c r="A9949" s="801">
        <v>10426</v>
      </c>
      <c r="B9949" s="802" t="s">
        <v>10974</v>
      </c>
      <c r="C9949" s="801" t="s">
        <v>656</v>
      </c>
      <c r="D9949" s="803">
        <v>168.13</v>
      </c>
    </row>
    <row r="9950" spans="1:4" ht="25.5">
      <c r="A9950" s="801">
        <v>10425</v>
      </c>
      <c r="B9950" s="802" t="s">
        <v>10975</v>
      </c>
      <c r="C9950" s="801" t="s">
        <v>656</v>
      </c>
      <c r="D9950" s="803">
        <v>85.29</v>
      </c>
    </row>
    <row r="9951" spans="1:4" ht="25.5">
      <c r="A9951" s="801">
        <v>10431</v>
      </c>
      <c r="B9951" s="802" t="s">
        <v>10976</v>
      </c>
      <c r="C9951" s="801" t="s">
        <v>656</v>
      </c>
      <c r="D9951" s="803">
        <v>292.02</v>
      </c>
    </row>
    <row r="9952" spans="1:4" ht="25.5">
      <c r="A9952" s="801">
        <v>10429</v>
      </c>
      <c r="B9952" s="802" t="s">
        <v>10977</v>
      </c>
      <c r="C9952" s="801" t="s">
        <v>656</v>
      </c>
      <c r="D9952" s="803">
        <v>144.06</v>
      </c>
    </row>
    <row r="9953" spans="1:4">
      <c r="A9953" s="801">
        <v>2354</v>
      </c>
      <c r="B9953" s="802" t="s">
        <v>10978</v>
      </c>
      <c r="C9953" s="801" t="s">
        <v>659</v>
      </c>
      <c r="D9953" s="803">
        <v>9.09</v>
      </c>
    </row>
    <row r="9954" spans="1:4" ht="25.5">
      <c r="A9954" s="801">
        <v>40932</v>
      </c>
      <c r="B9954" s="802" t="s">
        <v>10979</v>
      </c>
      <c r="C9954" s="801" t="s">
        <v>772</v>
      </c>
      <c r="D9954" s="803">
        <v>1606.27</v>
      </c>
    </row>
    <row r="9955" spans="1:4" ht="25.5">
      <c r="A9955" s="801">
        <v>10853</v>
      </c>
      <c r="B9955" s="802" t="s">
        <v>10980</v>
      </c>
      <c r="C9955" s="801" t="s">
        <v>656</v>
      </c>
      <c r="D9955" s="803">
        <v>116.49</v>
      </c>
    </row>
    <row r="9956" spans="1:4">
      <c r="A9956" s="801">
        <v>5093</v>
      </c>
      <c r="B9956" s="802" t="s">
        <v>10981</v>
      </c>
      <c r="C9956" s="801" t="s">
        <v>665</v>
      </c>
      <c r="D9956" s="803">
        <v>18.649999999999999</v>
      </c>
    </row>
    <row r="9957" spans="1:4">
      <c r="A9957" s="801">
        <v>44331</v>
      </c>
      <c r="B9957" s="802" t="s">
        <v>10982</v>
      </c>
      <c r="C9957" s="801" t="s">
        <v>655</v>
      </c>
      <c r="D9957" s="803">
        <v>34.44</v>
      </c>
    </row>
    <row r="9958" spans="1:4" ht="38.25">
      <c r="A9958" s="801">
        <v>37768</v>
      </c>
      <c r="B9958" s="802" t="s">
        <v>10983</v>
      </c>
      <c r="C9958" s="801" t="s">
        <v>656</v>
      </c>
      <c r="D9958" s="803">
        <v>221500</v>
      </c>
    </row>
    <row r="9959" spans="1:4" ht="25.5">
      <c r="A9959" s="801">
        <v>37773</v>
      </c>
      <c r="B9959" s="802" t="s">
        <v>10984</v>
      </c>
      <c r="C9959" s="801" t="s">
        <v>656</v>
      </c>
      <c r="D9959" s="803">
        <v>188090.84</v>
      </c>
    </row>
    <row r="9960" spans="1:4" ht="25.5">
      <c r="A9960" s="801">
        <v>37769</v>
      </c>
      <c r="B9960" s="802" t="s">
        <v>10985</v>
      </c>
      <c r="C9960" s="801" t="s">
        <v>656</v>
      </c>
      <c r="D9960" s="803">
        <v>314887.76</v>
      </c>
    </row>
    <row r="9961" spans="1:4" ht="25.5">
      <c r="A9961" s="801">
        <v>37770</v>
      </c>
      <c r="B9961" s="802" t="s">
        <v>10986</v>
      </c>
      <c r="C9961" s="801" t="s">
        <v>656</v>
      </c>
      <c r="D9961" s="803">
        <v>534414.77</v>
      </c>
    </row>
    <row r="9962" spans="1:4">
      <c r="A9962" s="801">
        <v>38382</v>
      </c>
      <c r="B9962" s="802" t="s">
        <v>10987</v>
      </c>
      <c r="C9962" s="801" t="s">
        <v>656</v>
      </c>
      <c r="D9962" s="803">
        <v>11.77</v>
      </c>
    </row>
    <row r="9963" spans="1:4">
      <c r="A9963" s="801">
        <v>38383</v>
      </c>
      <c r="B9963" s="802" t="s">
        <v>4706</v>
      </c>
      <c r="C9963" s="801" t="s">
        <v>656</v>
      </c>
      <c r="D9963" s="803">
        <v>2.2000000000000002</v>
      </c>
    </row>
    <row r="9964" spans="1:4">
      <c r="A9964" s="801">
        <v>3768</v>
      </c>
      <c r="B9964" s="802" t="s">
        <v>4707</v>
      </c>
      <c r="C9964" s="801" t="s">
        <v>656</v>
      </c>
      <c r="D9964" s="803">
        <v>3.36</v>
      </c>
    </row>
    <row r="9965" spans="1:4" ht="25.5">
      <c r="A9965" s="801">
        <v>3767</v>
      </c>
      <c r="B9965" s="802" t="s">
        <v>10988</v>
      </c>
      <c r="C9965" s="801" t="s">
        <v>656</v>
      </c>
      <c r="D9965" s="803">
        <v>1.1200000000000001</v>
      </c>
    </row>
    <row r="9966" spans="1:4" ht="25.5">
      <c r="A9966" s="801">
        <v>13192</v>
      </c>
      <c r="B9966" s="802" t="s">
        <v>10989</v>
      </c>
      <c r="C9966" s="801" t="s">
        <v>656</v>
      </c>
      <c r="D9966" s="803">
        <v>7324.8</v>
      </c>
    </row>
    <row r="9967" spans="1:4" ht="25.5">
      <c r="A9967" s="801">
        <v>38413</v>
      </c>
      <c r="B9967" s="802" t="s">
        <v>10990</v>
      </c>
      <c r="C9967" s="801" t="s">
        <v>656</v>
      </c>
      <c r="D9967" s="803">
        <v>1211.4100000000001</v>
      </c>
    </row>
    <row r="9968" spans="1:4" ht="51">
      <c r="A9968" s="801">
        <v>42440</v>
      </c>
      <c r="B9968" s="802" t="s">
        <v>10991</v>
      </c>
      <c r="C9968" s="801" t="s">
        <v>656</v>
      </c>
      <c r="D9968" s="803">
        <v>1213.5999999999999</v>
      </c>
    </row>
    <row r="9969" spans="1:4" ht="38.25">
      <c r="A9969" s="801">
        <v>20193</v>
      </c>
      <c r="B9969" s="802" t="s">
        <v>10992</v>
      </c>
      <c r="C9969" s="801" t="s">
        <v>4117</v>
      </c>
      <c r="D9969" s="803">
        <v>7.49</v>
      </c>
    </row>
    <row r="9970" spans="1:4" ht="38.25">
      <c r="A9970" s="801">
        <v>10527</v>
      </c>
      <c r="B9970" s="802" t="s">
        <v>10993</v>
      </c>
      <c r="C9970" s="801" t="s">
        <v>4118</v>
      </c>
      <c r="D9970" s="803">
        <v>22.5</v>
      </c>
    </row>
    <row r="9971" spans="1:4" ht="38.25">
      <c r="A9971" s="801">
        <v>41805</v>
      </c>
      <c r="B9971" s="802" t="s">
        <v>10994</v>
      </c>
      <c r="C9971" s="801" t="s">
        <v>772</v>
      </c>
      <c r="D9971" s="803">
        <v>502.55</v>
      </c>
    </row>
    <row r="9972" spans="1:4" ht="25.5">
      <c r="A9972" s="801">
        <v>40271</v>
      </c>
      <c r="B9972" s="802" t="s">
        <v>10995</v>
      </c>
      <c r="C9972" s="801" t="s">
        <v>772</v>
      </c>
      <c r="D9972" s="803">
        <v>14.62</v>
      </c>
    </row>
    <row r="9973" spans="1:4" ht="25.5">
      <c r="A9973" s="801">
        <v>40287</v>
      </c>
      <c r="B9973" s="802" t="s">
        <v>10996</v>
      </c>
      <c r="C9973" s="801" t="s">
        <v>772</v>
      </c>
      <c r="D9973" s="803">
        <v>5.62</v>
      </c>
    </row>
    <row r="9974" spans="1:4" ht="63.75">
      <c r="A9974" s="801">
        <v>4084</v>
      </c>
      <c r="B9974" s="802" t="s">
        <v>10997</v>
      </c>
      <c r="C9974" s="801" t="s">
        <v>659</v>
      </c>
      <c r="D9974" s="803">
        <v>2.14</v>
      </c>
    </row>
    <row r="9975" spans="1:4" ht="63.75">
      <c r="A9975" s="801">
        <v>743</v>
      </c>
      <c r="B9975" s="802" t="s">
        <v>10998</v>
      </c>
      <c r="C9975" s="801" t="s">
        <v>659</v>
      </c>
      <c r="D9975" s="803">
        <v>2.14</v>
      </c>
    </row>
    <row r="9976" spans="1:4" ht="63.75">
      <c r="A9976" s="801">
        <v>40293</v>
      </c>
      <c r="B9976" s="802" t="s">
        <v>10999</v>
      </c>
      <c r="C9976" s="801" t="s">
        <v>659</v>
      </c>
      <c r="D9976" s="803">
        <v>2.56</v>
      </c>
    </row>
    <row r="9977" spans="1:4" ht="63.75">
      <c r="A9977" s="801">
        <v>40294</v>
      </c>
      <c r="B9977" s="802" t="s">
        <v>11000</v>
      </c>
      <c r="C9977" s="801" t="s">
        <v>659</v>
      </c>
      <c r="D9977" s="803">
        <v>2.14</v>
      </c>
    </row>
    <row r="9978" spans="1:4" ht="63.75">
      <c r="A9978" s="801">
        <v>4085</v>
      </c>
      <c r="B9978" s="802" t="s">
        <v>11001</v>
      </c>
      <c r="C9978" s="801" t="s">
        <v>659</v>
      </c>
      <c r="D9978" s="803">
        <v>2.99</v>
      </c>
    </row>
    <row r="9979" spans="1:4" ht="38.25">
      <c r="A9979" s="801">
        <v>10779</v>
      </c>
      <c r="B9979" s="802" t="s">
        <v>13452</v>
      </c>
      <c r="C9979" s="801" t="s">
        <v>772</v>
      </c>
      <c r="D9979" s="803">
        <v>945</v>
      </c>
    </row>
    <row r="9980" spans="1:4" ht="38.25">
      <c r="A9980" s="801">
        <v>10777</v>
      </c>
      <c r="B9980" s="802" t="s">
        <v>13453</v>
      </c>
      <c r="C9980" s="801" t="s">
        <v>772</v>
      </c>
      <c r="D9980" s="803">
        <v>858.37</v>
      </c>
    </row>
    <row r="9981" spans="1:4" ht="38.25">
      <c r="A9981" s="801">
        <v>10775</v>
      </c>
      <c r="B9981" s="802" t="s">
        <v>13454</v>
      </c>
      <c r="C9981" s="801" t="s">
        <v>772</v>
      </c>
      <c r="D9981" s="803">
        <v>756</v>
      </c>
    </row>
    <row r="9982" spans="1:4" ht="38.25">
      <c r="A9982" s="801">
        <v>10776</v>
      </c>
      <c r="B9982" s="802" t="s">
        <v>13455</v>
      </c>
      <c r="C9982" s="801" t="s">
        <v>772</v>
      </c>
      <c r="D9982" s="803">
        <v>590.62</v>
      </c>
    </row>
    <row r="9983" spans="1:4" ht="38.25">
      <c r="A9983" s="801">
        <v>10778</v>
      </c>
      <c r="B9983" s="802" t="s">
        <v>13456</v>
      </c>
      <c r="C9983" s="801" t="s">
        <v>772</v>
      </c>
      <c r="D9983" s="803">
        <v>945</v>
      </c>
    </row>
    <row r="9984" spans="1:4">
      <c r="A9984" s="801">
        <v>40339</v>
      </c>
      <c r="B9984" s="802" t="s">
        <v>11003</v>
      </c>
      <c r="C9984" s="801" t="s">
        <v>772</v>
      </c>
      <c r="D9984" s="803">
        <v>5.62</v>
      </c>
    </row>
    <row r="9985" spans="1:4" ht="38.25">
      <c r="A9985" s="801">
        <v>10749</v>
      </c>
      <c r="B9985" s="802" t="s">
        <v>11004</v>
      </c>
      <c r="C9985" s="801" t="s">
        <v>772</v>
      </c>
      <c r="D9985" s="803">
        <v>10.31</v>
      </c>
    </row>
    <row r="9986" spans="1:4" ht="25.5">
      <c r="A9986" s="801">
        <v>40290</v>
      </c>
      <c r="B9986" s="802" t="s">
        <v>11005</v>
      </c>
      <c r="C9986" s="801" t="s">
        <v>772</v>
      </c>
      <c r="D9986" s="803">
        <v>14.85</v>
      </c>
    </row>
    <row r="9987" spans="1:4" ht="25.5">
      <c r="A9987" s="801">
        <v>3346</v>
      </c>
      <c r="B9987" s="802" t="s">
        <v>11006</v>
      </c>
      <c r="C9987" s="801" t="s">
        <v>659</v>
      </c>
      <c r="D9987" s="803">
        <v>15.75</v>
      </c>
    </row>
    <row r="9988" spans="1:4" ht="25.5">
      <c r="A9988" s="801">
        <v>3348</v>
      </c>
      <c r="B9988" s="802" t="s">
        <v>11007</v>
      </c>
      <c r="C9988" s="801" t="s">
        <v>659</v>
      </c>
      <c r="D9988" s="803">
        <v>18.84</v>
      </c>
    </row>
    <row r="9989" spans="1:4" ht="25.5">
      <c r="A9989" s="801">
        <v>39833</v>
      </c>
      <c r="B9989" s="802" t="s">
        <v>11008</v>
      </c>
      <c r="C9989" s="801" t="s">
        <v>659</v>
      </c>
      <c r="D9989" s="803">
        <v>25.81</v>
      </c>
    </row>
    <row r="9990" spans="1:4" ht="25.5">
      <c r="A9990" s="801">
        <v>7252</v>
      </c>
      <c r="B9990" s="802" t="s">
        <v>11009</v>
      </c>
      <c r="C9990" s="801" t="s">
        <v>659</v>
      </c>
      <c r="D9990" s="803">
        <v>2.25</v>
      </c>
    </row>
    <row r="9991" spans="1:4" ht="25.5">
      <c r="A9991" s="801">
        <v>7247</v>
      </c>
      <c r="B9991" s="802" t="s">
        <v>11010</v>
      </c>
      <c r="C9991" s="801" t="s">
        <v>659</v>
      </c>
      <c r="D9991" s="803">
        <v>2.25</v>
      </c>
    </row>
    <row r="9992" spans="1:4" ht="38.25">
      <c r="A9992" s="801">
        <v>40291</v>
      </c>
      <c r="B9992" s="802" t="s">
        <v>11011</v>
      </c>
      <c r="C9992" s="801" t="s">
        <v>772</v>
      </c>
      <c r="D9992" s="803">
        <v>784.9</v>
      </c>
    </row>
    <row r="9993" spans="1:4" ht="38.25">
      <c r="A9993" s="801">
        <v>40275</v>
      </c>
      <c r="B9993" s="802" t="s">
        <v>11012</v>
      </c>
      <c r="C9993" s="801" t="s">
        <v>772</v>
      </c>
      <c r="D9993" s="803">
        <v>22.5</v>
      </c>
    </row>
    <row r="9994" spans="1:4">
      <c r="A9994" s="801">
        <v>42408</v>
      </c>
      <c r="B9994" s="802" t="s">
        <v>11013</v>
      </c>
      <c r="C9994" s="801" t="s">
        <v>661</v>
      </c>
      <c r="D9994" s="803">
        <v>1.44</v>
      </c>
    </row>
    <row r="9995" spans="1:4">
      <c r="A9995" s="801">
        <v>3777</v>
      </c>
      <c r="B9995" s="802" t="s">
        <v>6137</v>
      </c>
      <c r="C9995" s="801" t="s">
        <v>661</v>
      </c>
      <c r="D9995" s="803">
        <v>1.04</v>
      </c>
    </row>
    <row r="9996" spans="1:4" ht="25.5">
      <c r="A9996" s="801">
        <v>3798</v>
      </c>
      <c r="B9996" s="802" t="s">
        <v>11014</v>
      </c>
      <c r="C9996" s="801" t="s">
        <v>656</v>
      </c>
      <c r="D9996" s="803">
        <v>125.85</v>
      </c>
    </row>
    <row r="9997" spans="1:4" ht="38.25">
      <c r="A9997" s="801">
        <v>38769</v>
      </c>
      <c r="B9997" s="802" t="s">
        <v>11015</v>
      </c>
      <c r="C9997" s="801" t="s">
        <v>656</v>
      </c>
      <c r="D9997" s="803">
        <v>98.28</v>
      </c>
    </row>
    <row r="9998" spans="1:4" ht="38.25">
      <c r="A9998" s="801">
        <v>39510</v>
      </c>
      <c r="B9998" s="802" t="s">
        <v>11016</v>
      </c>
      <c r="C9998" s="801" t="s">
        <v>656</v>
      </c>
      <c r="D9998" s="803">
        <v>397.76</v>
      </c>
    </row>
    <row r="9999" spans="1:4" ht="38.25">
      <c r="A9999" s="801">
        <v>38776</v>
      </c>
      <c r="B9999" s="802" t="s">
        <v>11017</v>
      </c>
      <c r="C9999" s="801" t="s">
        <v>656</v>
      </c>
      <c r="D9999" s="803">
        <v>422.14</v>
      </c>
    </row>
    <row r="10000" spans="1:4" ht="25.5">
      <c r="A10000" s="801">
        <v>38774</v>
      </c>
      <c r="B10000" s="802" t="s">
        <v>4708</v>
      </c>
      <c r="C10000" s="801" t="s">
        <v>656</v>
      </c>
      <c r="D10000" s="803">
        <v>18.690000000000001</v>
      </c>
    </row>
    <row r="10001" spans="1:4" ht="25.5">
      <c r="A10001" s="801">
        <v>42247</v>
      </c>
      <c r="B10001" s="802" t="s">
        <v>11018</v>
      </c>
      <c r="C10001" s="801" t="s">
        <v>656</v>
      </c>
      <c r="D10001" s="803">
        <v>637.97</v>
      </c>
    </row>
    <row r="10002" spans="1:4" ht="25.5">
      <c r="A10002" s="801">
        <v>42248</v>
      </c>
      <c r="B10002" s="802" t="s">
        <v>11019</v>
      </c>
      <c r="C10002" s="801" t="s">
        <v>656</v>
      </c>
      <c r="D10002" s="803">
        <v>741.05</v>
      </c>
    </row>
    <row r="10003" spans="1:4" ht="25.5">
      <c r="A10003" s="801">
        <v>42249</v>
      </c>
      <c r="B10003" s="802" t="s">
        <v>11020</v>
      </c>
      <c r="C10003" s="801" t="s">
        <v>656</v>
      </c>
      <c r="D10003" s="803">
        <v>1227.6600000000001</v>
      </c>
    </row>
    <row r="10004" spans="1:4" ht="25.5">
      <c r="A10004" s="801">
        <v>42244</v>
      </c>
      <c r="B10004" s="802" t="s">
        <v>11021</v>
      </c>
      <c r="C10004" s="801" t="s">
        <v>656</v>
      </c>
      <c r="D10004" s="803">
        <v>191.72</v>
      </c>
    </row>
    <row r="10005" spans="1:4" ht="25.5">
      <c r="A10005" s="801">
        <v>42245</v>
      </c>
      <c r="B10005" s="802" t="s">
        <v>11022</v>
      </c>
      <c r="C10005" s="801" t="s">
        <v>656</v>
      </c>
      <c r="D10005" s="803">
        <v>353.79</v>
      </c>
    </row>
    <row r="10006" spans="1:4" ht="25.5">
      <c r="A10006" s="801">
        <v>42246</v>
      </c>
      <c r="B10006" s="802" t="s">
        <v>11023</v>
      </c>
      <c r="C10006" s="801" t="s">
        <v>656</v>
      </c>
      <c r="D10006" s="803">
        <v>391.63</v>
      </c>
    </row>
    <row r="10007" spans="1:4" ht="25.5">
      <c r="A10007" s="801">
        <v>42243</v>
      </c>
      <c r="B10007" s="802" t="s">
        <v>11024</v>
      </c>
      <c r="C10007" s="801" t="s">
        <v>656</v>
      </c>
      <c r="D10007" s="803">
        <v>472.23</v>
      </c>
    </row>
    <row r="10008" spans="1:4" ht="38.25">
      <c r="A10008" s="801">
        <v>38889</v>
      </c>
      <c r="B10008" s="802" t="s">
        <v>11025</v>
      </c>
      <c r="C10008" s="801" t="s">
        <v>656</v>
      </c>
      <c r="D10008" s="803">
        <v>75.33</v>
      </c>
    </row>
    <row r="10009" spans="1:4" ht="38.25">
      <c r="A10009" s="801">
        <v>38784</v>
      </c>
      <c r="B10009" s="802" t="s">
        <v>11026</v>
      </c>
      <c r="C10009" s="801" t="s">
        <v>656</v>
      </c>
      <c r="D10009" s="803">
        <v>100.78</v>
      </c>
    </row>
    <row r="10010" spans="1:4" ht="38.25">
      <c r="A10010" s="801">
        <v>3788</v>
      </c>
      <c r="B10010" s="802" t="s">
        <v>11027</v>
      </c>
      <c r="C10010" s="801" t="s">
        <v>656</v>
      </c>
      <c r="D10010" s="803">
        <v>105.02</v>
      </c>
    </row>
    <row r="10011" spans="1:4" ht="38.25">
      <c r="A10011" s="801">
        <v>12230</v>
      </c>
      <c r="B10011" s="802" t="s">
        <v>11028</v>
      </c>
      <c r="C10011" s="801" t="s">
        <v>656</v>
      </c>
      <c r="D10011" s="803">
        <v>27.01</v>
      </c>
    </row>
    <row r="10012" spans="1:4" ht="38.25">
      <c r="A10012" s="801">
        <v>3780</v>
      </c>
      <c r="B10012" s="802" t="s">
        <v>11029</v>
      </c>
      <c r="C10012" s="801" t="s">
        <v>656</v>
      </c>
      <c r="D10012" s="803">
        <v>154.94999999999999</v>
      </c>
    </row>
    <row r="10013" spans="1:4" ht="38.25">
      <c r="A10013" s="801">
        <v>12231</v>
      </c>
      <c r="B10013" s="802" t="s">
        <v>11030</v>
      </c>
      <c r="C10013" s="801" t="s">
        <v>656</v>
      </c>
      <c r="D10013" s="803">
        <v>44.92</v>
      </c>
    </row>
    <row r="10014" spans="1:4" ht="38.25">
      <c r="A10014" s="801">
        <v>3811</v>
      </c>
      <c r="B10014" s="802" t="s">
        <v>11031</v>
      </c>
      <c r="C10014" s="801" t="s">
        <v>656</v>
      </c>
      <c r="D10014" s="803">
        <v>145.54</v>
      </c>
    </row>
    <row r="10015" spans="1:4" ht="38.25">
      <c r="A10015" s="801">
        <v>12232</v>
      </c>
      <c r="B10015" s="802" t="s">
        <v>11032</v>
      </c>
      <c r="C10015" s="801" t="s">
        <v>656</v>
      </c>
      <c r="D10015" s="803">
        <v>47.06</v>
      </c>
    </row>
    <row r="10016" spans="1:4" ht="38.25">
      <c r="A10016" s="801">
        <v>3799</v>
      </c>
      <c r="B10016" s="802" t="s">
        <v>11033</v>
      </c>
      <c r="C10016" s="801" t="s">
        <v>656</v>
      </c>
      <c r="D10016" s="803">
        <v>205.84</v>
      </c>
    </row>
    <row r="10017" spans="1:4" ht="38.25">
      <c r="A10017" s="801">
        <v>12239</v>
      </c>
      <c r="B10017" s="802" t="s">
        <v>11034</v>
      </c>
      <c r="C10017" s="801" t="s">
        <v>656</v>
      </c>
      <c r="D10017" s="803">
        <v>61.62</v>
      </c>
    </row>
    <row r="10018" spans="1:4" ht="25.5">
      <c r="A10018" s="801">
        <v>38773</v>
      </c>
      <c r="B10018" s="802" t="s">
        <v>11035</v>
      </c>
      <c r="C10018" s="801" t="s">
        <v>656</v>
      </c>
      <c r="D10018" s="803">
        <v>9.8800000000000008</v>
      </c>
    </row>
    <row r="10019" spans="1:4" ht="25.5">
      <c r="A10019" s="801">
        <v>12271</v>
      </c>
      <c r="B10019" s="802" t="s">
        <v>11036</v>
      </c>
      <c r="C10019" s="801" t="s">
        <v>656</v>
      </c>
      <c r="D10019" s="803">
        <v>551.13</v>
      </c>
    </row>
    <row r="10020" spans="1:4" ht="25.5">
      <c r="A10020" s="801">
        <v>38785</v>
      </c>
      <c r="B10020" s="802" t="s">
        <v>11037</v>
      </c>
      <c r="C10020" s="801" t="s">
        <v>656</v>
      </c>
      <c r="D10020" s="803">
        <v>260.93</v>
      </c>
    </row>
    <row r="10021" spans="1:4" ht="25.5">
      <c r="A10021" s="801">
        <v>38786</v>
      </c>
      <c r="B10021" s="802" t="s">
        <v>11038</v>
      </c>
      <c r="C10021" s="801" t="s">
        <v>656</v>
      </c>
      <c r="D10021" s="803">
        <v>321.39999999999998</v>
      </c>
    </row>
    <row r="10022" spans="1:4" ht="25.5">
      <c r="A10022" s="801">
        <v>39385</v>
      </c>
      <c r="B10022" s="802" t="s">
        <v>11039</v>
      </c>
      <c r="C10022" s="801" t="s">
        <v>656</v>
      </c>
      <c r="D10022" s="803">
        <v>17.09</v>
      </c>
    </row>
    <row r="10023" spans="1:4" ht="25.5">
      <c r="A10023" s="801">
        <v>39389</v>
      </c>
      <c r="B10023" s="802" t="s">
        <v>11040</v>
      </c>
      <c r="C10023" s="801" t="s">
        <v>656</v>
      </c>
      <c r="D10023" s="803">
        <v>18.55</v>
      </c>
    </row>
    <row r="10024" spans="1:4" ht="25.5">
      <c r="A10024" s="801">
        <v>39390</v>
      </c>
      <c r="B10024" s="802" t="s">
        <v>11041</v>
      </c>
      <c r="C10024" s="801" t="s">
        <v>656</v>
      </c>
      <c r="D10024" s="803">
        <v>38.880000000000003</v>
      </c>
    </row>
    <row r="10025" spans="1:4" ht="25.5">
      <c r="A10025" s="801">
        <v>39391</v>
      </c>
      <c r="B10025" s="802" t="s">
        <v>11042</v>
      </c>
      <c r="C10025" s="801" t="s">
        <v>656</v>
      </c>
      <c r="D10025" s="803">
        <v>43.65</v>
      </c>
    </row>
    <row r="10026" spans="1:4" ht="38.25">
      <c r="A10026" s="801">
        <v>3803</v>
      </c>
      <c r="B10026" s="802" t="s">
        <v>11043</v>
      </c>
      <c r="C10026" s="801" t="s">
        <v>656</v>
      </c>
      <c r="D10026" s="803">
        <v>93.19</v>
      </c>
    </row>
    <row r="10027" spans="1:4" ht="38.25">
      <c r="A10027" s="801">
        <v>38770</v>
      </c>
      <c r="B10027" s="802" t="s">
        <v>11044</v>
      </c>
      <c r="C10027" s="801" t="s">
        <v>656</v>
      </c>
      <c r="D10027" s="803">
        <v>107.91</v>
      </c>
    </row>
    <row r="10028" spans="1:4">
      <c r="A10028" s="801">
        <v>12267</v>
      </c>
      <c r="B10028" s="802" t="s">
        <v>11045</v>
      </c>
      <c r="C10028" s="801" t="s">
        <v>656</v>
      </c>
      <c r="D10028" s="803">
        <v>316.22000000000003</v>
      </c>
    </row>
    <row r="10029" spans="1:4" ht="76.5">
      <c r="A10029" s="801">
        <v>43265</v>
      </c>
      <c r="B10029" s="802" t="s">
        <v>11046</v>
      </c>
      <c r="C10029" s="801" t="s">
        <v>656</v>
      </c>
      <c r="D10029" s="803">
        <v>53.46</v>
      </c>
    </row>
    <row r="10030" spans="1:4" ht="38.25">
      <c r="A10030" s="801">
        <v>12266</v>
      </c>
      <c r="B10030" s="802" t="s">
        <v>11047</v>
      </c>
      <c r="C10030" s="801" t="s">
        <v>656</v>
      </c>
      <c r="D10030" s="803">
        <v>161.85</v>
      </c>
    </row>
    <row r="10031" spans="1:4" ht="38.25">
      <c r="A10031" s="801">
        <v>39378</v>
      </c>
      <c r="B10031" s="802" t="s">
        <v>11048</v>
      </c>
      <c r="C10031" s="801" t="s">
        <v>656</v>
      </c>
      <c r="D10031" s="803">
        <v>114.75</v>
      </c>
    </row>
    <row r="10032" spans="1:4" ht="38.25">
      <c r="A10032" s="801">
        <v>43543</v>
      </c>
      <c r="B10032" s="802" t="s">
        <v>11049</v>
      </c>
      <c r="C10032" s="801" t="s">
        <v>656</v>
      </c>
      <c r="D10032" s="803">
        <v>239.06</v>
      </c>
    </row>
    <row r="10033" spans="1:4" ht="38.25">
      <c r="A10033" s="801">
        <v>38775</v>
      </c>
      <c r="B10033" s="802" t="s">
        <v>11050</v>
      </c>
      <c r="C10033" s="801" t="s">
        <v>656</v>
      </c>
      <c r="D10033" s="803">
        <v>121.65</v>
      </c>
    </row>
    <row r="10034" spans="1:4">
      <c r="A10034" s="801">
        <v>21119</v>
      </c>
      <c r="B10034" s="802" t="s">
        <v>11051</v>
      </c>
      <c r="C10034" s="801" t="s">
        <v>656</v>
      </c>
      <c r="D10034" s="803">
        <v>2.37</v>
      </c>
    </row>
    <row r="10035" spans="1:4">
      <c r="A10035" s="801">
        <v>37974</v>
      </c>
      <c r="B10035" s="802" t="s">
        <v>11052</v>
      </c>
      <c r="C10035" s="801" t="s">
        <v>656</v>
      </c>
      <c r="D10035" s="803">
        <v>3.52</v>
      </c>
    </row>
    <row r="10036" spans="1:4">
      <c r="A10036" s="801">
        <v>37975</v>
      </c>
      <c r="B10036" s="802" t="s">
        <v>11053</v>
      </c>
      <c r="C10036" s="801" t="s">
        <v>656</v>
      </c>
      <c r="D10036" s="803">
        <v>7.15</v>
      </c>
    </row>
    <row r="10037" spans="1:4">
      <c r="A10037" s="801">
        <v>37976</v>
      </c>
      <c r="B10037" s="802" t="s">
        <v>11054</v>
      </c>
      <c r="C10037" s="801" t="s">
        <v>656</v>
      </c>
      <c r="D10037" s="803">
        <v>14.66</v>
      </c>
    </row>
    <row r="10038" spans="1:4">
      <c r="A10038" s="801">
        <v>37977</v>
      </c>
      <c r="B10038" s="802" t="s">
        <v>11055</v>
      </c>
      <c r="C10038" s="801" t="s">
        <v>656</v>
      </c>
      <c r="D10038" s="803">
        <v>20.16</v>
      </c>
    </row>
    <row r="10039" spans="1:4">
      <c r="A10039" s="801">
        <v>37978</v>
      </c>
      <c r="B10039" s="802" t="s">
        <v>11056</v>
      </c>
      <c r="C10039" s="801" t="s">
        <v>656</v>
      </c>
      <c r="D10039" s="803">
        <v>40.869999999999997</v>
      </c>
    </row>
    <row r="10040" spans="1:4">
      <c r="A10040" s="801">
        <v>37979</v>
      </c>
      <c r="B10040" s="802" t="s">
        <v>11057</v>
      </c>
      <c r="C10040" s="801" t="s">
        <v>656</v>
      </c>
      <c r="D10040" s="803">
        <v>175.56</v>
      </c>
    </row>
    <row r="10041" spans="1:4">
      <c r="A10041" s="801">
        <v>37980</v>
      </c>
      <c r="B10041" s="802" t="s">
        <v>11058</v>
      </c>
      <c r="C10041" s="801" t="s">
        <v>656</v>
      </c>
      <c r="D10041" s="803">
        <v>197.3</v>
      </c>
    </row>
    <row r="10042" spans="1:4" ht="25.5">
      <c r="A10042" s="801">
        <v>36147</v>
      </c>
      <c r="B10042" s="802" t="s">
        <v>11059</v>
      </c>
      <c r="C10042" s="801" t="s">
        <v>665</v>
      </c>
      <c r="D10042" s="803">
        <v>517.53</v>
      </c>
    </row>
    <row r="10043" spans="1:4" ht="25.5">
      <c r="A10043" s="801">
        <v>12731</v>
      </c>
      <c r="B10043" s="802" t="s">
        <v>11060</v>
      </c>
      <c r="C10043" s="801" t="s">
        <v>656</v>
      </c>
      <c r="D10043" s="803">
        <v>425.7</v>
      </c>
    </row>
    <row r="10044" spans="1:4" ht="25.5">
      <c r="A10044" s="801">
        <v>12723</v>
      </c>
      <c r="B10044" s="802" t="s">
        <v>11061</v>
      </c>
      <c r="C10044" s="801" t="s">
        <v>656</v>
      </c>
      <c r="D10044" s="803">
        <v>3.3</v>
      </c>
    </row>
    <row r="10045" spans="1:4" ht="25.5">
      <c r="A10045" s="801">
        <v>12724</v>
      </c>
      <c r="B10045" s="802" t="s">
        <v>11062</v>
      </c>
      <c r="C10045" s="801" t="s">
        <v>656</v>
      </c>
      <c r="D10045" s="803">
        <v>6.34</v>
      </c>
    </row>
    <row r="10046" spans="1:4" ht="25.5">
      <c r="A10046" s="801">
        <v>12725</v>
      </c>
      <c r="B10046" s="802" t="s">
        <v>11063</v>
      </c>
      <c r="C10046" s="801" t="s">
        <v>656</v>
      </c>
      <c r="D10046" s="803">
        <v>12.72</v>
      </c>
    </row>
    <row r="10047" spans="1:4" ht="25.5">
      <c r="A10047" s="801">
        <v>12726</v>
      </c>
      <c r="B10047" s="802" t="s">
        <v>11064</v>
      </c>
      <c r="C10047" s="801" t="s">
        <v>656</v>
      </c>
      <c r="D10047" s="803">
        <v>28.08</v>
      </c>
    </row>
    <row r="10048" spans="1:4" ht="25.5">
      <c r="A10048" s="801">
        <v>12727</v>
      </c>
      <c r="B10048" s="802" t="s">
        <v>11065</v>
      </c>
      <c r="C10048" s="801" t="s">
        <v>656</v>
      </c>
      <c r="D10048" s="803">
        <v>35.619999999999997</v>
      </c>
    </row>
    <row r="10049" spans="1:4" ht="25.5">
      <c r="A10049" s="801">
        <v>12728</v>
      </c>
      <c r="B10049" s="802" t="s">
        <v>11066</v>
      </c>
      <c r="C10049" s="801" t="s">
        <v>656</v>
      </c>
      <c r="D10049" s="803">
        <v>58.18</v>
      </c>
    </row>
    <row r="10050" spans="1:4" ht="25.5">
      <c r="A10050" s="801">
        <v>12729</v>
      </c>
      <c r="B10050" s="802" t="s">
        <v>11067</v>
      </c>
      <c r="C10050" s="801" t="s">
        <v>656</v>
      </c>
      <c r="D10050" s="803">
        <v>190.68</v>
      </c>
    </row>
    <row r="10051" spans="1:4" ht="25.5">
      <c r="A10051" s="801">
        <v>12730</v>
      </c>
      <c r="B10051" s="802" t="s">
        <v>11068</v>
      </c>
      <c r="C10051" s="801" t="s">
        <v>656</v>
      </c>
      <c r="D10051" s="803">
        <v>291.94</v>
      </c>
    </row>
    <row r="10052" spans="1:4">
      <c r="A10052" s="801">
        <v>3840</v>
      </c>
      <c r="B10052" s="802" t="s">
        <v>11069</v>
      </c>
      <c r="C10052" s="801" t="s">
        <v>656</v>
      </c>
      <c r="D10052" s="803">
        <v>66.069999999999993</v>
      </c>
    </row>
    <row r="10053" spans="1:4">
      <c r="A10053" s="801">
        <v>3838</v>
      </c>
      <c r="B10053" s="802" t="s">
        <v>11070</v>
      </c>
      <c r="C10053" s="801" t="s">
        <v>656</v>
      </c>
      <c r="D10053" s="803">
        <v>145.81</v>
      </c>
    </row>
    <row r="10054" spans="1:4">
      <c r="A10054" s="801">
        <v>3844</v>
      </c>
      <c r="B10054" s="802" t="s">
        <v>11071</v>
      </c>
      <c r="C10054" s="801" t="s">
        <v>656</v>
      </c>
      <c r="D10054" s="803">
        <v>260.08999999999997</v>
      </c>
    </row>
    <row r="10055" spans="1:4">
      <c r="A10055" s="801">
        <v>3839</v>
      </c>
      <c r="B10055" s="802" t="s">
        <v>11072</v>
      </c>
      <c r="C10055" s="801" t="s">
        <v>656</v>
      </c>
      <c r="D10055" s="803">
        <v>473.75</v>
      </c>
    </row>
    <row r="10056" spans="1:4">
      <c r="A10056" s="801">
        <v>3843</v>
      </c>
      <c r="B10056" s="802" t="s">
        <v>11073</v>
      </c>
      <c r="C10056" s="801" t="s">
        <v>656</v>
      </c>
      <c r="D10056" s="803">
        <v>650.23</v>
      </c>
    </row>
    <row r="10057" spans="1:4" ht="25.5">
      <c r="A10057" s="801">
        <v>3900</v>
      </c>
      <c r="B10057" s="802" t="s">
        <v>11074</v>
      </c>
      <c r="C10057" s="801" t="s">
        <v>656</v>
      </c>
      <c r="D10057" s="803">
        <v>45.05</v>
      </c>
    </row>
    <row r="10058" spans="1:4" ht="25.5">
      <c r="A10058" s="801">
        <v>3846</v>
      </c>
      <c r="B10058" s="802" t="s">
        <v>11075</v>
      </c>
      <c r="C10058" s="801" t="s">
        <v>656</v>
      </c>
      <c r="D10058" s="803">
        <v>14.2</v>
      </c>
    </row>
    <row r="10059" spans="1:4" ht="25.5">
      <c r="A10059" s="801">
        <v>3886</v>
      </c>
      <c r="B10059" s="802" t="s">
        <v>11076</v>
      </c>
      <c r="C10059" s="801" t="s">
        <v>656</v>
      </c>
      <c r="D10059" s="803">
        <v>14.95</v>
      </c>
    </row>
    <row r="10060" spans="1:4" ht="25.5">
      <c r="A10060" s="801">
        <v>3854</v>
      </c>
      <c r="B10060" s="802" t="s">
        <v>11077</v>
      </c>
      <c r="C10060" s="801" t="s">
        <v>656</v>
      </c>
      <c r="D10060" s="803">
        <v>8.31</v>
      </c>
    </row>
    <row r="10061" spans="1:4" ht="25.5">
      <c r="A10061" s="801">
        <v>3873</v>
      </c>
      <c r="B10061" s="802" t="s">
        <v>11078</v>
      </c>
      <c r="C10061" s="801" t="s">
        <v>656</v>
      </c>
      <c r="D10061" s="803">
        <v>11</v>
      </c>
    </row>
    <row r="10062" spans="1:4" ht="25.5">
      <c r="A10062" s="801">
        <v>38021</v>
      </c>
      <c r="B10062" s="802" t="s">
        <v>11079</v>
      </c>
      <c r="C10062" s="801" t="s">
        <v>656</v>
      </c>
      <c r="D10062" s="803">
        <v>26.31</v>
      </c>
    </row>
    <row r="10063" spans="1:4" ht="25.5">
      <c r="A10063" s="801">
        <v>3847</v>
      </c>
      <c r="B10063" s="802" t="s">
        <v>11080</v>
      </c>
      <c r="C10063" s="801" t="s">
        <v>656</v>
      </c>
      <c r="D10063" s="803">
        <v>29.86</v>
      </c>
    </row>
    <row r="10064" spans="1:4" ht="25.5">
      <c r="A10064" s="801">
        <v>38022</v>
      </c>
      <c r="B10064" s="802" t="s">
        <v>11081</v>
      </c>
      <c r="C10064" s="801" t="s">
        <v>656</v>
      </c>
      <c r="D10064" s="803">
        <v>46.64</v>
      </c>
    </row>
    <row r="10065" spans="1:4" ht="25.5">
      <c r="A10065" s="801">
        <v>3833</v>
      </c>
      <c r="B10065" s="802" t="s">
        <v>11082</v>
      </c>
      <c r="C10065" s="801" t="s">
        <v>656</v>
      </c>
      <c r="D10065" s="803">
        <v>27.47</v>
      </c>
    </row>
    <row r="10066" spans="1:4" ht="25.5">
      <c r="A10066" s="801">
        <v>3835</v>
      </c>
      <c r="B10066" s="802" t="s">
        <v>11083</v>
      </c>
      <c r="C10066" s="801" t="s">
        <v>656</v>
      </c>
      <c r="D10066" s="803">
        <v>89.44</v>
      </c>
    </row>
    <row r="10067" spans="1:4" ht="25.5">
      <c r="A10067" s="801">
        <v>3836</v>
      </c>
      <c r="B10067" s="802" t="s">
        <v>11084</v>
      </c>
      <c r="C10067" s="801" t="s">
        <v>656</v>
      </c>
      <c r="D10067" s="803">
        <v>192.5</v>
      </c>
    </row>
    <row r="10068" spans="1:4" ht="25.5">
      <c r="A10068" s="801">
        <v>3830</v>
      </c>
      <c r="B10068" s="802" t="s">
        <v>11085</v>
      </c>
      <c r="C10068" s="801" t="s">
        <v>656</v>
      </c>
      <c r="D10068" s="803">
        <v>314.74</v>
      </c>
    </row>
    <row r="10069" spans="1:4" ht="25.5">
      <c r="A10069" s="801">
        <v>3831</v>
      </c>
      <c r="B10069" s="802" t="s">
        <v>11086</v>
      </c>
      <c r="C10069" s="801" t="s">
        <v>656</v>
      </c>
      <c r="D10069" s="803">
        <v>526.14</v>
      </c>
    </row>
    <row r="10070" spans="1:4" ht="25.5">
      <c r="A10070" s="801">
        <v>37981</v>
      </c>
      <c r="B10070" s="802" t="s">
        <v>11087</v>
      </c>
      <c r="C10070" s="801" t="s">
        <v>656</v>
      </c>
      <c r="D10070" s="803">
        <v>8.0500000000000007</v>
      </c>
    </row>
    <row r="10071" spans="1:4" ht="25.5">
      <c r="A10071" s="801">
        <v>37982</v>
      </c>
      <c r="B10071" s="802" t="s">
        <v>11088</v>
      </c>
      <c r="C10071" s="801" t="s">
        <v>656</v>
      </c>
      <c r="D10071" s="803">
        <v>12.22</v>
      </c>
    </row>
    <row r="10072" spans="1:4" ht="25.5">
      <c r="A10072" s="801">
        <v>37983</v>
      </c>
      <c r="B10072" s="802" t="s">
        <v>11089</v>
      </c>
      <c r="C10072" s="801" t="s">
        <v>656</v>
      </c>
      <c r="D10072" s="803">
        <v>17.11</v>
      </c>
    </row>
    <row r="10073" spans="1:4" ht="25.5">
      <c r="A10073" s="801">
        <v>37984</v>
      </c>
      <c r="B10073" s="802" t="s">
        <v>11090</v>
      </c>
      <c r="C10073" s="801" t="s">
        <v>656</v>
      </c>
      <c r="D10073" s="803">
        <v>29.54</v>
      </c>
    </row>
    <row r="10074" spans="1:4" ht="25.5">
      <c r="A10074" s="801">
        <v>37985</v>
      </c>
      <c r="B10074" s="802" t="s">
        <v>11091</v>
      </c>
      <c r="C10074" s="801" t="s">
        <v>656</v>
      </c>
      <c r="D10074" s="803">
        <v>41.37</v>
      </c>
    </row>
    <row r="10075" spans="1:4" ht="25.5">
      <c r="A10075" s="801">
        <v>3826</v>
      </c>
      <c r="B10075" s="802" t="s">
        <v>11092</v>
      </c>
      <c r="C10075" s="801" t="s">
        <v>656</v>
      </c>
      <c r="D10075" s="803">
        <v>65.56</v>
      </c>
    </row>
    <row r="10076" spans="1:4" ht="25.5">
      <c r="A10076" s="801">
        <v>3825</v>
      </c>
      <c r="B10076" s="802" t="s">
        <v>11093</v>
      </c>
      <c r="C10076" s="801" t="s">
        <v>656</v>
      </c>
      <c r="D10076" s="803">
        <v>18.850000000000001</v>
      </c>
    </row>
    <row r="10077" spans="1:4" ht="25.5">
      <c r="A10077" s="801">
        <v>3827</v>
      </c>
      <c r="B10077" s="802" t="s">
        <v>11094</v>
      </c>
      <c r="C10077" s="801" t="s">
        <v>656</v>
      </c>
      <c r="D10077" s="803">
        <v>41.19</v>
      </c>
    </row>
    <row r="10078" spans="1:4" ht="25.5">
      <c r="A10078" s="801">
        <v>20165</v>
      </c>
      <c r="B10078" s="802" t="s">
        <v>11095</v>
      </c>
      <c r="C10078" s="801" t="s">
        <v>656</v>
      </c>
      <c r="D10078" s="803">
        <v>32.04</v>
      </c>
    </row>
    <row r="10079" spans="1:4" ht="25.5">
      <c r="A10079" s="801">
        <v>20166</v>
      </c>
      <c r="B10079" s="802" t="s">
        <v>11096</v>
      </c>
      <c r="C10079" s="801" t="s">
        <v>656</v>
      </c>
      <c r="D10079" s="803">
        <v>103.54</v>
      </c>
    </row>
    <row r="10080" spans="1:4" ht="25.5">
      <c r="A10080" s="801">
        <v>20164</v>
      </c>
      <c r="B10080" s="802" t="s">
        <v>11097</v>
      </c>
      <c r="C10080" s="801" t="s">
        <v>656</v>
      </c>
      <c r="D10080" s="803">
        <v>16.920000000000002</v>
      </c>
    </row>
    <row r="10081" spans="1:4">
      <c r="A10081" s="801">
        <v>3893</v>
      </c>
      <c r="B10081" s="802" t="s">
        <v>11098</v>
      </c>
      <c r="C10081" s="801" t="s">
        <v>656</v>
      </c>
      <c r="D10081" s="803">
        <v>21</v>
      </c>
    </row>
    <row r="10082" spans="1:4">
      <c r="A10082" s="801">
        <v>3848</v>
      </c>
      <c r="B10082" s="802" t="s">
        <v>11099</v>
      </c>
      <c r="C10082" s="801" t="s">
        <v>656</v>
      </c>
      <c r="D10082" s="803">
        <v>12.76</v>
      </c>
    </row>
    <row r="10083" spans="1:4">
      <c r="A10083" s="801">
        <v>3895</v>
      </c>
      <c r="B10083" s="802" t="s">
        <v>11100</v>
      </c>
      <c r="C10083" s="801" t="s">
        <v>656</v>
      </c>
      <c r="D10083" s="803">
        <v>13.88</v>
      </c>
    </row>
    <row r="10084" spans="1:4" ht="25.5">
      <c r="A10084" s="801">
        <v>12404</v>
      </c>
      <c r="B10084" s="802" t="s">
        <v>11101</v>
      </c>
      <c r="C10084" s="801" t="s">
        <v>656</v>
      </c>
      <c r="D10084" s="803">
        <v>8.7799999999999994</v>
      </c>
    </row>
    <row r="10085" spans="1:4">
      <c r="A10085" s="801">
        <v>3939</v>
      </c>
      <c r="B10085" s="802" t="s">
        <v>11102</v>
      </c>
      <c r="C10085" s="801" t="s">
        <v>656</v>
      </c>
      <c r="D10085" s="803">
        <v>18.079999999999998</v>
      </c>
    </row>
    <row r="10086" spans="1:4">
      <c r="A10086" s="801">
        <v>3911</v>
      </c>
      <c r="B10086" s="802" t="s">
        <v>11103</v>
      </c>
      <c r="C10086" s="801" t="s">
        <v>656</v>
      </c>
      <c r="D10086" s="803">
        <v>14.77</v>
      </c>
    </row>
    <row r="10087" spans="1:4">
      <c r="A10087" s="801">
        <v>3908</v>
      </c>
      <c r="B10087" s="802" t="s">
        <v>11104</v>
      </c>
      <c r="C10087" s="801" t="s">
        <v>656</v>
      </c>
      <c r="D10087" s="803">
        <v>4.78</v>
      </c>
    </row>
    <row r="10088" spans="1:4">
      <c r="A10088" s="801">
        <v>3910</v>
      </c>
      <c r="B10088" s="802" t="s">
        <v>11105</v>
      </c>
      <c r="C10088" s="801" t="s">
        <v>656</v>
      </c>
      <c r="D10088" s="803">
        <v>10.57</v>
      </c>
    </row>
    <row r="10089" spans="1:4">
      <c r="A10089" s="801">
        <v>3913</v>
      </c>
      <c r="B10089" s="802" t="s">
        <v>11106</v>
      </c>
      <c r="C10089" s="801" t="s">
        <v>656</v>
      </c>
      <c r="D10089" s="803">
        <v>50.53</v>
      </c>
    </row>
    <row r="10090" spans="1:4">
      <c r="A10090" s="801">
        <v>3912</v>
      </c>
      <c r="B10090" s="802" t="s">
        <v>11107</v>
      </c>
      <c r="C10090" s="801" t="s">
        <v>656</v>
      </c>
      <c r="D10090" s="803">
        <v>27.7</v>
      </c>
    </row>
    <row r="10091" spans="1:4">
      <c r="A10091" s="801">
        <v>3909</v>
      </c>
      <c r="B10091" s="802" t="s">
        <v>11108</v>
      </c>
      <c r="C10091" s="801" t="s">
        <v>656</v>
      </c>
      <c r="D10091" s="803">
        <v>6.5</v>
      </c>
    </row>
    <row r="10092" spans="1:4">
      <c r="A10092" s="801">
        <v>3914</v>
      </c>
      <c r="B10092" s="802" t="s">
        <v>11109</v>
      </c>
      <c r="C10092" s="801" t="s">
        <v>656</v>
      </c>
      <c r="D10092" s="803">
        <v>76.22</v>
      </c>
    </row>
    <row r="10093" spans="1:4">
      <c r="A10093" s="801">
        <v>3915</v>
      </c>
      <c r="B10093" s="802" t="s">
        <v>11110</v>
      </c>
      <c r="C10093" s="801" t="s">
        <v>656</v>
      </c>
      <c r="D10093" s="803">
        <v>120.2</v>
      </c>
    </row>
    <row r="10094" spans="1:4">
      <c r="A10094" s="801">
        <v>3916</v>
      </c>
      <c r="B10094" s="802" t="s">
        <v>11111</v>
      </c>
      <c r="C10094" s="801" t="s">
        <v>656</v>
      </c>
      <c r="D10094" s="803">
        <v>218.98</v>
      </c>
    </row>
    <row r="10095" spans="1:4">
      <c r="A10095" s="801">
        <v>3917</v>
      </c>
      <c r="B10095" s="802" t="s">
        <v>11112</v>
      </c>
      <c r="C10095" s="801" t="s">
        <v>656</v>
      </c>
      <c r="D10095" s="803">
        <v>361.18</v>
      </c>
    </row>
    <row r="10096" spans="1:4" ht="25.5">
      <c r="A10096" s="801">
        <v>1904</v>
      </c>
      <c r="B10096" s="802" t="s">
        <v>11113</v>
      </c>
      <c r="C10096" s="801" t="s">
        <v>656</v>
      </c>
      <c r="D10096" s="803">
        <v>0.88</v>
      </c>
    </row>
    <row r="10097" spans="1:4" ht="25.5">
      <c r="A10097" s="801">
        <v>1899</v>
      </c>
      <c r="B10097" s="802" t="s">
        <v>11114</v>
      </c>
      <c r="C10097" s="801" t="s">
        <v>656</v>
      </c>
      <c r="D10097" s="803">
        <v>1</v>
      </c>
    </row>
    <row r="10098" spans="1:4" ht="25.5">
      <c r="A10098" s="801">
        <v>1900</v>
      </c>
      <c r="B10098" s="802" t="s">
        <v>11115</v>
      </c>
      <c r="C10098" s="801" t="s">
        <v>656</v>
      </c>
      <c r="D10098" s="803">
        <v>1.62</v>
      </c>
    </row>
    <row r="10099" spans="1:4" ht="25.5">
      <c r="A10099" s="801">
        <v>12407</v>
      </c>
      <c r="B10099" s="802" t="s">
        <v>11116</v>
      </c>
      <c r="C10099" s="801" t="s">
        <v>656</v>
      </c>
      <c r="D10099" s="803">
        <v>27.34</v>
      </c>
    </row>
    <row r="10100" spans="1:4" ht="25.5">
      <c r="A10100" s="801">
        <v>12408</v>
      </c>
      <c r="B10100" s="802" t="s">
        <v>11117</v>
      </c>
      <c r="C10100" s="801" t="s">
        <v>656</v>
      </c>
      <c r="D10100" s="803">
        <v>15.43</v>
      </c>
    </row>
    <row r="10101" spans="1:4" ht="25.5">
      <c r="A10101" s="801">
        <v>12409</v>
      </c>
      <c r="B10101" s="802" t="s">
        <v>11118</v>
      </c>
      <c r="C10101" s="801" t="s">
        <v>656</v>
      </c>
      <c r="D10101" s="803">
        <v>15.43</v>
      </c>
    </row>
    <row r="10102" spans="1:4" ht="25.5">
      <c r="A10102" s="801">
        <v>12410</v>
      </c>
      <c r="B10102" s="802" t="s">
        <v>11119</v>
      </c>
      <c r="C10102" s="801" t="s">
        <v>656</v>
      </c>
      <c r="D10102" s="803">
        <v>10.63</v>
      </c>
    </row>
    <row r="10103" spans="1:4" ht="25.5">
      <c r="A10103" s="801">
        <v>3936</v>
      </c>
      <c r="B10103" s="802" t="s">
        <v>11120</v>
      </c>
      <c r="C10103" s="801" t="s">
        <v>656</v>
      </c>
      <c r="D10103" s="803">
        <v>19.21</v>
      </c>
    </row>
    <row r="10104" spans="1:4" ht="25.5">
      <c r="A10104" s="801">
        <v>3922</v>
      </c>
      <c r="B10104" s="802" t="s">
        <v>11121</v>
      </c>
      <c r="C10104" s="801" t="s">
        <v>656</v>
      </c>
      <c r="D10104" s="803">
        <v>17.670000000000002</v>
      </c>
    </row>
    <row r="10105" spans="1:4" ht="25.5">
      <c r="A10105" s="801">
        <v>3924</v>
      </c>
      <c r="B10105" s="802" t="s">
        <v>11122</v>
      </c>
      <c r="C10105" s="801" t="s">
        <v>656</v>
      </c>
      <c r="D10105" s="803">
        <v>19.21</v>
      </c>
    </row>
    <row r="10106" spans="1:4" ht="25.5">
      <c r="A10106" s="801">
        <v>3923</v>
      </c>
      <c r="B10106" s="802" t="s">
        <v>11123</v>
      </c>
      <c r="C10106" s="801" t="s">
        <v>656</v>
      </c>
      <c r="D10106" s="803">
        <v>19.21</v>
      </c>
    </row>
    <row r="10107" spans="1:4" ht="25.5">
      <c r="A10107" s="801">
        <v>3937</v>
      </c>
      <c r="B10107" s="802" t="s">
        <v>11124</v>
      </c>
      <c r="C10107" s="801" t="s">
        <v>656</v>
      </c>
      <c r="D10107" s="803">
        <v>15.85</v>
      </c>
    </row>
    <row r="10108" spans="1:4" ht="25.5">
      <c r="A10108" s="801">
        <v>3921</v>
      </c>
      <c r="B10108" s="802" t="s">
        <v>11125</v>
      </c>
      <c r="C10108" s="801" t="s">
        <v>656</v>
      </c>
      <c r="D10108" s="803">
        <v>15.86</v>
      </c>
    </row>
    <row r="10109" spans="1:4" ht="25.5">
      <c r="A10109" s="801">
        <v>3920</v>
      </c>
      <c r="B10109" s="802" t="s">
        <v>11126</v>
      </c>
      <c r="C10109" s="801" t="s">
        <v>656</v>
      </c>
      <c r="D10109" s="803">
        <v>15.85</v>
      </c>
    </row>
    <row r="10110" spans="1:4" ht="25.5">
      <c r="A10110" s="801">
        <v>3938</v>
      </c>
      <c r="B10110" s="802" t="s">
        <v>11127</v>
      </c>
      <c r="C10110" s="801" t="s">
        <v>656</v>
      </c>
      <c r="D10110" s="803">
        <v>10.45</v>
      </c>
    </row>
    <row r="10111" spans="1:4" ht="25.5">
      <c r="A10111" s="801">
        <v>3919</v>
      </c>
      <c r="B10111" s="802" t="s">
        <v>11128</v>
      </c>
      <c r="C10111" s="801" t="s">
        <v>656</v>
      </c>
      <c r="D10111" s="803">
        <v>10.65</v>
      </c>
    </row>
    <row r="10112" spans="1:4" ht="25.5">
      <c r="A10112" s="801">
        <v>3927</v>
      </c>
      <c r="B10112" s="802" t="s">
        <v>11129</v>
      </c>
      <c r="C10112" s="801" t="s">
        <v>656</v>
      </c>
      <c r="D10112" s="803">
        <v>53.95</v>
      </c>
    </row>
    <row r="10113" spans="1:4" ht="25.5">
      <c r="A10113" s="801">
        <v>3928</v>
      </c>
      <c r="B10113" s="802" t="s">
        <v>11130</v>
      </c>
      <c r="C10113" s="801" t="s">
        <v>656</v>
      </c>
      <c r="D10113" s="803">
        <v>53.95</v>
      </c>
    </row>
    <row r="10114" spans="1:4" ht="25.5">
      <c r="A10114" s="801">
        <v>3926</v>
      </c>
      <c r="B10114" s="802" t="s">
        <v>11131</v>
      </c>
      <c r="C10114" s="801" t="s">
        <v>656</v>
      </c>
      <c r="D10114" s="803">
        <v>30.75</v>
      </c>
    </row>
    <row r="10115" spans="1:4" ht="25.5">
      <c r="A10115" s="801">
        <v>3935</v>
      </c>
      <c r="B10115" s="802" t="s">
        <v>11132</v>
      </c>
      <c r="C10115" s="801" t="s">
        <v>656</v>
      </c>
      <c r="D10115" s="803">
        <v>30.75</v>
      </c>
    </row>
    <row r="10116" spans="1:4" ht="25.5">
      <c r="A10116" s="801">
        <v>3925</v>
      </c>
      <c r="B10116" s="802" t="s">
        <v>11133</v>
      </c>
      <c r="C10116" s="801" t="s">
        <v>656</v>
      </c>
      <c r="D10116" s="803">
        <v>30.75</v>
      </c>
    </row>
    <row r="10117" spans="1:4" ht="25.5">
      <c r="A10117" s="801">
        <v>12406</v>
      </c>
      <c r="B10117" s="802" t="s">
        <v>4709</v>
      </c>
      <c r="C10117" s="801" t="s">
        <v>656</v>
      </c>
      <c r="D10117" s="803">
        <v>7.55</v>
      </c>
    </row>
    <row r="10118" spans="1:4" ht="25.5">
      <c r="A10118" s="801">
        <v>3929</v>
      </c>
      <c r="B10118" s="802" t="s">
        <v>11134</v>
      </c>
      <c r="C10118" s="801" t="s">
        <v>656</v>
      </c>
      <c r="D10118" s="803">
        <v>82.2</v>
      </c>
    </row>
    <row r="10119" spans="1:4" ht="25.5">
      <c r="A10119" s="801">
        <v>3931</v>
      </c>
      <c r="B10119" s="802" t="s">
        <v>11135</v>
      </c>
      <c r="C10119" s="801" t="s">
        <v>656</v>
      </c>
      <c r="D10119" s="803">
        <v>82.2</v>
      </c>
    </row>
    <row r="10120" spans="1:4" ht="25.5">
      <c r="A10120" s="801">
        <v>3930</v>
      </c>
      <c r="B10120" s="802" t="s">
        <v>11136</v>
      </c>
      <c r="C10120" s="801" t="s">
        <v>656</v>
      </c>
      <c r="D10120" s="803">
        <v>82.2</v>
      </c>
    </row>
    <row r="10121" spans="1:4" ht="25.5">
      <c r="A10121" s="801">
        <v>3932</v>
      </c>
      <c r="B10121" s="802" t="s">
        <v>11137</v>
      </c>
      <c r="C10121" s="801" t="s">
        <v>656</v>
      </c>
      <c r="D10121" s="803">
        <v>141.93</v>
      </c>
    </row>
    <row r="10122" spans="1:4" ht="25.5">
      <c r="A10122" s="801">
        <v>3933</v>
      </c>
      <c r="B10122" s="802" t="s">
        <v>11138</v>
      </c>
      <c r="C10122" s="801" t="s">
        <v>656</v>
      </c>
      <c r="D10122" s="803">
        <v>141.93</v>
      </c>
    </row>
    <row r="10123" spans="1:4" ht="25.5">
      <c r="A10123" s="801">
        <v>3934</v>
      </c>
      <c r="B10123" s="802" t="s">
        <v>11139</v>
      </c>
      <c r="C10123" s="801" t="s">
        <v>656</v>
      </c>
      <c r="D10123" s="803">
        <v>141.93</v>
      </c>
    </row>
    <row r="10124" spans="1:4" ht="25.5">
      <c r="A10124" s="801">
        <v>40355</v>
      </c>
      <c r="B10124" s="802" t="s">
        <v>11140</v>
      </c>
      <c r="C10124" s="801" t="s">
        <v>656</v>
      </c>
      <c r="D10124" s="803">
        <v>12.83</v>
      </c>
    </row>
    <row r="10125" spans="1:4" ht="25.5">
      <c r="A10125" s="801">
        <v>40364</v>
      </c>
      <c r="B10125" s="802" t="s">
        <v>11141</v>
      </c>
      <c r="C10125" s="801" t="s">
        <v>656</v>
      </c>
      <c r="D10125" s="803">
        <v>60.12</v>
      </c>
    </row>
    <row r="10126" spans="1:4" ht="25.5">
      <c r="A10126" s="801">
        <v>40361</v>
      </c>
      <c r="B10126" s="802" t="s">
        <v>11142</v>
      </c>
      <c r="C10126" s="801" t="s">
        <v>656</v>
      </c>
      <c r="D10126" s="803">
        <v>47.01</v>
      </c>
    </row>
    <row r="10127" spans="1:4" ht="25.5">
      <c r="A10127" s="801">
        <v>40358</v>
      </c>
      <c r="B10127" s="802" t="s">
        <v>11143</v>
      </c>
      <c r="C10127" s="801" t="s">
        <v>656</v>
      </c>
      <c r="D10127" s="803">
        <v>17.920000000000002</v>
      </c>
    </row>
    <row r="10128" spans="1:4" ht="25.5">
      <c r="A10128" s="801">
        <v>40370</v>
      </c>
      <c r="B10128" s="802" t="s">
        <v>11144</v>
      </c>
      <c r="C10128" s="801" t="s">
        <v>656</v>
      </c>
      <c r="D10128" s="803">
        <v>190.78</v>
      </c>
    </row>
    <row r="10129" spans="1:4" ht="25.5">
      <c r="A10129" s="801">
        <v>40367</v>
      </c>
      <c r="B10129" s="802" t="s">
        <v>11145</v>
      </c>
      <c r="C10129" s="801" t="s">
        <v>656</v>
      </c>
      <c r="D10129" s="803">
        <v>94.82</v>
      </c>
    </row>
    <row r="10130" spans="1:4" ht="25.5">
      <c r="A10130" s="801">
        <v>40373</v>
      </c>
      <c r="B10130" s="802" t="s">
        <v>11146</v>
      </c>
      <c r="C10130" s="801" t="s">
        <v>656</v>
      </c>
      <c r="D10130" s="803">
        <v>257.98</v>
      </c>
    </row>
    <row r="10131" spans="1:4" ht="25.5">
      <c r="A10131" s="801">
        <v>38947</v>
      </c>
      <c r="B10131" s="802" t="s">
        <v>11147</v>
      </c>
      <c r="C10131" s="801" t="s">
        <v>656</v>
      </c>
      <c r="D10131" s="803">
        <v>8.92</v>
      </c>
    </row>
    <row r="10132" spans="1:4" ht="25.5">
      <c r="A10132" s="801">
        <v>38948</v>
      </c>
      <c r="B10132" s="802" t="s">
        <v>11148</v>
      </c>
      <c r="C10132" s="801" t="s">
        <v>656</v>
      </c>
      <c r="D10132" s="803">
        <v>14.23</v>
      </c>
    </row>
    <row r="10133" spans="1:4" ht="25.5">
      <c r="A10133" s="801">
        <v>38949</v>
      </c>
      <c r="B10133" s="802" t="s">
        <v>11149</v>
      </c>
      <c r="C10133" s="801" t="s">
        <v>656</v>
      </c>
      <c r="D10133" s="803">
        <v>15.79</v>
      </c>
    </row>
    <row r="10134" spans="1:4" ht="25.5">
      <c r="A10134" s="801">
        <v>38951</v>
      </c>
      <c r="B10134" s="802" t="s">
        <v>11150</v>
      </c>
      <c r="C10134" s="801" t="s">
        <v>656</v>
      </c>
      <c r="D10134" s="803">
        <v>24.97</v>
      </c>
    </row>
    <row r="10135" spans="1:4" ht="25.5">
      <c r="A10135" s="801">
        <v>39312</v>
      </c>
      <c r="B10135" s="802" t="s">
        <v>11151</v>
      </c>
      <c r="C10135" s="801" t="s">
        <v>656</v>
      </c>
      <c r="D10135" s="803">
        <v>19.37</v>
      </c>
    </row>
    <row r="10136" spans="1:4" ht="25.5">
      <c r="A10136" s="801">
        <v>39313</v>
      </c>
      <c r="B10136" s="802" t="s">
        <v>11152</v>
      </c>
      <c r="C10136" s="801" t="s">
        <v>656</v>
      </c>
      <c r="D10136" s="803">
        <v>25.28</v>
      </c>
    </row>
    <row r="10137" spans="1:4" ht="25.5">
      <c r="A10137" s="801">
        <v>38950</v>
      </c>
      <c r="B10137" s="802" t="s">
        <v>11153</v>
      </c>
      <c r="C10137" s="801" t="s">
        <v>656</v>
      </c>
      <c r="D10137" s="803">
        <v>38.049999999999997</v>
      </c>
    </row>
    <row r="10138" spans="1:4" ht="25.5">
      <c r="A10138" s="801">
        <v>39314</v>
      </c>
      <c r="B10138" s="802" t="s">
        <v>11154</v>
      </c>
      <c r="C10138" s="801" t="s">
        <v>656</v>
      </c>
      <c r="D10138" s="803">
        <v>40.14</v>
      </c>
    </row>
    <row r="10139" spans="1:4" ht="25.5">
      <c r="A10139" s="801">
        <v>3907</v>
      </c>
      <c r="B10139" s="802" t="s">
        <v>11155</v>
      </c>
      <c r="C10139" s="801" t="s">
        <v>656</v>
      </c>
      <c r="D10139" s="803">
        <v>4.66</v>
      </c>
    </row>
    <row r="10140" spans="1:4" ht="25.5">
      <c r="A10140" s="801">
        <v>3889</v>
      </c>
      <c r="B10140" s="802" t="s">
        <v>11156</v>
      </c>
      <c r="C10140" s="801" t="s">
        <v>656</v>
      </c>
      <c r="D10140" s="803">
        <v>3.56</v>
      </c>
    </row>
    <row r="10141" spans="1:4" ht="25.5">
      <c r="A10141" s="801">
        <v>3868</v>
      </c>
      <c r="B10141" s="802" t="s">
        <v>11157</v>
      </c>
      <c r="C10141" s="801" t="s">
        <v>656</v>
      </c>
      <c r="D10141" s="803">
        <v>1.38</v>
      </c>
    </row>
    <row r="10142" spans="1:4" ht="25.5">
      <c r="A10142" s="801">
        <v>3869</v>
      </c>
      <c r="B10142" s="802" t="s">
        <v>11158</v>
      </c>
      <c r="C10142" s="801" t="s">
        <v>656</v>
      </c>
      <c r="D10142" s="803">
        <v>3.96</v>
      </c>
    </row>
    <row r="10143" spans="1:4" ht="25.5">
      <c r="A10143" s="801">
        <v>3872</v>
      </c>
      <c r="B10143" s="802" t="s">
        <v>11159</v>
      </c>
      <c r="C10143" s="801" t="s">
        <v>656</v>
      </c>
      <c r="D10143" s="803">
        <v>4.8099999999999996</v>
      </c>
    </row>
    <row r="10144" spans="1:4" ht="25.5">
      <c r="A10144" s="801">
        <v>3850</v>
      </c>
      <c r="B10144" s="802" t="s">
        <v>11160</v>
      </c>
      <c r="C10144" s="801" t="s">
        <v>656</v>
      </c>
      <c r="D10144" s="803">
        <v>12.4</v>
      </c>
    </row>
    <row r="10145" spans="1:4" ht="25.5">
      <c r="A10145" s="801">
        <v>38023</v>
      </c>
      <c r="B10145" s="802" t="s">
        <v>11161</v>
      </c>
      <c r="C10145" s="801" t="s">
        <v>656</v>
      </c>
      <c r="D10145" s="803">
        <v>5.23</v>
      </c>
    </row>
    <row r="10146" spans="1:4" ht="25.5">
      <c r="A10146" s="801">
        <v>37986</v>
      </c>
      <c r="B10146" s="802" t="s">
        <v>11162</v>
      </c>
      <c r="C10146" s="801" t="s">
        <v>656</v>
      </c>
      <c r="D10146" s="803">
        <v>2.76</v>
      </c>
    </row>
    <row r="10147" spans="1:4" ht="25.5">
      <c r="A10147" s="801">
        <v>37987</v>
      </c>
      <c r="B10147" s="802" t="s">
        <v>11163</v>
      </c>
      <c r="C10147" s="801" t="s">
        <v>656</v>
      </c>
      <c r="D10147" s="803">
        <v>206.47</v>
      </c>
    </row>
    <row r="10148" spans="1:4" ht="25.5">
      <c r="A10148" s="801">
        <v>37988</v>
      </c>
      <c r="B10148" s="802" t="s">
        <v>11164</v>
      </c>
      <c r="C10148" s="801" t="s">
        <v>656</v>
      </c>
      <c r="D10148" s="803">
        <v>336.77</v>
      </c>
    </row>
    <row r="10149" spans="1:4" ht="25.5">
      <c r="A10149" s="801">
        <v>21120</v>
      </c>
      <c r="B10149" s="802" t="s">
        <v>11165</v>
      </c>
      <c r="C10149" s="801" t="s">
        <v>656</v>
      </c>
      <c r="D10149" s="803">
        <v>16.78</v>
      </c>
    </row>
    <row r="10150" spans="1:4">
      <c r="A10150" s="801">
        <v>39318</v>
      </c>
      <c r="B10150" s="802" t="s">
        <v>11166</v>
      </c>
      <c r="C10150" s="801" t="s">
        <v>656</v>
      </c>
      <c r="D10150" s="803">
        <v>13.84</v>
      </c>
    </row>
    <row r="10151" spans="1:4">
      <c r="A10151" s="801">
        <v>20162</v>
      </c>
      <c r="B10151" s="802" t="s">
        <v>11167</v>
      </c>
      <c r="C10151" s="801" t="s">
        <v>656</v>
      </c>
      <c r="D10151" s="803">
        <v>22.25</v>
      </c>
    </row>
    <row r="10152" spans="1:4" ht="25.5">
      <c r="A10152" s="801">
        <v>40366</v>
      </c>
      <c r="B10152" s="802" t="s">
        <v>11168</v>
      </c>
      <c r="C10152" s="801" t="s">
        <v>656</v>
      </c>
      <c r="D10152" s="803">
        <v>46.9</v>
      </c>
    </row>
    <row r="10153" spans="1:4" ht="25.5">
      <c r="A10153" s="801">
        <v>40363</v>
      </c>
      <c r="B10153" s="802" t="s">
        <v>11169</v>
      </c>
      <c r="C10153" s="801" t="s">
        <v>656</v>
      </c>
      <c r="D10153" s="803">
        <v>36.68</v>
      </c>
    </row>
    <row r="10154" spans="1:4">
      <c r="A10154" s="801">
        <v>40354</v>
      </c>
      <c r="B10154" s="802" t="s">
        <v>11170</v>
      </c>
      <c r="C10154" s="801" t="s">
        <v>656</v>
      </c>
      <c r="D10154" s="803">
        <v>15.97</v>
      </c>
    </row>
    <row r="10155" spans="1:4">
      <c r="A10155" s="801">
        <v>40360</v>
      </c>
      <c r="B10155" s="802" t="s">
        <v>11171</v>
      </c>
      <c r="C10155" s="801" t="s">
        <v>656</v>
      </c>
      <c r="D10155" s="803">
        <v>24.05</v>
      </c>
    </row>
    <row r="10156" spans="1:4" ht="25.5">
      <c r="A10156" s="801">
        <v>40372</v>
      </c>
      <c r="B10156" s="802" t="s">
        <v>11172</v>
      </c>
      <c r="C10156" s="801" t="s">
        <v>656</v>
      </c>
      <c r="D10156" s="803">
        <v>148.51</v>
      </c>
    </row>
    <row r="10157" spans="1:4">
      <c r="A10157" s="801">
        <v>40369</v>
      </c>
      <c r="B10157" s="802" t="s">
        <v>11173</v>
      </c>
      <c r="C10157" s="801" t="s">
        <v>656</v>
      </c>
      <c r="D10157" s="803">
        <v>73.91</v>
      </c>
    </row>
    <row r="10158" spans="1:4">
      <c r="A10158" s="801">
        <v>40357</v>
      </c>
      <c r="B10158" s="802" t="s">
        <v>11174</v>
      </c>
      <c r="C10158" s="801" t="s">
        <v>656</v>
      </c>
      <c r="D10158" s="803">
        <v>17.920000000000002</v>
      </c>
    </row>
    <row r="10159" spans="1:4">
      <c r="A10159" s="801">
        <v>40375</v>
      </c>
      <c r="B10159" s="802" t="s">
        <v>11175</v>
      </c>
      <c r="C10159" s="801" t="s">
        <v>656</v>
      </c>
      <c r="D10159" s="803">
        <v>201.04</v>
      </c>
    </row>
    <row r="10160" spans="1:4">
      <c r="A10160" s="801">
        <v>1893</v>
      </c>
      <c r="B10160" s="802" t="s">
        <v>11176</v>
      </c>
      <c r="C10160" s="801" t="s">
        <v>656</v>
      </c>
      <c r="D10160" s="803">
        <v>3.34</v>
      </c>
    </row>
    <row r="10161" spans="1:4">
      <c r="A10161" s="801">
        <v>1902</v>
      </c>
      <c r="B10161" s="802" t="s">
        <v>11177</v>
      </c>
      <c r="C10161" s="801" t="s">
        <v>656</v>
      </c>
      <c r="D10161" s="803">
        <v>2.4300000000000002</v>
      </c>
    </row>
    <row r="10162" spans="1:4">
      <c r="A10162" s="801">
        <v>1901</v>
      </c>
      <c r="B10162" s="802" t="s">
        <v>11178</v>
      </c>
      <c r="C10162" s="801" t="s">
        <v>656</v>
      </c>
      <c r="D10162" s="803">
        <v>0.76</v>
      </c>
    </row>
    <row r="10163" spans="1:4">
      <c r="A10163" s="801">
        <v>1892</v>
      </c>
      <c r="B10163" s="802" t="s">
        <v>11179</v>
      </c>
      <c r="C10163" s="801" t="s">
        <v>656</v>
      </c>
      <c r="D10163" s="803">
        <v>1.56</v>
      </c>
    </row>
    <row r="10164" spans="1:4">
      <c r="A10164" s="801">
        <v>1907</v>
      </c>
      <c r="B10164" s="802" t="s">
        <v>11180</v>
      </c>
      <c r="C10164" s="801" t="s">
        <v>656</v>
      </c>
      <c r="D10164" s="803">
        <v>10.74</v>
      </c>
    </row>
    <row r="10165" spans="1:4">
      <c r="A10165" s="801">
        <v>1894</v>
      </c>
      <c r="B10165" s="802" t="s">
        <v>11181</v>
      </c>
      <c r="C10165" s="801" t="s">
        <v>656</v>
      </c>
      <c r="D10165" s="803">
        <v>4.83</v>
      </c>
    </row>
    <row r="10166" spans="1:4">
      <c r="A10166" s="801">
        <v>1891</v>
      </c>
      <c r="B10166" s="802" t="s">
        <v>11182</v>
      </c>
      <c r="C10166" s="801" t="s">
        <v>656</v>
      </c>
      <c r="D10166" s="803">
        <v>1.1200000000000001</v>
      </c>
    </row>
    <row r="10167" spans="1:4">
      <c r="A10167" s="801">
        <v>1896</v>
      </c>
      <c r="B10167" s="802" t="s">
        <v>11183</v>
      </c>
      <c r="C10167" s="801" t="s">
        <v>656</v>
      </c>
      <c r="D10167" s="803">
        <v>14.42</v>
      </c>
    </row>
    <row r="10168" spans="1:4">
      <c r="A10168" s="801">
        <v>1895</v>
      </c>
      <c r="B10168" s="802" t="s">
        <v>11184</v>
      </c>
      <c r="C10168" s="801" t="s">
        <v>656</v>
      </c>
      <c r="D10168" s="803">
        <v>25.35</v>
      </c>
    </row>
    <row r="10169" spans="1:4" ht="25.5">
      <c r="A10169" s="801">
        <v>2641</v>
      </c>
      <c r="B10169" s="802" t="s">
        <v>11185</v>
      </c>
      <c r="C10169" s="801" t="s">
        <v>656</v>
      </c>
      <c r="D10169" s="803">
        <v>29.02</v>
      </c>
    </row>
    <row r="10170" spans="1:4" ht="25.5">
      <c r="A10170" s="801">
        <v>2636</v>
      </c>
      <c r="B10170" s="802" t="s">
        <v>11186</v>
      </c>
      <c r="C10170" s="801" t="s">
        <v>656</v>
      </c>
      <c r="D10170" s="803">
        <v>1.87</v>
      </c>
    </row>
    <row r="10171" spans="1:4" ht="25.5">
      <c r="A10171" s="801">
        <v>2637</v>
      </c>
      <c r="B10171" s="802" t="s">
        <v>11187</v>
      </c>
      <c r="C10171" s="801" t="s">
        <v>656</v>
      </c>
      <c r="D10171" s="803">
        <v>1.99</v>
      </c>
    </row>
    <row r="10172" spans="1:4" ht="25.5">
      <c r="A10172" s="801">
        <v>2638</v>
      </c>
      <c r="B10172" s="802" t="s">
        <v>11188</v>
      </c>
      <c r="C10172" s="801" t="s">
        <v>656</v>
      </c>
      <c r="D10172" s="803">
        <v>2.31</v>
      </c>
    </row>
    <row r="10173" spans="1:4" ht="25.5">
      <c r="A10173" s="801">
        <v>2639</v>
      </c>
      <c r="B10173" s="802" t="s">
        <v>11189</v>
      </c>
      <c r="C10173" s="801" t="s">
        <v>656</v>
      </c>
      <c r="D10173" s="803">
        <v>4.0999999999999996</v>
      </c>
    </row>
    <row r="10174" spans="1:4" ht="25.5">
      <c r="A10174" s="801">
        <v>2644</v>
      </c>
      <c r="B10174" s="802" t="s">
        <v>11190</v>
      </c>
      <c r="C10174" s="801" t="s">
        <v>656</v>
      </c>
      <c r="D10174" s="803">
        <v>5.94</v>
      </c>
    </row>
    <row r="10175" spans="1:4" ht="25.5">
      <c r="A10175" s="801">
        <v>2643</v>
      </c>
      <c r="B10175" s="802" t="s">
        <v>11191</v>
      </c>
      <c r="C10175" s="801" t="s">
        <v>656</v>
      </c>
      <c r="D10175" s="803">
        <v>8.2799999999999994</v>
      </c>
    </row>
    <row r="10176" spans="1:4" ht="25.5">
      <c r="A10176" s="801">
        <v>2640</v>
      </c>
      <c r="B10176" s="802" t="s">
        <v>11192</v>
      </c>
      <c r="C10176" s="801" t="s">
        <v>656</v>
      </c>
      <c r="D10176" s="803">
        <v>12.08</v>
      </c>
    </row>
    <row r="10177" spans="1:4" ht="25.5">
      <c r="A10177" s="801">
        <v>2642</v>
      </c>
      <c r="B10177" s="802" t="s">
        <v>11193</v>
      </c>
      <c r="C10177" s="801" t="s">
        <v>656</v>
      </c>
      <c r="D10177" s="803">
        <v>18.39</v>
      </c>
    </row>
    <row r="10178" spans="1:4" ht="25.5">
      <c r="A10178" s="801">
        <v>38943</v>
      </c>
      <c r="B10178" s="802" t="s">
        <v>11194</v>
      </c>
      <c r="C10178" s="801" t="s">
        <v>656</v>
      </c>
      <c r="D10178" s="803">
        <v>6.58</v>
      </c>
    </row>
    <row r="10179" spans="1:4" ht="25.5">
      <c r="A10179" s="801">
        <v>38944</v>
      </c>
      <c r="B10179" s="802" t="s">
        <v>11195</v>
      </c>
      <c r="C10179" s="801" t="s">
        <v>656</v>
      </c>
      <c r="D10179" s="803">
        <v>10.18</v>
      </c>
    </row>
    <row r="10180" spans="1:4" ht="25.5">
      <c r="A10180" s="801">
        <v>38945</v>
      </c>
      <c r="B10180" s="802" t="s">
        <v>11196</v>
      </c>
      <c r="C10180" s="801" t="s">
        <v>656</v>
      </c>
      <c r="D10180" s="803">
        <v>20.64</v>
      </c>
    </row>
    <row r="10181" spans="1:4" ht="25.5">
      <c r="A10181" s="801">
        <v>38946</v>
      </c>
      <c r="B10181" s="802" t="s">
        <v>11197</v>
      </c>
      <c r="C10181" s="801" t="s">
        <v>656</v>
      </c>
      <c r="D10181" s="803">
        <v>30.78</v>
      </c>
    </row>
    <row r="10182" spans="1:4" ht="25.5">
      <c r="A10182" s="801">
        <v>39308</v>
      </c>
      <c r="B10182" s="802" t="s">
        <v>11198</v>
      </c>
      <c r="C10182" s="801" t="s">
        <v>656</v>
      </c>
      <c r="D10182" s="803">
        <v>13.42</v>
      </c>
    </row>
    <row r="10183" spans="1:4" ht="25.5">
      <c r="A10183" s="801">
        <v>39309</v>
      </c>
      <c r="B10183" s="802" t="s">
        <v>11199</v>
      </c>
      <c r="C10183" s="801" t="s">
        <v>656</v>
      </c>
      <c r="D10183" s="803">
        <v>19.41</v>
      </c>
    </row>
    <row r="10184" spans="1:4" ht="25.5">
      <c r="A10184" s="801">
        <v>39310</v>
      </c>
      <c r="B10184" s="802" t="s">
        <v>11200</v>
      </c>
      <c r="C10184" s="801" t="s">
        <v>656</v>
      </c>
      <c r="D10184" s="803">
        <v>29.41</v>
      </c>
    </row>
    <row r="10185" spans="1:4" ht="25.5">
      <c r="A10185" s="801">
        <v>39311</v>
      </c>
      <c r="B10185" s="802" t="s">
        <v>11201</v>
      </c>
      <c r="C10185" s="801" t="s">
        <v>656</v>
      </c>
      <c r="D10185" s="803">
        <v>44.21</v>
      </c>
    </row>
    <row r="10186" spans="1:4" ht="25.5">
      <c r="A10186" s="801">
        <v>39855</v>
      </c>
      <c r="B10186" s="802" t="s">
        <v>11202</v>
      </c>
      <c r="C10186" s="801" t="s">
        <v>656</v>
      </c>
      <c r="D10186" s="803">
        <v>3.33</v>
      </c>
    </row>
    <row r="10187" spans="1:4" ht="25.5">
      <c r="A10187" s="801">
        <v>39856</v>
      </c>
      <c r="B10187" s="802" t="s">
        <v>11203</v>
      </c>
      <c r="C10187" s="801" t="s">
        <v>656</v>
      </c>
      <c r="D10187" s="803">
        <v>7.86</v>
      </c>
    </row>
    <row r="10188" spans="1:4" ht="25.5">
      <c r="A10188" s="801">
        <v>39857</v>
      </c>
      <c r="B10188" s="802" t="s">
        <v>11204</v>
      </c>
      <c r="C10188" s="801" t="s">
        <v>656</v>
      </c>
      <c r="D10188" s="803">
        <v>12.72</v>
      </c>
    </row>
    <row r="10189" spans="1:4" ht="25.5">
      <c r="A10189" s="801">
        <v>39858</v>
      </c>
      <c r="B10189" s="802" t="s">
        <v>11205</v>
      </c>
      <c r="C10189" s="801" t="s">
        <v>656</v>
      </c>
      <c r="D10189" s="803">
        <v>28.23</v>
      </c>
    </row>
    <row r="10190" spans="1:4" ht="25.5">
      <c r="A10190" s="801">
        <v>39859</v>
      </c>
      <c r="B10190" s="802" t="s">
        <v>11206</v>
      </c>
      <c r="C10190" s="801" t="s">
        <v>656</v>
      </c>
      <c r="D10190" s="803">
        <v>43.52</v>
      </c>
    </row>
    <row r="10191" spans="1:4" ht="25.5">
      <c r="A10191" s="801">
        <v>39860</v>
      </c>
      <c r="B10191" s="802" t="s">
        <v>11207</v>
      </c>
      <c r="C10191" s="801" t="s">
        <v>656</v>
      </c>
      <c r="D10191" s="803">
        <v>66.78</v>
      </c>
    </row>
    <row r="10192" spans="1:4" ht="25.5">
      <c r="A10192" s="801">
        <v>39861</v>
      </c>
      <c r="B10192" s="802" t="s">
        <v>11208</v>
      </c>
      <c r="C10192" s="801" t="s">
        <v>656</v>
      </c>
      <c r="D10192" s="803">
        <v>190.68</v>
      </c>
    </row>
    <row r="10193" spans="1:4">
      <c r="A10193" s="801">
        <v>38447</v>
      </c>
      <c r="B10193" s="802" t="s">
        <v>11209</v>
      </c>
      <c r="C10193" s="801" t="s">
        <v>656</v>
      </c>
      <c r="D10193" s="803">
        <v>133.9</v>
      </c>
    </row>
    <row r="10194" spans="1:4">
      <c r="A10194" s="801">
        <v>36320</v>
      </c>
      <c r="B10194" s="802" t="s">
        <v>11210</v>
      </c>
      <c r="C10194" s="801" t="s">
        <v>656</v>
      </c>
      <c r="D10194" s="803">
        <v>1.94</v>
      </c>
    </row>
    <row r="10195" spans="1:4">
      <c r="A10195" s="801">
        <v>36324</v>
      </c>
      <c r="B10195" s="802" t="s">
        <v>11211</v>
      </c>
      <c r="C10195" s="801" t="s">
        <v>656</v>
      </c>
      <c r="D10195" s="803">
        <v>2.94</v>
      </c>
    </row>
    <row r="10196" spans="1:4">
      <c r="A10196" s="801">
        <v>38441</v>
      </c>
      <c r="B10196" s="802" t="s">
        <v>11212</v>
      </c>
      <c r="C10196" s="801" t="s">
        <v>656</v>
      </c>
      <c r="D10196" s="803">
        <v>3.86</v>
      </c>
    </row>
    <row r="10197" spans="1:4">
      <c r="A10197" s="801">
        <v>38442</v>
      </c>
      <c r="B10197" s="802" t="s">
        <v>11213</v>
      </c>
      <c r="C10197" s="801" t="s">
        <v>656</v>
      </c>
      <c r="D10197" s="803">
        <v>9.82</v>
      </c>
    </row>
    <row r="10198" spans="1:4">
      <c r="A10198" s="801">
        <v>38443</v>
      </c>
      <c r="B10198" s="802" t="s">
        <v>11214</v>
      </c>
      <c r="C10198" s="801" t="s">
        <v>656</v>
      </c>
      <c r="D10198" s="803">
        <v>14.83</v>
      </c>
    </row>
    <row r="10199" spans="1:4">
      <c r="A10199" s="801">
        <v>38444</v>
      </c>
      <c r="B10199" s="802" t="s">
        <v>11215</v>
      </c>
      <c r="C10199" s="801" t="s">
        <v>656</v>
      </c>
      <c r="D10199" s="803">
        <v>22.08</v>
      </c>
    </row>
    <row r="10200" spans="1:4">
      <c r="A10200" s="801">
        <v>38445</v>
      </c>
      <c r="B10200" s="802" t="s">
        <v>11216</v>
      </c>
      <c r="C10200" s="801" t="s">
        <v>656</v>
      </c>
      <c r="D10200" s="803">
        <v>51.85</v>
      </c>
    </row>
    <row r="10201" spans="1:4">
      <c r="A10201" s="801">
        <v>38446</v>
      </c>
      <c r="B10201" s="802" t="s">
        <v>11217</v>
      </c>
      <c r="C10201" s="801" t="s">
        <v>656</v>
      </c>
      <c r="D10201" s="803">
        <v>83.68</v>
      </c>
    </row>
    <row r="10202" spans="1:4">
      <c r="A10202" s="801">
        <v>3867</v>
      </c>
      <c r="B10202" s="802" t="s">
        <v>11218</v>
      </c>
      <c r="C10202" s="801" t="s">
        <v>656</v>
      </c>
      <c r="D10202" s="803">
        <v>83.32</v>
      </c>
    </row>
    <row r="10203" spans="1:4">
      <c r="A10203" s="801">
        <v>3861</v>
      </c>
      <c r="B10203" s="802" t="s">
        <v>11219</v>
      </c>
      <c r="C10203" s="801" t="s">
        <v>656</v>
      </c>
      <c r="D10203" s="803">
        <v>0.69</v>
      </c>
    </row>
    <row r="10204" spans="1:4">
      <c r="A10204" s="801">
        <v>3904</v>
      </c>
      <c r="B10204" s="802" t="s">
        <v>11220</v>
      </c>
      <c r="C10204" s="801" t="s">
        <v>656</v>
      </c>
      <c r="D10204" s="803">
        <v>0.84</v>
      </c>
    </row>
    <row r="10205" spans="1:4">
      <c r="A10205" s="801">
        <v>3903</v>
      </c>
      <c r="B10205" s="802" t="s">
        <v>11221</v>
      </c>
      <c r="C10205" s="801" t="s">
        <v>656</v>
      </c>
      <c r="D10205" s="803">
        <v>2.0699999999999998</v>
      </c>
    </row>
    <row r="10206" spans="1:4">
      <c r="A10206" s="801">
        <v>3862</v>
      </c>
      <c r="B10206" s="802" t="s">
        <v>11222</v>
      </c>
      <c r="C10206" s="801" t="s">
        <v>656</v>
      </c>
      <c r="D10206" s="803">
        <v>4.22</v>
      </c>
    </row>
    <row r="10207" spans="1:4">
      <c r="A10207" s="801">
        <v>3863</v>
      </c>
      <c r="B10207" s="802" t="s">
        <v>11223</v>
      </c>
      <c r="C10207" s="801" t="s">
        <v>656</v>
      </c>
      <c r="D10207" s="803">
        <v>4.95</v>
      </c>
    </row>
    <row r="10208" spans="1:4">
      <c r="A10208" s="801">
        <v>3864</v>
      </c>
      <c r="B10208" s="802" t="s">
        <v>11224</v>
      </c>
      <c r="C10208" s="801" t="s">
        <v>656</v>
      </c>
      <c r="D10208" s="803">
        <v>12.9</v>
      </c>
    </row>
    <row r="10209" spans="1:4">
      <c r="A10209" s="801">
        <v>3865</v>
      </c>
      <c r="B10209" s="802" t="s">
        <v>11225</v>
      </c>
      <c r="C10209" s="801" t="s">
        <v>656</v>
      </c>
      <c r="D10209" s="803">
        <v>22.44</v>
      </c>
    </row>
    <row r="10210" spans="1:4">
      <c r="A10210" s="801">
        <v>3866</v>
      </c>
      <c r="B10210" s="802" t="s">
        <v>11226</v>
      </c>
      <c r="C10210" s="801" t="s">
        <v>656</v>
      </c>
      <c r="D10210" s="803">
        <v>51.36</v>
      </c>
    </row>
    <row r="10211" spans="1:4">
      <c r="A10211" s="801">
        <v>3902</v>
      </c>
      <c r="B10211" s="802" t="s">
        <v>11227</v>
      </c>
      <c r="C10211" s="801" t="s">
        <v>656</v>
      </c>
      <c r="D10211" s="803">
        <v>24.98</v>
      </c>
    </row>
    <row r="10212" spans="1:4">
      <c r="A10212" s="801">
        <v>3878</v>
      </c>
      <c r="B10212" s="802" t="s">
        <v>11228</v>
      </c>
      <c r="C10212" s="801" t="s">
        <v>656</v>
      </c>
      <c r="D10212" s="803">
        <v>7.89</v>
      </c>
    </row>
    <row r="10213" spans="1:4">
      <c r="A10213" s="801">
        <v>3877</v>
      </c>
      <c r="B10213" s="802" t="s">
        <v>11229</v>
      </c>
      <c r="C10213" s="801" t="s">
        <v>656</v>
      </c>
      <c r="D10213" s="803">
        <v>7.21</v>
      </c>
    </row>
    <row r="10214" spans="1:4">
      <c r="A10214" s="801">
        <v>3879</v>
      </c>
      <c r="B10214" s="802" t="s">
        <v>11230</v>
      </c>
      <c r="C10214" s="801" t="s">
        <v>656</v>
      </c>
      <c r="D10214" s="803">
        <v>15.92</v>
      </c>
    </row>
    <row r="10215" spans="1:4">
      <c r="A10215" s="801">
        <v>3880</v>
      </c>
      <c r="B10215" s="802" t="s">
        <v>11231</v>
      </c>
      <c r="C10215" s="801" t="s">
        <v>656</v>
      </c>
      <c r="D10215" s="803">
        <v>35.92</v>
      </c>
    </row>
    <row r="10216" spans="1:4">
      <c r="A10216" s="801">
        <v>12892</v>
      </c>
      <c r="B10216" s="802" t="s">
        <v>11232</v>
      </c>
      <c r="C10216" s="801" t="s">
        <v>665</v>
      </c>
      <c r="D10216" s="803">
        <v>18</v>
      </c>
    </row>
    <row r="10217" spans="1:4">
      <c r="A10217" s="801">
        <v>3883</v>
      </c>
      <c r="B10217" s="802" t="s">
        <v>11233</v>
      </c>
      <c r="C10217" s="801" t="s">
        <v>656</v>
      </c>
      <c r="D10217" s="803">
        <v>1.66</v>
      </c>
    </row>
    <row r="10218" spans="1:4">
      <c r="A10218" s="801">
        <v>3876</v>
      </c>
      <c r="B10218" s="802" t="s">
        <v>11234</v>
      </c>
      <c r="C10218" s="801" t="s">
        <v>656</v>
      </c>
      <c r="D10218" s="803">
        <v>4.1500000000000004</v>
      </c>
    </row>
    <row r="10219" spans="1:4">
      <c r="A10219" s="801">
        <v>3884</v>
      </c>
      <c r="B10219" s="802" t="s">
        <v>11235</v>
      </c>
      <c r="C10219" s="801" t="s">
        <v>656</v>
      </c>
      <c r="D10219" s="803">
        <v>2.48</v>
      </c>
    </row>
    <row r="10220" spans="1:4" ht="25.5">
      <c r="A10220" s="801">
        <v>3837</v>
      </c>
      <c r="B10220" s="802" t="s">
        <v>11236</v>
      </c>
      <c r="C10220" s="801" t="s">
        <v>656</v>
      </c>
      <c r="D10220" s="803">
        <v>56.91</v>
      </c>
    </row>
    <row r="10221" spans="1:4" ht="25.5">
      <c r="A10221" s="801">
        <v>3845</v>
      </c>
      <c r="B10221" s="802" t="s">
        <v>11237</v>
      </c>
      <c r="C10221" s="801" t="s">
        <v>656</v>
      </c>
      <c r="D10221" s="803">
        <v>20.79</v>
      </c>
    </row>
    <row r="10222" spans="1:4" ht="25.5">
      <c r="A10222" s="801">
        <v>11045</v>
      </c>
      <c r="B10222" s="802" t="s">
        <v>11238</v>
      </c>
      <c r="C10222" s="801" t="s">
        <v>656</v>
      </c>
      <c r="D10222" s="803">
        <v>40.1</v>
      </c>
    </row>
    <row r="10223" spans="1:4" ht="25.5">
      <c r="A10223" s="801">
        <v>20170</v>
      </c>
      <c r="B10223" s="802" t="s">
        <v>11239</v>
      </c>
      <c r="C10223" s="801" t="s">
        <v>656</v>
      </c>
      <c r="D10223" s="803">
        <v>18.03</v>
      </c>
    </row>
    <row r="10224" spans="1:4" ht="25.5">
      <c r="A10224" s="801">
        <v>20171</v>
      </c>
      <c r="B10224" s="802" t="s">
        <v>11240</v>
      </c>
      <c r="C10224" s="801" t="s">
        <v>656</v>
      </c>
      <c r="D10224" s="803">
        <v>53.57</v>
      </c>
    </row>
    <row r="10225" spans="1:4" ht="25.5">
      <c r="A10225" s="801">
        <v>20167</v>
      </c>
      <c r="B10225" s="802" t="s">
        <v>11241</v>
      </c>
      <c r="C10225" s="801" t="s">
        <v>656</v>
      </c>
      <c r="D10225" s="803">
        <v>6.7</v>
      </c>
    </row>
    <row r="10226" spans="1:4" ht="25.5">
      <c r="A10226" s="801">
        <v>20168</v>
      </c>
      <c r="B10226" s="802" t="s">
        <v>11242</v>
      </c>
      <c r="C10226" s="801" t="s">
        <v>656</v>
      </c>
      <c r="D10226" s="803">
        <v>10.5</v>
      </c>
    </row>
    <row r="10227" spans="1:4" ht="25.5">
      <c r="A10227" s="801">
        <v>20169</v>
      </c>
      <c r="B10227" s="802" t="s">
        <v>11243</v>
      </c>
      <c r="C10227" s="801" t="s">
        <v>656</v>
      </c>
      <c r="D10227" s="803">
        <v>14.87</v>
      </c>
    </row>
    <row r="10228" spans="1:4" ht="25.5">
      <c r="A10228" s="801">
        <v>3899</v>
      </c>
      <c r="B10228" s="802" t="s">
        <v>11244</v>
      </c>
      <c r="C10228" s="801" t="s">
        <v>656</v>
      </c>
      <c r="D10228" s="803">
        <v>7.87</v>
      </c>
    </row>
    <row r="10229" spans="1:4" ht="25.5">
      <c r="A10229" s="801">
        <v>38676</v>
      </c>
      <c r="B10229" s="802" t="s">
        <v>11245</v>
      </c>
      <c r="C10229" s="801" t="s">
        <v>656</v>
      </c>
      <c r="D10229" s="803">
        <v>38.119999999999997</v>
      </c>
    </row>
    <row r="10230" spans="1:4" ht="25.5">
      <c r="A10230" s="801">
        <v>3897</v>
      </c>
      <c r="B10230" s="802" t="s">
        <v>11246</v>
      </c>
      <c r="C10230" s="801" t="s">
        <v>656</v>
      </c>
      <c r="D10230" s="803">
        <v>1.66</v>
      </c>
    </row>
    <row r="10231" spans="1:4" ht="25.5">
      <c r="A10231" s="801">
        <v>3875</v>
      </c>
      <c r="B10231" s="802" t="s">
        <v>11247</v>
      </c>
      <c r="C10231" s="801" t="s">
        <v>656</v>
      </c>
      <c r="D10231" s="803">
        <v>3.59</v>
      </c>
    </row>
    <row r="10232" spans="1:4" ht="25.5">
      <c r="A10232" s="801">
        <v>3898</v>
      </c>
      <c r="B10232" s="802" t="s">
        <v>11248</v>
      </c>
      <c r="C10232" s="801" t="s">
        <v>656</v>
      </c>
      <c r="D10232" s="803">
        <v>6.79</v>
      </c>
    </row>
    <row r="10233" spans="1:4">
      <c r="A10233" s="801">
        <v>3855</v>
      </c>
      <c r="B10233" s="802" t="s">
        <v>11249</v>
      </c>
      <c r="C10233" s="801" t="s">
        <v>656</v>
      </c>
      <c r="D10233" s="803">
        <v>5.51</v>
      </c>
    </row>
    <row r="10234" spans="1:4">
      <c r="A10234" s="801">
        <v>3874</v>
      </c>
      <c r="B10234" s="802" t="s">
        <v>11250</v>
      </c>
      <c r="C10234" s="801" t="s">
        <v>656</v>
      </c>
      <c r="D10234" s="803">
        <v>5.85</v>
      </c>
    </row>
    <row r="10235" spans="1:4">
      <c r="A10235" s="801">
        <v>3870</v>
      </c>
      <c r="B10235" s="802" t="s">
        <v>11251</v>
      </c>
      <c r="C10235" s="801" t="s">
        <v>656</v>
      </c>
      <c r="D10235" s="803">
        <v>7.27</v>
      </c>
    </row>
    <row r="10236" spans="1:4">
      <c r="A10236" s="801">
        <v>38678</v>
      </c>
      <c r="B10236" s="802" t="s">
        <v>11252</v>
      </c>
      <c r="C10236" s="801" t="s">
        <v>656</v>
      </c>
      <c r="D10236" s="803">
        <v>19.78</v>
      </c>
    </row>
    <row r="10237" spans="1:4" ht="25.5">
      <c r="A10237" s="801">
        <v>3859</v>
      </c>
      <c r="B10237" s="802" t="s">
        <v>11253</v>
      </c>
      <c r="C10237" s="801" t="s">
        <v>656</v>
      </c>
      <c r="D10237" s="803">
        <v>1.46</v>
      </c>
    </row>
    <row r="10238" spans="1:4" ht="25.5">
      <c r="A10238" s="801">
        <v>3856</v>
      </c>
      <c r="B10238" s="802" t="s">
        <v>11254</v>
      </c>
      <c r="C10238" s="801" t="s">
        <v>656</v>
      </c>
      <c r="D10238" s="803">
        <v>1.86</v>
      </c>
    </row>
    <row r="10239" spans="1:4" ht="25.5">
      <c r="A10239" s="801">
        <v>3906</v>
      </c>
      <c r="B10239" s="802" t="s">
        <v>4710</v>
      </c>
      <c r="C10239" s="801" t="s">
        <v>656</v>
      </c>
      <c r="D10239" s="803">
        <v>1.75</v>
      </c>
    </row>
    <row r="10240" spans="1:4" ht="25.5">
      <c r="A10240" s="801">
        <v>3860</v>
      </c>
      <c r="B10240" s="802" t="s">
        <v>11255</v>
      </c>
      <c r="C10240" s="801" t="s">
        <v>656</v>
      </c>
      <c r="D10240" s="803">
        <v>5.75</v>
      </c>
    </row>
    <row r="10241" spans="1:4" ht="25.5">
      <c r="A10241" s="801">
        <v>3905</v>
      </c>
      <c r="B10241" s="802" t="s">
        <v>11256</v>
      </c>
      <c r="C10241" s="801" t="s">
        <v>656</v>
      </c>
      <c r="D10241" s="803">
        <v>12.73</v>
      </c>
    </row>
    <row r="10242" spans="1:4" ht="25.5">
      <c r="A10242" s="801">
        <v>3871</v>
      </c>
      <c r="B10242" s="802" t="s">
        <v>11257</v>
      </c>
      <c r="C10242" s="801" t="s">
        <v>656</v>
      </c>
      <c r="D10242" s="803">
        <v>26.42</v>
      </c>
    </row>
    <row r="10243" spans="1:4">
      <c r="A10243" s="801">
        <v>37429</v>
      </c>
      <c r="B10243" s="802" t="s">
        <v>11258</v>
      </c>
      <c r="C10243" s="801" t="s">
        <v>656</v>
      </c>
      <c r="D10243" s="803">
        <v>2927.43</v>
      </c>
    </row>
    <row r="10244" spans="1:4">
      <c r="A10244" s="801">
        <v>37426</v>
      </c>
      <c r="B10244" s="802" t="s">
        <v>11259</v>
      </c>
      <c r="C10244" s="801" t="s">
        <v>656</v>
      </c>
      <c r="D10244" s="803">
        <v>28.16</v>
      </c>
    </row>
    <row r="10245" spans="1:4">
      <c r="A10245" s="801">
        <v>37427</v>
      </c>
      <c r="B10245" s="802" t="s">
        <v>11260</v>
      </c>
      <c r="C10245" s="801" t="s">
        <v>656</v>
      </c>
      <c r="D10245" s="803">
        <v>67.17</v>
      </c>
    </row>
    <row r="10246" spans="1:4">
      <c r="A10246" s="801">
        <v>37424</v>
      </c>
      <c r="B10246" s="802" t="s">
        <v>11261</v>
      </c>
      <c r="C10246" s="801" t="s">
        <v>656</v>
      </c>
      <c r="D10246" s="803">
        <v>12.94</v>
      </c>
    </row>
    <row r="10247" spans="1:4">
      <c r="A10247" s="801">
        <v>37428</v>
      </c>
      <c r="B10247" s="802" t="s">
        <v>11262</v>
      </c>
      <c r="C10247" s="801" t="s">
        <v>656</v>
      </c>
      <c r="D10247" s="803">
        <v>231.5</v>
      </c>
    </row>
    <row r="10248" spans="1:4">
      <c r="A10248" s="801">
        <v>37425</v>
      </c>
      <c r="B10248" s="802" t="s">
        <v>11263</v>
      </c>
      <c r="C10248" s="801" t="s">
        <v>656</v>
      </c>
      <c r="D10248" s="803">
        <v>13.95</v>
      </c>
    </row>
    <row r="10249" spans="1:4" ht="25.5">
      <c r="A10249" s="801">
        <v>11519</v>
      </c>
      <c r="B10249" s="802" t="s">
        <v>11264</v>
      </c>
      <c r="C10249" s="801" t="s">
        <v>665</v>
      </c>
      <c r="D10249" s="803">
        <v>46.4</v>
      </c>
    </row>
    <row r="10250" spans="1:4" ht="38.25">
      <c r="A10250" s="801">
        <v>11520</v>
      </c>
      <c r="B10250" s="802" t="s">
        <v>11265</v>
      </c>
      <c r="C10250" s="801" t="s">
        <v>665</v>
      </c>
      <c r="D10250" s="803">
        <v>21.45</v>
      </c>
    </row>
    <row r="10251" spans="1:4" ht="25.5">
      <c r="A10251" s="801">
        <v>11518</v>
      </c>
      <c r="B10251" s="802" t="s">
        <v>11266</v>
      </c>
      <c r="C10251" s="801" t="s">
        <v>665</v>
      </c>
      <c r="D10251" s="803">
        <v>78</v>
      </c>
    </row>
    <row r="10252" spans="1:4">
      <c r="A10252" s="801">
        <v>38473</v>
      </c>
      <c r="B10252" s="802" t="s">
        <v>11267</v>
      </c>
      <c r="C10252" s="801" t="s">
        <v>656</v>
      </c>
      <c r="D10252" s="803">
        <v>130.5</v>
      </c>
    </row>
    <row r="10253" spans="1:4">
      <c r="A10253" s="801">
        <v>4244</v>
      </c>
      <c r="B10253" s="802" t="s">
        <v>11268</v>
      </c>
      <c r="C10253" s="801" t="s">
        <v>659</v>
      </c>
      <c r="D10253" s="803">
        <v>13.87</v>
      </c>
    </row>
    <row r="10254" spans="1:4">
      <c r="A10254" s="801">
        <v>40977</v>
      </c>
      <c r="B10254" s="802" t="s">
        <v>11269</v>
      </c>
      <c r="C10254" s="801" t="s">
        <v>772</v>
      </c>
      <c r="D10254" s="803">
        <v>2453.52</v>
      </c>
    </row>
    <row r="10255" spans="1:4" ht="25.5">
      <c r="A10255" s="801">
        <v>4115</v>
      </c>
      <c r="B10255" s="802" t="s">
        <v>11270</v>
      </c>
      <c r="C10255" s="801" t="s">
        <v>660</v>
      </c>
      <c r="D10255" s="803">
        <v>29.39</v>
      </c>
    </row>
    <row r="10256" spans="1:4" ht="25.5">
      <c r="A10256" s="801">
        <v>4119</v>
      </c>
      <c r="B10256" s="802" t="s">
        <v>11271</v>
      </c>
      <c r="C10256" s="801" t="s">
        <v>660</v>
      </c>
      <c r="D10256" s="803">
        <v>59.36</v>
      </c>
    </row>
    <row r="10257" spans="1:4" ht="25.5">
      <c r="A10257" s="801">
        <v>2794</v>
      </c>
      <c r="B10257" s="802" t="s">
        <v>11272</v>
      </c>
      <c r="C10257" s="801" t="s">
        <v>660</v>
      </c>
      <c r="D10257" s="803">
        <v>157.47</v>
      </c>
    </row>
    <row r="10258" spans="1:4" ht="25.5">
      <c r="A10258" s="801">
        <v>2788</v>
      </c>
      <c r="B10258" s="802" t="s">
        <v>11273</v>
      </c>
      <c r="C10258" s="801" t="s">
        <v>660</v>
      </c>
      <c r="D10258" s="803">
        <v>229.4</v>
      </c>
    </row>
    <row r="10259" spans="1:4" ht="25.5">
      <c r="A10259" s="801">
        <v>4006</v>
      </c>
      <c r="B10259" s="802" t="s">
        <v>11274</v>
      </c>
      <c r="C10259" s="801" t="s">
        <v>654</v>
      </c>
      <c r="D10259" s="803">
        <v>2021.19</v>
      </c>
    </row>
    <row r="10260" spans="1:4">
      <c r="A10260" s="801">
        <v>36151</v>
      </c>
      <c r="B10260" s="802" t="s">
        <v>11275</v>
      </c>
      <c r="C10260" s="801" t="s">
        <v>656</v>
      </c>
      <c r="D10260" s="803">
        <v>40</v>
      </c>
    </row>
    <row r="10261" spans="1:4" ht="25.5">
      <c r="A10261" s="801">
        <v>37457</v>
      </c>
      <c r="B10261" s="802" t="s">
        <v>11276</v>
      </c>
      <c r="C10261" s="801" t="s">
        <v>660</v>
      </c>
      <c r="D10261" s="803">
        <v>3.94</v>
      </c>
    </row>
    <row r="10262" spans="1:4" ht="25.5">
      <c r="A10262" s="801">
        <v>37456</v>
      </c>
      <c r="B10262" s="802" t="s">
        <v>11277</v>
      </c>
      <c r="C10262" s="801" t="s">
        <v>660</v>
      </c>
      <c r="D10262" s="803">
        <v>2.08</v>
      </c>
    </row>
    <row r="10263" spans="1:4" ht="25.5">
      <c r="A10263" s="801">
        <v>37461</v>
      </c>
      <c r="B10263" s="802" t="s">
        <v>11278</v>
      </c>
      <c r="C10263" s="801" t="s">
        <v>660</v>
      </c>
      <c r="D10263" s="803">
        <v>14.64</v>
      </c>
    </row>
    <row r="10264" spans="1:4" ht="25.5">
      <c r="A10264" s="801">
        <v>37460</v>
      </c>
      <c r="B10264" s="802" t="s">
        <v>11279</v>
      </c>
      <c r="C10264" s="801" t="s">
        <v>660</v>
      </c>
      <c r="D10264" s="803">
        <v>19.989999999999998</v>
      </c>
    </row>
    <row r="10265" spans="1:4">
      <c r="A10265" s="801">
        <v>37458</v>
      </c>
      <c r="B10265" s="802" t="s">
        <v>11280</v>
      </c>
      <c r="C10265" s="801" t="s">
        <v>660</v>
      </c>
      <c r="D10265" s="803">
        <v>5.86</v>
      </c>
    </row>
    <row r="10266" spans="1:4">
      <c r="A10266" s="801">
        <v>37454</v>
      </c>
      <c r="B10266" s="802" t="s">
        <v>11281</v>
      </c>
      <c r="C10266" s="801" t="s">
        <v>660</v>
      </c>
      <c r="D10266" s="803">
        <v>1.54</v>
      </c>
    </row>
    <row r="10267" spans="1:4">
      <c r="A10267" s="801">
        <v>37455</v>
      </c>
      <c r="B10267" s="802" t="s">
        <v>11282</v>
      </c>
      <c r="C10267" s="801" t="s">
        <v>660</v>
      </c>
      <c r="D10267" s="803">
        <v>2.58</v>
      </c>
    </row>
    <row r="10268" spans="1:4">
      <c r="A10268" s="801">
        <v>37459</v>
      </c>
      <c r="B10268" s="802" t="s">
        <v>11283</v>
      </c>
      <c r="C10268" s="801" t="s">
        <v>660</v>
      </c>
      <c r="D10268" s="803">
        <v>8.23</v>
      </c>
    </row>
    <row r="10269" spans="1:4" ht="38.25">
      <c r="A10269" s="801">
        <v>21029</v>
      </c>
      <c r="B10269" s="802" t="s">
        <v>11284</v>
      </c>
      <c r="C10269" s="801" t="s">
        <v>656</v>
      </c>
      <c r="D10269" s="803">
        <v>372.85</v>
      </c>
    </row>
    <row r="10270" spans="1:4" ht="38.25">
      <c r="A10270" s="801">
        <v>21030</v>
      </c>
      <c r="B10270" s="802" t="s">
        <v>11285</v>
      </c>
      <c r="C10270" s="801" t="s">
        <v>656</v>
      </c>
      <c r="D10270" s="803">
        <v>459.6</v>
      </c>
    </row>
    <row r="10271" spans="1:4" ht="38.25">
      <c r="A10271" s="801">
        <v>21031</v>
      </c>
      <c r="B10271" s="802" t="s">
        <v>11286</v>
      </c>
      <c r="C10271" s="801" t="s">
        <v>656</v>
      </c>
      <c r="D10271" s="803">
        <v>572.19000000000005</v>
      </c>
    </row>
    <row r="10272" spans="1:4" ht="38.25">
      <c r="A10272" s="801">
        <v>21032</v>
      </c>
      <c r="B10272" s="802" t="s">
        <v>11287</v>
      </c>
      <c r="C10272" s="801" t="s">
        <v>656</v>
      </c>
      <c r="D10272" s="803">
        <v>610.95000000000005</v>
      </c>
    </row>
    <row r="10273" spans="1:4" ht="38.25">
      <c r="A10273" s="801">
        <v>37527</v>
      </c>
      <c r="B10273" s="802" t="s">
        <v>11288</v>
      </c>
      <c r="C10273" s="801" t="s">
        <v>656</v>
      </c>
      <c r="D10273" s="803">
        <v>551.89</v>
      </c>
    </row>
    <row r="10274" spans="1:4" ht="38.25">
      <c r="A10274" s="801">
        <v>37528</v>
      </c>
      <c r="B10274" s="802" t="s">
        <v>11289</v>
      </c>
      <c r="C10274" s="801" t="s">
        <v>656</v>
      </c>
      <c r="D10274" s="803">
        <v>658.02</v>
      </c>
    </row>
    <row r="10275" spans="1:4" ht="38.25">
      <c r="A10275" s="801">
        <v>37529</v>
      </c>
      <c r="B10275" s="802" t="s">
        <v>11290</v>
      </c>
      <c r="C10275" s="801" t="s">
        <v>656</v>
      </c>
      <c r="D10275" s="803">
        <v>664.48</v>
      </c>
    </row>
    <row r="10276" spans="1:4" ht="38.25">
      <c r="A10276" s="801">
        <v>37530</v>
      </c>
      <c r="B10276" s="802" t="s">
        <v>11291</v>
      </c>
      <c r="C10276" s="801" t="s">
        <v>656</v>
      </c>
      <c r="D10276" s="803">
        <v>867.52</v>
      </c>
    </row>
    <row r="10277" spans="1:4" ht="38.25">
      <c r="A10277" s="801">
        <v>21034</v>
      </c>
      <c r="B10277" s="802" t="s">
        <v>11292</v>
      </c>
      <c r="C10277" s="801" t="s">
        <v>656</v>
      </c>
      <c r="D10277" s="803">
        <v>740.16</v>
      </c>
    </row>
    <row r="10278" spans="1:4" ht="38.25">
      <c r="A10278" s="801">
        <v>37531</v>
      </c>
      <c r="B10278" s="802" t="s">
        <v>11293</v>
      </c>
      <c r="C10278" s="801" t="s">
        <v>656</v>
      </c>
      <c r="D10278" s="803">
        <v>932.12</v>
      </c>
    </row>
    <row r="10279" spans="1:4" ht="38.25">
      <c r="A10279" s="801">
        <v>21036</v>
      </c>
      <c r="B10279" s="802" t="s">
        <v>11294</v>
      </c>
      <c r="C10279" s="801" t="s">
        <v>656</v>
      </c>
      <c r="D10279" s="803">
        <v>1133.31</v>
      </c>
    </row>
    <row r="10280" spans="1:4" ht="38.25">
      <c r="A10280" s="801">
        <v>21037</v>
      </c>
      <c r="B10280" s="802" t="s">
        <v>11295</v>
      </c>
      <c r="C10280" s="801" t="s">
        <v>656</v>
      </c>
      <c r="D10280" s="803">
        <v>1292.05</v>
      </c>
    </row>
    <row r="10281" spans="1:4" ht="38.25">
      <c r="A10281" s="801">
        <v>20185</v>
      </c>
      <c r="B10281" s="802" t="s">
        <v>11296</v>
      </c>
      <c r="C10281" s="801" t="s">
        <v>660</v>
      </c>
      <c r="D10281" s="803">
        <v>23.8</v>
      </c>
    </row>
    <row r="10282" spans="1:4" ht="25.5">
      <c r="A10282" s="801">
        <v>20260</v>
      </c>
      <c r="B10282" s="802" t="s">
        <v>11297</v>
      </c>
      <c r="C10282" s="801" t="s">
        <v>656</v>
      </c>
      <c r="D10282" s="803">
        <v>19.14</v>
      </c>
    </row>
    <row r="10283" spans="1:4" ht="25.5">
      <c r="A10283" s="801">
        <v>37523</v>
      </c>
      <c r="B10283" s="802" t="s">
        <v>11298</v>
      </c>
      <c r="C10283" s="801" t="s">
        <v>656</v>
      </c>
      <c r="D10283" s="803">
        <v>519087.13</v>
      </c>
    </row>
    <row r="10284" spans="1:4" ht="25.5">
      <c r="A10284" s="801">
        <v>37515</v>
      </c>
      <c r="B10284" s="802" t="s">
        <v>11299</v>
      </c>
      <c r="C10284" s="801" t="s">
        <v>656</v>
      </c>
      <c r="D10284" s="803">
        <v>461495</v>
      </c>
    </row>
    <row r="10285" spans="1:4" ht="25.5">
      <c r="A10285" s="801">
        <v>12899</v>
      </c>
      <c r="B10285" s="802" t="s">
        <v>11300</v>
      </c>
      <c r="C10285" s="801" t="s">
        <v>656</v>
      </c>
      <c r="D10285" s="803">
        <v>93.17</v>
      </c>
    </row>
    <row r="10286" spans="1:4" ht="25.5">
      <c r="A10286" s="801">
        <v>12898</v>
      </c>
      <c r="B10286" s="802" t="s">
        <v>11301</v>
      </c>
      <c r="C10286" s="801" t="s">
        <v>656</v>
      </c>
      <c r="D10286" s="803">
        <v>147.80000000000001</v>
      </c>
    </row>
    <row r="10287" spans="1:4" ht="25.5">
      <c r="A10287" s="801">
        <v>42528</v>
      </c>
      <c r="B10287" s="802" t="s">
        <v>11302</v>
      </c>
      <c r="C10287" s="801" t="s">
        <v>661</v>
      </c>
      <c r="D10287" s="803">
        <v>8.99</v>
      </c>
    </row>
    <row r="10288" spans="1:4">
      <c r="A10288" s="801">
        <v>39696</v>
      </c>
      <c r="B10288" s="802" t="s">
        <v>11303</v>
      </c>
      <c r="C10288" s="801" t="s">
        <v>661</v>
      </c>
      <c r="D10288" s="803">
        <v>6.32</v>
      </c>
    </row>
    <row r="10289" spans="1:4" ht="25.5">
      <c r="A10289" s="801">
        <v>39700</v>
      </c>
      <c r="B10289" s="802" t="s">
        <v>11304</v>
      </c>
      <c r="C10289" s="801" t="s">
        <v>661</v>
      </c>
      <c r="D10289" s="803">
        <v>24.98</v>
      </c>
    </row>
    <row r="10290" spans="1:4" ht="25.5">
      <c r="A10290" s="801">
        <v>11621</v>
      </c>
      <c r="B10290" s="802" t="s">
        <v>11305</v>
      </c>
      <c r="C10290" s="801" t="s">
        <v>661</v>
      </c>
      <c r="D10290" s="803">
        <v>49.71</v>
      </c>
    </row>
    <row r="10291" spans="1:4" ht="25.5">
      <c r="A10291" s="801">
        <v>4014</v>
      </c>
      <c r="B10291" s="802" t="s">
        <v>11306</v>
      </c>
      <c r="C10291" s="801" t="s">
        <v>661</v>
      </c>
      <c r="D10291" s="803">
        <v>51.43</v>
      </c>
    </row>
    <row r="10292" spans="1:4" ht="25.5">
      <c r="A10292" s="801">
        <v>4015</v>
      </c>
      <c r="B10292" s="802" t="s">
        <v>11307</v>
      </c>
      <c r="C10292" s="801" t="s">
        <v>661</v>
      </c>
      <c r="D10292" s="803">
        <v>63.16</v>
      </c>
    </row>
    <row r="10293" spans="1:4" ht="25.5">
      <c r="A10293" s="801">
        <v>4017</v>
      </c>
      <c r="B10293" s="802" t="s">
        <v>11308</v>
      </c>
      <c r="C10293" s="801" t="s">
        <v>661</v>
      </c>
      <c r="D10293" s="803">
        <v>91.9</v>
      </c>
    </row>
    <row r="10294" spans="1:4" ht="25.5">
      <c r="A10294" s="801">
        <v>4016</v>
      </c>
      <c r="B10294" s="802" t="s">
        <v>11309</v>
      </c>
      <c r="C10294" s="801" t="s">
        <v>661</v>
      </c>
      <c r="D10294" s="803">
        <v>36.299999999999997</v>
      </c>
    </row>
    <row r="10295" spans="1:4">
      <c r="A10295" s="801">
        <v>39699</v>
      </c>
      <c r="B10295" s="802" t="s">
        <v>11310</v>
      </c>
      <c r="C10295" s="801" t="s">
        <v>661</v>
      </c>
      <c r="D10295" s="803">
        <v>13.55</v>
      </c>
    </row>
    <row r="10296" spans="1:4" ht="25.5">
      <c r="A10296" s="801">
        <v>38544</v>
      </c>
      <c r="B10296" s="802" t="s">
        <v>11311</v>
      </c>
      <c r="C10296" s="801" t="s">
        <v>661</v>
      </c>
      <c r="D10296" s="803">
        <v>9.31</v>
      </c>
    </row>
    <row r="10297" spans="1:4">
      <c r="A10297" s="801">
        <v>38545</v>
      </c>
      <c r="B10297" s="802" t="s">
        <v>11312</v>
      </c>
      <c r="C10297" s="801" t="s">
        <v>661</v>
      </c>
      <c r="D10297" s="803">
        <v>5.98</v>
      </c>
    </row>
    <row r="10298" spans="1:4" ht="25.5">
      <c r="A10298" s="801">
        <v>42527</v>
      </c>
      <c r="B10298" s="802" t="s">
        <v>11313</v>
      </c>
      <c r="C10298" s="801" t="s">
        <v>661</v>
      </c>
      <c r="D10298" s="803">
        <v>23.75</v>
      </c>
    </row>
    <row r="10299" spans="1:4" ht="25.5">
      <c r="A10299" s="801">
        <v>39323</v>
      </c>
      <c r="B10299" s="802" t="s">
        <v>11314</v>
      </c>
      <c r="C10299" s="801" t="s">
        <v>661</v>
      </c>
      <c r="D10299" s="803">
        <v>22.83</v>
      </c>
    </row>
    <row r="10300" spans="1:4" ht="38.25">
      <c r="A10300" s="801">
        <v>626</v>
      </c>
      <c r="B10300" s="802" t="s">
        <v>4711</v>
      </c>
      <c r="C10300" s="801" t="s">
        <v>653</v>
      </c>
      <c r="D10300" s="803">
        <v>32.840000000000003</v>
      </c>
    </row>
    <row r="10301" spans="1:4" ht="25.5">
      <c r="A10301" s="801">
        <v>44504</v>
      </c>
      <c r="B10301" s="802" t="s">
        <v>11315</v>
      </c>
      <c r="C10301" s="801" t="s">
        <v>661</v>
      </c>
      <c r="D10301" s="803">
        <v>14.77</v>
      </c>
    </row>
    <row r="10302" spans="1:4" ht="25.5">
      <c r="A10302" s="801">
        <v>44505</v>
      </c>
      <c r="B10302" s="802" t="s">
        <v>11316</v>
      </c>
      <c r="C10302" s="801" t="s">
        <v>661</v>
      </c>
      <c r="D10302" s="803">
        <v>22.29</v>
      </c>
    </row>
    <row r="10303" spans="1:4" ht="25.5">
      <c r="A10303" s="801">
        <v>44506</v>
      </c>
      <c r="B10303" s="802" t="s">
        <v>11317</v>
      </c>
      <c r="C10303" s="801" t="s">
        <v>661</v>
      </c>
      <c r="D10303" s="803">
        <v>23.66</v>
      </c>
    </row>
    <row r="10304" spans="1:4" ht="25.5">
      <c r="A10304" s="801">
        <v>44507</v>
      </c>
      <c r="B10304" s="802" t="s">
        <v>11318</v>
      </c>
      <c r="C10304" s="801" t="s">
        <v>661</v>
      </c>
      <c r="D10304" s="803">
        <v>29.58</v>
      </c>
    </row>
    <row r="10305" spans="1:4" ht="25.5">
      <c r="A10305" s="801">
        <v>44508</v>
      </c>
      <c r="B10305" s="802" t="s">
        <v>11319</v>
      </c>
      <c r="C10305" s="801" t="s">
        <v>661</v>
      </c>
      <c r="D10305" s="803">
        <v>44.36</v>
      </c>
    </row>
    <row r="10306" spans="1:4" ht="25.5">
      <c r="A10306" s="801">
        <v>44509</v>
      </c>
      <c r="B10306" s="802" t="s">
        <v>11320</v>
      </c>
      <c r="C10306" s="801" t="s">
        <v>661</v>
      </c>
      <c r="D10306" s="803">
        <v>59.42</v>
      </c>
    </row>
    <row r="10307" spans="1:4" ht="25.5">
      <c r="A10307" s="801">
        <v>44510</v>
      </c>
      <c r="B10307" s="802" t="s">
        <v>11321</v>
      </c>
      <c r="C10307" s="801" t="s">
        <v>661</v>
      </c>
      <c r="D10307" s="803">
        <v>73.790000000000006</v>
      </c>
    </row>
    <row r="10308" spans="1:4" ht="25.5">
      <c r="A10308" s="801">
        <v>44512</v>
      </c>
      <c r="B10308" s="802" t="s">
        <v>11322</v>
      </c>
      <c r="C10308" s="801" t="s">
        <v>661</v>
      </c>
      <c r="D10308" s="803">
        <v>16.47</v>
      </c>
    </row>
    <row r="10309" spans="1:4" ht="25.5">
      <c r="A10309" s="801">
        <v>44513</v>
      </c>
      <c r="B10309" s="802" t="s">
        <v>11323</v>
      </c>
      <c r="C10309" s="801" t="s">
        <v>661</v>
      </c>
      <c r="D10309" s="803">
        <v>23.25</v>
      </c>
    </row>
    <row r="10310" spans="1:4" ht="25.5">
      <c r="A10310" s="801">
        <v>44514</v>
      </c>
      <c r="B10310" s="802" t="s">
        <v>11324</v>
      </c>
      <c r="C10310" s="801" t="s">
        <v>661</v>
      </c>
      <c r="D10310" s="803">
        <v>26.35</v>
      </c>
    </row>
    <row r="10311" spans="1:4" ht="25.5">
      <c r="A10311" s="801">
        <v>44515</v>
      </c>
      <c r="B10311" s="802" t="s">
        <v>11325</v>
      </c>
      <c r="C10311" s="801" t="s">
        <v>661</v>
      </c>
      <c r="D10311" s="803">
        <v>32.36</v>
      </c>
    </row>
    <row r="10312" spans="1:4" ht="25.5">
      <c r="A10312" s="801">
        <v>44511</v>
      </c>
      <c r="B10312" s="802" t="s">
        <v>11326</v>
      </c>
      <c r="C10312" s="801" t="s">
        <v>661</v>
      </c>
      <c r="D10312" s="803">
        <v>47.9</v>
      </c>
    </row>
    <row r="10313" spans="1:4" ht="25.5">
      <c r="A10313" s="801">
        <v>44516</v>
      </c>
      <c r="B10313" s="802" t="s">
        <v>11327</v>
      </c>
      <c r="C10313" s="801" t="s">
        <v>661</v>
      </c>
      <c r="D10313" s="803">
        <v>64.73</v>
      </c>
    </row>
    <row r="10314" spans="1:4" ht="25.5">
      <c r="A10314" s="801">
        <v>44517</v>
      </c>
      <c r="B10314" s="802" t="s">
        <v>11328</v>
      </c>
      <c r="C10314" s="801" t="s">
        <v>661</v>
      </c>
      <c r="D10314" s="803">
        <v>80.739999999999995</v>
      </c>
    </row>
    <row r="10315" spans="1:4" ht="25.5">
      <c r="A10315" s="801">
        <v>11479</v>
      </c>
      <c r="B10315" s="802" t="s">
        <v>11329</v>
      </c>
      <c r="C10315" s="801" t="s">
        <v>656</v>
      </c>
      <c r="D10315" s="803">
        <v>32.58</v>
      </c>
    </row>
    <row r="10316" spans="1:4" ht="25.5">
      <c r="A10316" s="801">
        <v>11481</v>
      </c>
      <c r="B10316" s="802" t="s">
        <v>11330</v>
      </c>
      <c r="C10316" s="801" t="s">
        <v>656</v>
      </c>
      <c r="D10316" s="803">
        <v>29.47</v>
      </c>
    </row>
    <row r="10317" spans="1:4" ht="25.5">
      <c r="A10317" s="801">
        <v>43609</v>
      </c>
      <c r="B10317" s="802" t="s">
        <v>11331</v>
      </c>
      <c r="C10317" s="801" t="s">
        <v>656</v>
      </c>
      <c r="D10317" s="803">
        <v>29.47</v>
      </c>
    </row>
    <row r="10318" spans="1:4" ht="25.5">
      <c r="A10318" s="801">
        <v>11478</v>
      </c>
      <c r="B10318" s="802" t="s">
        <v>11332</v>
      </c>
      <c r="C10318" s="801" t="s">
        <v>656</v>
      </c>
      <c r="D10318" s="803">
        <v>55.9</v>
      </c>
    </row>
    <row r="10319" spans="1:4" ht="25.5">
      <c r="A10319" s="801">
        <v>43608</v>
      </c>
      <c r="B10319" s="802" t="s">
        <v>11333</v>
      </c>
      <c r="C10319" s="801" t="s">
        <v>656</v>
      </c>
      <c r="D10319" s="803">
        <v>42.66</v>
      </c>
    </row>
    <row r="10320" spans="1:4" ht="25.5">
      <c r="A10320" s="801">
        <v>11476</v>
      </c>
      <c r="B10320" s="802" t="s">
        <v>11334</v>
      </c>
      <c r="C10320" s="801" t="s">
        <v>656</v>
      </c>
      <c r="D10320" s="803">
        <v>42.66</v>
      </c>
    </row>
    <row r="10321" spans="1:4" ht="25.5">
      <c r="A10321" s="801">
        <v>40637</v>
      </c>
      <c r="B10321" s="802" t="s">
        <v>11335</v>
      </c>
      <c r="C10321" s="801" t="s">
        <v>656</v>
      </c>
      <c r="D10321" s="803">
        <v>723336.37</v>
      </c>
    </row>
    <row r="10322" spans="1:4" ht="25.5">
      <c r="A10322" s="801">
        <v>13836</v>
      </c>
      <c r="B10322" s="802" t="s">
        <v>4712</v>
      </c>
      <c r="C10322" s="801" t="s">
        <v>656</v>
      </c>
      <c r="D10322" s="803">
        <v>70491.09</v>
      </c>
    </row>
    <row r="10323" spans="1:4" ht="38.25">
      <c r="A10323" s="801">
        <v>14534</v>
      </c>
      <c r="B10323" s="802" t="s">
        <v>11336</v>
      </c>
      <c r="C10323" s="801" t="s">
        <v>656</v>
      </c>
      <c r="D10323" s="803">
        <v>29509.43</v>
      </c>
    </row>
    <row r="10324" spans="1:4" ht="25.5">
      <c r="A10324" s="801">
        <v>14619</v>
      </c>
      <c r="B10324" s="802" t="s">
        <v>11337</v>
      </c>
      <c r="C10324" s="801" t="s">
        <v>656</v>
      </c>
      <c r="D10324" s="803">
        <v>20705.2</v>
      </c>
    </row>
    <row r="10325" spans="1:4" ht="51">
      <c r="A10325" s="801">
        <v>14535</v>
      </c>
      <c r="B10325" s="802" t="s">
        <v>11338</v>
      </c>
      <c r="C10325" s="801" t="s">
        <v>656</v>
      </c>
      <c r="D10325" s="803">
        <v>292883.95</v>
      </c>
    </row>
    <row r="10326" spans="1:4" ht="63.75">
      <c r="A10326" s="801">
        <v>39813</v>
      </c>
      <c r="B10326" s="802" t="s">
        <v>11339</v>
      </c>
      <c r="C10326" s="801" t="s">
        <v>656</v>
      </c>
      <c r="D10326" s="803">
        <v>30783.51</v>
      </c>
    </row>
    <row r="10327" spans="1:4" ht="51">
      <c r="A10327" s="801">
        <v>40403</v>
      </c>
      <c r="B10327" s="802" t="s">
        <v>11340</v>
      </c>
      <c r="C10327" s="801" t="s">
        <v>656</v>
      </c>
      <c r="D10327" s="803">
        <v>771.66</v>
      </c>
    </row>
    <row r="10328" spans="1:4">
      <c r="A10328" s="801">
        <v>12868</v>
      </c>
      <c r="B10328" s="802" t="s">
        <v>13457</v>
      </c>
      <c r="C10328" s="801" t="s">
        <v>659</v>
      </c>
      <c r="D10328" s="803">
        <v>12.71</v>
      </c>
    </row>
    <row r="10329" spans="1:4">
      <c r="A10329" s="801">
        <v>40916</v>
      </c>
      <c r="B10329" s="802" t="s">
        <v>11341</v>
      </c>
      <c r="C10329" s="801" t="s">
        <v>772</v>
      </c>
      <c r="D10329" s="803">
        <v>2246.92</v>
      </c>
    </row>
    <row r="10330" spans="1:4">
      <c r="A10330" s="801">
        <v>4755</v>
      </c>
      <c r="B10330" s="802" t="s">
        <v>11342</v>
      </c>
      <c r="C10330" s="801" t="s">
        <v>659</v>
      </c>
      <c r="D10330" s="803">
        <v>13.73</v>
      </c>
    </row>
    <row r="10331" spans="1:4">
      <c r="A10331" s="801">
        <v>41067</v>
      </c>
      <c r="B10331" s="802" t="s">
        <v>11343</v>
      </c>
      <c r="C10331" s="801" t="s">
        <v>772</v>
      </c>
      <c r="D10331" s="803">
        <v>2424.4299999999998</v>
      </c>
    </row>
    <row r="10332" spans="1:4">
      <c r="A10332" s="801">
        <v>38463</v>
      </c>
      <c r="B10332" s="802" t="s">
        <v>11344</v>
      </c>
      <c r="C10332" s="801" t="s">
        <v>656</v>
      </c>
      <c r="D10332" s="803">
        <v>31.7</v>
      </c>
    </row>
    <row r="10333" spans="1:4" ht="38.25">
      <c r="A10333" s="801">
        <v>40703</v>
      </c>
      <c r="B10333" s="802" t="s">
        <v>11345</v>
      </c>
      <c r="C10333" s="801" t="s">
        <v>656</v>
      </c>
      <c r="D10333" s="803">
        <v>11084.5</v>
      </c>
    </row>
    <row r="10334" spans="1:4" ht="25.5">
      <c r="A10334" s="801">
        <v>14531</v>
      </c>
      <c r="B10334" s="802" t="s">
        <v>11346</v>
      </c>
      <c r="C10334" s="801" t="s">
        <v>656</v>
      </c>
      <c r="D10334" s="803">
        <v>20665.68</v>
      </c>
    </row>
    <row r="10335" spans="1:4" ht="25.5">
      <c r="A10335" s="801">
        <v>36533</v>
      </c>
      <c r="B10335" s="802" t="s">
        <v>11347</v>
      </c>
      <c r="C10335" s="801" t="s">
        <v>656</v>
      </c>
      <c r="D10335" s="803">
        <v>23780.92</v>
      </c>
    </row>
    <row r="10336" spans="1:4" ht="25.5">
      <c r="A10336" s="801">
        <v>11616</v>
      </c>
      <c r="B10336" s="802" t="s">
        <v>11348</v>
      </c>
      <c r="C10336" s="801" t="s">
        <v>656</v>
      </c>
      <c r="D10336" s="803">
        <v>22460.720000000001</v>
      </c>
    </row>
    <row r="10337" spans="1:4" ht="25.5">
      <c r="A10337" s="801">
        <v>41898</v>
      </c>
      <c r="B10337" s="802" t="s">
        <v>4713</v>
      </c>
      <c r="C10337" s="801" t="s">
        <v>656</v>
      </c>
      <c r="D10337" s="803">
        <v>25271.37</v>
      </c>
    </row>
    <row r="10338" spans="1:4" ht="25.5">
      <c r="A10338" s="801">
        <v>13447</v>
      </c>
      <c r="B10338" s="802" t="s">
        <v>11349</v>
      </c>
      <c r="C10338" s="801" t="s">
        <v>656</v>
      </c>
      <c r="D10338" s="803">
        <v>46501.06</v>
      </c>
    </row>
    <row r="10339" spans="1:4" ht="25.5">
      <c r="A10339" s="801">
        <v>14529</v>
      </c>
      <c r="B10339" s="802" t="s">
        <v>11350</v>
      </c>
      <c r="C10339" s="801" t="s">
        <v>656</v>
      </c>
      <c r="D10339" s="803">
        <v>26006.86</v>
      </c>
    </row>
    <row r="10340" spans="1:4" ht="25.5">
      <c r="A10340" s="801">
        <v>10747</v>
      </c>
      <c r="B10340" s="802" t="s">
        <v>11351</v>
      </c>
      <c r="C10340" s="801" t="s">
        <v>656</v>
      </c>
      <c r="D10340" s="803">
        <v>25516.7</v>
      </c>
    </row>
    <row r="10341" spans="1:4" ht="25.5">
      <c r="A10341" s="801">
        <v>36141</v>
      </c>
      <c r="B10341" s="802" t="s">
        <v>11352</v>
      </c>
      <c r="C10341" s="801" t="s">
        <v>656</v>
      </c>
      <c r="D10341" s="803">
        <v>54</v>
      </c>
    </row>
    <row r="10342" spans="1:4">
      <c r="A10342" s="801">
        <v>43651</v>
      </c>
      <c r="B10342" s="802" t="s">
        <v>11353</v>
      </c>
      <c r="C10342" s="801" t="s">
        <v>653</v>
      </c>
      <c r="D10342" s="803">
        <v>5.99</v>
      </c>
    </row>
    <row r="10343" spans="1:4">
      <c r="A10343" s="801">
        <v>43626</v>
      </c>
      <c r="B10343" s="802" t="s">
        <v>11354</v>
      </c>
      <c r="C10343" s="801" t="s">
        <v>653</v>
      </c>
      <c r="D10343" s="803">
        <v>3.33</v>
      </c>
    </row>
    <row r="10344" spans="1:4" ht="38.25">
      <c r="A10344" s="801">
        <v>39434</v>
      </c>
      <c r="B10344" s="802" t="s">
        <v>11355</v>
      </c>
      <c r="C10344" s="801" t="s">
        <v>653</v>
      </c>
      <c r="D10344" s="803">
        <v>3.72</v>
      </c>
    </row>
    <row r="10345" spans="1:4" ht="25.5">
      <c r="A10345" s="801">
        <v>39433</v>
      </c>
      <c r="B10345" s="802" t="s">
        <v>11356</v>
      </c>
      <c r="C10345" s="801" t="s">
        <v>653</v>
      </c>
      <c r="D10345" s="803">
        <v>2.96</v>
      </c>
    </row>
    <row r="10346" spans="1:4">
      <c r="A10346" s="801">
        <v>4049</v>
      </c>
      <c r="B10346" s="802" t="s">
        <v>11357</v>
      </c>
      <c r="C10346" s="801" t="s">
        <v>655</v>
      </c>
      <c r="D10346" s="803">
        <v>66.83</v>
      </c>
    </row>
    <row r="10347" spans="1:4">
      <c r="A10347" s="801">
        <v>38120</v>
      </c>
      <c r="B10347" s="802" t="s">
        <v>11358</v>
      </c>
      <c r="C10347" s="801" t="s">
        <v>653</v>
      </c>
      <c r="D10347" s="803">
        <v>233.71</v>
      </c>
    </row>
    <row r="10348" spans="1:4">
      <c r="A10348" s="801">
        <v>43652</v>
      </c>
      <c r="B10348" s="802" t="s">
        <v>11359</v>
      </c>
      <c r="C10348" s="801" t="s">
        <v>653</v>
      </c>
      <c r="D10348" s="803">
        <v>13.42</v>
      </c>
    </row>
    <row r="10349" spans="1:4">
      <c r="A10349" s="801">
        <v>10498</v>
      </c>
      <c r="B10349" s="802" t="s">
        <v>11360</v>
      </c>
      <c r="C10349" s="801" t="s">
        <v>653</v>
      </c>
      <c r="D10349" s="803">
        <v>15.02</v>
      </c>
    </row>
    <row r="10350" spans="1:4">
      <c r="A10350" s="801">
        <v>4823</v>
      </c>
      <c r="B10350" s="802" t="s">
        <v>11361</v>
      </c>
      <c r="C10350" s="801" t="s">
        <v>653</v>
      </c>
      <c r="D10350" s="803">
        <v>40.53</v>
      </c>
    </row>
    <row r="10351" spans="1:4" ht="25.5">
      <c r="A10351" s="801">
        <v>38877</v>
      </c>
      <c r="B10351" s="802" t="s">
        <v>11362</v>
      </c>
      <c r="C10351" s="801" t="s">
        <v>653</v>
      </c>
      <c r="D10351" s="803">
        <v>5.34</v>
      </c>
    </row>
    <row r="10352" spans="1:4" ht="25.5">
      <c r="A10352" s="801">
        <v>34546</v>
      </c>
      <c r="B10352" s="802" t="s">
        <v>11363</v>
      </c>
      <c r="C10352" s="801" t="s">
        <v>653</v>
      </c>
      <c r="D10352" s="803">
        <v>5.49</v>
      </c>
    </row>
    <row r="10353" spans="1:4">
      <c r="A10353" s="801">
        <v>41387</v>
      </c>
      <c r="B10353" s="802" t="s">
        <v>11364</v>
      </c>
      <c r="C10353" s="801" t="s">
        <v>660</v>
      </c>
      <c r="D10353" s="803">
        <v>53.47</v>
      </c>
    </row>
    <row r="10354" spans="1:4">
      <c r="A10354" s="801">
        <v>41388</v>
      </c>
      <c r="B10354" s="802" t="s">
        <v>11365</v>
      </c>
      <c r="C10354" s="801" t="s">
        <v>660</v>
      </c>
      <c r="D10354" s="803">
        <v>64.150000000000006</v>
      </c>
    </row>
    <row r="10355" spans="1:4" ht="25.5">
      <c r="A10355" s="801">
        <v>41380</v>
      </c>
      <c r="B10355" s="802" t="s">
        <v>11366</v>
      </c>
      <c r="C10355" s="801" t="s">
        <v>656</v>
      </c>
      <c r="D10355" s="803">
        <v>426.81</v>
      </c>
    </row>
    <row r="10356" spans="1:4" ht="25.5">
      <c r="A10356" s="801">
        <v>41381</v>
      </c>
      <c r="B10356" s="802" t="s">
        <v>11367</v>
      </c>
      <c r="C10356" s="801" t="s">
        <v>656</v>
      </c>
      <c r="D10356" s="803">
        <v>447.13</v>
      </c>
    </row>
    <row r="10357" spans="1:4" ht="25.5">
      <c r="A10357" s="801">
        <v>41382</v>
      </c>
      <c r="B10357" s="802" t="s">
        <v>11368</v>
      </c>
      <c r="C10357" s="801" t="s">
        <v>656</v>
      </c>
      <c r="D10357" s="803">
        <v>432.8</v>
      </c>
    </row>
    <row r="10358" spans="1:4" ht="25.5">
      <c r="A10358" s="801">
        <v>41383</v>
      </c>
      <c r="B10358" s="802" t="s">
        <v>11369</v>
      </c>
      <c r="C10358" s="801" t="s">
        <v>656</v>
      </c>
      <c r="D10358" s="803">
        <v>587.44000000000005</v>
      </c>
    </row>
    <row r="10359" spans="1:4" ht="25.5">
      <c r="A10359" s="801">
        <v>41385</v>
      </c>
      <c r="B10359" s="802" t="s">
        <v>11370</v>
      </c>
      <c r="C10359" s="801" t="s">
        <v>656</v>
      </c>
      <c r="D10359" s="803">
        <v>730.99</v>
      </c>
    </row>
    <row r="10360" spans="1:4" ht="25.5">
      <c r="A10360" s="801">
        <v>11079</v>
      </c>
      <c r="B10360" s="802" t="s">
        <v>11371</v>
      </c>
      <c r="C10360" s="801" t="s">
        <v>654</v>
      </c>
      <c r="D10360" s="803">
        <v>1758.02</v>
      </c>
    </row>
    <row r="10361" spans="1:4" ht="25.5">
      <c r="A10361" s="801">
        <v>11082</v>
      </c>
      <c r="B10361" s="802" t="s">
        <v>11372</v>
      </c>
      <c r="C10361" s="801" t="s">
        <v>654</v>
      </c>
      <c r="D10361" s="803">
        <v>1758.02</v>
      </c>
    </row>
    <row r="10362" spans="1:4">
      <c r="A10362" s="801">
        <v>4058</v>
      </c>
      <c r="B10362" s="802" t="s">
        <v>11373</v>
      </c>
      <c r="C10362" s="801" t="s">
        <v>659</v>
      </c>
      <c r="D10362" s="803">
        <v>15.56</v>
      </c>
    </row>
    <row r="10363" spans="1:4">
      <c r="A10363" s="801">
        <v>40974</v>
      </c>
      <c r="B10363" s="802" t="s">
        <v>11374</v>
      </c>
      <c r="C10363" s="801" t="s">
        <v>772</v>
      </c>
      <c r="D10363" s="803">
        <v>2747.61</v>
      </c>
    </row>
    <row r="10364" spans="1:4">
      <c r="A10364" s="801">
        <v>34794</v>
      </c>
      <c r="B10364" s="802" t="s">
        <v>11375</v>
      </c>
      <c r="C10364" s="801" t="s">
        <v>659</v>
      </c>
      <c r="D10364" s="803">
        <v>15.61</v>
      </c>
    </row>
    <row r="10365" spans="1:4">
      <c r="A10365" s="801">
        <v>40925</v>
      </c>
      <c r="B10365" s="802" t="s">
        <v>11376</v>
      </c>
      <c r="C10365" s="801" t="s">
        <v>772</v>
      </c>
      <c r="D10365" s="803">
        <v>2758.84</v>
      </c>
    </row>
    <row r="10366" spans="1:4" ht="25.5">
      <c r="A10366" s="801">
        <v>13741</v>
      </c>
      <c r="B10366" s="802" t="s">
        <v>11377</v>
      </c>
      <c r="C10366" s="801" t="s">
        <v>656</v>
      </c>
      <c r="D10366" s="803">
        <v>2436.12</v>
      </c>
    </row>
    <row r="10367" spans="1:4" ht="25.5">
      <c r="A10367" s="801">
        <v>3288</v>
      </c>
      <c r="B10367" s="802" t="s">
        <v>11378</v>
      </c>
      <c r="C10367" s="801" t="s">
        <v>660</v>
      </c>
      <c r="D10367" s="803">
        <v>5.99</v>
      </c>
    </row>
    <row r="10368" spans="1:4" ht="25.5">
      <c r="A10368" s="801">
        <v>13587</v>
      </c>
      <c r="B10368" s="802" t="s">
        <v>11379</v>
      </c>
      <c r="C10368" s="801" t="s">
        <v>660</v>
      </c>
      <c r="D10368" s="803">
        <v>3.62</v>
      </c>
    </row>
    <row r="10369" spans="1:4" ht="25.5">
      <c r="A10369" s="801">
        <v>38598</v>
      </c>
      <c r="B10369" s="802" t="s">
        <v>11380</v>
      </c>
      <c r="C10369" s="801" t="s">
        <v>656</v>
      </c>
      <c r="D10369" s="803">
        <v>3.06</v>
      </c>
    </row>
    <row r="10370" spans="1:4" ht="25.5">
      <c r="A10370" s="801">
        <v>38595</v>
      </c>
      <c r="B10370" s="802" t="s">
        <v>11381</v>
      </c>
      <c r="C10370" s="801" t="s">
        <v>656</v>
      </c>
      <c r="D10370" s="803">
        <v>2.59</v>
      </c>
    </row>
    <row r="10371" spans="1:4" ht="25.5">
      <c r="A10371" s="801">
        <v>38592</v>
      </c>
      <c r="B10371" s="802" t="s">
        <v>11382</v>
      </c>
      <c r="C10371" s="801" t="s">
        <v>656</v>
      </c>
      <c r="D10371" s="803">
        <v>2.62</v>
      </c>
    </row>
    <row r="10372" spans="1:4" ht="25.5">
      <c r="A10372" s="801">
        <v>38588</v>
      </c>
      <c r="B10372" s="802" t="s">
        <v>11383</v>
      </c>
      <c r="C10372" s="801" t="s">
        <v>656</v>
      </c>
      <c r="D10372" s="803">
        <v>2.1</v>
      </c>
    </row>
    <row r="10373" spans="1:4" ht="25.5">
      <c r="A10373" s="801">
        <v>38593</v>
      </c>
      <c r="B10373" s="802" t="s">
        <v>11384</v>
      </c>
      <c r="C10373" s="801" t="s">
        <v>656</v>
      </c>
      <c r="D10373" s="803">
        <v>2.9</v>
      </c>
    </row>
    <row r="10374" spans="1:4" ht="25.5">
      <c r="A10374" s="801">
        <v>38589</v>
      </c>
      <c r="B10374" s="802" t="s">
        <v>11385</v>
      </c>
      <c r="C10374" s="801" t="s">
        <v>656</v>
      </c>
      <c r="D10374" s="803">
        <v>2.2000000000000002</v>
      </c>
    </row>
    <row r="10375" spans="1:4" ht="25.5">
      <c r="A10375" s="801">
        <v>38594</v>
      </c>
      <c r="B10375" s="802" t="s">
        <v>11386</v>
      </c>
      <c r="C10375" s="801" t="s">
        <v>656</v>
      </c>
      <c r="D10375" s="803">
        <v>4.57</v>
      </c>
    </row>
    <row r="10376" spans="1:4" ht="25.5">
      <c r="A10376" s="801">
        <v>34773</v>
      </c>
      <c r="B10376" s="802" t="s">
        <v>11387</v>
      </c>
      <c r="C10376" s="801" t="s">
        <v>656</v>
      </c>
      <c r="D10376" s="803">
        <v>2.16</v>
      </c>
    </row>
    <row r="10377" spans="1:4" ht="25.5">
      <c r="A10377" s="801">
        <v>34769</v>
      </c>
      <c r="B10377" s="802" t="s">
        <v>11388</v>
      </c>
      <c r="C10377" s="801" t="s">
        <v>656</v>
      </c>
      <c r="D10377" s="803">
        <v>2.68</v>
      </c>
    </row>
    <row r="10378" spans="1:4" ht="25.5">
      <c r="A10378" s="801">
        <v>34763</v>
      </c>
      <c r="B10378" s="802" t="s">
        <v>11389</v>
      </c>
      <c r="C10378" s="801" t="s">
        <v>656</v>
      </c>
      <c r="D10378" s="803">
        <v>1.65</v>
      </c>
    </row>
    <row r="10379" spans="1:4" ht="25.5">
      <c r="A10379" s="801">
        <v>34774</v>
      </c>
      <c r="B10379" s="802" t="s">
        <v>11390</v>
      </c>
      <c r="C10379" s="801" t="s">
        <v>656</v>
      </c>
      <c r="D10379" s="803">
        <v>2.0499999999999998</v>
      </c>
    </row>
    <row r="10380" spans="1:4" ht="25.5">
      <c r="A10380" s="801">
        <v>34771</v>
      </c>
      <c r="B10380" s="802" t="s">
        <v>11391</v>
      </c>
      <c r="C10380" s="801" t="s">
        <v>656</v>
      </c>
      <c r="D10380" s="803">
        <v>2.4700000000000002</v>
      </c>
    </row>
    <row r="10381" spans="1:4" ht="25.5">
      <c r="A10381" s="801">
        <v>34764</v>
      </c>
      <c r="B10381" s="802" t="s">
        <v>11392</v>
      </c>
      <c r="C10381" s="801" t="s">
        <v>656</v>
      </c>
      <c r="D10381" s="803">
        <v>1.62</v>
      </c>
    </row>
    <row r="10382" spans="1:4" ht="25.5">
      <c r="A10382" s="801">
        <v>34788</v>
      </c>
      <c r="B10382" s="802" t="s">
        <v>4714</v>
      </c>
      <c r="C10382" s="801" t="s">
        <v>656</v>
      </c>
      <c r="D10382" s="803">
        <v>1.65</v>
      </c>
    </row>
    <row r="10383" spans="1:4" ht="25.5">
      <c r="A10383" s="801">
        <v>34781</v>
      </c>
      <c r="B10383" s="802" t="s">
        <v>11393</v>
      </c>
      <c r="C10383" s="801" t="s">
        <v>656</v>
      </c>
      <c r="D10383" s="803">
        <v>1.87</v>
      </c>
    </row>
    <row r="10384" spans="1:4" ht="25.5">
      <c r="A10384" s="801">
        <v>41682</v>
      </c>
      <c r="B10384" s="802" t="s">
        <v>11394</v>
      </c>
      <c r="C10384" s="801" t="s">
        <v>656</v>
      </c>
      <c r="D10384" s="803">
        <v>33.4</v>
      </c>
    </row>
    <row r="10385" spans="1:4" ht="25.5">
      <c r="A10385" s="801">
        <v>41683</v>
      </c>
      <c r="B10385" s="802" t="s">
        <v>11395</v>
      </c>
      <c r="C10385" s="801" t="s">
        <v>656</v>
      </c>
      <c r="D10385" s="803">
        <v>24.57</v>
      </c>
    </row>
    <row r="10386" spans="1:4" ht="25.5">
      <c r="A10386" s="801">
        <v>41680</v>
      </c>
      <c r="B10386" s="802" t="s">
        <v>11396</v>
      </c>
      <c r="C10386" s="801" t="s">
        <v>656</v>
      </c>
      <c r="D10386" s="803">
        <v>13.23</v>
      </c>
    </row>
    <row r="10387" spans="1:4" ht="25.5">
      <c r="A10387" s="801">
        <v>41679</v>
      </c>
      <c r="B10387" s="802" t="s">
        <v>11397</v>
      </c>
      <c r="C10387" s="801" t="s">
        <v>656</v>
      </c>
      <c r="D10387" s="803">
        <v>30.24</v>
      </c>
    </row>
    <row r="10388" spans="1:4" ht="25.5">
      <c r="A10388" s="801">
        <v>41681</v>
      </c>
      <c r="B10388" s="802" t="s">
        <v>11398</v>
      </c>
      <c r="C10388" s="801" t="s">
        <v>656</v>
      </c>
      <c r="D10388" s="803">
        <v>20.69</v>
      </c>
    </row>
    <row r="10389" spans="1:4" ht="25.5">
      <c r="A10389" s="801">
        <v>43386</v>
      </c>
      <c r="B10389" s="802" t="s">
        <v>11399</v>
      </c>
      <c r="C10389" s="801" t="s">
        <v>656</v>
      </c>
      <c r="D10389" s="803">
        <v>47.25</v>
      </c>
    </row>
    <row r="10390" spans="1:4" ht="25.5">
      <c r="A10390" s="801">
        <v>4059</v>
      </c>
      <c r="B10390" s="802" t="s">
        <v>11400</v>
      </c>
      <c r="C10390" s="801" t="s">
        <v>660</v>
      </c>
      <c r="D10390" s="803">
        <v>33.4</v>
      </c>
    </row>
    <row r="10391" spans="1:4" ht="25.5">
      <c r="A10391" s="801">
        <v>4062</v>
      </c>
      <c r="B10391" s="802" t="s">
        <v>11401</v>
      </c>
      <c r="C10391" s="801" t="s">
        <v>656</v>
      </c>
      <c r="D10391" s="803">
        <v>33.4</v>
      </c>
    </row>
    <row r="10392" spans="1:4" ht="25.5">
      <c r="A10392" s="801">
        <v>4061</v>
      </c>
      <c r="B10392" s="802" t="s">
        <v>11402</v>
      </c>
      <c r="C10392" s="801" t="s">
        <v>656</v>
      </c>
      <c r="D10392" s="803">
        <v>41.58</v>
      </c>
    </row>
    <row r="10393" spans="1:4" ht="25.5">
      <c r="A10393" s="801">
        <v>41315</v>
      </c>
      <c r="B10393" s="802" t="s">
        <v>11403</v>
      </c>
      <c r="C10393" s="801" t="s">
        <v>653</v>
      </c>
      <c r="D10393" s="803">
        <v>66.91</v>
      </c>
    </row>
    <row r="10394" spans="1:4">
      <c r="A10394" s="801">
        <v>43148</v>
      </c>
      <c r="B10394" s="802" t="s">
        <v>11404</v>
      </c>
      <c r="C10394" s="801" t="s">
        <v>653</v>
      </c>
      <c r="D10394" s="803">
        <v>45.41</v>
      </c>
    </row>
    <row r="10395" spans="1:4">
      <c r="A10395" s="801">
        <v>43147</v>
      </c>
      <c r="B10395" s="802" t="s">
        <v>11405</v>
      </c>
      <c r="C10395" s="801" t="s">
        <v>653</v>
      </c>
      <c r="D10395" s="803">
        <v>17.59</v>
      </c>
    </row>
    <row r="10396" spans="1:4" ht="25.5">
      <c r="A10396" s="801">
        <v>10608</v>
      </c>
      <c r="B10396" s="802" t="s">
        <v>11406</v>
      </c>
      <c r="C10396" s="801" t="s">
        <v>656</v>
      </c>
      <c r="D10396" s="803">
        <v>10084.049999999999</v>
      </c>
    </row>
    <row r="10397" spans="1:4">
      <c r="A10397" s="801">
        <v>4069</v>
      </c>
      <c r="B10397" s="802" t="s">
        <v>11407</v>
      </c>
      <c r="C10397" s="801" t="s">
        <v>659</v>
      </c>
      <c r="D10397" s="803">
        <v>27.86</v>
      </c>
    </row>
    <row r="10398" spans="1:4">
      <c r="A10398" s="801">
        <v>40819</v>
      </c>
      <c r="B10398" s="802" t="s">
        <v>11408</v>
      </c>
      <c r="C10398" s="801" t="s">
        <v>772</v>
      </c>
      <c r="D10398" s="803">
        <v>4922.75</v>
      </c>
    </row>
    <row r="10399" spans="1:4">
      <c r="A10399" s="801">
        <v>34361</v>
      </c>
      <c r="B10399" s="802" t="s">
        <v>11409</v>
      </c>
      <c r="C10399" s="801" t="s">
        <v>653</v>
      </c>
      <c r="D10399" s="803">
        <v>12.8</v>
      </c>
    </row>
    <row r="10400" spans="1:4" ht="25.5">
      <c r="A10400" s="801">
        <v>36512</v>
      </c>
      <c r="B10400" s="802" t="s">
        <v>11410</v>
      </c>
      <c r="C10400" s="801" t="s">
        <v>656</v>
      </c>
      <c r="D10400" s="803">
        <v>19509.32</v>
      </c>
    </row>
    <row r="10401" spans="1:4" ht="25.5">
      <c r="A10401" s="801">
        <v>44478</v>
      </c>
      <c r="B10401" s="802" t="s">
        <v>11411</v>
      </c>
      <c r="C10401" s="801" t="s">
        <v>653</v>
      </c>
      <c r="D10401" s="803">
        <v>19.690000000000001</v>
      </c>
    </row>
    <row r="10402" spans="1:4" ht="25.5">
      <c r="A10402" s="801">
        <v>44477</v>
      </c>
      <c r="B10402" s="802" t="s">
        <v>11412</v>
      </c>
      <c r="C10402" s="801" t="s">
        <v>653</v>
      </c>
      <c r="D10402" s="803">
        <v>19.690000000000001</v>
      </c>
    </row>
    <row r="10403" spans="1:4" ht="25.5">
      <c r="A10403" s="801">
        <v>11697</v>
      </c>
      <c r="B10403" s="802" t="s">
        <v>11413</v>
      </c>
      <c r="C10403" s="801" t="s">
        <v>656</v>
      </c>
      <c r="D10403" s="803">
        <v>797.05</v>
      </c>
    </row>
    <row r="10404" spans="1:4" ht="25.5">
      <c r="A10404" s="801">
        <v>11698</v>
      </c>
      <c r="B10404" s="802" t="s">
        <v>11414</v>
      </c>
      <c r="C10404" s="801" t="s">
        <v>656</v>
      </c>
      <c r="D10404" s="803">
        <v>950.84</v>
      </c>
    </row>
    <row r="10405" spans="1:4" ht="25.5">
      <c r="A10405" s="801">
        <v>10432</v>
      </c>
      <c r="B10405" s="802" t="s">
        <v>11415</v>
      </c>
      <c r="C10405" s="801" t="s">
        <v>656</v>
      </c>
      <c r="D10405" s="803">
        <v>328.02</v>
      </c>
    </row>
    <row r="10406" spans="1:4" ht="25.5">
      <c r="A10406" s="801">
        <v>11699</v>
      </c>
      <c r="B10406" s="802" t="s">
        <v>11416</v>
      </c>
      <c r="C10406" s="801" t="s">
        <v>656</v>
      </c>
      <c r="D10406" s="803">
        <v>1050.8900000000001</v>
      </c>
    </row>
    <row r="10407" spans="1:4" ht="25.5">
      <c r="A10407" s="801">
        <v>44020</v>
      </c>
      <c r="B10407" s="802" t="s">
        <v>11417</v>
      </c>
      <c r="C10407" s="801" t="s">
        <v>656</v>
      </c>
      <c r="D10407" s="803">
        <v>809.26</v>
      </c>
    </row>
    <row r="10408" spans="1:4" ht="25.5">
      <c r="A10408" s="801">
        <v>41420</v>
      </c>
      <c r="B10408" s="802" t="s">
        <v>11418</v>
      </c>
      <c r="C10408" s="801" t="s">
        <v>656</v>
      </c>
      <c r="D10408" s="803">
        <v>10.88</v>
      </c>
    </row>
    <row r="10409" spans="1:4" ht="25.5">
      <c r="A10409" s="801">
        <v>41422</v>
      </c>
      <c r="B10409" s="802" t="s">
        <v>11419</v>
      </c>
      <c r="C10409" s="801" t="s">
        <v>656</v>
      </c>
      <c r="D10409" s="803">
        <v>14.86</v>
      </c>
    </row>
    <row r="10410" spans="1:4" ht="25.5">
      <c r="A10410" s="801">
        <v>41425</v>
      </c>
      <c r="B10410" s="802" t="s">
        <v>11420</v>
      </c>
      <c r="C10410" s="801" t="s">
        <v>656</v>
      </c>
      <c r="D10410" s="803">
        <v>7.6</v>
      </c>
    </row>
    <row r="10411" spans="1:4" ht="25.5">
      <c r="A10411" s="801">
        <v>41426</v>
      </c>
      <c r="B10411" s="802" t="s">
        <v>11421</v>
      </c>
      <c r="C10411" s="801" t="s">
        <v>656</v>
      </c>
      <c r="D10411" s="803">
        <v>13.71</v>
      </c>
    </row>
    <row r="10412" spans="1:4" ht="25.5">
      <c r="A10412" s="801">
        <v>41419</v>
      </c>
      <c r="B10412" s="802" t="s">
        <v>11422</v>
      </c>
      <c r="C10412" s="801" t="s">
        <v>656</v>
      </c>
      <c r="D10412" s="803">
        <v>8</v>
      </c>
    </row>
    <row r="10413" spans="1:4" ht="25.5">
      <c r="A10413" s="801">
        <v>41421</v>
      </c>
      <c r="B10413" s="802" t="s">
        <v>11423</v>
      </c>
      <c r="C10413" s="801" t="s">
        <v>656</v>
      </c>
      <c r="D10413" s="803">
        <v>10.85</v>
      </c>
    </row>
    <row r="10414" spans="1:4" ht="25.5">
      <c r="A10414" s="801">
        <v>41414</v>
      </c>
      <c r="B10414" s="802" t="s">
        <v>11424</v>
      </c>
      <c r="C10414" s="801" t="s">
        <v>656</v>
      </c>
      <c r="D10414" s="803">
        <v>25.16</v>
      </c>
    </row>
    <row r="10415" spans="1:4" ht="25.5">
      <c r="A10415" s="801">
        <v>41415</v>
      </c>
      <c r="B10415" s="802" t="s">
        <v>11425</v>
      </c>
      <c r="C10415" s="801" t="s">
        <v>656</v>
      </c>
      <c r="D10415" s="803">
        <v>29.31</v>
      </c>
    </row>
    <row r="10416" spans="1:4" ht="25.5">
      <c r="A10416" s="801">
        <v>37514</v>
      </c>
      <c r="B10416" s="802" t="s">
        <v>11426</v>
      </c>
      <c r="C10416" s="801" t="s">
        <v>656</v>
      </c>
      <c r="D10416" s="803">
        <v>189750</v>
      </c>
    </row>
    <row r="10417" spans="1:4" ht="25.5">
      <c r="A10417" s="801">
        <v>37519</v>
      </c>
      <c r="B10417" s="802" t="s">
        <v>11427</v>
      </c>
      <c r="C10417" s="801" t="s">
        <v>656</v>
      </c>
      <c r="D10417" s="803">
        <v>292839.92</v>
      </c>
    </row>
    <row r="10418" spans="1:4" ht="25.5">
      <c r="A10418" s="801">
        <v>37520</v>
      </c>
      <c r="B10418" s="802" t="s">
        <v>4715</v>
      </c>
      <c r="C10418" s="801" t="s">
        <v>656</v>
      </c>
      <c r="D10418" s="803">
        <v>288039.26</v>
      </c>
    </row>
    <row r="10419" spans="1:4" ht="25.5">
      <c r="A10419" s="801">
        <v>37521</v>
      </c>
      <c r="B10419" s="802" t="s">
        <v>11428</v>
      </c>
      <c r="C10419" s="801" t="s">
        <v>656</v>
      </c>
      <c r="D10419" s="803">
        <v>351407.91</v>
      </c>
    </row>
    <row r="10420" spans="1:4" ht="25.5">
      <c r="A10420" s="801">
        <v>37522</v>
      </c>
      <c r="B10420" s="802" t="s">
        <v>11429</v>
      </c>
      <c r="C10420" s="801" t="s">
        <v>656</v>
      </c>
      <c r="D10420" s="803">
        <v>361980.28</v>
      </c>
    </row>
    <row r="10421" spans="1:4" ht="38.25">
      <c r="A10421" s="801">
        <v>21109</v>
      </c>
      <c r="B10421" s="802" t="s">
        <v>11430</v>
      </c>
      <c r="C10421" s="801" t="s">
        <v>656</v>
      </c>
      <c r="D10421" s="803">
        <v>48.14</v>
      </c>
    </row>
    <row r="10422" spans="1:4" ht="38.25">
      <c r="A10422" s="801">
        <v>37546</v>
      </c>
      <c r="B10422" s="802" t="s">
        <v>11431</v>
      </c>
      <c r="C10422" s="801" t="s">
        <v>656</v>
      </c>
      <c r="D10422" s="803">
        <v>13281.62</v>
      </c>
    </row>
    <row r="10423" spans="1:4" ht="38.25">
      <c r="A10423" s="801">
        <v>37544</v>
      </c>
      <c r="B10423" s="802" t="s">
        <v>4716</v>
      </c>
      <c r="C10423" s="801" t="s">
        <v>656</v>
      </c>
      <c r="D10423" s="803">
        <v>14047.54</v>
      </c>
    </row>
    <row r="10424" spans="1:4" ht="38.25">
      <c r="A10424" s="801">
        <v>37545</v>
      </c>
      <c r="B10424" s="802" t="s">
        <v>11432</v>
      </c>
      <c r="C10424" s="801" t="s">
        <v>656</v>
      </c>
      <c r="D10424" s="803">
        <v>16714.689999999999</v>
      </c>
    </row>
    <row r="10425" spans="1:4" ht="25.5">
      <c r="A10425" s="801">
        <v>36793</v>
      </c>
      <c r="B10425" s="802" t="s">
        <v>11433</v>
      </c>
      <c r="C10425" s="801" t="s">
        <v>656</v>
      </c>
      <c r="D10425" s="803">
        <v>769.71</v>
      </c>
    </row>
    <row r="10426" spans="1:4" ht="25.5">
      <c r="A10426" s="801">
        <v>11769</v>
      </c>
      <c r="B10426" s="802" t="s">
        <v>11434</v>
      </c>
      <c r="C10426" s="801" t="s">
        <v>656</v>
      </c>
      <c r="D10426" s="803">
        <v>340.15</v>
      </c>
    </row>
    <row r="10427" spans="1:4" ht="25.5">
      <c r="A10427" s="801">
        <v>11771</v>
      </c>
      <c r="B10427" s="802" t="s">
        <v>11435</v>
      </c>
      <c r="C10427" s="801" t="s">
        <v>656</v>
      </c>
      <c r="D10427" s="803">
        <v>416.64</v>
      </c>
    </row>
    <row r="10428" spans="1:4" ht="51">
      <c r="A10428" s="801">
        <v>39919</v>
      </c>
      <c r="B10428" s="802" t="s">
        <v>11436</v>
      </c>
      <c r="C10428" s="801" t="s">
        <v>656</v>
      </c>
      <c r="D10428" s="803">
        <v>66481.84</v>
      </c>
    </row>
    <row r="10429" spans="1:4" ht="25.5">
      <c r="A10429" s="801">
        <v>38385</v>
      </c>
      <c r="B10429" s="802" t="s">
        <v>11437</v>
      </c>
      <c r="C10429" s="801" t="s">
        <v>656</v>
      </c>
      <c r="D10429" s="803">
        <v>48.23</v>
      </c>
    </row>
    <row r="10430" spans="1:4" ht="25.5">
      <c r="A10430" s="801">
        <v>36800</v>
      </c>
      <c r="B10430" s="802" t="s">
        <v>11438</v>
      </c>
      <c r="C10430" s="801" t="s">
        <v>656</v>
      </c>
      <c r="D10430" s="803">
        <v>204.39</v>
      </c>
    </row>
    <row r="10431" spans="1:4" ht="25.5">
      <c r="A10431" s="801">
        <v>37587</v>
      </c>
      <c r="B10431" s="802" t="s">
        <v>11439</v>
      </c>
      <c r="C10431" s="801" t="s">
        <v>656</v>
      </c>
      <c r="D10431" s="803">
        <v>449.04</v>
      </c>
    </row>
    <row r="10432" spans="1:4" ht="38.25">
      <c r="A10432" s="801">
        <v>11561</v>
      </c>
      <c r="B10432" s="802" t="s">
        <v>11440</v>
      </c>
      <c r="C10432" s="801" t="s">
        <v>656</v>
      </c>
      <c r="D10432" s="803">
        <v>248.85</v>
      </c>
    </row>
    <row r="10433" spans="1:4" ht="38.25">
      <c r="A10433" s="801">
        <v>43604</v>
      </c>
      <c r="B10433" s="802" t="s">
        <v>11441</v>
      </c>
      <c r="C10433" s="801" t="s">
        <v>656</v>
      </c>
      <c r="D10433" s="803">
        <v>132.66</v>
      </c>
    </row>
    <row r="10434" spans="1:4" ht="38.25">
      <c r="A10434" s="801">
        <v>11560</v>
      </c>
      <c r="B10434" s="802" t="s">
        <v>11442</v>
      </c>
      <c r="C10434" s="801" t="s">
        <v>656</v>
      </c>
      <c r="D10434" s="803">
        <v>192.07</v>
      </c>
    </row>
    <row r="10435" spans="1:4" ht="25.5">
      <c r="A10435" s="801">
        <v>11499</v>
      </c>
      <c r="B10435" s="802" t="s">
        <v>11443</v>
      </c>
      <c r="C10435" s="801" t="s">
        <v>656</v>
      </c>
      <c r="D10435" s="803">
        <v>770.1</v>
      </c>
    </row>
    <row r="10436" spans="1:4">
      <c r="A10436" s="801">
        <v>34761</v>
      </c>
      <c r="B10436" s="802" t="s">
        <v>11444</v>
      </c>
      <c r="C10436" s="801" t="s">
        <v>659</v>
      </c>
      <c r="D10436" s="803">
        <v>13.86</v>
      </c>
    </row>
    <row r="10437" spans="1:4">
      <c r="A10437" s="801">
        <v>40924</v>
      </c>
      <c r="B10437" s="802" t="s">
        <v>11445</v>
      </c>
      <c r="C10437" s="801" t="s">
        <v>772</v>
      </c>
      <c r="D10437" s="803">
        <v>2447.66</v>
      </c>
    </row>
    <row r="10438" spans="1:4">
      <c r="A10438" s="801">
        <v>40983</v>
      </c>
      <c r="B10438" s="802" t="s">
        <v>11446</v>
      </c>
      <c r="C10438" s="801" t="s">
        <v>772</v>
      </c>
      <c r="D10438" s="803">
        <v>1717.9</v>
      </c>
    </row>
    <row r="10439" spans="1:4">
      <c r="A10439" s="801">
        <v>44497</v>
      </c>
      <c r="B10439" s="802" t="s">
        <v>11447</v>
      </c>
      <c r="C10439" s="801" t="s">
        <v>659</v>
      </c>
      <c r="D10439" s="803">
        <v>9.7200000000000006</v>
      </c>
    </row>
    <row r="10440" spans="1:4">
      <c r="A10440" s="801">
        <v>2437</v>
      </c>
      <c r="B10440" s="802" t="s">
        <v>4717</v>
      </c>
      <c r="C10440" s="801" t="s">
        <v>659</v>
      </c>
      <c r="D10440" s="803">
        <v>15.44</v>
      </c>
    </row>
    <row r="10441" spans="1:4">
      <c r="A10441" s="801">
        <v>40921</v>
      </c>
      <c r="B10441" s="802" t="s">
        <v>11448</v>
      </c>
      <c r="C10441" s="801" t="s">
        <v>772</v>
      </c>
      <c r="D10441" s="803">
        <v>2728.37</v>
      </c>
    </row>
    <row r="10442" spans="1:4" ht="38.25">
      <c r="A10442" s="801">
        <v>14252</v>
      </c>
      <c r="B10442" s="802" t="s">
        <v>11449</v>
      </c>
      <c r="C10442" s="801" t="s">
        <v>656</v>
      </c>
      <c r="D10442" s="803">
        <v>2316.27</v>
      </c>
    </row>
    <row r="10443" spans="1:4" ht="38.25">
      <c r="A10443" s="801">
        <v>730</v>
      </c>
      <c r="B10443" s="802" t="s">
        <v>11450</v>
      </c>
      <c r="C10443" s="801" t="s">
        <v>656</v>
      </c>
      <c r="D10443" s="803">
        <v>6188.63</v>
      </c>
    </row>
    <row r="10444" spans="1:4" ht="38.25">
      <c r="A10444" s="801">
        <v>723</v>
      </c>
      <c r="B10444" s="802" t="s">
        <v>11451</v>
      </c>
      <c r="C10444" s="801" t="s">
        <v>656</v>
      </c>
      <c r="D10444" s="803">
        <v>3075.97</v>
      </c>
    </row>
    <row r="10445" spans="1:4" ht="38.25">
      <c r="A10445" s="801">
        <v>36502</v>
      </c>
      <c r="B10445" s="802" t="s">
        <v>11452</v>
      </c>
      <c r="C10445" s="801" t="s">
        <v>656</v>
      </c>
      <c r="D10445" s="803">
        <v>2891.04</v>
      </c>
    </row>
    <row r="10446" spans="1:4" ht="38.25">
      <c r="A10446" s="801">
        <v>36503</v>
      </c>
      <c r="B10446" s="802" t="s">
        <v>11453</v>
      </c>
      <c r="C10446" s="801" t="s">
        <v>656</v>
      </c>
      <c r="D10446" s="803">
        <v>3565</v>
      </c>
    </row>
    <row r="10447" spans="1:4" ht="25.5">
      <c r="A10447" s="801">
        <v>4090</v>
      </c>
      <c r="B10447" s="802" t="s">
        <v>4718</v>
      </c>
      <c r="C10447" s="801" t="s">
        <v>656</v>
      </c>
      <c r="D10447" s="803">
        <v>928000</v>
      </c>
    </row>
    <row r="10448" spans="1:4" ht="25.5">
      <c r="A10448" s="801">
        <v>13227</v>
      </c>
      <c r="B10448" s="802" t="s">
        <v>11454</v>
      </c>
      <c r="C10448" s="801" t="s">
        <v>656</v>
      </c>
      <c r="D10448" s="803">
        <v>1153155.72</v>
      </c>
    </row>
    <row r="10449" spans="1:4" ht="25.5">
      <c r="A10449" s="801">
        <v>10597</v>
      </c>
      <c r="B10449" s="802" t="s">
        <v>11455</v>
      </c>
      <c r="C10449" s="801" t="s">
        <v>656</v>
      </c>
      <c r="D10449" s="803">
        <v>1213845.1499999999</v>
      </c>
    </row>
    <row r="10450" spans="1:4">
      <c r="A10450" s="801">
        <v>39628</v>
      </c>
      <c r="B10450" s="802" t="s">
        <v>11456</v>
      </c>
      <c r="C10450" s="801" t="s">
        <v>656</v>
      </c>
      <c r="D10450" s="803">
        <v>4094.61</v>
      </c>
    </row>
    <row r="10451" spans="1:4" ht="25.5">
      <c r="A10451" s="801">
        <v>39404</v>
      </c>
      <c r="B10451" s="802" t="s">
        <v>11457</v>
      </c>
      <c r="C10451" s="801" t="s">
        <v>656</v>
      </c>
      <c r="D10451" s="803">
        <v>2030.38</v>
      </c>
    </row>
    <row r="10452" spans="1:4" ht="25.5">
      <c r="A10452" s="801">
        <v>39402</v>
      </c>
      <c r="B10452" s="802" t="s">
        <v>11458</v>
      </c>
      <c r="C10452" s="801" t="s">
        <v>656</v>
      </c>
      <c r="D10452" s="803">
        <v>1672.65</v>
      </c>
    </row>
    <row r="10453" spans="1:4" ht="25.5">
      <c r="A10453" s="801">
        <v>39403</v>
      </c>
      <c r="B10453" s="802" t="s">
        <v>11459</v>
      </c>
      <c r="C10453" s="801" t="s">
        <v>656</v>
      </c>
      <c r="D10453" s="803">
        <v>1636.26</v>
      </c>
    </row>
    <row r="10454" spans="1:4">
      <c r="A10454" s="801">
        <v>4093</v>
      </c>
      <c r="B10454" s="802" t="s">
        <v>4719</v>
      </c>
      <c r="C10454" s="801" t="s">
        <v>659</v>
      </c>
      <c r="D10454" s="803">
        <v>11.29</v>
      </c>
    </row>
    <row r="10455" spans="1:4">
      <c r="A10455" s="801">
        <v>10512</v>
      </c>
      <c r="B10455" s="802" t="s">
        <v>11460</v>
      </c>
      <c r="C10455" s="801" t="s">
        <v>772</v>
      </c>
      <c r="D10455" s="803">
        <v>1994.37</v>
      </c>
    </row>
    <row r="10456" spans="1:4">
      <c r="A10456" s="801">
        <v>20020</v>
      </c>
      <c r="B10456" s="802" t="s">
        <v>4720</v>
      </c>
      <c r="C10456" s="801" t="s">
        <v>659</v>
      </c>
      <c r="D10456" s="803">
        <v>10.64</v>
      </c>
    </row>
    <row r="10457" spans="1:4">
      <c r="A10457" s="801">
        <v>41038</v>
      </c>
      <c r="B10457" s="802" t="s">
        <v>11461</v>
      </c>
      <c r="C10457" s="801" t="s">
        <v>772</v>
      </c>
      <c r="D10457" s="803">
        <v>1881.2</v>
      </c>
    </row>
    <row r="10458" spans="1:4">
      <c r="A10458" s="801">
        <v>4094</v>
      </c>
      <c r="B10458" s="802" t="s">
        <v>11462</v>
      </c>
      <c r="C10458" s="801" t="s">
        <v>659</v>
      </c>
      <c r="D10458" s="803">
        <v>15.07</v>
      </c>
    </row>
    <row r="10459" spans="1:4">
      <c r="A10459" s="801">
        <v>40988</v>
      </c>
      <c r="B10459" s="802" t="s">
        <v>11463</v>
      </c>
      <c r="C10459" s="801" t="s">
        <v>772</v>
      </c>
      <c r="D10459" s="803">
        <v>2663.35</v>
      </c>
    </row>
    <row r="10460" spans="1:4">
      <c r="A10460" s="801">
        <v>4095</v>
      </c>
      <c r="B10460" s="802" t="s">
        <v>11464</v>
      </c>
      <c r="C10460" s="801" t="s">
        <v>659</v>
      </c>
      <c r="D10460" s="803">
        <v>10.45</v>
      </c>
    </row>
    <row r="10461" spans="1:4">
      <c r="A10461" s="801">
        <v>40990</v>
      </c>
      <c r="B10461" s="802" t="s">
        <v>11465</v>
      </c>
      <c r="C10461" s="801" t="s">
        <v>772</v>
      </c>
      <c r="D10461" s="803">
        <v>1848.15</v>
      </c>
    </row>
    <row r="10462" spans="1:4">
      <c r="A10462" s="801">
        <v>4097</v>
      </c>
      <c r="B10462" s="802" t="s">
        <v>11466</v>
      </c>
      <c r="C10462" s="801" t="s">
        <v>659</v>
      </c>
      <c r="D10462" s="803">
        <v>12.3</v>
      </c>
    </row>
    <row r="10463" spans="1:4">
      <c r="A10463" s="801">
        <v>40994</v>
      </c>
      <c r="B10463" s="802" t="s">
        <v>11467</v>
      </c>
      <c r="C10463" s="801" t="s">
        <v>772</v>
      </c>
      <c r="D10463" s="803">
        <v>2175.85</v>
      </c>
    </row>
    <row r="10464" spans="1:4">
      <c r="A10464" s="801">
        <v>4096</v>
      </c>
      <c r="B10464" s="802" t="s">
        <v>4721</v>
      </c>
      <c r="C10464" s="801" t="s">
        <v>659</v>
      </c>
      <c r="D10464" s="803">
        <v>13.21</v>
      </c>
    </row>
    <row r="10465" spans="1:4">
      <c r="A10465" s="801">
        <v>40992</v>
      </c>
      <c r="B10465" s="802" t="s">
        <v>11468</v>
      </c>
      <c r="C10465" s="801" t="s">
        <v>772</v>
      </c>
      <c r="D10465" s="803">
        <v>2335.04</v>
      </c>
    </row>
    <row r="10466" spans="1:4" ht="25.5">
      <c r="A10466" s="801">
        <v>4114</v>
      </c>
      <c r="B10466" s="802" t="s">
        <v>11469</v>
      </c>
      <c r="C10466" s="801" t="s">
        <v>656</v>
      </c>
      <c r="D10466" s="803">
        <v>76.55</v>
      </c>
    </row>
    <row r="10467" spans="1:4" ht="25.5">
      <c r="A10467" s="801">
        <v>36797</v>
      </c>
      <c r="B10467" s="802" t="s">
        <v>11470</v>
      </c>
      <c r="C10467" s="801" t="s">
        <v>656</v>
      </c>
      <c r="D10467" s="803">
        <v>68.16</v>
      </c>
    </row>
    <row r="10468" spans="1:4" ht="25.5">
      <c r="A10468" s="801">
        <v>4107</v>
      </c>
      <c r="B10468" s="802" t="s">
        <v>11471</v>
      </c>
      <c r="C10468" s="801" t="s">
        <v>656</v>
      </c>
      <c r="D10468" s="803">
        <v>64.27</v>
      </c>
    </row>
    <row r="10469" spans="1:4" ht="25.5">
      <c r="A10469" s="801">
        <v>4102</v>
      </c>
      <c r="B10469" s="802" t="s">
        <v>11472</v>
      </c>
      <c r="C10469" s="801" t="s">
        <v>656</v>
      </c>
      <c r="D10469" s="803">
        <v>78.45</v>
      </c>
    </row>
    <row r="10470" spans="1:4" ht="25.5">
      <c r="A10470" s="801">
        <v>36799</v>
      </c>
      <c r="B10470" s="802" t="s">
        <v>11473</v>
      </c>
      <c r="C10470" s="801" t="s">
        <v>656</v>
      </c>
      <c r="D10470" s="803">
        <v>66.16</v>
      </c>
    </row>
    <row r="10471" spans="1:4" ht="25.5">
      <c r="A10471" s="801">
        <v>2747</v>
      </c>
      <c r="B10471" s="802" t="s">
        <v>11474</v>
      </c>
      <c r="C10471" s="801" t="s">
        <v>660</v>
      </c>
      <c r="D10471" s="803">
        <v>33.31</v>
      </c>
    </row>
    <row r="10472" spans="1:4" ht="25.5">
      <c r="A10472" s="801">
        <v>21138</v>
      </c>
      <c r="B10472" s="802" t="s">
        <v>11475</v>
      </c>
      <c r="C10472" s="801" t="s">
        <v>660</v>
      </c>
      <c r="D10472" s="803">
        <v>10.56</v>
      </c>
    </row>
    <row r="10473" spans="1:4" ht="25.5">
      <c r="A10473" s="801">
        <v>10826</v>
      </c>
      <c r="B10473" s="802" t="s">
        <v>11476</v>
      </c>
      <c r="C10473" s="801" t="s">
        <v>656</v>
      </c>
      <c r="D10473" s="803">
        <v>86.2</v>
      </c>
    </row>
    <row r="10474" spans="1:4" ht="25.5">
      <c r="A10474" s="801">
        <v>365</v>
      </c>
      <c r="B10474" s="802" t="s">
        <v>11477</v>
      </c>
      <c r="C10474" s="801" t="s">
        <v>656</v>
      </c>
      <c r="D10474" s="803">
        <v>53.44</v>
      </c>
    </row>
    <row r="10475" spans="1:4">
      <c r="A10475" s="801">
        <v>38639</v>
      </c>
      <c r="B10475" s="802" t="s">
        <v>11478</v>
      </c>
      <c r="C10475" s="801" t="s">
        <v>656</v>
      </c>
      <c r="D10475" s="803">
        <v>206.89</v>
      </c>
    </row>
    <row r="10476" spans="1:4" ht="25.5">
      <c r="A10476" s="801">
        <v>38640</v>
      </c>
      <c r="B10476" s="802" t="s">
        <v>11479</v>
      </c>
      <c r="C10476" s="801" t="s">
        <v>656</v>
      </c>
      <c r="D10476" s="803">
        <v>3.1</v>
      </c>
    </row>
    <row r="10477" spans="1:4" ht="38.25">
      <c r="A10477" s="801">
        <v>358</v>
      </c>
      <c r="B10477" s="802" t="s">
        <v>11480</v>
      </c>
      <c r="C10477" s="801" t="s">
        <v>656</v>
      </c>
      <c r="D10477" s="803">
        <v>63.79</v>
      </c>
    </row>
    <row r="10478" spans="1:4" ht="38.25">
      <c r="A10478" s="801">
        <v>359</v>
      </c>
      <c r="B10478" s="802" t="s">
        <v>11481</v>
      </c>
      <c r="C10478" s="801" t="s">
        <v>656</v>
      </c>
      <c r="D10478" s="803">
        <v>131.03</v>
      </c>
    </row>
    <row r="10479" spans="1:4">
      <c r="A10479" s="801">
        <v>38641</v>
      </c>
      <c r="B10479" s="802" t="s">
        <v>11482</v>
      </c>
      <c r="C10479" s="801" t="s">
        <v>656</v>
      </c>
      <c r="D10479" s="803">
        <v>129.31</v>
      </c>
    </row>
    <row r="10480" spans="1:4" ht="25.5">
      <c r="A10480" s="801">
        <v>360</v>
      </c>
      <c r="B10480" s="802" t="s">
        <v>11483</v>
      </c>
      <c r="C10480" s="801" t="s">
        <v>656</v>
      </c>
      <c r="D10480" s="803">
        <v>3</v>
      </c>
    </row>
    <row r="10481" spans="1:4" ht="51">
      <c r="A10481" s="801">
        <v>42430</v>
      </c>
      <c r="B10481" s="802" t="s">
        <v>11484</v>
      </c>
      <c r="C10481" s="801" t="s">
        <v>656</v>
      </c>
      <c r="D10481" s="803">
        <v>6318.06</v>
      </c>
    </row>
    <row r="10482" spans="1:4">
      <c r="A10482" s="801">
        <v>4214</v>
      </c>
      <c r="B10482" s="802" t="s">
        <v>11485</v>
      </c>
      <c r="C10482" s="801" t="s">
        <v>656</v>
      </c>
      <c r="D10482" s="803">
        <v>9.8800000000000008</v>
      </c>
    </row>
    <row r="10483" spans="1:4">
      <c r="A10483" s="801">
        <v>4215</v>
      </c>
      <c r="B10483" s="802" t="s">
        <v>11486</v>
      </c>
      <c r="C10483" s="801" t="s">
        <v>656</v>
      </c>
      <c r="D10483" s="803">
        <v>6.5</v>
      </c>
    </row>
    <row r="10484" spans="1:4">
      <c r="A10484" s="801">
        <v>4210</v>
      </c>
      <c r="B10484" s="802" t="s">
        <v>11487</v>
      </c>
      <c r="C10484" s="801" t="s">
        <v>656</v>
      </c>
      <c r="D10484" s="803">
        <v>1.0900000000000001</v>
      </c>
    </row>
    <row r="10485" spans="1:4">
      <c r="A10485" s="801">
        <v>4212</v>
      </c>
      <c r="B10485" s="802" t="s">
        <v>11488</v>
      </c>
      <c r="C10485" s="801" t="s">
        <v>656</v>
      </c>
      <c r="D10485" s="803">
        <v>3.14</v>
      </c>
    </row>
    <row r="10486" spans="1:4">
      <c r="A10486" s="801">
        <v>4213</v>
      </c>
      <c r="B10486" s="802" t="s">
        <v>11489</v>
      </c>
      <c r="C10486" s="801" t="s">
        <v>656</v>
      </c>
      <c r="D10486" s="803">
        <v>14.03</v>
      </c>
    </row>
    <row r="10487" spans="1:4">
      <c r="A10487" s="801">
        <v>4211</v>
      </c>
      <c r="B10487" s="802" t="s">
        <v>11490</v>
      </c>
      <c r="C10487" s="801" t="s">
        <v>656</v>
      </c>
      <c r="D10487" s="803">
        <v>1.57</v>
      </c>
    </row>
    <row r="10488" spans="1:4">
      <c r="A10488" s="801">
        <v>4209</v>
      </c>
      <c r="B10488" s="802" t="s">
        <v>11491</v>
      </c>
      <c r="C10488" s="801" t="s">
        <v>656</v>
      </c>
      <c r="D10488" s="803">
        <v>17.82</v>
      </c>
    </row>
    <row r="10489" spans="1:4">
      <c r="A10489" s="801">
        <v>4180</v>
      </c>
      <c r="B10489" s="802" t="s">
        <v>11492</v>
      </c>
      <c r="C10489" s="801" t="s">
        <v>656</v>
      </c>
      <c r="D10489" s="803">
        <v>13.42</v>
      </c>
    </row>
    <row r="10490" spans="1:4">
      <c r="A10490" s="801">
        <v>4177</v>
      </c>
      <c r="B10490" s="802" t="s">
        <v>4722</v>
      </c>
      <c r="C10490" s="801" t="s">
        <v>656</v>
      </c>
      <c r="D10490" s="803">
        <v>4.45</v>
      </c>
    </row>
    <row r="10491" spans="1:4">
      <c r="A10491" s="801">
        <v>4179</v>
      </c>
      <c r="B10491" s="802" t="s">
        <v>11493</v>
      </c>
      <c r="C10491" s="801" t="s">
        <v>656</v>
      </c>
      <c r="D10491" s="803">
        <v>9.11</v>
      </c>
    </row>
    <row r="10492" spans="1:4">
      <c r="A10492" s="801">
        <v>4208</v>
      </c>
      <c r="B10492" s="802" t="s">
        <v>11494</v>
      </c>
      <c r="C10492" s="801" t="s">
        <v>656</v>
      </c>
      <c r="D10492" s="803">
        <v>42.42</v>
      </c>
    </row>
    <row r="10493" spans="1:4">
      <c r="A10493" s="801">
        <v>4181</v>
      </c>
      <c r="B10493" s="802" t="s">
        <v>11495</v>
      </c>
      <c r="C10493" s="801" t="s">
        <v>656</v>
      </c>
      <c r="D10493" s="803">
        <v>27.72</v>
      </c>
    </row>
    <row r="10494" spans="1:4">
      <c r="A10494" s="801">
        <v>4178</v>
      </c>
      <c r="B10494" s="802" t="s">
        <v>4723</v>
      </c>
      <c r="C10494" s="801" t="s">
        <v>656</v>
      </c>
      <c r="D10494" s="803">
        <v>6.17</v>
      </c>
    </row>
    <row r="10495" spans="1:4">
      <c r="A10495" s="801">
        <v>4182</v>
      </c>
      <c r="B10495" s="802" t="s">
        <v>11496</v>
      </c>
      <c r="C10495" s="801" t="s">
        <v>656</v>
      </c>
      <c r="D10495" s="803">
        <v>69.010000000000005</v>
      </c>
    </row>
    <row r="10496" spans="1:4">
      <c r="A10496" s="801">
        <v>4183</v>
      </c>
      <c r="B10496" s="802" t="s">
        <v>11497</v>
      </c>
      <c r="C10496" s="801" t="s">
        <v>656</v>
      </c>
      <c r="D10496" s="803">
        <v>111.1</v>
      </c>
    </row>
    <row r="10497" spans="1:4">
      <c r="A10497" s="801">
        <v>4184</v>
      </c>
      <c r="B10497" s="802" t="s">
        <v>11498</v>
      </c>
      <c r="C10497" s="801" t="s">
        <v>656</v>
      </c>
      <c r="D10497" s="803">
        <v>245.25</v>
      </c>
    </row>
    <row r="10498" spans="1:4">
      <c r="A10498" s="801">
        <v>4185</v>
      </c>
      <c r="B10498" s="802" t="s">
        <v>11499</v>
      </c>
      <c r="C10498" s="801" t="s">
        <v>656</v>
      </c>
      <c r="D10498" s="803">
        <v>407.5</v>
      </c>
    </row>
    <row r="10499" spans="1:4" ht="25.5">
      <c r="A10499" s="801">
        <v>4205</v>
      </c>
      <c r="B10499" s="802" t="s">
        <v>11500</v>
      </c>
      <c r="C10499" s="801" t="s">
        <v>656</v>
      </c>
      <c r="D10499" s="803">
        <v>23.53</v>
      </c>
    </row>
    <row r="10500" spans="1:4" ht="25.5">
      <c r="A10500" s="801">
        <v>4192</v>
      </c>
      <c r="B10500" s="802" t="s">
        <v>11501</v>
      </c>
      <c r="C10500" s="801" t="s">
        <v>656</v>
      </c>
      <c r="D10500" s="803">
        <v>23.53</v>
      </c>
    </row>
    <row r="10501" spans="1:4" ht="25.5">
      <c r="A10501" s="801">
        <v>4191</v>
      </c>
      <c r="B10501" s="802" t="s">
        <v>11502</v>
      </c>
      <c r="C10501" s="801" t="s">
        <v>656</v>
      </c>
      <c r="D10501" s="803">
        <v>23.53</v>
      </c>
    </row>
    <row r="10502" spans="1:4" ht="25.5">
      <c r="A10502" s="801">
        <v>4207</v>
      </c>
      <c r="B10502" s="802" t="s">
        <v>11503</v>
      </c>
      <c r="C10502" s="801" t="s">
        <v>656</v>
      </c>
      <c r="D10502" s="803">
        <v>18.940000000000001</v>
      </c>
    </row>
    <row r="10503" spans="1:4" ht="25.5">
      <c r="A10503" s="801">
        <v>4206</v>
      </c>
      <c r="B10503" s="802" t="s">
        <v>11504</v>
      </c>
      <c r="C10503" s="801" t="s">
        <v>656</v>
      </c>
      <c r="D10503" s="803">
        <v>18.39</v>
      </c>
    </row>
    <row r="10504" spans="1:4" ht="25.5">
      <c r="A10504" s="801">
        <v>4190</v>
      </c>
      <c r="B10504" s="802" t="s">
        <v>11505</v>
      </c>
      <c r="C10504" s="801" t="s">
        <v>656</v>
      </c>
      <c r="D10504" s="803">
        <v>18.39</v>
      </c>
    </row>
    <row r="10505" spans="1:4" ht="25.5">
      <c r="A10505" s="801">
        <v>4186</v>
      </c>
      <c r="B10505" s="802" t="s">
        <v>11506</v>
      </c>
      <c r="C10505" s="801" t="s">
        <v>656</v>
      </c>
      <c r="D10505" s="803">
        <v>5.43</v>
      </c>
    </row>
    <row r="10506" spans="1:4" ht="25.5">
      <c r="A10506" s="801">
        <v>4188</v>
      </c>
      <c r="B10506" s="802" t="s">
        <v>11507</v>
      </c>
      <c r="C10506" s="801" t="s">
        <v>656</v>
      </c>
      <c r="D10506" s="803">
        <v>11.1</v>
      </c>
    </row>
    <row r="10507" spans="1:4" ht="25.5">
      <c r="A10507" s="801">
        <v>4189</v>
      </c>
      <c r="B10507" s="802" t="s">
        <v>11508</v>
      </c>
      <c r="C10507" s="801" t="s">
        <v>656</v>
      </c>
      <c r="D10507" s="803">
        <v>11.1</v>
      </c>
    </row>
    <row r="10508" spans="1:4" ht="25.5">
      <c r="A10508" s="801">
        <v>4197</v>
      </c>
      <c r="B10508" s="802" t="s">
        <v>11509</v>
      </c>
      <c r="C10508" s="801" t="s">
        <v>656</v>
      </c>
      <c r="D10508" s="803">
        <v>58.76</v>
      </c>
    </row>
    <row r="10509" spans="1:4" ht="25.5">
      <c r="A10509" s="801">
        <v>4194</v>
      </c>
      <c r="B10509" s="802" t="s">
        <v>11510</v>
      </c>
      <c r="C10509" s="801" t="s">
        <v>656</v>
      </c>
      <c r="D10509" s="803">
        <v>35.51</v>
      </c>
    </row>
    <row r="10510" spans="1:4" ht="25.5">
      <c r="A10510" s="801">
        <v>4193</v>
      </c>
      <c r="B10510" s="802" t="s">
        <v>11511</v>
      </c>
      <c r="C10510" s="801" t="s">
        <v>656</v>
      </c>
      <c r="D10510" s="803">
        <v>35.51</v>
      </c>
    </row>
    <row r="10511" spans="1:4" ht="25.5">
      <c r="A10511" s="801">
        <v>4204</v>
      </c>
      <c r="B10511" s="802" t="s">
        <v>11512</v>
      </c>
      <c r="C10511" s="801" t="s">
        <v>656</v>
      </c>
      <c r="D10511" s="803">
        <v>35.51</v>
      </c>
    </row>
    <row r="10512" spans="1:4" ht="25.5">
      <c r="A10512" s="801">
        <v>4187</v>
      </c>
      <c r="B10512" s="802" t="s">
        <v>11513</v>
      </c>
      <c r="C10512" s="801" t="s">
        <v>656</v>
      </c>
      <c r="D10512" s="803">
        <v>7.07</v>
      </c>
    </row>
    <row r="10513" spans="1:4" ht="25.5">
      <c r="A10513" s="801">
        <v>4202</v>
      </c>
      <c r="B10513" s="802" t="s">
        <v>11514</v>
      </c>
      <c r="C10513" s="801" t="s">
        <v>656</v>
      </c>
      <c r="D10513" s="803">
        <v>107.32</v>
      </c>
    </row>
    <row r="10514" spans="1:4" ht="25.5">
      <c r="A10514" s="801">
        <v>4203</v>
      </c>
      <c r="B10514" s="802" t="s">
        <v>11515</v>
      </c>
      <c r="C10514" s="801" t="s">
        <v>656</v>
      </c>
      <c r="D10514" s="803">
        <v>94.78</v>
      </c>
    </row>
    <row r="10515" spans="1:4" ht="25.5">
      <c r="A10515" s="801">
        <v>40368</v>
      </c>
      <c r="B10515" s="802" t="s">
        <v>11516</v>
      </c>
      <c r="C10515" s="801" t="s">
        <v>656</v>
      </c>
      <c r="D10515" s="803">
        <v>57.46</v>
      </c>
    </row>
    <row r="10516" spans="1:4" ht="25.5">
      <c r="A10516" s="801">
        <v>40365</v>
      </c>
      <c r="B10516" s="802" t="s">
        <v>11517</v>
      </c>
      <c r="C10516" s="801" t="s">
        <v>656</v>
      </c>
      <c r="D10516" s="803">
        <v>38.76</v>
      </c>
    </row>
    <row r="10517" spans="1:4" ht="25.5">
      <c r="A10517" s="801">
        <v>40356</v>
      </c>
      <c r="B10517" s="802" t="s">
        <v>11518</v>
      </c>
      <c r="C10517" s="801" t="s">
        <v>656</v>
      </c>
      <c r="D10517" s="803">
        <v>13.24</v>
      </c>
    </row>
    <row r="10518" spans="1:4" ht="25.5">
      <c r="A10518" s="801">
        <v>40362</v>
      </c>
      <c r="B10518" s="802" t="s">
        <v>11519</v>
      </c>
      <c r="C10518" s="801" t="s">
        <v>656</v>
      </c>
      <c r="D10518" s="803">
        <v>25.67</v>
      </c>
    </row>
    <row r="10519" spans="1:4" ht="25.5">
      <c r="A10519" s="801">
        <v>40374</v>
      </c>
      <c r="B10519" s="802" t="s">
        <v>11520</v>
      </c>
      <c r="C10519" s="801" t="s">
        <v>656</v>
      </c>
      <c r="D10519" s="803">
        <v>150.16999999999999</v>
      </c>
    </row>
    <row r="10520" spans="1:4" ht="25.5">
      <c r="A10520" s="801">
        <v>40371</v>
      </c>
      <c r="B10520" s="802" t="s">
        <v>11521</v>
      </c>
      <c r="C10520" s="801" t="s">
        <v>656</v>
      </c>
      <c r="D10520" s="803">
        <v>94.53</v>
      </c>
    </row>
    <row r="10521" spans="1:4" ht="25.5">
      <c r="A10521" s="801">
        <v>40359</v>
      </c>
      <c r="B10521" s="802" t="s">
        <v>11522</v>
      </c>
      <c r="C10521" s="801" t="s">
        <v>656</v>
      </c>
      <c r="D10521" s="803">
        <v>17.11</v>
      </c>
    </row>
    <row r="10522" spans="1:4">
      <c r="A10522" s="801">
        <v>7595</v>
      </c>
      <c r="B10522" s="802" t="s">
        <v>4724</v>
      </c>
      <c r="C10522" s="801" t="s">
        <v>659</v>
      </c>
      <c r="D10522" s="803">
        <v>7.05</v>
      </c>
    </row>
    <row r="10523" spans="1:4">
      <c r="A10523" s="801">
        <v>41094</v>
      </c>
      <c r="B10523" s="802" t="s">
        <v>11523</v>
      </c>
      <c r="C10523" s="801" t="s">
        <v>772</v>
      </c>
      <c r="D10523" s="803">
        <v>1247.57</v>
      </c>
    </row>
    <row r="10524" spans="1:4" ht="25.5">
      <c r="A10524" s="801">
        <v>39609</v>
      </c>
      <c r="B10524" s="802" t="s">
        <v>11524</v>
      </c>
      <c r="C10524" s="801" t="s">
        <v>656</v>
      </c>
      <c r="D10524" s="803">
        <v>42509.14</v>
      </c>
    </row>
    <row r="10525" spans="1:4" ht="25.5">
      <c r="A10525" s="801">
        <v>39610</v>
      </c>
      <c r="B10525" s="802" t="s">
        <v>11525</v>
      </c>
      <c r="C10525" s="801" t="s">
        <v>656</v>
      </c>
      <c r="D10525" s="803">
        <v>62050.09</v>
      </c>
    </row>
    <row r="10526" spans="1:4" ht="25.5">
      <c r="A10526" s="801">
        <v>39611</v>
      </c>
      <c r="B10526" s="802" t="s">
        <v>11526</v>
      </c>
      <c r="C10526" s="801" t="s">
        <v>656</v>
      </c>
      <c r="D10526" s="803">
        <v>75090.759999999995</v>
      </c>
    </row>
    <row r="10527" spans="1:4" ht="25.5">
      <c r="A10527" s="801">
        <v>39612</v>
      </c>
      <c r="B10527" s="802" t="s">
        <v>11527</v>
      </c>
      <c r="C10527" s="801" t="s">
        <v>656</v>
      </c>
      <c r="D10527" s="803">
        <v>117631.38</v>
      </c>
    </row>
    <row r="10528" spans="1:4" ht="25.5">
      <c r="A10528" s="801">
        <v>39608</v>
      </c>
      <c r="B10528" s="802" t="s">
        <v>11528</v>
      </c>
      <c r="C10528" s="801" t="s">
        <v>656</v>
      </c>
      <c r="D10528" s="803">
        <v>33989.86</v>
      </c>
    </row>
    <row r="10529" spans="1:4" ht="25.5">
      <c r="A10529" s="801">
        <v>38175</v>
      </c>
      <c r="B10529" s="802" t="s">
        <v>11529</v>
      </c>
      <c r="C10529" s="801" t="s">
        <v>656</v>
      </c>
      <c r="D10529" s="803">
        <v>4.99</v>
      </c>
    </row>
    <row r="10530" spans="1:4" ht="25.5">
      <c r="A10530" s="801">
        <v>38176</v>
      </c>
      <c r="B10530" s="802" t="s">
        <v>11530</v>
      </c>
      <c r="C10530" s="801" t="s">
        <v>656</v>
      </c>
      <c r="D10530" s="803">
        <v>14.68</v>
      </c>
    </row>
    <row r="10531" spans="1:4" ht="25.5">
      <c r="A10531" s="801">
        <v>36152</v>
      </c>
      <c r="B10531" s="802" t="s">
        <v>11531</v>
      </c>
      <c r="C10531" s="801" t="s">
        <v>656</v>
      </c>
      <c r="D10531" s="803">
        <v>7.8</v>
      </c>
    </row>
    <row r="10532" spans="1:4">
      <c r="A10532" s="801">
        <v>11138</v>
      </c>
      <c r="B10532" s="802" t="s">
        <v>11532</v>
      </c>
      <c r="C10532" s="801" t="s">
        <v>655</v>
      </c>
      <c r="D10532" s="803">
        <v>3.8</v>
      </c>
    </row>
    <row r="10533" spans="1:4">
      <c r="A10533" s="801">
        <v>4221</v>
      </c>
      <c r="B10533" s="802" t="s">
        <v>4725</v>
      </c>
      <c r="C10533" s="801" t="s">
        <v>655</v>
      </c>
      <c r="D10533" s="803">
        <v>5.91</v>
      </c>
    </row>
    <row r="10534" spans="1:4" ht="25.5">
      <c r="A10534" s="801">
        <v>4227</v>
      </c>
      <c r="B10534" s="802" t="s">
        <v>11533</v>
      </c>
      <c r="C10534" s="801" t="s">
        <v>655</v>
      </c>
      <c r="D10534" s="803">
        <v>24.45</v>
      </c>
    </row>
    <row r="10535" spans="1:4" ht="38.25">
      <c r="A10535" s="801">
        <v>38170</v>
      </c>
      <c r="B10535" s="802" t="s">
        <v>11534</v>
      </c>
      <c r="C10535" s="801" t="s">
        <v>656</v>
      </c>
      <c r="D10535" s="803">
        <v>21.81</v>
      </c>
    </row>
    <row r="10536" spans="1:4">
      <c r="A10536" s="801">
        <v>4252</v>
      </c>
      <c r="B10536" s="802" t="s">
        <v>11535</v>
      </c>
      <c r="C10536" s="801" t="s">
        <v>659</v>
      </c>
      <c r="D10536" s="803">
        <v>11.86</v>
      </c>
    </row>
    <row r="10537" spans="1:4">
      <c r="A10537" s="801">
        <v>40980</v>
      </c>
      <c r="B10537" s="802" t="s">
        <v>11536</v>
      </c>
      <c r="C10537" s="801" t="s">
        <v>772</v>
      </c>
      <c r="D10537" s="803">
        <v>2096.75</v>
      </c>
    </row>
    <row r="10538" spans="1:4">
      <c r="A10538" s="801">
        <v>4243</v>
      </c>
      <c r="B10538" s="802" t="s">
        <v>11537</v>
      </c>
      <c r="C10538" s="801" t="s">
        <v>659</v>
      </c>
      <c r="D10538" s="803">
        <v>10.18</v>
      </c>
    </row>
    <row r="10539" spans="1:4">
      <c r="A10539" s="801">
        <v>41031</v>
      </c>
      <c r="B10539" s="802" t="s">
        <v>11538</v>
      </c>
      <c r="C10539" s="801" t="s">
        <v>772</v>
      </c>
      <c r="D10539" s="803">
        <v>1798.2</v>
      </c>
    </row>
    <row r="10540" spans="1:4">
      <c r="A10540" s="801">
        <v>37666</v>
      </c>
      <c r="B10540" s="802" t="s">
        <v>4726</v>
      </c>
      <c r="C10540" s="801" t="s">
        <v>659</v>
      </c>
      <c r="D10540" s="803">
        <v>9.81</v>
      </c>
    </row>
    <row r="10541" spans="1:4" ht="25.5">
      <c r="A10541" s="801">
        <v>40986</v>
      </c>
      <c r="B10541" s="802" t="s">
        <v>11539</v>
      </c>
      <c r="C10541" s="801" t="s">
        <v>772</v>
      </c>
      <c r="D10541" s="803">
        <v>1735.32</v>
      </c>
    </row>
    <row r="10542" spans="1:4">
      <c r="A10542" s="801">
        <v>4250</v>
      </c>
      <c r="B10542" s="802" t="s">
        <v>11540</v>
      </c>
      <c r="C10542" s="801" t="s">
        <v>659</v>
      </c>
      <c r="D10542" s="803">
        <v>10.69</v>
      </c>
    </row>
    <row r="10543" spans="1:4" ht="25.5">
      <c r="A10543" s="801">
        <v>40978</v>
      </c>
      <c r="B10543" s="802" t="s">
        <v>11541</v>
      </c>
      <c r="C10543" s="801" t="s">
        <v>772</v>
      </c>
      <c r="D10543" s="803">
        <v>1891.25</v>
      </c>
    </row>
    <row r="10544" spans="1:4" ht="25.5">
      <c r="A10544" s="801">
        <v>41043</v>
      </c>
      <c r="B10544" s="802" t="s">
        <v>11542</v>
      </c>
      <c r="C10544" s="801" t="s">
        <v>772</v>
      </c>
      <c r="D10544" s="803">
        <v>2213.17</v>
      </c>
    </row>
    <row r="10545" spans="1:4">
      <c r="A10545" s="801">
        <v>44501</v>
      </c>
      <c r="B10545" s="802" t="s">
        <v>11543</v>
      </c>
      <c r="C10545" s="801" t="s">
        <v>659</v>
      </c>
      <c r="D10545" s="803">
        <v>12.52</v>
      </c>
    </row>
    <row r="10546" spans="1:4">
      <c r="A10546" s="801">
        <v>4234</v>
      </c>
      <c r="B10546" s="802" t="s">
        <v>4727</v>
      </c>
      <c r="C10546" s="801" t="s">
        <v>659</v>
      </c>
      <c r="D10546" s="803">
        <v>13.73</v>
      </c>
    </row>
    <row r="10547" spans="1:4">
      <c r="A10547" s="801">
        <v>40987</v>
      </c>
      <c r="B10547" s="802" t="s">
        <v>11544</v>
      </c>
      <c r="C10547" s="801" t="s">
        <v>772</v>
      </c>
      <c r="D10547" s="803">
        <v>2424.4299999999998</v>
      </c>
    </row>
    <row r="10548" spans="1:4">
      <c r="A10548" s="801">
        <v>4253</v>
      </c>
      <c r="B10548" s="802" t="s">
        <v>4728</v>
      </c>
      <c r="C10548" s="801" t="s">
        <v>659</v>
      </c>
      <c r="D10548" s="803">
        <v>9.86</v>
      </c>
    </row>
    <row r="10549" spans="1:4">
      <c r="A10549" s="801">
        <v>40981</v>
      </c>
      <c r="B10549" s="802" t="s">
        <v>11545</v>
      </c>
      <c r="C10549" s="801" t="s">
        <v>772</v>
      </c>
      <c r="D10549" s="803">
        <v>1743.91</v>
      </c>
    </row>
    <row r="10550" spans="1:4">
      <c r="A10550" s="801">
        <v>4254</v>
      </c>
      <c r="B10550" s="802" t="s">
        <v>4729</v>
      </c>
      <c r="C10550" s="801" t="s">
        <v>659</v>
      </c>
      <c r="D10550" s="803">
        <v>9.92</v>
      </c>
    </row>
    <row r="10551" spans="1:4">
      <c r="A10551" s="801">
        <v>41036</v>
      </c>
      <c r="B10551" s="802" t="s">
        <v>11546</v>
      </c>
      <c r="C10551" s="801" t="s">
        <v>772</v>
      </c>
      <c r="D10551" s="803">
        <v>1753.48</v>
      </c>
    </row>
    <row r="10552" spans="1:4">
      <c r="A10552" s="801">
        <v>4251</v>
      </c>
      <c r="B10552" s="802" t="s">
        <v>11547</v>
      </c>
      <c r="C10552" s="801" t="s">
        <v>659</v>
      </c>
      <c r="D10552" s="803">
        <v>12.28</v>
      </c>
    </row>
    <row r="10553" spans="1:4">
      <c r="A10553" s="801">
        <v>40979</v>
      </c>
      <c r="B10553" s="802" t="s">
        <v>11548</v>
      </c>
      <c r="C10553" s="801" t="s">
        <v>772</v>
      </c>
      <c r="D10553" s="803">
        <v>2170.42</v>
      </c>
    </row>
    <row r="10554" spans="1:4" ht="25.5">
      <c r="A10554" s="801">
        <v>4230</v>
      </c>
      <c r="B10554" s="802" t="s">
        <v>4730</v>
      </c>
      <c r="C10554" s="801" t="s">
        <v>659</v>
      </c>
      <c r="D10554" s="803">
        <v>10.45</v>
      </c>
    </row>
    <row r="10555" spans="1:4" ht="25.5">
      <c r="A10555" s="801">
        <v>40998</v>
      </c>
      <c r="B10555" s="802" t="s">
        <v>11549</v>
      </c>
      <c r="C10555" s="801" t="s">
        <v>772</v>
      </c>
      <c r="D10555" s="803">
        <v>1848.15</v>
      </c>
    </row>
    <row r="10556" spans="1:4">
      <c r="A10556" s="801">
        <v>4257</v>
      </c>
      <c r="B10556" s="802" t="s">
        <v>4731</v>
      </c>
      <c r="C10556" s="801" t="s">
        <v>659</v>
      </c>
      <c r="D10556" s="803">
        <v>8.24</v>
      </c>
    </row>
    <row r="10557" spans="1:4">
      <c r="A10557" s="801">
        <v>40982</v>
      </c>
      <c r="B10557" s="802" t="s">
        <v>11550</v>
      </c>
      <c r="C10557" s="801" t="s">
        <v>772</v>
      </c>
      <c r="D10557" s="803">
        <v>1456.97</v>
      </c>
    </row>
    <row r="10558" spans="1:4">
      <c r="A10558" s="801">
        <v>4240</v>
      </c>
      <c r="B10558" s="802" t="s">
        <v>11551</v>
      </c>
      <c r="C10558" s="801" t="s">
        <v>659</v>
      </c>
      <c r="D10558" s="803">
        <v>12.73</v>
      </c>
    </row>
    <row r="10559" spans="1:4">
      <c r="A10559" s="801">
        <v>41026</v>
      </c>
      <c r="B10559" s="802" t="s">
        <v>11552</v>
      </c>
      <c r="C10559" s="801" t="s">
        <v>772</v>
      </c>
      <c r="D10559" s="803">
        <v>2250.9</v>
      </c>
    </row>
    <row r="10560" spans="1:4">
      <c r="A10560" s="801">
        <v>4239</v>
      </c>
      <c r="B10560" s="802" t="s">
        <v>4732</v>
      </c>
      <c r="C10560" s="801" t="s">
        <v>659</v>
      </c>
      <c r="D10560" s="803">
        <v>15.63</v>
      </c>
    </row>
    <row r="10561" spans="1:4">
      <c r="A10561" s="801">
        <v>41024</v>
      </c>
      <c r="B10561" s="802" t="s">
        <v>11553</v>
      </c>
      <c r="C10561" s="801" t="s">
        <v>772</v>
      </c>
      <c r="D10561" s="803">
        <v>2761.43</v>
      </c>
    </row>
    <row r="10562" spans="1:4">
      <c r="A10562" s="801">
        <v>4248</v>
      </c>
      <c r="B10562" s="802" t="s">
        <v>4733</v>
      </c>
      <c r="C10562" s="801" t="s">
        <v>659</v>
      </c>
      <c r="D10562" s="803">
        <v>11.42</v>
      </c>
    </row>
    <row r="10563" spans="1:4">
      <c r="A10563" s="801">
        <v>41033</v>
      </c>
      <c r="B10563" s="802" t="s">
        <v>11554</v>
      </c>
      <c r="C10563" s="801" t="s">
        <v>772</v>
      </c>
      <c r="D10563" s="803">
        <v>2016.57</v>
      </c>
    </row>
    <row r="10564" spans="1:4" ht="25.5">
      <c r="A10564" s="801">
        <v>41040</v>
      </c>
      <c r="B10564" s="802" t="s">
        <v>11555</v>
      </c>
      <c r="C10564" s="801" t="s">
        <v>772</v>
      </c>
      <c r="D10564" s="803">
        <v>2323.83</v>
      </c>
    </row>
    <row r="10565" spans="1:4" ht="25.5">
      <c r="A10565" s="801">
        <v>44500</v>
      </c>
      <c r="B10565" s="802" t="s">
        <v>11556</v>
      </c>
      <c r="C10565" s="801" t="s">
        <v>659</v>
      </c>
      <c r="D10565" s="803">
        <v>13.15</v>
      </c>
    </row>
    <row r="10566" spans="1:4">
      <c r="A10566" s="801">
        <v>4238</v>
      </c>
      <c r="B10566" s="802" t="s">
        <v>4734</v>
      </c>
      <c r="C10566" s="801" t="s">
        <v>659</v>
      </c>
      <c r="D10566" s="803">
        <v>10.45</v>
      </c>
    </row>
    <row r="10567" spans="1:4">
      <c r="A10567" s="801">
        <v>41012</v>
      </c>
      <c r="B10567" s="802" t="s">
        <v>11557</v>
      </c>
      <c r="C10567" s="801" t="s">
        <v>772</v>
      </c>
      <c r="D10567" s="803">
        <v>1848.15</v>
      </c>
    </row>
    <row r="10568" spans="1:4">
      <c r="A10568" s="801">
        <v>4237</v>
      </c>
      <c r="B10568" s="802" t="s">
        <v>4735</v>
      </c>
      <c r="C10568" s="801" t="s">
        <v>659</v>
      </c>
      <c r="D10568" s="803">
        <v>10.53</v>
      </c>
    </row>
    <row r="10569" spans="1:4" ht="25.5">
      <c r="A10569" s="801">
        <v>41002</v>
      </c>
      <c r="B10569" s="802" t="s">
        <v>11558</v>
      </c>
      <c r="C10569" s="801" t="s">
        <v>772</v>
      </c>
      <c r="D10569" s="803">
        <v>1862.69</v>
      </c>
    </row>
    <row r="10570" spans="1:4">
      <c r="A10570" s="801">
        <v>4233</v>
      </c>
      <c r="B10570" s="802" t="s">
        <v>11559</v>
      </c>
      <c r="C10570" s="801" t="s">
        <v>659</v>
      </c>
      <c r="D10570" s="803">
        <v>11.29</v>
      </c>
    </row>
    <row r="10571" spans="1:4" ht="25.5">
      <c r="A10571" s="801">
        <v>41001</v>
      </c>
      <c r="B10571" s="802" t="s">
        <v>11560</v>
      </c>
      <c r="C10571" s="801" t="s">
        <v>772</v>
      </c>
      <c r="D10571" s="803">
        <v>1995.63</v>
      </c>
    </row>
    <row r="10572" spans="1:4" ht="25.5">
      <c r="A10572" s="801">
        <v>2</v>
      </c>
      <c r="B10572" s="802" t="s">
        <v>4736</v>
      </c>
      <c r="C10572" s="801" t="s">
        <v>654</v>
      </c>
      <c r="D10572" s="803">
        <v>16.760000000000002</v>
      </c>
    </row>
    <row r="10573" spans="1:4" ht="38.25">
      <c r="A10573" s="801">
        <v>36517</v>
      </c>
      <c r="B10573" s="802" t="s">
        <v>11561</v>
      </c>
      <c r="C10573" s="801" t="s">
        <v>656</v>
      </c>
      <c r="D10573" s="803">
        <v>515040</v>
      </c>
    </row>
    <row r="10574" spans="1:4" ht="38.25">
      <c r="A10574" s="801">
        <v>4262</v>
      </c>
      <c r="B10574" s="802" t="s">
        <v>4737</v>
      </c>
      <c r="C10574" s="801" t="s">
        <v>656</v>
      </c>
      <c r="D10574" s="803">
        <v>580000</v>
      </c>
    </row>
    <row r="10575" spans="1:4" ht="38.25">
      <c r="A10575" s="801">
        <v>4263</v>
      </c>
      <c r="B10575" s="802" t="s">
        <v>11562</v>
      </c>
      <c r="C10575" s="801" t="s">
        <v>656</v>
      </c>
      <c r="D10575" s="803">
        <v>804266.62</v>
      </c>
    </row>
    <row r="10576" spans="1:4" ht="38.25">
      <c r="A10576" s="801">
        <v>36518</v>
      </c>
      <c r="B10576" s="802" t="s">
        <v>11563</v>
      </c>
      <c r="C10576" s="801" t="s">
        <v>656</v>
      </c>
      <c r="D10576" s="803">
        <v>915626.62</v>
      </c>
    </row>
    <row r="10577" spans="1:4" ht="38.25">
      <c r="A10577" s="801">
        <v>14221</v>
      </c>
      <c r="B10577" s="802" t="s">
        <v>11564</v>
      </c>
      <c r="C10577" s="801" t="s">
        <v>656</v>
      </c>
      <c r="D10577" s="803">
        <v>534373.31000000006</v>
      </c>
    </row>
    <row r="10578" spans="1:4">
      <c r="A10578" s="801">
        <v>38402</v>
      </c>
      <c r="B10578" s="802" t="s">
        <v>11565</v>
      </c>
      <c r="C10578" s="801" t="s">
        <v>656</v>
      </c>
      <c r="D10578" s="803">
        <v>17.420000000000002</v>
      </c>
    </row>
    <row r="10579" spans="1:4" ht="25.5">
      <c r="A10579" s="801">
        <v>3412</v>
      </c>
      <c r="B10579" s="802" t="s">
        <v>11566</v>
      </c>
      <c r="C10579" s="801" t="s">
        <v>661</v>
      </c>
      <c r="D10579" s="803">
        <v>17.27</v>
      </c>
    </row>
    <row r="10580" spans="1:4" ht="25.5">
      <c r="A10580" s="801">
        <v>3413</v>
      </c>
      <c r="B10580" s="802" t="s">
        <v>11567</v>
      </c>
      <c r="C10580" s="801" t="s">
        <v>661</v>
      </c>
      <c r="D10580" s="803">
        <v>38.869999999999997</v>
      </c>
    </row>
    <row r="10581" spans="1:4" ht="25.5">
      <c r="A10581" s="801">
        <v>39744</v>
      </c>
      <c r="B10581" s="802" t="s">
        <v>11568</v>
      </c>
      <c r="C10581" s="801" t="s">
        <v>661</v>
      </c>
      <c r="D10581" s="803">
        <v>30.18</v>
      </c>
    </row>
    <row r="10582" spans="1:4" ht="25.5">
      <c r="A10582" s="801">
        <v>39745</v>
      </c>
      <c r="B10582" s="802" t="s">
        <v>11569</v>
      </c>
      <c r="C10582" s="801" t="s">
        <v>661</v>
      </c>
      <c r="D10582" s="803">
        <v>63.7</v>
      </c>
    </row>
    <row r="10583" spans="1:4" ht="25.5">
      <c r="A10583" s="801">
        <v>39637</v>
      </c>
      <c r="B10583" s="802" t="s">
        <v>11570</v>
      </c>
      <c r="C10583" s="801" t="s">
        <v>661</v>
      </c>
      <c r="D10583" s="803">
        <v>104.28</v>
      </c>
    </row>
    <row r="10584" spans="1:4" ht="25.5">
      <c r="A10584" s="801">
        <v>39638</v>
      </c>
      <c r="B10584" s="802" t="s">
        <v>11571</v>
      </c>
      <c r="C10584" s="801" t="s">
        <v>661</v>
      </c>
      <c r="D10584" s="803">
        <v>118</v>
      </c>
    </row>
    <row r="10585" spans="1:4" ht="25.5">
      <c r="A10585" s="801">
        <v>39639</v>
      </c>
      <c r="B10585" s="802" t="s">
        <v>11572</v>
      </c>
      <c r="C10585" s="801" t="s">
        <v>661</v>
      </c>
      <c r="D10585" s="803">
        <v>178.04</v>
      </c>
    </row>
    <row r="10586" spans="1:4" ht="63.75">
      <c r="A10586" s="801">
        <v>39517</v>
      </c>
      <c r="B10586" s="802" t="s">
        <v>11573</v>
      </c>
      <c r="C10586" s="801" t="s">
        <v>661</v>
      </c>
      <c r="D10586" s="803">
        <v>250.46</v>
      </c>
    </row>
    <row r="10587" spans="1:4" ht="63.75">
      <c r="A10587" s="801">
        <v>39518</v>
      </c>
      <c r="B10587" s="802" t="s">
        <v>11574</v>
      </c>
      <c r="C10587" s="801" t="s">
        <v>661</v>
      </c>
      <c r="D10587" s="803">
        <v>296.93</v>
      </c>
    </row>
    <row r="10588" spans="1:4">
      <c r="A10588" s="801">
        <v>38366</v>
      </c>
      <c r="B10588" s="802" t="s">
        <v>11575</v>
      </c>
      <c r="C10588" s="801" t="s">
        <v>661</v>
      </c>
      <c r="D10588" s="803">
        <v>5.28</v>
      </c>
    </row>
    <row r="10589" spans="1:4">
      <c r="A10589" s="801">
        <v>11703</v>
      </c>
      <c r="B10589" s="802" t="s">
        <v>11576</v>
      </c>
      <c r="C10589" s="801" t="s">
        <v>656</v>
      </c>
      <c r="D10589" s="803">
        <v>31.89</v>
      </c>
    </row>
    <row r="10590" spans="1:4" ht="25.5">
      <c r="A10590" s="801">
        <v>37400</v>
      </c>
      <c r="B10590" s="802" t="s">
        <v>11577</v>
      </c>
      <c r="C10590" s="801" t="s">
        <v>656</v>
      </c>
      <c r="D10590" s="803">
        <v>79.02</v>
      </c>
    </row>
    <row r="10591" spans="1:4" ht="38.25">
      <c r="A10591" s="801">
        <v>25400</v>
      </c>
      <c r="B10591" s="802" t="s">
        <v>11578</v>
      </c>
      <c r="C10591" s="801" t="s">
        <v>656</v>
      </c>
      <c r="D10591" s="803">
        <v>3994.77</v>
      </c>
    </row>
    <row r="10592" spans="1:4" ht="25.5">
      <c r="A10592" s="801">
        <v>4276</v>
      </c>
      <c r="B10592" s="802" t="s">
        <v>11579</v>
      </c>
      <c r="C10592" s="801" t="s">
        <v>656</v>
      </c>
      <c r="D10592" s="803">
        <v>202.54</v>
      </c>
    </row>
    <row r="10593" spans="1:4" ht="25.5">
      <c r="A10593" s="801">
        <v>4273</v>
      </c>
      <c r="B10593" s="802" t="s">
        <v>11580</v>
      </c>
      <c r="C10593" s="801" t="s">
        <v>656</v>
      </c>
      <c r="D10593" s="803">
        <v>367.73</v>
      </c>
    </row>
    <row r="10594" spans="1:4" ht="38.25">
      <c r="A10594" s="801">
        <v>4274</v>
      </c>
      <c r="B10594" s="802" t="s">
        <v>4738</v>
      </c>
      <c r="C10594" s="801" t="s">
        <v>656</v>
      </c>
      <c r="D10594" s="803">
        <v>134.53</v>
      </c>
    </row>
    <row r="10595" spans="1:4" ht="38.25">
      <c r="A10595" s="801">
        <v>39438</v>
      </c>
      <c r="B10595" s="802" t="s">
        <v>11581</v>
      </c>
      <c r="C10595" s="801" t="s">
        <v>656</v>
      </c>
      <c r="D10595" s="803">
        <v>0.28999999999999998</v>
      </c>
    </row>
    <row r="10596" spans="1:4" ht="25.5">
      <c r="A10596" s="801">
        <v>11963</v>
      </c>
      <c r="B10596" s="802" t="s">
        <v>11582</v>
      </c>
      <c r="C10596" s="801" t="s">
        <v>656</v>
      </c>
      <c r="D10596" s="803">
        <v>10.8</v>
      </c>
    </row>
    <row r="10597" spans="1:4" ht="25.5">
      <c r="A10597" s="801">
        <v>11964</v>
      </c>
      <c r="B10597" s="802" t="s">
        <v>4739</v>
      </c>
      <c r="C10597" s="801" t="s">
        <v>656</v>
      </c>
      <c r="D10597" s="803">
        <v>2.72</v>
      </c>
    </row>
    <row r="10598" spans="1:4" ht="38.25">
      <c r="A10598" s="801">
        <v>4379</v>
      </c>
      <c r="B10598" s="802" t="s">
        <v>11583</v>
      </c>
      <c r="C10598" s="801" t="s">
        <v>656</v>
      </c>
      <c r="D10598" s="803">
        <v>0.05</v>
      </c>
    </row>
    <row r="10599" spans="1:4" ht="38.25">
      <c r="A10599" s="801">
        <v>4377</v>
      </c>
      <c r="B10599" s="802" t="s">
        <v>4740</v>
      </c>
      <c r="C10599" s="801" t="s">
        <v>656</v>
      </c>
      <c r="D10599" s="803">
        <v>0.21</v>
      </c>
    </row>
    <row r="10600" spans="1:4" ht="38.25">
      <c r="A10600" s="801">
        <v>4356</v>
      </c>
      <c r="B10600" s="802" t="s">
        <v>4741</v>
      </c>
      <c r="C10600" s="801" t="s">
        <v>656</v>
      </c>
      <c r="D10600" s="803">
        <v>0.3</v>
      </c>
    </row>
    <row r="10601" spans="1:4" ht="38.25">
      <c r="A10601" s="801">
        <v>13246</v>
      </c>
      <c r="B10601" s="802" t="s">
        <v>11584</v>
      </c>
      <c r="C10601" s="801" t="s">
        <v>656</v>
      </c>
      <c r="D10601" s="803">
        <v>0.51</v>
      </c>
    </row>
    <row r="10602" spans="1:4" ht="38.25">
      <c r="A10602" s="801">
        <v>4346</v>
      </c>
      <c r="B10602" s="802" t="s">
        <v>11585</v>
      </c>
      <c r="C10602" s="801" t="s">
        <v>656</v>
      </c>
      <c r="D10602" s="803">
        <v>11.57</v>
      </c>
    </row>
    <row r="10603" spans="1:4" ht="38.25">
      <c r="A10603" s="801">
        <v>11955</v>
      </c>
      <c r="B10603" s="802" t="s">
        <v>11586</v>
      </c>
      <c r="C10603" s="801" t="s">
        <v>656</v>
      </c>
      <c r="D10603" s="803">
        <v>5.0599999999999996</v>
      </c>
    </row>
    <row r="10604" spans="1:4" ht="25.5">
      <c r="A10604" s="801">
        <v>11960</v>
      </c>
      <c r="B10604" s="802" t="s">
        <v>11587</v>
      </c>
      <c r="C10604" s="801" t="s">
        <v>656</v>
      </c>
      <c r="D10604" s="803">
        <v>0.17</v>
      </c>
    </row>
    <row r="10605" spans="1:4" ht="25.5">
      <c r="A10605" s="801">
        <v>4333</v>
      </c>
      <c r="B10605" s="802" t="s">
        <v>11588</v>
      </c>
      <c r="C10605" s="801" t="s">
        <v>656</v>
      </c>
      <c r="D10605" s="803">
        <v>0.3</v>
      </c>
    </row>
    <row r="10606" spans="1:4" ht="25.5">
      <c r="A10606" s="801">
        <v>4358</v>
      </c>
      <c r="B10606" s="802" t="s">
        <v>11589</v>
      </c>
      <c r="C10606" s="801" t="s">
        <v>656</v>
      </c>
      <c r="D10606" s="803">
        <v>2.31</v>
      </c>
    </row>
    <row r="10607" spans="1:4" ht="25.5">
      <c r="A10607" s="801">
        <v>39435</v>
      </c>
      <c r="B10607" s="802" t="s">
        <v>11590</v>
      </c>
      <c r="C10607" s="801" t="s">
        <v>656</v>
      </c>
      <c r="D10607" s="803">
        <v>0.12</v>
      </c>
    </row>
    <row r="10608" spans="1:4" ht="25.5">
      <c r="A10608" s="801">
        <v>39436</v>
      </c>
      <c r="B10608" s="802" t="s">
        <v>11591</v>
      </c>
      <c r="C10608" s="801" t="s">
        <v>656</v>
      </c>
      <c r="D10608" s="803">
        <v>0.2</v>
      </c>
    </row>
    <row r="10609" spans="1:4" ht="25.5">
      <c r="A10609" s="801">
        <v>39437</v>
      </c>
      <c r="B10609" s="802" t="s">
        <v>11592</v>
      </c>
      <c r="C10609" s="801" t="s">
        <v>656</v>
      </c>
      <c r="D10609" s="803">
        <v>0.26</v>
      </c>
    </row>
    <row r="10610" spans="1:4" ht="25.5">
      <c r="A10610" s="801">
        <v>39439</v>
      </c>
      <c r="B10610" s="802" t="s">
        <v>11593</v>
      </c>
      <c r="C10610" s="801" t="s">
        <v>656</v>
      </c>
      <c r="D10610" s="803">
        <v>0.18</v>
      </c>
    </row>
    <row r="10611" spans="1:4" ht="25.5">
      <c r="A10611" s="801">
        <v>39440</v>
      </c>
      <c r="B10611" s="802" t="s">
        <v>11594</v>
      </c>
      <c r="C10611" s="801" t="s">
        <v>656</v>
      </c>
      <c r="D10611" s="803">
        <v>0.23</v>
      </c>
    </row>
    <row r="10612" spans="1:4" ht="25.5">
      <c r="A10612" s="801">
        <v>39441</v>
      </c>
      <c r="B10612" s="802" t="s">
        <v>11595</v>
      </c>
      <c r="C10612" s="801" t="s">
        <v>656</v>
      </c>
      <c r="D10612" s="803">
        <v>0.28999999999999998</v>
      </c>
    </row>
    <row r="10613" spans="1:4" ht="25.5">
      <c r="A10613" s="801">
        <v>39442</v>
      </c>
      <c r="B10613" s="802" t="s">
        <v>11596</v>
      </c>
      <c r="C10613" s="801" t="s">
        <v>656</v>
      </c>
      <c r="D10613" s="803">
        <v>0.21</v>
      </c>
    </row>
    <row r="10614" spans="1:4" ht="25.5">
      <c r="A10614" s="801">
        <v>39443</v>
      </c>
      <c r="B10614" s="802" t="s">
        <v>11597</v>
      </c>
      <c r="C10614" s="801" t="s">
        <v>656</v>
      </c>
      <c r="D10614" s="803">
        <v>0.27</v>
      </c>
    </row>
    <row r="10615" spans="1:4" ht="25.5">
      <c r="A10615" s="801">
        <v>4329</v>
      </c>
      <c r="B10615" s="802" t="s">
        <v>11598</v>
      </c>
      <c r="C10615" s="801" t="s">
        <v>656</v>
      </c>
      <c r="D10615" s="803">
        <v>2.4700000000000002</v>
      </c>
    </row>
    <row r="10616" spans="1:4" ht="38.25">
      <c r="A10616" s="801">
        <v>4383</v>
      </c>
      <c r="B10616" s="802" t="s">
        <v>11599</v>
      </c>
      <c r="C10616" s="801" t="s">
        <v>656</v>
      </c>
      <c r="D10616" s="803">
        <v>22.33</v>
      </c>
    </row>
    <row r="10617" spans="1:4" ht="38.25">
      <c r="A10617" s="801">
        <v>4344</v>
      </c>
      <c r="B10617" s="802" t="s">
        <v>11600</v>
      </c>
      <c r="C10617" s="801" t="s">
        <v>656</v>
      </c>
      <c r="D10617" s="803">
        <v>23.41</v>
      </c>
    </row>
    <row r="10618" spans="1:4" ht="25.5">
      <c r="A10618" s="801">
        <v>436</v>
      </c>
      <c r="B10618" s="802" t="s">
        <v>11601</v>
      </c>
      <c r="C10618" s="801" t="s">
        <v>656</v>
      </c>
      <c r="D10618" s="803">
        <v>6.85</v>
      </c>
    </row>
    <row r="10619" spans="1:4" ht="25.5">
      <c r="A10619" s="801">
        <v>442</v>
      </c>
      <c r="B10619" s="802" t="s">
        <v>11602</v>
      </c>
      <c r="C10619" s="801" t="s">
        <v>656</v>
      </c>
      <c r="D10619" s="803">
        <v>4.05</v>
      </c>
    </row>
    <row r="10620" spans="1:4" ht="25.5">
      <c r="A10620" s="801">
        <v>11953</v>
      </c>
      <c r="B10620" s="802" t="s">
        <v>11603</v>
      </c>
      <c r="C10620" s="801" t="s">
        <v>656</v>
      </c>
      <c r="D10620" s="803">
        <v>3.71</v>
      </c>
    </row>
    <row r="10621" spans="1:4" ht="25.5">
      <c r="A10621" s="801">
        <v>4335</v>
      </c>
      <c r="B10621" s="802" t="s">
        <v>11604</v>
      </c>
      <c r="C10621" s="801" t="s">
        <v>656</v>
      </c>
      <c r="D10621" s="803">
        <v>15.72</v>
      </c>
    </row>
    <row r="10622" spans="1:4" ht="25.5">
      <c r="A10622" s="801">
        <v>4334</v>
      </c>
      <c r="B10622" s="802" t="s">
        <v>11605</v>
      </c>
      <c r="C10622" s="801" t="s">
        <v>656</v>
      </c>
      <c r="D10622" s="803">
        <v>21.56</v>
      </c>
    </row>
    <row r="10623" spans="1:4" ht="25.5">
      <c r="A10623" s="801">
        <v>4343</v>
      </c>
      <c r="B10623" s="802" t="s">
        <v>11606</v>
      </c>
      <c r="C10623" s="801" t="s">
        <v>656</v>
      </c>
      <c r="D10623" s="803">
        <v>5.3</v>
      </c>
    </row>
    <row r="10624" spans="1:4" ht="25.5">
      <c r="A10624" s="801">
        <v>430</v>
      </c>
      <c r="B10624" s="802" t="s">
        <v>11607</v>
      </c>
      <c r="C10624" s="801" t="s">
        <v>656</v>
      </c>
      <c r="D10624" s="803">
        <v>6.13</v>
      </c>
    </row>
    <row r="10625" spans="1:4" ht="25.5">
      <c r="A10625" s="801">
        <v>441</v>
      </c>
      <c r="B10625" s="802" t="s">
        <v>11608</v>
      </c>
      <c r="C10625" s="801" t="s">
        <v>656</v>
      </c>
      <c r="D10625" s="803">
        <v>6.74</v>
      </c>
    </row>
    <row r="10626" spans="1:4" ht="25.5">
      <c r="A10626" s="801">
        <v>431</v>
      </c>
      <c r="B10626" s="802" t="s">
        <v>11609</v>
      </c>
      <c r="C10626" s="801" t="s">
        <v>656</v>
      </c>
      <c r="D10626" s="803">
        <v>8.14</v>
      </c>
    </row>
    <row r="10627" spans="1:4" ht="25.5">
      <c r="A10627" s="801">
        <v>432</v>
      </c>
      <c r="B10627" s="802" t="s">
        <v>11610</v>
      </c>
      <c r="C10627" s="801" t="s">
        <v>656</v>
      </c>
      <c r="D10627" s="803">
        <v>8.99</v>
      </c>
    </row>
    <row r="10628" spans="1:4" ht="25.5">
      <c r="A10628" s="801">
        <v>429</v>
      </c>
      <c r="B10628" s="802" t="s">
        <v>11611</v>
      </c>
      <c r="C10628" s="801" t="s">
        <v>656</v>
      </c>
      <c r="D10628" s="803">
        <v>12.11</v>
      </c>
    </row>
    <row r="10629" spans="1:4" ht="25.5">
      <c r="A10629" s="801">
        <v>439</v>
      </c>
      <c r="B10629" s="802" t="s">
        <v>11612</v>
      </c>
      <c r="C10629" s="801" t="s">
        <v>656</v>
      </c>
      <c r="D10629" s="803">
        <v>10.32</v>
      </c>
    </row>
    <row r="10630" spans="1:4" ht="25.5">
      <c r="A10630" s="801">
        <v>433</v>
      </c>
      <c r="B10630" s="802" t="s">
        <v>11613</v>
      </c>
      <c r="C10630" s="801" t="s">
        <v>656</v>
      </c>
      <c r="D10630" s="803">
        <v>12.05</v>
      </c>
    </row>
    <row r="10631" spans="1:4" ht="25.5">
      <c r="A10631" s="801">
        <v>437</v>
      </c>
      <c r="B10631" s="802" t="s">
        <v>11614</v>
      </c>
      <c r="C10631" s="801" t="s">
        <v>656</v>
      </c>
      <c r="D10631" s="803">
        <v>16.010000000000002</v>
      </c>
    </row>
    <row r="10632" spans="1:4" ht="25.5">
      <c r="A10632" s="801">
        <v>11790</v>
      </c>
      <c r="B10632" s="802" t="s">
        <v>11615</v>
      </c>
      <c r="C10632" s="801" t="s">
        <v>656</v>
      </c>
      <c r="D10632" s="803">
        <v>18.16</v>
      </c>
    </row>
    <row r="10633" spans="1:4" ht="38.25">
      <c r="A10633" s="801">
        <v>428</v>
      </c>
      <c r="B10633" s="802" t="s">
        <v>11616</v>
      </c>
      <c r="C10633" s="801" t="s">
        <v>656</v>
      </c>
      <c r="D10633" s="803">
        <v>19.75</v>
      </c>
    </row>
    <row r="10634" spans="1:4" ht="38.25">
      <c r="A10634" s="801">
        <v>4384</v>
      </c>
      <c r="B10634" s="802" t="s">
        <v>4742</v>
      </c>
      <c r="C10634" s="801" t="s">
        <v>656</v>
      </c>
      <c r="D10634" s="803">
        <v>25.66</v>
      </c>
    </row>
    <row r="10635" spans="1:4" ht="38.25">
      <c r="A10635" s="801">
        <v>4351</v>
      </c>
      <c r="B10635" s="802" t="s">
        <v>4743</v>
      </c>
      <c r="C10635" s="801" t="s">
        <v>656</v>
      </c>
      <c r="D10635" s="803">
        <v>19.02</v>
      </c>
    </row>
    <row r="10636" spans="1:4" ht="25.5">
      <c r="A10636" s="801">
        <v>11054</v>
      </c>
      <c r="B10636" s="802" t="s">
        <v>11617</v>
      </c>
      <c r="C10636" s="801" t="s">
        <v>656</v>
      </c>
      <c r="D10636" s="803">
        <v>0.04</v>
      </c>
    </row>
    <row r="10637" spans="1:4" ht="25.5">
      <c r="A10637" s="801">
        <v>11055</v>
      </c>
      <c r="B10637" s="802" t="s">
        <v>11618</v>
      </c>
      <c r="C10637" s="801" t="s">
        <v>656</v>
      </c>
      <c r="D10637" s="803">
        <v>7.0000000000000007E-2</v>
      </c>
    </row>
    <row r="10638" spans="1:4" ht="25.5">
      <c r="A10638" s="801">
        <v>11056</v>
      </c>
      <c r="B10638" s="802" t="s">
        <v>11619</v>
      </c>
      <c r="C10638" s="801" t="s">
        <v>656</v>
      </c>
      <c r="D10638" s="803">
        <v>0.08</v>
      </c>
    </row>
    <row r="10639" spans="1:4" ht="25.5">
      <c r="A10639" s="801">
        <v>11057</v>
      </c>
      <c r="B10639" s="802" t="s">
        <v>11620</v>
      </c>
      <c r="C10639" s="801" t="s">
        <v>656</v>
      </c>
      <c r="D10639" s="803">
        <v>0.17</v>
      </c>
    </row>
    <row r="10640" spans="1:4" ht="25.5">
      <c r="A10640" s="801">
        <v>11059</v>
      </c>
      <c r="B10640" s="802" t="s">
        <v>11621</v>
      </c>
      <c r="C10640" s="801" t="s">
        <v>656</v>
      </c>
      <c r="D10640" s="803">
        <v>0.32</v>
      </c>
    </row>
    <row r="10641" spans="1:4" ht="25.5">
      <c r="A10641" s="801">
        <v>11058</v>
      </c>
      <c r="B10641" s="802" t="s">
        <v>11622</v>
      </c>
      <c r="C10641" s="801" t="s">
        <v>656</v>
      </c>
      <c r="D10641" s="803">
        <v>0.42</v>
      </c>
    </row>
    <row r="10642" spans="1:4" ht="25.5">
      <c r="A10642" s="801">
        <v>4380</v>
      </c>
      <c r="B10642" s="802" t="s">
        <v>11623</v>
      </c>
      <c r="C10642" s="801" t="s">
        <v>656</v>
      </c>
      <c r="D10642" s="803">
        <v>1.42</v>
      </c>
    </row>
    <row r="10643" spans="1:4" ht="25.5">
      <c r="A10643" s="801">
        <v>4299</v>
      </c>
      <c r="B10643" s="802" t="s">
        <v>11624</v>
      </c>
      <c r="C10643" s="801" t="s">
        <v>656</v>
      </c>
      <c r="D10643" s="803">
        <v>1.34</v>
      </c>
    </row>
    <row r="10644" spans="1:4" ht="25.5">
      <c r="A10644" s="801">
        <v>4304</v>
      </c>
      <c r="B10644" s="802" t="s">
        <v>11625</v>
      </c>
      <c r="C10644" s="801" t="s">
        <v>656</v>
      </c>
      <c r="D10644" s="803">
        <v>1.82</v>
      </c>
    </row>
    <row r="10645" spans="1:4" ht="25.5">
      <c r="A10645" s="801">
        <v>4305</v>
      </c>
      <c r="B10645" s="802" t="s">
        <v>11626</v>
      </c>
      <c r="C10645" s="801" t="s">
        <v>656</v>
      </c>
      <c r="D10645" s="803">
        <v>2.12</v>
      </c>
    </row>
    <row r="10646" spans="1:4" ht="25.5">
      <c r="A10646" s="801">
        <v>4306</v>
      </c>
      <c r="B10646" s="802" t="s">
        <v>11627</v>
      </c>
      <c r="C10646" s="801" t="s">
        <v>656</v>
      </c>
      <c r="D10646" s="803">
        <v>2.46</v>
      </c>
    </row>
    <row r="10647" spans="1:4" ht="25.5">
      <c r="A10647" s="801">
        <v>4308</v>
      </c>
      <c r="B10647" s="802" t="s">
        <v>11628</v>
      </c>
      <c r="C10647" s="801" t="s">
        <v>656</v>
      </c>
      <c r="D10647" s="803">
        <v>5.0999999999999996</v>
      </c>
    </row>
    <row r="10648" spans="1:4" ht="25.5">
      <c r="A10648" s="801">
        <v>4302</v>
      </c>
      <c r="B10648" s="802" t="s">
        <v>4744</v>
      </c>
      <c r="C10648" s="801" t="s">
        <v>656</v>
      </c>
      <c r="D10648" s="803">
        <v>3.82</v>
      </c>
    </row>
    <row r="10649" spans="1:4" ht="25.5">
      <c r="A10649" s="801">
        <v>4300</v>
      </c>
      <c r="B10649" s="802" t="s">
        <v>11629</v>
      </c>
      <c r="C10649" s="801" t="s">
        <v>656</v>
      </c>
      <c r="D10649" s="803">
        <v>0.91</v>
      </c>
    </row>
    <row r="10650" spans="1:4" ht="25.5">
      <c r="A10650" s="801">
        <v>4301</v>
      </c>
      <c r="B10650" s="802" t="s">
        <v>11630</v>
      </c>
      <c r="C10650" s="801" t="s">
        <v>656</v>
      </c>
      <c r="D10650" s="803">
        <v>1.1100000000000001</v>
      </c>
    </row>
    <row r="10651" spans="1:4" ht="25.5">
      <c r="A10651" s="801">
        <v>4320</v>
      </c>
      <c r="B10651" s="802" t="s">
        <v>11631</v>
      </c>
      <c r="C10651" s="801" t="s">
        <v>656</v>
      </c>
      <c r="D10651" s="803">
        <v>3.38</v>
      </c>
    </row>
    <row r="10652" spans="1:4" ht="25.5">
      <c r="A10652" s="801">
        <v>4318</v>
      </c>
      <c r="B10652" s="802" t="s">
        <v>11632</v>
      </c>
      <c r="C10652" s="801" t="s">
        <v>656</v>
      </c>
      <c r="D10652" s="803">
        <v>1.64</v>
      </c>
    </row>
    <row r="10653" spans="1:4" ht="25.5">
      <c r="A10653" s="801">
        <v>40547</v>
      </c>
      <c r="B10653" s="802" t="s">
        <v>4745</v>
      </c>
      <c r="C10653" s="801" t="s">
        <v>773</v>
      </c>
      <c r="D10653" s="803">
        <v>31.18</v>
      </c>
    </row>
    <row r="10654" spans="1:4" ht="25.5">
      <c r="A10654" s="801">
        <v>11962</v>
      </c>
      <c r="B10654" s="802" t="s">
        <v>11633</v>
      </c>
      <c r="C10654" s="801" t="s">
        <v>656</v>
      </c>
      <c r="D10654" s="803">
        <v>0.25</v>
      </c>
    </row>
    <row r="10655" spans="1:4" ht="25.5">
      <c r="A10655" s="801">
        <v>4332</v>
      </c>
      <c r="B10655" s="802" t="s">
        <v>11634</v>
      </c>
      <c r="C10655" s="801" t="s">
        <v>656</v>
      </c>
      <c r="D10655" s="803">
        <v>1.24</v>
      </c>
    </row>
    <row r="10656" spans="1:4" ht="25.5">
      <c r="A10656" s="801">
        <v>4331</v>
      </c>
      <c r="B10656" s="802" t="s">
        <v>11635</v>
      </c>
      <c r="C10656" s="801" t="s">
        <v>656</v>
      </c>
      <c r="D10656" s="803">
        <v>4.68</v>
      </c>
    </row>
    <row r="10657" spans="1:4" ht="38.25">
      <c r="A10657" s="801">
        <v>4336</v>
      </c>
      <c r="B10657" s="802" t="s">
        <v>11636</v>
      </c>
      <c r="C10657" s="801" t="s">
        <v>656</v>
      </c>
      <c r="D10657" s="803">
        <v>5.99</v>
      </c>
    </row>
    <row r="10658" spans="1:4" ht="25.5">
      <c r="A10658" s="801">
        <v>13294</v>
      </c>
      <c r="B10658" s="802" t="s">
        <v>11637</v>
      </c>
      <c r="C10658" s="801" t="s">
        <v>656</v>
      </c>
      <c r="D10658" s="803">
        <v>1.71</v>
      </c>
    </row>
    <row r="10659" spans="1:4" ht="25.5">
      <c r="A10659" s="801">
        <v>11948</v>
      </c>
      <c r="B10659" s="802" t="s">
        <v>11638</v>
      </c>
      <c r="C10659" s="801" t="s">
        <v>656</v>
      </c>
      <c r="D10659" s="803">
        <v>0.77</v>
      </c>
    </row>
    <row r="10660" spans="1:4" ht="25.5">
      <c r="A10660" s="801">
        <v>4382</v>
      </c>
      <c r="B10660" s="802" t="s">
        <v>11639</v>
      </c>
      <c r="C10660" s="801" t="s">
        <v>656</v>
      </c>
      <c r="D10660" s="803">
        <v>1.28</v>
      </c>
    </row>
    <row r="10661" spans="1:4" ht="25.5">
      <c r="A10661" s="801">
        <v>4354</v>
      </c>
      <c r="B10661" s="802" t="s">
        <v>11640</v>
      </c>
      <c r="C10661" s="801" t="s">
        <v>656</v>
      </c>
      <c r="D10661" s="803">
        <v>53.69</v>
      </c>
    </row>
    <row r="10662" spans="1:4" ht="25.5">
      <c r="A10662" s="801">
        <v>40839</v>
      </c>
      <c r="B10662" s="802" t="s">
        <v>11641</v>
      </c>
      <c r="C10662" s="801" t="s">
        <v>773</v>
      </c>
      <c r="D10662" s="803">
        <v>129.19999999999999</v>
      </c>
    </row>
    <row r="10663" spans="1:4" ht="25.5">
      <c r="A10663" s="801">
        <v>40552</v>
      </c>
      <c r="B10663" s="802" t="s">
        <v>4746</v>
      </c>
      <c r="C10663" s="801" t="s">
        <v>773</v>
      </c>
      <c r="D10663" s="803">
        <v>53.46</v>
      </c>
    </row>
    <row r="10664" spans="1:4" ht="25.5">
      <c r="A10664" s="801">
        <v>40549</v>
      </c>
      <c r="B10664" s="802" t="s">
        <v>4747</v>
      </c>
      <c r="C10664" s="801" t="s">
        <v>773</v>
      </c>
      <c r="D10664" s="803">
        <v>211.62</v>
      </c>
    </row>
    <row r="10665" spans="1:4" ht="38.25">
      <c r="A10665" s="801">
        <v>4385</v>
      </c>
      <c r="B10665" s="802" t="s">
        <v>11642</v>
      </c>
      <c r="C10665" s="801" t="s">
        <v>664</v>
      </c>
      <c r="D10665" s="803">
        <v>4136.43</v>
      </c>
    </row>
    <row r="10666" spans="1:4" ht="38.25">
      <c r="A10666" s="801">
        <v>20078</v>
      </c>
      <c r="B10666" s="802" t="s">
        <v>11643</v>
      </c>
      <c r="C10666" s="801" t="s">
        <v>656</v>
      </c>
      <c r="D10666" s="803">
        <v>31.75</v>
      </c>
    </row>
    <row r="10667" spans="1:4" ht="25.5">
      <c r="A10667" s="801">
        <v>39897</v>
      </c>
      <c r="B10667" s="802" t="s">
        <v>11644</v>
      </c>
      <c r="C10667" s="801" t="s">
        <v>656</v>
      </c>
      <c r="D10667" s="803">
        <v>61.22</v>
      </c>
    </row>
    <row r="10668" spans="1:4" ht="25.5">
      <c r="A10668" s="801">
        <v>118</v>
      </c>
      <c r="B10668" s="802" t="s">
        <v>11645</v>
      </c>
      <c r="C10668" s="801" t="s">
        <v>656</v>
      </c>
      <c r="D10668" s="803">
        <v>67.14</v>
      </c>
    </row>
    <row r="10669" spans="1:4" ht="38.25">
      <c r="A10669" s="801">
        <v>4396</v>
      </c>
      <c r="B10669" s="802" t="s">
        <v>11646</v>
      </c>
      <c r="C10669" s="801" t="s">
        <v>661</v>
      </c>
      <c r="D10669" s="803">
        <v>193.24</v>
      </c>
    </row>
    <row r="10670" spans="1:4" ht="38.25">
      <c r="A10670" s="801">
        <v>36881</v>
      </c>
      <c r="B10670" s="802" t="s">
        <v>11647</v>
      </c>
      <c r="C10670" s="801" t="s">
        <v>661</v>
      </c>
      <c r="D10670" s="803">
        <v>124.45</v>
      </c>
    </row>
    <row r="10671" spans="1:4" ht="38.25">
      <c r="A10671" s="801">
        <v>4397</v>
      </c>
      <c r="B10671" s="802" t="s">
        <v>11648</v>
      </c>
      <c r="C10671" s="801" t="s">
        <v>661</v>
      </c>
      <c r="D10671" s="803">
        <v>210.2</v>
      </c>
    </row>
    <row r="10672" spans="1:4" ht="38.25">
      <c r="A10672" s="801">
        <v>36882</v>
      </c>
      <c r="B10672" s="802" t="s">
        <v>11649</v>
      </c>
      <c r="C10672" s="801" t="s">
        <v>661</v>
      </c>
      <c r="D10672" s="803">
        <v>148.81</v>
      </c>
    </row>
    <row r="10673" spans="1:4">
      <c r="A10673" s="801">
        <v>4751</v>
      </c>
      <c r="B10673" s="802" t="s">
        <v>11650</v>
      </c>
      <c r="C10673" s="801" t="s">
        <v>659</v>
      </c>
      <c r="D10673" s="803">
        <v>13.73</v>
      </c>
    </row>
    <row r="10674" spans="1:4">
      <c r="A10674" s="801">
        <v>41066</v>
      </c>
      <c r="B10674" s="802" t="s">
        <v>11651</v>
      </c>
      <c r="C10674" s="801" t="s">
        <v>772</v>
      </c>
      <c r="D10674" s="803">
        <v>2424.4299999999998</v>
      </c>
    </row>
    <row r="10675" spans="1:4">
      <c r="A10675" s="801">
        <v>39604</v>
      </c>
      <c r="B10675" s="802" t="s">
        <v>11652</v>
      </c>
      <c r="C10675" s="801" t="s">
        <v>656</v>
      </c>
      <c r="D10675" s="803">
        <v>14.16</v>
      </c>
    </row>
    <row r="10676" spans="1:4">
      <c r="A10676" s="801">
        <v>39605</v>
      </c>
      <c r="B10676" s="802" t="s">
        <v>11653</v>
      </c>
      <c r="C10676" s="801" t="s">
        <v>656</v>
      </c>
      <c r="D10676" s="803">
        <v>19.649999999999999</v>
      </c>
    </row>
    <row r="10677" spans="1:4">
      <c r="A10677" s="801">
        <v>39606</v>
      </c>
      <c r="B10677" s="802" t="s">
        <v>11654</v>
      </c>
      <c r="C10677" s="801" t="s">
        <v>656</v>
      </c>
      <c r="D10677" s="803">
        <v>24.95</v>
      </c>
    </row>
    <row r="10678" spans="1:4">
      <c r="A10678" s="801">
        <v>39607</v>
      </c>
      <c r="B10678" s="802" t="s">
        <v>11655</v>
      </c>
      <c r="C10678" s="801" t="s">
        <v>656</v>
      </c>
      <c r="D10678" s="803">
        <v>28.62</v>
      </c>
    </row>
    <row r="10679" spans="1:4" ht="25.5">
      <c r="A10679" s="801">
        <v>39594</v>
      </c>
      <c r="B10679" s="802" t="s">
        <v>11656</v>
      </c>
      <c r="C10679" s="801" t="s">
        <v>656</v>
      </c>
      <c r="D10679" s="803">
        <v>271</v>
      </c>
    </row>
    <row r="10680" spans="1:4" ht="25.5">
      <c r="A10680" s="801">
        <v>39596</v>
      </c>
      <c r="B10680" s="802" t="s">
        <v>11657</v>
      </c>
      <c r="C10680" s="801" t="s">
        <v>656</v>
      </c>
      <c r="D10680" s="803">
        <v>472.34</v>
      </c>
    </row>
    <row r="10681" spans="1:4" ht="25.5">
      <c r="A10681" s="801">
        <v>39595</v>
      </c>
      <c r="B10681" s="802" t="s">
        <v>11658</v>
      </c>
      <c r="C10681" s="801" t="s">
        <v>656</v>
      </c>
      <c r="D10681" s="803">
        <v>396.49</v>
      </c>
    </row>
    <row r="10682" spans="1:4" ht="25.5">
      <c r="A10682" s="801">
        <v>39597</v>
      </c>
      <c r="B10682" s="802" t="s">
        <v>11659</v>
      </c>
      <c r="C10682" s="801" t="s">
        <v>656</v>
      </c>
      <c r="D10682" s="803">
        <v>636.97</v>
      </c>
    </row>
    <row r="10683" spans="1:4">
      <c r="A10683" s="801">
        <v>10731</v>
      </c>
      <c r="B10683" s="802" t="s">
        <v>11660</v>
      </c>
      <c r="C10683" s="801" t="s">
        <v>661</v>
      </c>
      <c r="D10683" s="803">
        <v>35.44</v>
      </c>
    </row>
    <row r="10684" spans="1:4">
      <c r="A10684" s="801">
        <v>4704</v>
      </c>
      <c r="B10684" s="802" t="s">
        <v>11661</v>
      </c>
      <c r="C10684" s="801" t="s">
        <v>661</v>
      </c>
      <c r="D10684" s="803">
        <v>31.98</v>
      </c>
    </row>
    <row r="10685" spans="1:4">
      <c r="A10685" s="801">
        <v>10730</v>
      </c>
      <c r="B10685" s="802" t="s">
        <v>11662</v>
      </c>
      <c r="C10685" s="801" t="s">
        <v>661</v>
      </c>
      <c r="D10685" s="803">
        <v>34.26</v>
      </c>
    </row>
    <row r="10686" spans="1:4" ht="25.5">
      <c r="A10686" s="801">
        <v>4729</v>
      </c>
      <c r="B10686" s="802" t="s">
        <v>11663</v>
      </c>
      <c r="C10686" s="801" t="s">
        <v>654</v>
      </c>
      <c r="D10686" s="803">
        <v>85.04</v>
      </c>
    </row>
    <row r="10687" spans="1:4" ht="25.5">
      <c r="A10687" s="801">
        <v>4720</v>
      </c>
      <c r="B10687" s="802" t="s">
        <v>4748</v>
      </c>
      <c r="C10687" s="801" t="s">
        <v>654</v>
      </c>
      <c r="D10687" s="803">
        <v>97.44</v>
      </c>
    </row>
    <row r="10688" spans="1:4" ht="25.5">
      <c r="A10688" s="801">
        <v>4721</v>
      </c>
      <c r="B10688" s="802" t="s">
        <v>4749</v>
      </c>
      <c r="C10688" s="801" t="s">
        <v>654</v>
      </c>
      <c r="D10688" s="803">
        <v>84.4</v>
      </c>
    </row>
    <row r="10689" spans="1:4" ht="25.5">
      <c r="A10689" s="801">
        <v>4718</v>
      </c>
      <c r="B10689" s="802" t="s">
        <v>4750</v>
      </c>
      <c r="C10689" s="801" t="s">
        <v>654</v>
      </c>
      <c r="D10689" s="803">
        <v>84.85</v>
      </c>
    </row>
    <row r="10690" spans="1:4" ht="25.5">
      <c r="A10690" s="801">
        <v>4722</v>
      </c>
      <c r="B10690" s="802" t="s">
        <v>4751</v>
      </c>
      <c r="C10690" s="801" t="s">
        <v>654</v>
      </c>
      <c r="D10690" s="803">
        <v>79.73</v>
      </c>
    </row>
    <row r="10691" spans="1:4" ht="25.5">
      <c r="A10691" s="801">
        <v>4723</v>
      </c>
      <c r="B10691" s="802" t="s">
        <v>11664</v>
      </c>
      <c r="C10691" s="801" t="s">
        <v>654</v>
      </c>
      <c r="D10691" s="803">
        <v>79.040000000000006</v>
      </c>
    </row>
    <row r="10692" spans="1:4" ht="25.5">
      <c r="A10692" s="801">
        <v>4727</v>
      </c>
      <c r="B10692" s="802" t="s">
        <v>11665</v>
      </c>
      <c r="C10692" s="801" t="s">
        <v>654</v>
      </c>
      <c r="D10692" s="803">
        <v>72.34</v>
      </c>
    </row>
    <row r="10693" spans="1:4" ht="25.5">
      <c r="A10693" s="801">
        <v>4748</v>
      </c>
      <c r="B10693" s="802" t="s">
        <v>11666</v>
      </c>
      <c r="C10693" s="801" t="s">
        <v>654</v>
      </c>
      <c r="D10693" s="803">
        <v>77.95</v>
      </c>
    </row>
    <row r="10694" spans="1:4" ht="25.5">
      <c r="A10694" s="801">
        <v>4730</v>
      </c>
      <c r="B10694" s="802" t="s">
        <v>11667</v>
      </c>
      <c r="C10694" s="801" t="s">
        <v>654</v>
      </c>
      <c r="D10694" s="803">
        <v>79.33</v>
      </c>
    </row>
    <row r="10695" spans="1:4" ht="51">
      <c r="A10695" s="801">
        <v>13186</v>
      </c>
      <c r="B10695" s="802" t="s">
        <v>11668</v>
      </c>
      <c r="C10695" s="801" t="s">
        <v>654</v>
      </c>
      <c r="D10695" s="803">
        <v>62.5</v>
      </c>
    </row>
    <row r="10696" spans="1:4" ht="38.25">
      <c r="A10696" s="801">
        <v>10737</v>
      </c>
      <c r="B10696" s="802" t="s">
        <v>11669</v>
      </c>
      <c r="C10696" s="801" t="s">
        <v>661</v>
      </c>
      <c r="D10696" s="803">
        <v>111.37</v>
      </c>
    </row>
    <row r="10697" spans="1:4" ht="38.25">
      <c r="A10697" s="801">
        <v>10734</v>
      </c>
      <c r="B10697" s="802" t="s">
        <v>11670</v>
      </c>
      <c r="C10697" s="801" t="s">
        <v>661</v>
      </c>
      <c r="D10697" s="803">
        <v>66.25</v>
      </c>
    </row>
    <row r="10698" spans="1:4">
      <c r="A10698" s="801">
        <v>4708</v>
      </c>
      <c r="B10698" s="802" t="s">
        <v>11671</v>
      </c>
      <c r="C10698" s="801" t="s">
        <v>661</v>
      </c>
      <c r="D10698" s="803">
        <v>128.5</v>
      </c>
    </row>
    <row r="10699" spans="1:4" ht="38.25">
      <c r="A10699" s="801">
        <v>4712</v>
      </c>
      <c r="B10699" s="802" t="s">
        <v>11672</v>
      </c>
      <c r="C10699" s="801" t="s">
        <v>661</v>
      </c>
      <c r="D10699" s="803">
        <v>62.82</v>
      </c>
    </row>
    <row r="10700" spans="1:4" ht="51">
      <c r="A10700" s="801">
        <v>4710</v>
      </c>
      <c r="B10700" s="802" t="s">
        <v>11673</v>
      </c>
      <c r="C10700" s="801" t="s">
        <v>661</v>
      </c>
      <c r="D10700" s="803">
        <v>201.47</v>
      </c>
    </row>
    <row r="10701" spans="1:4" ht="25.5">
      <c r="A10701" s="801">
        <v>4746</v>
      </c>
      <c r="B10701" s="802" t="s">
        <v>11674</v>
      </c>
      <c r="C10701" s="801" t="s">
        <v>654</v>
      </c>
      <c r="D10701" s="803">
        <v>59.25</v>
      </c>
    </row>
    <row r="10702" spans="1:4">
      <c r="A10702" s="801">
        <v>4750</v>
      </c>
      <c r="B10702" s="802" t="s">
        <v>11675</v>
      </c>
      <c r="C10702" s="801" t="s">
        <v>659</v>
      </c>
      <c r="D10702" s="803">
        <v>13.73</v>
      </c>
    </row>
    <row r="10703" spans="1:4">
      <c r="A10703" s="801">
        <v>41065</v>
      </c>
      <c r="B10703" s="802" t="s">
        <v>11676</v>
      </c>
      <c r="C10703" s="801" t="s">
        <v>772</v>
      </c>
      <c r="D10703" s="803">
        <v>2424.4299999999998</v>
      </c>
    </row>
    <row r="10704" spans="1:4" ht="25.5">
      <c r="A10704" s="801">
        <v>34747</v>
      </c>
      <c r="B10704" s="802" t="s">
        <v>11677</v>
      </c>
      <c r="C10704" s="801" t="s">
        <v>660</v>
      </c>
      <c r="D10704" s="803">
        <v>90.92</v>
      </c>
    </row>
    <row r="10705" spans="1:4" ht="25.5">
      <c r="A10705" s="801">
        <v>4826</v>
      </c>
      <c r="B10705" s="802" t="s">
        <v>11678</v>
      </c>
      <c r="C10705" s="801" t="s">
        <v>660</v>
      </c>
      <c r="D10705" s="803">
        <v>97.76</v>
      </c>
    </row>
    <row r="10706" spans="1:4" ht="25.5">
      <c r="A10706" s="801">
        <v>41975</v>
      </c>
      <c r="B10706" s="802" t="s">
        <v>11679</v>
      </c>
      <c r="C10706" s="801" t="s">
        <v>661</v>
      </c>
      <c r="D10706" s="803">
        <v>76.52</v>
      </c>
    </row>
    <row r="10707" spans="1:4" ht="25.5">
      <c r="A10707" s="801">
        <v>4825</v>
      </c>
      <c r="B10707" s="802" t="s">
        <v>11680</v>
      </c>
      <c r="C10707" s="801" t="s">
        <v>660</v>
      </c>
      <c r="D10707" s="803">
        <v>135.32</v>
      </c>
    </row>
    <row r="10708" spans="1:4">
      <c r="A10708" s="801">
        <v>34744</v>
      </c>
      <c r="B10708" s="802" t="s">
        <v>11681</v>
      </c>
      <c r="C10708" s="801" t="s">
        <v>661</v>
      </c>
      <c r="D10708" s="803">
        <v>20.92</v>
      </c>
    </row>
    <row r="10709" spans="1:4" ht="38.25">
      <c r="A10709" s="801">
        <v>39430</v>
      </c>
      <c r="B10709" s="802" t="s">
        <v>4752</v>
      </c>
      <c r="C10709" s="801" t="s">
        <v>656</v>
      </c>
      <c r="D10709" s="803">
        <v>2.97</v>
      </c>
    </row>
    <row r="10710" spans="1:4" ht="25.5">
      <c r="A10710" s="801">
        <v>39573</v>
      </c>
      <c r="B10710" s="802" t="s">
        <v>11682</v>
      </c>
      <c r="C10710" s="801" t="s">
        <v>656</v>
      </c>
      <c r="D10710" s="803">
        <v>2.92</v>
      </c>
    </row>
    <row r="10711" spans="1:4" ht="25.5">
      <c r="A10711" s="801">
        <v>38410</v>
      </c>
      <c r="B10711" s="802" t="s">
        <v>11683</v>
      </c>
      <c r="C10711" s="801" t="s">
        <v>656</v>
      </c>
      <c r="D10711" s="803">
        <v>15552.58</v>
      </c>
    </row>
    <row r="10712" spans="1:4">
      <c r="A10712" s="801">
        <v>41596</v>
      </c>
      <c r="B10712" s="802" t="s">
        <v>11684</v>
      </c>
      <c r="C10712" s="801" t="s">
        <v>653</v>
      </c>
      <c r="D10712" s="803">
        <v>13.96</v>
      </c>
    </row>
    <row r="10713" spans="1:4">
      <c r="A10713" s="801">
        <v>41598</v>
      </c>
      <c r="B10713" s="802" t="s">
        <v>11685</v>
      </c>
      <c r="C10713" s="801" t="s">
        <v>653</v>
      </c>
      <c r="D10713" s="803">
        <v>13.96</v>
      </c>
    </row>
    <row r="10714" spans="1:4">
      <c r="A10714" s="801">
        <v>41594</v>
      </c>
      <c r="B10714" s="802" t="s">
        <v>11686</v>
      </c>
      <c r="C10714" s="801" t="s">
        <v>653</v>
      </c>
      <c r="D10714" s="803">
        <v>14.18</v>
      </c>
    </row>
    <row r="10715" spans="1:4">
      <c r="A10715" s="801">
        <v>43663</v>
      </c>
      <c r="B10715" s="802" t="s">
        <v>11687</v>
      </c>
      <c r="C10715" s="801" t="s">
        <v>653</v>
      </c>
      <c r="D10715" s="803">
        <v>11.68</v>
      </c>
    </row>
    <row r="10716" spans="1:4">
      <c r="A10716" s="801">
        <v>4766</v>
      </c>
      <c r="B10716" s="802" t="s">
        <v>11688</v>
      </c>
      <c r="C10716" s="801" t="s">
        <v>653</v>
      </c>
      <c r="D10716" s="803">
        <v>11</v>
      </c>
    </row>
    <row r="10717" spans="1:4">
      <c r="A10717" s="801">
        <v>43664</v>
      </c>
      <c r="B10717" s="802" t="s">
        <v>11689</v>
      </c>
      <c r="C10717" s="801" t="s">
        <v>653</v>
      </c>
      <c r="D10717" s="803">
        <v>11.74</v>
      </c>
    </row>
    <row r="10718" spans="1:4" ht="25.5">
      <c r="A10718" s="801">
        <v>43082</v>
      </c>
      <c r="B10718" s="802" t="s">
        <v>11690</v>
      </c>
      <c r="C10718" s="801" t="s">
        <v>653</v>
      </c>
      <c r="D10718" s="803">
        <v>12.8</v>
      </c>
    </row>
    <row r="10719" spans="1:4">
      <c r="A10719" s="801">
        <v>43665</v>
      </c>
      <c r="B10719" s="802" t="s">
        <v>11691</v>
      </c>
      <c r="C10719" s="801" t="s">
        <v>653</v>
      </c>
      <c r="D10719" s="803">
        <v>11</v>
      </c>
    </row>
    <row r="10720" spans="1:4">
      <c r="A10720" s="801">
        <v>10966</v>
      </c>
      <c r="B10720" s="802" t="s">
        <v>11692</v>
      </c>
      <c r="C10720" s="801" t="s">
        <v>653</v>
      </c>
      <c r="D10720" s="803">
        <v>11.68</v>
      </c>
    </row>
    <row r="10721" spans="1:4" ht="25.5">
      <c r="A10721" s="801">
        <v>43692</v>
      </c>
      <c r="B10721" s="802" t="s">
        <v>11693</v>
      </c>
      <c r="C10721" s="801" t="s">
        <v>653</v>
      </c>
      <c r="D10721" s="803">
        <v>11.68</v>
      </c>
    </row>
    <row r="10722" spans="1:4" ht="25.5">
      <c r="A10722" s="801">
        <v>43083</v>
      </c>
      <c r="B10722" s="802" t="s">
        <v>4753</v>
      </c>
      <c r="C10722" s="801" t="s">
        <v>653</v>
      </c>
      <c r="D10722" s="803">
        <v>11.09</v>
      </c>
    </row>
    <row r="10723" spans="1:4" ht="25.5">
      <c r="A10723" s="801">
        <v>40535</v>
      </c>
      <c r="B10723" s="802" t="s">
        <v>11694</v>
      </c>
      <c r="C10723" s="801" t="s">
        <v>653</v>
      </c>
      <c r="D10723" s="803">
        <v>11.09</v>
      </c>
    </row>
    <row r="10724" spans="1:4" ht="38.25">
      <c r="A10724" s="801">
        <v>39427</v>
      </c>
      <c r="B10724" s="802" t="s">
        <v>4754</v>
      </c>
      <c r="C10724" s="801" t="s">
        <v>660</v>
      </c>
      <c r="D10724" s="803">
        <v>7.88</v>
      </c>
    </row>
    <row r="10725" spans="1:4" ht="25.5">
      <c r="A10725" s="801">
        <v>39424</v>
      </c>
      <c r="B10725" s="802" t="s">
        <v>11695</v>
      </c>
      <c r="C10725" s="801" t="s">
        <v>660</v>
      </c>
      <c r="D10725" s="803">
        <v>4.6900000000000004</v>
      </c>
    </row>
    <row r="10726" spans="1:4" ht="25.5">
      <c r="A10726" s="801">
        <v>39425</v>
      </c>
      <c r="B10726" s="802" t="s">
        <v>11696</v>
      </c>
      <c r="C10726" s="801" t="s">
        <v>660</v>
      </c>
      <c r="D10726" s="803">
        <v>4.62</v>
      </c>
    </row>
    <row r="10727" spans="1:4" ht="25.5">
      <c r="A10727" s="801">
        <v>40664</v>
      </c>
      <c r="B10727" s="802" t="s">
        <v>11697</v>
      </c>
      <c r="C10727" s="801" t="s">
        <v>653</v>
      </c>
      <c r="D10727" s="803">
        <v>22.75</v>
      </c>
    </row>
    <row r="10728" spans="1:4">
      <c r="A10728" s="801">
        <v>34360</v>
      </c>
      <c r="B10728" s="802" t="s">
        <v>11698</v>
      </c>
      <c r="C10728" s="801" t="s">
        <v>653</v>
      </c>
      <c r="D10728" s="803">
        <v>47.31</v>
      </c>
    </row>
    <row r="10729" spans="1:4" ht="25.5">
      <c r="A10729" s="801">
        <v>20259</v>
      </c>
      <c r="B10729" s="802" t="s">
        <v>11699</v>
      </c>
      <c r="C10729" s="801" t="s">
        <v>660</v>
      </c>
      <c r="D10729" s="803">
        <v>11</v>
      </c>
    </row>
    <row r="10730" spans="1:4" ht="38.25">
      <c r="A10730" s="801">
        <v>14077</v>
      </c>
      <c r="B10730" s="802" t="s">
        <v>11700</v>
      </c>
      <c r="C10730" s="801" t="s">
        <v>660</v>
      </c>
      <c r="D10730" s="803">
        <v>168.36</v>
      </c>
    </row>
    <row r="10731" spans="1:4" ht="38.25">
      <c r="A10731" s="801">
        <v>3678</v>
      </c>
      <c r="B10731" s="802" t="s">
        <v>11701</v>
      </c>
      <c r="C10731" s="801" t="s">
        <v>660</v>
      </c>
      <c r="D10731" s="803">
        <v>76.099999999999994</v>
      </c>
    </row>
    <row r="10732" spans="1:4" ht="25.5">
      <c r="A10732" s="801">
        <v>39418</v>
      </c>
      <c r="B10732" s="802" t="s">
        <v>11702</v>
      </c>
      <c r="C10732" s="801" t="s">
        <v>660</v>
      </c>
      <c r="D10732" s="803">
        <v>8.7899999999999991</v>
      </c>
    </row>
    <row r="10733" spans="1:4" ht="25.5">
      <c r="A10733" s="801">
        <v>39419</v>
      </c>
      <c r="B10733" s="802" t="s">
        <v>11703</v>
      </c>
      <c r="C10733" s="801" t="s">
        <v>660</v>
      </c>
      <c r="D10733" s="803">
        <v>10.71</v>
      </c>
    </row>
    <row r="10734" spans="1:4" ht="25.5">
      <c r="A10734" s="801">
        <v>39420</v>
      </c>
      <c r="B10734" s="802" t="s">
        <v>11704</v>
      </c>
      <c r="C10734" s="801" t="s">
        <v>660</v>
      </c>
      <c r="D10734" s="803">
        <v>11.82</v>
      </c>
    </row>
    <row r="10735" spans="1:4" ht="38.25">
      <c r="A10735" s="801">
        <v>39571</v>
      </c>
      <c r="B10735" s="802" t="s">
        <v>11705</v>
      </c>
      <c r="C10735" s="801" t="s">
        <v>660</v>
      </c>
      <c r="D10735" s="803">
        <v>7.14</v>
      </c>
    </row>
    <row r="10736" spans="1:4" ht="25.5">
      <c r="A10736" s="801">
        <v>39421</v>
      </c>
      <c r="B10736" s="802" t="s">
        <v>11706</v>
      </c>
      <c r="C10736" s="801" t="s">
        <v>660</v>
      </c>
      <c r="D10736" s="803">
        <v>10.41</v>
      </c>
    </row>
    <row r="10737" spans="1:4" ht="25.5">
      <c r="A10737" s="801">
        <v>39422</v>
      </c>
      <c r="B10737" s="802" t="s">
        <v>11707</v>
      </c>
      <c r="C10737" s="801" t="s">
        <v>660</v>
      </c>
      <c r="D10737" s="803">
        <v>12.15</v>
      </c>
    </row>
    <row r="10738" spans="1:4" ht="25.5">
      <c r="A10738" s="801">
        <v>39423</v>
      </c>
      <c r="B10738" s="802" t="s">
        <v>11708</v>
      </c>
      <c r="C10738" s="801" t="s">
        <v>660</v>
      </c>
      <c r="D10738" s="803">
        <v>14.11</v>
      </c>
    </row>
    <row r="10739" spans="1:4" ht="38.25">
      <c r="A10739" s="801">
        <v>39426</v>
      </c>
      <c r="B10739" s="802" t="s">
        <v>11709</v>
      </c>
      <c r="C10739" s="801" t="s">
        <v>660</v>
      </c>
      <c r="D10739" s="803">
        <v>31.71</v>
      </c>
    </row>
    <row r="10740" spans="1:4" ht="38.25">
      <c r="A10740" s="801">
        <v>39429</v>
      </c>
      <c r="B10740" s="802" t="s">
        <v>11710</v>
      </c>
      <c r="C10740" s="801" t="s">
        <v>660</v>
      </c>
      <c r="D10740" s="803">
        <v>10</v>
      </c>
    </row>
    <row r="10741" spans="1:4" ht="38.25">
      <c r="A10741" s="801">
        <v>39428</v>
      </c>
      <c r="B10741" s="802" t="s">
        <v>11711</v>
      </c>
      <c r="C10741" s="801" t="s">
        <v>660</v>
      </c>
      <c r="D10741" s="803">
        <v>7.64</v>
      </c>
    </row>
    <row r="10742" spans="1:4" ht="25.5">
      <c r="A10742" s="801">
        <v>39572</v>
      </c>
      <c r="B10742" s="802" t="s">
        <v>11712</v>
      </c>
      <c r="C10742" s="801" t="s">
        <v>660</v>
      </c>
      <c r="D10742" s="803">
        <v>6.62</v>
      </c>
    </row>
    <row r="10743" spans="1:4" ht="38.25">
      <c r="A10743" s="801">
        <v>39570</v>
      </c>
      <c r="B10743" s="802" t="s">
        <v>11713</v>
      </c>
      <c r="C10743" s="801" t="s">
        <v>660</v>
      </c>
      <c r="D10743" s="803">
        <v>7.02</v>
      </c>
    </row>
    <row r="10744" spans="1:4" ht="38.25">
      <c r="A10744" s="801">
        <v>39569</v>
      </c>
      <c r="B10744" s="802" t="s">
        <v>11714</v>
      </c>
      <c r="C10744" s="801" t="s">
        <v>660</v>
      </c>
      <c r="D10744" s="803">
        <v>6.93</v>
      </c>
    </row>
    <row r="10745" spans="1:4" ht="25.5">
      <c r="A10745" s="801">
        <v>11552</v>
      </c>
      <c r="B10745" s="802" t="s">
        <v>11715</v>
      </c>
      <c r="C10745" s="801" t="s">
        <v>660</v>
      </c>
      <c r="D10745" s="803">
        <v>7.7</v>
      </c>
    </row>
    <row r="10746" spans="1:4" ht="25.5">
      <c r="A10746" s="801">
        <v>40598</v>
      </c>
      <c r="B10746" s="802" t="s">
        <v>4755</v>
      </c>
      <c r="C10746" s="801" t="s">
        <v>653</v>
      </c>
      <c r="D10746" s="803">
        <v>10.81</v>
      </c>
    </row>
    <row r="10747" spans="1:4">
      <c r="A10747" s="801">
        <v>39029</v>
      </c>
      <c r="B10747" s="802" t="s">
        <v>11716</v>
      </c>
      <c r="C10747" s="801" t="s">
        <v>660</v>
      </c>
      <c r="D10747" s="803">
        <v>22.39</v>
      </c>
    </row>
    <row r="10748" spans="1:4">
      <c r="A10748" s="801">
        <v>39028</v>
      </c>
      <c r="B10748" s="802" t="s">
        <v>11717</v>
      </c>
      <c r="C10748" s="801" t="s">
        <v>660</v>
      </c>
      <c r="D10748" s="803">
        <v>13.03</v>
      </c>
    </row>
    <row r="10749" spans="1:4">
      <c r="A10749" s="801">
        <v>39328</v>
      </c>
      <c r="B10749" s="802" t="s">
        <v>11718</v>
      </c>
      <c r="C10749" s="801" t="s">
        <v>660</v>
      </c>
      <c r="D10749" s="803">
        <v>7.17</v>
      </c>
    </row>
    <row r="10750" spans="1:4" ht="51">
      <c r="A10750" s="801">
        <v>38541</v>
      </c>
      <c r="B10750" s="802" t="s">
        <v>11719</v>
      </c>
      <c r="C10750" s="801" t="s">
        <v>656</v>
      </c>
      <c r="D10750" s="803">
        <v>3926315.76</v>
      </c>
    </row>
    <row r="10751" spans="1:4" ht="51">
      <c r="A10751" s="801">
        <v>38542</v>
      </c>
      <c r="B10751" s="802" t="s">
        <v>11720</v>
      </c>
      <c r="C10751" s="801" t="s">
        <v>656</v>
      </c>
      <c r="D10751" s="803">
        <v>6105263.1200000001</v>
      </c>
    </row>
    <row r="10752" spans="1:4" ht="51">
      <c r="A10752" s="801">
        <v>38543</v>
      </c>
      <c r="B10752" s="802" t="s">
        <v>4756</v>
      </c>
      <c r="C10752" s="801" t="s">
        <v>656</v>
      </c>
      <c r="D10752" s="803">
        <v>1494736.88</v>
      </c>
    </row>
    <row r="10753" spans="1:4" ht="38.25">
      <c r="A10753" s="801">
        <v>40406</v>
      </c>
      <c r="B10753" s="802" t="s">
        <v>11721</v>
      </c>
      <c r="C10753" s="801" t="s">
        <v>656</v>
      </c>
      <c r="D10753" s="803">
        <v>74645.61</v>
      </c>
    </row>
    <row r="10754" spans="1:4" ht="25.5">
      <c r="A10754" s="801">
        <v>40789</v>
      </c>
      <c r="B10754" s="802" t="s">
        <v>11722</v>
      </c>
      <c r="C10754" s="801" t="s">
        <v>656</v>
      </c>
      <c r="D10754" s="803">
        <v>10757.2</v>
      </c>
    </row>
    <row r="10755" spans="1:4" ht="38.25">
      <c r="A10755" s="801">
        <v>40791</v>
      </c>
      <c r="B10755" s="802" t="s">
        <v>11723</v>
      </c>
      <c r="C10755" s="801" t="s">
        <v>656</v>
      </c>
      <c r="D10755" s="803">
        <v>33674.71</v>
      </c>
    </row>
    <row r="10756" spans="1:4" ht="38.25">
      <c r="A10756" s="801">
        <v>11651</v>
      </c>
      <c r="B10756" s="802" t="s">
        <v>11724</v>
      </c>
      <c r="C10756" s="801" t="s">
        <v>656</v>
      </c>
      <c r="D10756" s="803">
        <v>18417.18</v>
      </c>
    </row>
    <row r="10757" spans="1:4" ht="25.5">
      <c r="A10757" s="801">
        <v>40435</v>
      </c>
      <c r="B10757" s="802" t="s">
        <v>11725</v>
      </c>
      <c r="C10757" s="801" t="s">
        <v>656</v>
      </c>
      <c r="D10757" s="803">
        <v>820000</v>
      </c>
    </row>
    <row r="10758" spans="1:4" ht="25.5">
      <c r="A10758" s="801">
        <v>39012</v>
      </c>
      <c r="B10758" s="802" t="s">
        <v>11726</v>
      </c>
      <c r="C10758" s="801" t="s">
        <v>656</v>
      </c>
      <c r="D10758" s="803">
        <v>855556.64</v>
      </c>
    </row>
    <row r="10759" spans="1:4" ht="25.5">
      <c r="A10759" s="801">
        <v>13617</v>
      </c>
      <c r="B10759" s="802" t="s">
        <v>11727</v>
      </c>
      <c r="C10759" s="801" t="s">
        <v>656</v>
      </c>
      <c r="D10759" s="803">
        <v>87510.04</v>
      </c>
    </row>
    <row r="10760" spans="1:4" ht="25.5">
      <c r="A10760" s="801">
        <v>35274</v>
      </c>
      <c r="B10760" s="802" t="s">
        <v>11728</v>
      </c>
      <c r="C10760" s="801" t="s">
        <v>660</v>
      </c>
      <c r="D10760" s="803">
        <v>39.58</v>
      </c>
    </row>
    <row r="10761" spans="1:4" ht="25.5">
      <c r="A10761" s="801">
        <v>35275</v>
      </c>
      <c r="B10761" s="802" t="s">
        <v>11729</v>
      </c>
      <c r="C10761" s="801" t="s">
        <v>660</v>
      </c>
      <c r="D10761" s="803">
        <v>84.01</v>
      </c>
    </row>
    <row r="10762" spans="1:4" ht="25.5">
      <c r="A10762" s="801">
        <v>35276</v>
      </c>
      <c r="B10762" s="802" t="s">
        <v>11730</v>
      </c>
      <c r="C10762" s="801" t="s">
        <v>660</v>
      </c>
      <c r="D10762" s="803">
        <v>146.18</v>
      </c>
    </row>
    <row r="10763" spans="1:4">
      <c r="A10763" s="801">
        <v>38386</v>
      </c>
      <c r="B10763" s="802" t="s">
        <v>11731</v>
      </c>
      <c r="C10763" s="801" t="s">
        <v>656</v>
      </c>
      <c r="D10763" s="803">
        <v>5.17</v>
      </c>
    </row>
    <row r="10764" spans="1:4" ht="25.5">
      <c r="A10764" s="801">
        <v>11091</v>
      </c>
      <c r="B10764" s="802" t="s">
        <v>11732</v>
      </c>
      <c r="C10764" s="801" t="s">
        <v>656</v>
      </c>
      <c r="D10764" s="803">
        <v>1.63</v>
      </c>
    </row>
    <row r="10765" spans="1:4" ht="25.5">
      <c r="A10765" s="801">
        <v>37586</v>
      </c>
      <c r="B10765" s="802" t="s">
        <v>11733</v>
      </c>
      <c r="C10765" s="801" t="s">
        <v>773</v>
      </c>
      <c r="D10765" s="803">
        <v>47.55</v>
      </c>
    </row>
    <row r="10766" spans="1:4">
      <c r="A10766" s="801">
        <v>37395</v>
      </c>
      <c r="B10766" s="802" t="s">
        <v>4757</v>
      </c>
      <c r="C10766" s="801" t="s">
        <v>773</v>
      </c>
      <c r="D10766" s="803">
        <v>40.89</v>
      </c>
    </row>
    <row r="10767" spans="1:4" ht="25.5">
      <c r="A10767" s="801">
        <v>14147</v>
      </c>
      <c r="B10767" s="802" t="s">
        <v>11734</v>
      </c>
      <c r="C10767" s="801" t="s">
        <v>773</v>
      </c>
      <c r="D10767" s="803">
        <v>54.24</v>
      </c>
    </row>
    <row r="10768" spans="1:4">
      <c r="A10768" s="801">
        <v>37396</v>
      </c>
      <c r="B10768" s="802" t="s">
        <v>11735</v>
      </c>
      <c r="C10768" s="801" t="s">
        <v>773</v>
      </c>
      <c r="D10768" s="803">
        <v>33.46</v>
      </c>
    </row>
    <row r="10769" spans="1:4">
      <c r="A10769" s="801">
        <v>37397</v>
      </c>
      <c r="B10769" s="802" t="s">
        <v>11736</v>
      </c>
      <c r="C10769" s="801" t="s">
        <v>773</v>
      </c>
      <c r="D10769" s="803">
        <v>35.049999999999997</v>
      </c>
    </row>
    <row r="10770" spans="1:4" ht="25.5">
      <c r="A10770" s="801">
        <v>43606</v>
      </c>
      <c r="B10770" s="802" t="s">
        <v>11737</v>
      </c>
      <c r="C10770" s="801" t="s">
        <v>656</v>
      </c>
      <c r="D10770" s="803">
        <v>9.2200000000000006</v>
      </c>
    </row>
    <row r="10771" spans="1:4" ht="25.5">
      <c r="A10771" s="801">
        <v>444</v>
      </c>
      <c r="B10771" s="802" t="s">
        <v>11738</v>
      </c>
      <c r="C10771" s="801" t="s">
        <v>656</v>
      </c>
      <c r="D10771" s="803">
        <v>32</v>
      </c>
    </row>
    <row r="10772" spans="1:4" ht="25.5">
      <c r="A10772" s="801">
        <v>445</v>
      </c>
      <c r="B10772" s="802" t="s">
        <v>11739</v>
      </c>
      <c r="C10772" s="801" t="s">
        <v>656</v>
      </c>
      <c r="D10772" s="803">
        <v>43.8</v>
      </c>
    </row>
    <row r="10773" spans="1:4">
      <c r="A10773" s="801">
        <v>4783</v>
      </c>
      <c r="B10773" s="802" t="s">
        <v>13458</v>
      </c>
      <c r="C10773" s="801" t="s">
        <v>659</v>
      </c>
      <c r="D10773" s="803">
        <v>13.73</v>
      </c>
    </row>
    <row r="10774" spans="1:4">
      <c r="A10774" s="801">
        <v>41079</v>
      </c>
      <c r="B10774" s="802" t="s">
        <v>11740</v>
      </c>
      <c r="C10774" s="801" t="s">
        <v>772</v>
      </c>
      <c r="D10774" s="803">
        <v>2424.4299999999998</v>
      </c>
    </row>
    <row r="10775" spans="1:4">
      <c r="A10775" s="801">
        <v>12874</v>
      </c>
      <c r="B10775" s="802" t="s">
        <v>13459</v>
      </c>
      <c r="C10775" s="801" t="s">
        <v>659</v>
      </c>
      <c r="D10775" s="803">
        <v>13.32</v>
      </c>
    </row>
    <row r="10776" spans="1:4">
      <c r="A10776" s="801">
        <v>41082</v>
      </c>
      <c r="B10776" s="802" t="s">
        <v>11741</v>
      </c>
      <c r="C10776" s="801" t="s">
        <v>772</v>
      </c>
      <c r="D10776" s="803">
        <v>2354.2800000000002</v>
      </c>
    </row>
    <row r="10777" spans="1:4">
      <c r="A10777" s="801">
        <v>4785</v>
      </c>
      <c r="B10777" s="802" t="s">
        <v>13460</v>
      </c>
      <c r="C10777" s="801" t="s">
        <v>659</v>
      </c>
      <c r="D10777" s="803">
        <v>13.73</v>
      </c>
    </row>
    <row r="10778" spans="1:4">
      <c r="A10778" s="801">
        <v>41081</v>
      </c>
      <c r="B10778" s="802" t="s">
        <v>11742</v>
      </c>
      <c r="C10778" s="801" t="s">
        <v>772</v>
      </c>
      <c r="D10778" s="803">
        <v>2424.4299999999998</v>
      </c>
    </row>
    <row r="10779" spans="1:4" ht="25.5">
      <c r="A10779" s="801">
        <v>4801</v>
      </c>
      <c r="B10779" s="802" t="s">
        <v>11743</v>
      </c>
      <c r="C10779" s="801" t="s">
        <v>661</v>
      </c>
      <c r="D10779" s="803">
        <v>64.569999999999993</v>
      </c>
    </row>
    <row r="10780" spans="1:4" ht="25.5">
      <c r="A10780" s="801">
        <v>4794</v>
      </c>
      <c r="B10780" s="802" t="s">
        <v>11744</v>
      </c>
      <c r="C10780" s="801" t="s">
        <v>661</v>
      </c>
      <c r="D10780" s="803">
        <v>294.07</v>
      </c>
    </row>
    <row r="10781" spans="1:4" ht="25.5">
      <c r="A10781" s="801">
        <v>4796</v>
      </c>
      <c r="B10781" s="802" t="s">
        <v>11745</v>
      </c>
      <c r="C10781" s="801" t="s">
        <v>661</v>
      </c>
      <c r="D10781" s="803">
        <v>178.61</v>
      </c>
    </row>
    <row r="10782" spans="1:4" ht="25.5">
      <c r="A10782" s="801">
        <v>4800</v>
      </c>
      <c r="B10782" s="802" t="s">
        <v>11746</v>
      </c>
      <c r="C10782" s="801" t="s">
        <v>661</v>
      </c>
      <c r="D10782" s="803">
        <v>49.12</v>
      </c>
    </row>
    <row r="10783" spans="1:4" ht="25.5">
      <c r="A10783" s="801">
        <v>4795</v>
      </c>
      <c r="B10783" s="802" t="s">
        <v>11747</v>
      </c>
      <c r="C10783" s="801" t="s">
        <v>661</v>
      </c>
      <c r="D10783" s="803">
        <v>286.26</v>
      </c>
    </row>
    <row r="10784" spans="1:4" ht="51">
      <c r="A10784" s="801">
        <v>39694</v>
      </c>
      <c r="B10784" s="802" t="s">
        <v>11748</v>
      </c>
      <c r="C10784" s="801" t="s">
        <v>661</v>
      </c>
      <c r="D10784" s="803">
        <v>479.68</v>
      </c>
    </row>
    <row r="10785" spans="1:4" ht="25.5">
      <c r="A10785" s="801">
        <v>1292</v>
      </c>
      <c r="B10785" s="802" t="s">
        <v>11749</v>
      </c>
      <c r="C10785" s="801" t="s">
        <v>661</v>
      </c>
      <c r="D10785" s="803">
        <v>61.97</v>
      </c>
    </row>
    <row r="10786" spans="1:4" ht="25.5">
      <c r="A10786" s="801">
        <v>1287</v>
      </c>
      <c r="B10786" s="802" t="s">
        <v>11750</v>
      </c>
      <c r="C10786" s="801" t="s">
        <v>661</v>
      </c>
      <c r="D10786" s="803">
        <v>30.4</v>
      </c>
    </row>
    <row r="10787" spans="1:4" ht="38.25">
      <c r="A10787" s="801">
        <v>1297</v>
      </c>
      <c r="B10787" s="802" t="s">
        <v>11751</v>
      </c>
      <c r="C10787" s="801" t="s">
        <v>661</v>
      </c>
      <c r="D10787" s="803">
        <v>25.21</v>
      </c>
    </row>
    <row r="10788" spans="1:4" ht="38.25">
      <c r="A10788" s="801">
        <v>4786</v>
      </c>
      <c r="B10788" s="802" t="s">
        <v>11752</v>
      </c>
      <c r="C10788" s="801" t="s">
        <v>661</v>
      </c>
      <c r="D10788" s="803">
        <v>88</v>
      </c>
    </row>
    <row r="10789" spans="1:4" ht="38.25">
      <c r="A10789" s="801">
        <v>10840</v>
      </c>
      <c r="B10789" s="802" t="s">
        <v>11753</v>
      </c>
      <c r="C10789" s="801" t="s">
        <v>661</v>
      </c>
      <c r="D10789" s="803">
        <v>372.5</v>
      </c>
    </row>
    <row r="10790" spans="1:4" ht="38.25">
      <c r="A10790" s="801">
        <v>10841</v>
      </c>
      <c r="B10790" s="802" t="s">
        <v>11754</v>
      </c>
      <c r="C10790" s="801" t="s">
        <v>661</v>
      </c>
      <c r="D10790" s="803">
        <v>281.13</v>
      </c>
    </row>
    <row r="10791" spans="1:4" ht="38.25">
      <c r="A10791" s="801">
        <v>44540</v>
      </c>
      <c r="B10791" s="802" t="s">
        <v>11755</v>
      </c>
      <c r="C10791" s="801" t="s">
        <v>661</v>
      </c>
      <c r="D10791" s="803">
        <v>359.22</v>
      </c>
    </row>
    <row r="10792" spans="1:4" ht="38.25">
      <c r="A10792" s="801">
        <v>10842</v>
      </c>
      <c r="B10792" s="802" t="s">
        <v>11756</v>
      </c>
      <c r="C10792" s="801" t="s">
        <v>661</v>
      </c>
      <c r="D10792" s="803">
        <v>406.07</v>
      </c>
    </row>
    <row r="10793" spans="1:4" ht="25.5">
      <c r="A10793" s="801">
        <v>21108</v>
      </c>
      <c r="B10793" s="802" t="s">
        <v>11757</v>
      </c>
      <c r="C10793" s="801" t="s">
        <v>661</v>
      </c>
      <c r="D10793" s="803">
        <v>82.59</v>
      </c>
    </row>
    <row r="10794" spans="1:4" ht="25.5">
      <c r="A10794" s="801">
        <v>38180</v>
      </c>
      <c r="B10794" s="802" t="s">
        <v>11758</v>
      </c>
      <c r="C10794" s="801" t="s">
        <v>661</v>
      </c>
      <c r="D10794" s="803">
        <v>143.81</v>
      </c>
    </row>
    <row r="10795" spans="1:4" ht="25.5">
      <c r="A10795" s="801">
        <v>40648</v>
      </c>
      <c r="B10795" s="802" t="s">
        <v>11759</v>
      </c>
      <c r="C10795" s="801" t="s">
        <v>661</v>
      </c>
      <c r="D10795" s="803">
        <v>168.96</v>
      </c>
    </row>
    <row r="10796" spans="1:4" ht="25.5">
      <c r="A10796" s="801">
        <v>40649</v>
      </c>
      <c r="B10796" s="802" t="s">
        <v>11760</v>
      </c>
      <c r="C10796" s="801" t="s">
        <v>661</v>
      </c>
      <c r="D10796" s="803">
        <v>98.41</v>
      </c>
    </row>
    <row r="10797" spans="1:4" ht="25.5">
      <c r="A10797" s="801">
        <v>40650</v>
      </c>
      <c r="B10797" s="802" t="s">
        <v>11761</v>
      </c>
      <c r="C10797" s="801" t="s">
        <v>661</v>
      </c>
      <c r="D10797" s="803">
        <v>126.72</v>
      </c>
    </row>
    <row r="10798" spans="1:4" ht="25.5">
      <c r="A10798" s="801">
        <v>40651</v>
      </c>
      <c r="B10798" s="802" t="s">
        <v>11762</v>
      </c>
      <c r="C10798" s="801" t="s">
        <v>661</v>
      </c>
      <c r="D10798" s="803">
        <v>233.72</v>
      </c>
    </row>
    <row r="10799" spans="1:4" ht="25.5">
      <c r="A10799" s="801">
        <v>40652</v>
      </c>
      <c r="B10799" s="802" t="s">
        <v>11763</v>
      </c>
      <c r="C10799" s="801" t="s">
        <v>661</v>
      </c>
      <c r="D10799" s="803">
        <v>125.31</v>
      </c>
    </row>
    <row r="10800" spans="1:4" ht="38.25">
      <c r="A10800" s="801">
        <v>40647</v>
      </c>
      <c r="B10800" s="802" t="s">
        <v>11764</v>
      </c>
      <c r="C10800" s="801" t="s">
        <v>661</v>
      </c>
      <c r="D10800" s="803">
        <v>137.97999999999999</v>
      </c>
    </row>
    <row r="10801" spans="1:4">
      <c r="A10801" s="801">
        <v>40653</v>
      </c>
      <c r="B10801" s="802" t="s">
        <v>11765</v>
      </c>
      <c r="C10801" s="801" t="s">
        <v>661</v>
      </c>
      <c r="D10801" s="803">
        <v>105.6</v>
      </c>
    </row>
    <row r="10802" spans="1:4" ht="25.5">
      <c r="A10802" s="801">
        <v>36178</v>
      </c>
      <c r="B10802" s="802" t="s">
        <v>11766</v>
      </c>
      <c r="C10802" s="801" t="s">
        <v>656</v>
      </c>
      <c r="D10802" s="803">
        <v>15.09</v>
      </c>
    </row>
    <row r="10803" spans="1:4" ht="25.5">
      <c r="A10803" s="801">
        <v>38195</v>
      </c>
      <c r="B10803" s="802" t="s">
        <v>11767</v>
      </c>
      <c r="C10803" s="801" t="s">
        <v>661</v>
      </c>
      <c r="D10803" s="803">
        <v>97.55</v>
      </c>
    </row>
    <row r="10804" spans="1:4" ht="25.5">
      <c r="A10804" s="801">
        <v>38181</v>
      </c>
      <c r="B10804" s="802" t="s">
        <v>11768</v>
      </c>
      <c r="C10804" s="801" t="s">
        <v>661</v>
      </c>
      <c r="D10804" s="803">
        <v>196.32</v>
      </c>
    </row>
    <row r="10805" spans="1:4" ht="25.5">
      <c r="A10805" s="801">
        <v>38182</v>
      </c>
      <c r="B10805" s="802" t="s">
        <v>11769</v>
      </c>
      <c r="C10805" s="801" t="s">
        <v>661</v>
      </c>
      <c r="D10805" s="803">
        <v>187</v>
      </c>
    </row>
    <row r="10806" spans="1:4" ht="25.5">
      <c r="A10806" s="801">
        <v>38186</v>
      </c>
      <c r="B10806" s="802" t="s">
        <v>4758</v>
      </c>
      <c r="C10806" s="801" t="s">
        <v>661</v>
      </c>
      <c r="D10806" s="803">
        <v>486.08</v>
      </c>
    </row>
    <row r="10807" spans="1:4" ht="25.5">
      <c r="A10807" s="801">
        <v>38185</v>
      </c>
      <c r="B10807" s="802" t="s">
        <v>11770</v>
      </c>
      <c r="C10807" s="801" t="s">
        <v>661</v>
      </c>
      <c r="D10807" s="803">
        <v>432.78</v>
      </c>
    </row>
    <row r="10808" spans="1:4" ht="25.5">
      <c r="A10808" s="801">
        <v>40654</v>
      </c>
      <c r="B10808" s="802" t="s">
        <v>11771</v>
      </c>
      <c r="C10808" s="801" t="s">
        <v>661</v>
      </c>
      <c r="D10808" s="803">
        <v>164.03</v>
      </c>
    </row>
    <row r="10809" spans="1:4" ht="38.25">
      <c r="A10809" s="801">
        <v>44541</v>
      </c>
      <c r="B10809" s="802" t="s">
        <v>11772</v>
      </c>
      <c r="C10809" s="801" t="s">
        <v>661</v>
      </c>
      <c r="D10809" s="803">
        <v>296.75</v>
      </c>
    </row>
    <row r="10810" spans="1:4" ht="25.5">
      <c r="A10810" s="801">
        <v>4822</v>
      </c>
      <c r="B10810" s="802" t="s">
        <v>11773</v>
      </c>
      <c r="C10810" s="801" t="s">
        <v>661</v>
      </c>
      <c r="D10810" s="803">
        <v>374.56</v>
      </c>
    </row>
    <row r="10811" spans="1:4" ht="25.5">
      <c r="A10811" s="801">
        <v>4818</v>
      </c>
      <c r="B10811" s="802" t="s">
        <v>11774</v>
      </c>
      <c r="C10811" s="801" t="s">
        <v>661</v>
      </c>
      <c r="D10811" s="803">
        <v>385</v>
      </c>
    </row>
    <row r="10812" spans="1:4" ht="38.25">
      <c r="A10812" s="801">
        <v>39567</v>
      </c>
      <c r="B10812" s="802" t="s">
        <v>11775</v>
      </c>
      <c r="C10812" s="801" t="s">
        <v>661</v>
      </c>
      <c r="D10812" s="803">
        <v>45.03</v>
      </c>
    </row>
    <row r="10813" spans="1:4" ht="38.25">
      <c r="A10813" s="801">
        <v>39566</v>
      </c>
      <c r="B10813" s="802" t="s">
        <v>11776</v>
      </c>
      <c r="C10813" s="801" t="s">
        <v>661</v>
      </c>
      <c r="D10813" s="803">
        <v>47.66</v>
      </c>
    </row>
    <row r="10814" spans="1:4" ht="25.5">
      <c r="A10814" s="801">
        <v>39416</v>
      </c>
      <c r="B10814" s="802" t="s">
        <v>11777</v>
      </c>
      <c r="C10814" s="801" t="s">
        <v>661</v>
      </c>
      <c r="D10814" s="803">
        <v>29.05</v>
      </c>
    </row>
    <row r="10815" spans="1:4" ht="25.5">
      <c r="A10815" s="801">
        <v>39417</v>
      </c>
      <c r="B10815" s="802" t="s">
        <v>11778</v>
      </c>
      <c r="C10815" s="801" t="s">
        <v>661</v>
      </c>
      <c r="D10815" s="803">
        <v>28.33</v>
      </c>
    </row>
    <row r="10816" spans="1:4" ht="25.5">
      <c r="A10816" s="801">
        <v>43742</v>
      </c>
      <c r="B10816" s="802" t="s">
        <v>11779</v>
      </c>
      <c r="C10816" s="801" t="s">
        <v>661</v>
      </c>
      <c r="D10816" s="803">
        <v>30.56</v>
      </c>
    </row>
    <row r="10817" spans="1:4" ht="25.5">
      <c r="A10817" s="801">
        <v>39414</v>
      </c>
      <c r="B10817" s="802" t="s">
        <v>11780</v>
      </c>
      <c r="C10817" s="801" t="s">
        <v>661</v>
      </c>
      <c r="D10817" s="803">
        <v>27.51</v>
      </c>
    </row>
    <row r="10818" spans="1:4" ht="25.5">
      <c r="A10818" s="801">
        <v>39415</v>
      </c>
      <c r="B10818" s="802" t="s">
        <v>11781</v>
      </c>
      <c r="C10818" s="801" t="s">
        <v>661</v>
      </c>
      <c r="D10818" s="803">
        <v>23.71</v>
      </c>
    </row>
    <row r="10819" spans="1:4" ht="25.5">
      <c r="A10819" s="801">
        <v>43740</v>
      </c>
      <c r="B10819" s="802" t="s">
        <v>11782</v>
      </c>
      <c r="C10819" s="801" t="s">
        <v>661</v>
      </c>
      <c r="D10819" s="803">
        <v>28.96</v>
      </c>
    </row>
    <row r="10820" spans="1:4" ht="25.5">
      <c r="A10820" s="801">
        <v>39412</v>
      </c>
      <c r="B10820" s="802" t="s">
        <v>11783</v>
      </c>
      <c r="C10820" s="801" t="s">
        <v>661</v>
      </c>
      <c r="D10820" s="803">
        <v>19.86</v>
      </c>
    </row>
    <row r="10821" spans="1:4" ht="25.5">
      <c r="A10821" s="801">
        <v>39413</v>
      </c>
      <c r="B10821" s="802" t="s">
        <v>11784</v>
      </c>
      <c r="C10821" s="801" t="s">
        <v>661</v>
      </c>
      <c r="D10821" s="803">
        <v>21.47</v>
      </c>
    </row>
    <row r="10822" spans="1:4" ht="25.5">
      <c r="A10822" s="801">
        <v>43741</v>
      </c>
      <c r="B10822" s="802" t="s">
        <v>11785</v>
      </c>
      <c r="C10822" s="801" t="s">
        <v>661</v>
      </c>
      <c r="D10822" s="803">
        <v>22.89</v>
      </c>
    </row>
    <row r="10823" spans="1:4" ht="25.5">
      <c r="A10823" s="801">
        <v>11062</v>
      </c>
      <c r="B10823" s="802" t="s">
        <v>11786</v>
      </c>
      <c r="C10823" s="801" t="s">
        <v>661</v>
      </c>
      <c r="D10823" s="803">
        <v>54.27</v>
      </c>
    </row>
    <row r="10824" spans="1:4" ht="25.5">
      <c r="A10824" s="801">
        <v>11063</v>
      </c>
      <c r="B10824" s="802" t="s">
        <v>11787</v>
      </c>
      <c r="C10824" s="801" t="s">
        <v>661</v>
      </c>
      <c r="D10824" s="803">
        <v>33.22</v>
      </c>
    </row>
    <row r="10825" spans="1:4" ht="25.5">
      <c r="A10825" s="801">
        <v>13521</v>
      </c>
      <c r="B10825" s="802" t="s">
        <v>11788</v>
      </c>
      <c r="C10825" s="801" t="s">
        <v>656</v>
      </c>
      <c r="D10825" s="803">
        <v>74.25</v>
      </c>
    </row>
    <row r="10826" spans="1:4" ht="38.25">
      <c r="A10826" s="801">
        <v>10851</v>
      </c>
      <c r="B10826" s="802" t="s">
        <v>11789</v>
      </c>
      <c r="C10826" s="801" t="s">
        <v>656</v>
      </c>
      <c r="D10826" s="803">
        <v>56.2</v>
      </c>
    </row>
    <row r="10827" spans="1:4" ht="25.5">
      <c r="A10827" s="801">
        <v>39515</v>
      </c>
      <c r="B10827" s="802" t="s">
        <v>11790</v>
      </c>
      <c r="C10827" s="801" t="s">
        <v>656</v>
      </c>
      <c r="D10827" s="803">
        <v>62.91</v>
      </c>
    </row>
    <row r="10828" spans="1:4" ht="38.25">
      <c r="A10828" s="801">
        <v>39516</v>
      </c>
      <c r="B10828" s="802" t="s">
        <v>11791</v>
      </c>
      <c r="C10828" s="801" t="s">
        <v>656</v>
      </c>
      <c r="D10828" s="803">
        <v>53.04</v>
      </c>
    </row>
    <row r="10829" spans="1:4" ht="25.5">
      <c r="A10829" s="801">
        <v>39514</v>
      </c>
      <c r="B10829" s="802" t="s">
        <v>11792</v>
      </c>
      <c r="C10829" s="801" t="s">
        <v>656</v>
      </c>
      <c r="D10829" s="803">
        <v>33</v>
      </c>
    </row>
    <row r="10830" spans="1:4" ht="25.5">
      <c r="A10830" s="801">
        <v>4812</v>
      </c>
      <c r="B10830" s="802" t="s">
        <v>11793</v>
      </c>
      <c r="C10830" s="801" t="s">
        <v>661</v>
      </c>
      <c r="D10830" s="803">
        <v>11.91</v>
      </c>
    </row>
    <row r="10831" spans="1:4">
      <c r="A10831" s="801">
        <v>10849</v>
      </c>
      <c r="B10831" s="802" t="s">
        <v>11794</v>
      </c>
      <c r="C10831" s="801" t="s">
        <v>656</v>
      </c>
      <c r="D10831" s="803">
        <v>1080.01</v>
      </c>
    </row>
    <row r="10832" spans="1:4">
      <c r="A10832" s="801">
        <v>10848</v>
      </c>
      <c r="B10832" s="802" t="s">
        <v>11795</v>
      </c>
      <c r="C10832" s="801" t="s">
        <v>656</v>
      </c>
      <c r="D10832" s="803">
        <v>678.38</v>
      </c>
    </row>
    <row r="10833" spans="1:4" ht="38.25">
      <c r="A10833" s="801">
        <v>4813</v>
      </c>
      <c r="B10833" s="802" t="s">
        <v>11796</v>
      </c>
      <c r="C10833" s="801" t="s">
        <v>661</v>
      </c>
      <c r="D10833" s="803">
        <v>225</v>
      </c>
    </row>
    <row r="10834" spans="1:4" ht="51">
      <c r="A10834" s="801">
        <v>37560</v>
      </c>
      <c r="B10834" s="802" t="s">
        <v>11797</v>
      </c>
      <c r="C10834" s="801" t="s">
        <v>656</v>
      </c>
      <c r="D10834" s="803">
        <v>42.07</v>
      </c>
    </row>
    <row r="10835" spans="1:4" ht="51">
      <c r="A10835" s="801">
        <v>37557</v>
      </c>
      <c r="B10835" s="802" t="s">
        <v>11798</v>
      </c>
      <c r="C10835" s="801" t="s">
        <v>656</v>
      </c>
      <c r="D10835" s="803">
        <v>12.77</v>
      </c>
    </row>
    <row r="10836" spans="1:4" ht="51">
      <c r="A10836" s="801">
        <v>37556</v>
      </c>
      <c r="B10836" s="802" t="s">
        <v>11799</v>
      </c>
      <c r="C10836" s="801" t="s">
        <v>656</v>
      </c>
      <c r="D10836" s="803">
        <v>24.71</v>
      </c>
    </row>
    <row r="10837" spans="1:4" ht="51">
      <c r="A10837" s="801">
        <v>37559</v>
      </c>
      <c r="B10837" s="802" t="s">
        <v>11800</v>
      </c>
      <c r="C10837" s="801" t="s">
        <v>656</v>
      </c>
      <c r="D10837" s="803">
        <v>30.32</v>
      </c>
    </row>
    <row r="10838" spans="1:4" ht="51">
      <c r="A10838" s="801">
        <v>37539</v>
      </c>
      <c r="B10838" s="802" t="s">
        <v>11801</v>
      </c>
      <c r="C10838" s="801" t="s">
        <v>656</v>
      </c>
      <c r="D10838" s="803">
        <v>21.37</v>
      </c>
    </row>
    <row r="10839" spans="1:4" ht="51">
      <c r="A10839" s="801">
        <v>37558</v>
      </c>
      <c r="B10839" s="802" t="s">
        <v>11802</v>
      </c>
      <c r="C10839" s="801" t="s">
        <v>656</v>
      </c>
      <c r="D10839" s="803">
        <v>39.840000000000003</v>
      </c>
    </row>
    <row r="10840" spans="1:4" ht="25.5">
      <c r="A10840" s="801">
        <v>34723</v>
      </c>
      <c r="B10840" s="802" t="s">
        <v>11803</v>
      </c>
      <c r="C10840" s="801" t="s">
        <v>661</v>
      </c>
      <c r="D10840" s="803">
        <v>519.75</v>
      </c>
    </row>
    <row r="10841" spans="1:4" ht="25.5">
      <c r="A10841" s="801">
        <v>34721</v>
      </c>
      <c r="B10841" s="802" t="s">
        <v>11804</v>
      </c>
      <c r="C10841" s="801" t="s">
        <v>661</v>
      </c>
      <c r="D10841" s="803">
        <v>648</v>
      </c>
    </row>
    <row r="10842" spans="1:4" ht="25.5">
      <c r="A10842" s="801">
        <v>4309</v>
      </c>
      <c r="B10842" s="802" t="s">
        <v>11805</v>
      </c>
      <c r="C10842" s="801" t="s">
        <v>656</v>
      </c>
      <c r="D10842" s="803">
        <v>7.33</v>
      </c>
    </row>
    <row r="10843" spans="1:4" ht="25.5">
      <c r="A10843" s="801">
        <v>4307</v>
      </c>
      <c r="B10843" s="802" t="s">
        <v>11806</v>
      </c>
      <c r="C10843" s="801" t="s">
        <v>656</v>
      </c>
      <c r="D10843" s="803">
        <v>12.54</v>
      </c>
    </row>
    <row r="10844" spans="1:4" ht="25.5">
      <c r="A10844" s="801">
        <v>10850</v>
      </c>
      <c r="B10844" s="802" t="s">
        <v>11807</v>
      </c>
      <c r="C10844" s="801" t="s">
        <v>656</v>
      </c>
      <c r="D10844" s="803">
        <v>33.75</v>
      </c>
    </row>
    <row r="10845" spans="1:4" ht="51">
      <c r="A10845" s="801">
        <v>42438</v>
      </c>
      <c r="B10845" s="802" t="s">
        <v>11808</v>
      </c>
      <c r="C10845" s="801" t="s">
        <v>656</v>
      </c>
      <c r="D10845" s="803">
        <v>2053.0100000000002</v>
      </c>
    </row>
    <row r="10846" spans="1:4" ht="25.5">
      <c r="A10846" s="801">
        <v>4792</v>
      </c>
      <c r="B10846" s="802" t="s">
        <v>11809</v>
      </c>
      <c r="C10846" s="801" t="s">
        <v>661</v>
      </c>
      <c r="D10846" s="803">
        <v>138.05000000000001</v>
      </c>
    </row>
    <row r="10847" spans="1:4" ht="25.5">
      <c r="A10847" s="801">
        <v>4790</v>
      </c>
      <c r="B10847" s="802" t="s">
        <v>11810</v>
      </c>
      <c r="C10847" s="801" t="s">
        <v>661</v>
      </c>
      <c r="D10847" s="803">
        <v>83</v>
      </c>
    </row>
    <row r="10848" spans="1:4" ht="38.25">
      <c r="A10848" s="801">
        <v>40671</v>
      </c>
      <c r="B10848" s="802" t="s">
        <v>11811</v>
      </c>
      <c r="C10848" s="801" t="s">
        <v>661</v>
      </c>
      <c r="D10848" s="803">
        <v>99.08</v>
      </c>
    </row>
    <row r="10849" spans="1:4" ht="25.5">
      <c r="A10849" s="801">
        <v>7552</v>
      </c>
      <c r="B10849" s="802" t="s">
        <v>11812</v>
      </c>
      <c r="C10849" s="801" t="s">
        <v>656</v>
      </c>
      <c r="D10849" s="803">
        <v>27</v>
      </c>
    </row>
    <row r="10850" spans="1:4">
      <c r="A10850" s="801">
        <v>4893</v>
      </c>
      <c r="B10850" s="802" t="s">
        <v>11813</v>
      </c>
      <c r="C10850" s="801" t="s">
        <v>656</v>
      </c>
      <c r="D10850" s="803">
        <v>11.12</v>
      </c>
    </row>
    <row r="10851" spans="1:4">
      <c r="A10851" s="801">
        <v>4894</v>
      </c>
      <c r="B10851" s="802" t="s">
        <v>11814</v>
      </c>
      <c r="C10851" s="801" t="s">
        <v>656</v>
      </c>
      <c r="D10851" s="803">
        <v>9.5399999999999991</v>
      </c>
    </row>
    <row r="10852" spans="1:4">
      <c r="A10852" s="801">
        <v>4888</v>
      </c>
      <c r="B10852" s="802" t="s">
        <v>11815</v>
      </c>
      <c r="C10852" s="801" t="s">
        <v>656</v>
      </c>
      <c r="D10852" s="803">
        <v>3.25</v>
      </c>
    </row>
    <row r="10853" spans="1:4">
      <c r="A10853" s="801">
        <v>4890</v>
      </c>
      <c r="B10853" s="802" t="s">
        <v>11816</v>
      </c>
      <c r="C10853" s="801" t="s">
        <v>656</v>
      </c>
      <c r="D10853" s="803">
        <v>6.1</v>
      </c>
    </row>
    <row r="10854" spans="1:4">
      <c r="A10854" s="801">
        <v>12411</v>
      </c>
      <c r="B10854" s="802" t="s">
        <v>11817</v>
      </c>
      <c r="C10854" s="801" t="s">
        <v>656</v>
      </c>
      <c r="D10854" s="803">
        <v>32.869999999999997</v>
      </c>
    </row>
    <row r="10855" spans="1:4">
      <c r="A10855" s="801">
        <v>4891</v>
      </c>
      <c r="B10855" s="802" t="s">
        <v>11818</v>
      </c>
      <c r="C10855" s="801" t="s">
        <v>656</v>
      </c>
      <c r="D10855" s="803">
        <v>16.43</v>
      </c>
    </row>
    <row r="10856" spans="1:4">
      <c r="A10856" s="801">
        <v>4889</v>
      </c>
      <c r="B10856" s="802" t="s">
        <v>11819</v>
      </c>
      <c r="C10856" s="801" t="s">
        <v>656</v>
      </c>
      <c r="D10856" s="803">
        <v>4.3899999999999997</v>
      </c>
    </row>
    <row r="10857" spans="1:4">
      <c r="A10857" s="801">
        <v>4892</v>
      </c>
      <c r="B10857" s="802" t="s">
        <v>11820</v>
      </c>
      <c r="C10857" s="801" t="s">
        <v>656</v>
      </c>
      <c r="D10857" s="803">
        <v>46.03</v>
      </c>
    </row>
    <row r="10858" spans="1:4">
      <c r="A10858" s="801">
        <v>12412</v>
      </c>
      <c r="B10858" s="802" t="s">
        <v>11821</v>
      </c>
      <c r="C10858" s="801" t="s">
        <v>656</v>
      </c>
      <c r="D10858" s="803">
        <v>85.55</v>
      </c>
    </row>
    <row r="10859" spans="1:4">
      <c r="A10859" s="801">
        <v>11073</v>
      </c>
      <c r="B10859" s="802" t="s">
        <v>11822</v>
      </c>
      <c r="C10859" s="801" t="s">
        <v>656</v>
      </c>
      <c r="D10859" s="803">
        <v>6.77</v>
      </c>
    </row>
    <row r="10860" spans="1:4">
      <c r="A10860" s="801">
        <v>11071</v>
      </c>
      <c r="B10860" s="802" t="s">
        <v>11823</v>
      </c>
      <c r="C10860" s="801" t="s">
        <v>656</v>
      </c>
      <c r="D10860" s="803">
        <v>10.98</v>
      </c>
    </row>
    <row r="10861" spans="1:4">
      <c r="A10861" s="801">
        <v>11072</v>
      </c>
      <c r="B10861" s="802" t="s">
        <v>11824</v>
      </c>
      <c r="C10861" s="801" t="s">
        <v>656</v>
      </c>
      <c r="D10861" s="803">
        <v>3.83</v>
      </c>
    </row>
    <row r="10862" spans="1:4">
      <c r="A10862" s="801">
        <v>4895</v>
      </c>
      <c r="B10862" s="802" t="s">
        <v>11825</v>
      </c>
      <c r="C10862" s="801" t="s">
        <v>656</v>
      </c>
      <c r="D10862" s="803">
        <v>0.59</v>
      </c>
    </row>
    <row r="10863" spans="1:4" ht="25.5">
      <c r="A10863" s="801">
        <v>4907</v>
      </c>
      <c r="B10863" s="802" t="s">
        <v>11826</v>
      </c>
      <c r="C10863" s="801" t="s">
        <v>656</v>
      </c>
      <c r="D10863" s="803">
        <v>38.29</v>
      </c>
    </row>
    <row r="10864" spans="1:4" ht="25.5">
      <c r="A10864" s="801">
        <v>4902</v>
      </c>
      <c r="B10864" s="802" t="s">
        <v>11827</v>
      </c>
      <c r="C10864" s="801" t="s">
        <v>656</v>
      </c>
      <c r="D10864" s="803">
        <v>86.67</v>
      </c>
    </row>
    <row r="10865" spans="1:4" ht="25.5">
      <c r="A10865" s="801">
        <v>4908</v>
      </c>
      <c r="B10865" s="802" t="s">
        <v>11828</v>
      </c>
      <c r="C10865" s="801" t="s">
        <v>656</v>
      </c>
      <c r="D10865" s="803">
        <v>176</v>
      </c>
    </row>
    <row r="10866" spans="1:4" ht="25.5">
      <c r="A10866" s="801">
        <v>4909</v>
      </c>
      <c r="B10866" s="802" t="s">
        <v>11829</v>
      </c>
      <c r="C10866" s="801" t="s">
        <v>656</v>
      </c>
      <c r="D10866" s="803">
        <v>339.89</v>
      </c>
    </row>
    <row r="10867" spans="1:4" ht="25.5">
      <c r="A10867" s="801">
        <v>4903</v>
      </c>
      <c r="B10867" s="802" t="s">
        <v>11830</v>
      </c>
      <c r="C10867" s="801" t="s">
        <v>656</v>
      </c>
      <c r="D10867" s="803">
        <v>999.41</v>
      </c>
    </row>
    <row r="10868" spans="1:4">
      <c r="A10868" s="801">
        <v>4897</v>
      </c>
      <c r="B10868" s="802" t="s">
        <v>11831</v>
      </c>
      <c r="C10868" s="801" t="s">
        <v>656</v>
      </c>
      <c r="D10868" s="803">
        <v>2.4900000000000002</v>
      </c>
    </row>
    <row r="10869" spans="1:4">
      <c r="A10869" s="801">
        <v>4896</v>
      </c>
      <c r="B10869" s="802" t="s">
        <v>11832</v>
      </c>
      <c r="C10869" s="801" t="s">
        <v>656</v>
      </c>
      <c r="D10869" s="803">
        <v>0.89</v>
      </c>
    </row>
    <row r="10870" spans="1:4">
      <c r="A10870" s="801">
        <v>4900</v>
      </c>
      <c r="B10870" s="802" t="s">
        <v>11833</v>
      </c>
      <c r="C10870" s="801" t="s">
        <v>656</v>
      </c>
      <c r="D10870" s="803">
        <v>7.42</v>
      </c>
    </row>
    <row r="10871" spans="1:4">
      <c r="A10871" s="801">
        <v>4898</v>
      </c>
      <c r="B10871" s="802" t="s">
        <v>11834</v>
      </c>
      <c r="C10871" s="801" t="s">
        <v>656</v>
      </c>
      <c r="D10871" s="803">
        <v>2.77</v>
      </c>
    </row>
    <row r="10872" spans="1:4">
      <c r="A10872" s="801">
        <v>4899</v>
      </c>
      <c r="B10872" s="802" t="s">
        <v>11835</v>
      </c>
      <c r="C10872" s="801" t="s">
        <v>656</v>
      </c>
      <c r="D10872" s="803">
        <v>10.18</v>
      </c>
    </row>
    <row r="10873" spans="1:4">
      <c r="A10873" s="801">
        <v>11096</v>
      </c>
      <c r="B10873" s="802" t="s">
        <v>11836</v>
      </c>
      <c r="C10873" s="801" t="s">
        <v>653</v>
      </c>
      <c r="D10873" s="803">
        <v>1.1599999999999999</v>
      </c>
    </row>
    <row r="10874" spans="1:4">
      <c r="A10874" s="801">
        <v>4741</v>
      </c>
      <c r="B10874" s="802" t="s">
        <v>11837</v>
      </c>
      <c r="C10874" s="801" t="s">
        <v>654</v>
      </c>
      <c r="D10874" s="803">
        <v>79.73</v>
      </c>
    </row>
    <row r="10875" spans="1:4">
      <c r="A10875" s="801">
        <v>4752</v>
      </c>
      <c r="B10875" s="802" t="s">
        <v>11838</v>
      </c>
      <c r="C10875" s="801" t="s">
        <v>659</v>
      </c>
      <c r="D10875" s="803">
        <v>9.86</v>
      </c>
    </row>
    <row r="10876" spans="1:4">
      <c r="A10876" s="801">
        <v>41091</v>
      </c>
      <c r="B10876" s="802" t="s">
        <v>11839</v>
      </c>
      <c r="C10876" s="801" t="s">
        <v>772</v>
      </c>
      <c r="D10876" s="803">
        <v>1743.91</v>
      </c>
    </row>
    <row r="10877" spans="1:4" ht="25.5">
      <c r="A10877" s="801">
        <v>13954</v>
      </c>
      <c r="B10877" s="802" t="s">
        <v>11840</v>
      </c>
      <c r="C10877" s="801" t="s">
        <v>656</v>
      </c>
      <c r="D10877" s="803">
        <v>6723.23</v>
      </c>
    </row>
    <row r="10878" spans="1:4" ht="25.5">
      <c r="A10878" s="801">
        <v>3411</v>
      </c>
      <c r="B10878" s="802" t="s">
        <v>11841</v>
      </c>
      <c r="C10878" s="801" t="s">
        <v>653</v>
      </c>
      <c r="D10878" s="803">
        <v>48.47</v>
      </c>
    </row>
    <row r="10879" spans="1:4">
      <c r="A10879" s="801">
        <v>39995</v>
      </c>
      <c r="B10879" s="802" t="s">
        <v>11842</v>
      </c>
      <c r="C10879" s="801" t="s">
        <v>654</v>
      </c>
      <c r="D10879" s="803">
        <v>372.89</v>
      </c>
    </row>
    <row r="10880" spans="1:4" ht="25.5">
      <c r="A10880" s="801">
        <v>11615</v>
      </c>
      <c r="B10880" s="802" t="s">
        <v>11843</v>
      </c>
      <c r="C10880" s="801" t="s">
        <v>661</v>
      </c>
      <c r="D10880" s="803">
        <v>3.16</v>
      </c>
    </row>
    <row r="10881" spans="1:4" ht="25.5">
      <c r="A10881" s="801">
        <v>3408</v>
      </c>
      <c r="B10881" s="802" t="s">
        <v>11844</v>
      </c>
      <c r="C10881" s="801" t="s">
        <v>661</v>
      </c>
      <c r="D10881" s="803">
        <v>8.4</v>
      </c>
    </row>
    <row r="10882" spans="1:4" ht="25.5">
      <c r="A10882" s="801">
        <v>3409</v>
      </c>
      <c r="B10882" s="802" t="s">
        <v>11845</v>
      </c>
      <c r="C10882" s="801" t="s">
        <v>661</v>
      </c>
      <c r="D10882" s="803">
        <v>21</v>
      </c>
    </row>
    <row r="10883" spans="1:4">
      <c r="A10883" s="801">
        <v>11427</v>
      </c>
      <c r="B10883" s="802" t="s">
        <v>11846</v>
      </c>
      <c r="C10883" s="801" t="s">
        <v>653</v>
      </c>
      <c r="D10883" s="803">
        <v>134.86000000000001</v>
      </c>
    </row>
    <row r="10884" spans="1:4" ht="25.5">
      <c r="A10884" s="801">
        <v>4491</v>
      </c>
      <c r="B10884" s="802" t="s">
        <v>6138</v>
      </c>
      <c r="C10884" s="801" t="s">
        <v>660</v>
      </c>
      <c r="D10884" s="803">
        <v>8.98</v>
      </c>
    </row>
    <row r="10885" spans="1:4" ht="38.25">
      <c r="A10885" s="801">
        <v>2745</v>
      </c>
      <c r="B10885" s="802" t="s">
        <v>11847</v>
      </c>
      <c r="C10885" s="801" t="s">
        <v>660</v>
      </c>
      <c r="D10885" s="803">
        <v>3.88</v>
      </c>
    </row>
    <row r="10886" spans="1:4" ht="38.25">
      <c r="A10886" s="801">
        <v>14439</v>
      </c>
      <c r="B10886" s="802" t="s">
        <v>11848</v>
      </c>
      <c r="C10886" s="801" t="s">
        <v>660</v>
      </c>
      <c r="D10886" s="803">
        <v>4.82</v>
      </c>
    </row>
    <row r="10887" spans="1:4" ht="25.5">
      <c r="A10887" s="801">
        <v>44496</v>
      </c>
      <c r="B10887" s="802" t="s">
        <v>11849</v>
      </c>
      <c r="C10887" s="801" t="s">
        <v>656</v>
      </c>
      <c r="D10887" s="803">
        <v>188.63</v>
      </c>
    </row>
    <row r="10888" spans="1:4" ht="25.5">
      <c r="A10888" s="801">
        <v>12362</v>
      </c>
      <c r="B10888" s="802" t="s">
        <v>11850</v>
      </c>
      <c r="C10888" s="801" t="s">
        <v>656</v>
      </c>
      <c r="D10888" s="803">
        <v>17.39</v>
      </c>
    </row>
    <row r="10889" spans="1:4">
      <c r="A10889" s="801">
        <v>421</v>
      </c>
      <c r="B10889" s="802" t="s">
        <v>11851</v>
      </c>
      <c r="C10889" s="801" t="s">
        <v>656</v>
      </c>
      <c r="D10889" s="803">
        <v>11.93</v>
      </c>
    </row>
    <row r="10890" spans="1:4" ht="25.5">
      <c r="A10890" s="801">
        <v>14148</v>
      </c>
      <c r="B10890" s="802" t="s">
        <v>11852</v>
      </c>
      <c r="C10890" s="801" t="s">
        <v>656</v>
      </c>
      <c r="D10890" s="803">
        <v>0.92</v>
      </c>
    </row>
    <row r="10891" spans="1:4">
      <c r="A10891" s="801">
        <v>4341</v>
      </c>
      <c r="B10891" s="802" t="s">
        <v>11853</v>
      </c>
      <c r="C10891" s="801" t="s">
        <v>656</v>
      </c>
      <c r="D10891" s="803">
        <v>1.1499999999999999</v>
      </c>
    </row>
    <row r="10892" spans="1:4">
      <c r="A10892" s="801">
        <v>4337</v>
      </c>
      <c r="B10892" s="802" t="s">
        <v>11854</v>
      </c>
      <c r="C10892" s="801" t="s">
        <v>656</v>
      </c>
      <c r="D10892" s="803">
        <v>2.92</v>
      </c>
    </row>
    <row r="10893" spans="1:4">
      <c r="A10893" s="801">
        <v>4339</v>
      </c>
      <c r="B10893" s="802" t="s">
        <v>11855</v>
      </c>
      <c r="C10893" s="801" t="s">
        <v>656</v>
      </c>
      <c r="D10893" s="803">
        <v>0.62</v>
      </c>
    </row>
    <row r="10894" spans="1:4">
      <c r="A10894" s="801">
        <v>39997</v>
      </c>
      <c r="B10894" s="802" t="s">
        <v>11856</v>
      </c>
      <c r="C10894" s="801" t="s">
        <v>656</v>
      </c>
      <c r="D10894" s="803">
        <v>0.34</v>
      </c>
    </row>
    <row r="10895" spans="1:4">
      <c r="A10895" s="801">
        <v>11971</v>
      </c>
      <c r="B10895" s="802" t="s">
        <v>11857</v>
      </c>
      <c r="C10895" s="801" t="s">
        <v>656</v>
      </c>
      <c r="D10895" s="803">
        <v>4.83</v>
      </c>
    </row>
    <row r="10896" spans="1:4">
      <c r="A10896" s="801">
        <v>4342</v>
      </c>
      <c r="B10896" s="802" t="s">
        <v>11858</v>
      </c>
      <c r="C10896" s="801" t="s">
        <v>656</v>
      </c>
      <c r="D10896" s="803">
        <v>0.25</v>
      </c>
    </row>
    <row r="10897" spans="1:4">
      <c r="A10897" s="801">
        <v>4330</v>
      </c>
      <c r="B10897" s="802" t="s">
        <v>11859</v>
      </c>
      <c r="C10897" s="801" t="s">
        <v>656</v>
      </c>
      <c r="D10897" s="803">
        <v>0.17</v>
      </c>
    </row>
    <row r="10898" spans="1:4">
      <c r="A10898" s="801">
        <v>4340</v>
      </c>
      <c r="B10898" s="802" t="s">
        <v>11860</v>
      </c>
      <c r="C10898" s="801" t="s">
        <v>656</v>
      </c>
      <c r="D10898" s="803">
        <v>1.35</v>
      </c>
    </row>
    <row r="10899" spans="1:4" ht="25.5">
      <c r="A10899" s="801">
        <v>5088</v>
      </c>
      <c r="B10899" s="802" t="s">
        <v>11861</v>
      </c>
      <c r="C10899" s="801" t="s">
        <v>656</v>
      </c>
      <c r="D10899" s="803">
        <v>7.2</v>
      </c>
    </row>
    <row r="10900" spans="1:4" ht="25.5">
      <c r="A10900" s="801">
        <v>11154</v>
      </c>
      <c r="B10900" s="802" t="s">
        <v>11862</v>
      </c>
      <c r="C10900" s="801" t="s">
        <v>656</v>
      </c>
      <c r="D10900" s="803">
        <v>1264.1400000000001</v>
      </c>
    </row>
    <row r="10901" spans="1:4" ht="51">
      <c r="A10901" s="801">
        <v>4989</v>
      </c>
      <c r="B10901" s="802" t="s">
        <v>11863</v>
      </c>
      <c r="C10901" s="801" t="s">
        <v>656</v>
      </c>
      <c r="D10901" s="803">
        <v>305.23</v>
      </c>
    </row>
    <row r="10902" spans="1:4" ht="51">
      <c r="A10902" s="801">
        <v>4982</v>
      </c>
      <c r="B10902" s="802" t="s">
        <v>11864</v>
      </c>
      <c r="C10902" s="801" t="s">
        <v>656</v>
      </c>
      <c r="D10902" s="803">
        <v>286.29000000000002</v>
      </c>
    </row>
    <row r="10903" spans="1:4" ht="51">
      <c r="A10903" s="801">
        <v>4962</v>
      </c>
      <c r="B10903" s="802" t="s">
        <v>11865</v>
      </c>
      <c r="C10903" s="801" t="s">
        <v>656</v>
      </c>
      <c r="D10903" s="803">
        <v>225.78</v>
      </c>
    </row>
    <row r="10904" spans="1:4" ht="51">
      <c r="A10904" s="801">
        <v>4981</v>
      </c>
      <c r="B10904" s="802" t="s">
        <v>11866</v>
      </c>
      <c r="C10904" s="801" t="s">
        <v>656</v>
      </c>
      <c r="D10904" s="803">
        <v>201</v>
      </c>
    </row>
    <row r="10905" spans="1:4" ht="51">
      <c r="A10905" s="801">
        <v>4964</v>
      </c>
      <c r="B10905" s="802" t="s">
        <v>11867</v>
      </c>
      <c r="C10905" s="801" t="s">
        <v>656</v>
      </c>
      <c r="D10905" s="803">
        <v>254.99</v>
      </c>
    </row>
    <row r="10906" spans="1:4" ht="51">
      <c r="A10906" s="801">
        <v>4992</v>
      </c>
      <c r="B10906" s="802" t="s">
        <v>11868</v>
      </c>
      <c r="C10906" s="801" t="s">
        <v>656</v>
      </c>
      <c r="D10906" s="803">
        <v>249.08</v>
      </c>
    </row>
    <row r="10907" spans="1:4" ht="51">
      <c r="A10907" s="801">
        <v>4987</v>
      </c>
      <c r="B10907" s="802" t="s">
        <v>11869</v>
      </c>
      <c r="C10907" s="801" t="s">
        <v>656</v>
      </c>
      <c r="D10907" s="803">
        <v>284.97000000000003</v>
      </c>
    </row>
    <row r="10908" spans="1:4" ht="38.25">
      <c r="A10908" s="801">
        <v>4930</v>
      </c>
      <c r="B10908" s="802" t="s">
        <v>11870</v>
      </c>
      <c r="C10908" s="801" t="s">
        <v>661</v>
      </c>
      <c r="D10908" s="803">
        <v>535.44000000000005</v>
      </c>
    </row>
    <row r="10909" spans="1:4" ht="51">
      <c r="A10909" s="801">
        <v>39021</v>
      </c>
      <c r="B10909" s="802" t="s">
        <v>11871</v>
      </c>
      <c r="C10909" s="801" t="s">
        <v>656</v>
      </c>
      <c r="D10909" s="803">
        <v>569.30999999999995</v>
      </c>
    </row>
    <row r="10910" spans="1:4" ht="38.25">
      <c r="A10910" s="801">
        <v>39022</v>
      </c>
      <c r="B10910" s="802" t="s">
        <v>11872</v>
      </c>
      <c r="C10910" s="801" t="s">
        <v>656</v>
      </c>
      <c r="D10910" s="803">
        <v>509.95</v>
      </c>
    </row>
    <row r="10911" spans="1:4" ht="38.25">
      <c r="A10911" s="801">
        <v>39024</v>
      </c>
      <c r="B10911" s="802" t="s">
        <v>11873</v>
      </c>
      <c r="C10911" s="801" t="s">
        <v>656</v>
      </c>
      <c r="D10911" s="803">
        <v>683.62</v>
      </c>
    </row>
    <row r="10912" spans="1:4" ht="38.25">
      <c r="A10912" s="801">
        <v>4914</v>
      </c>
      <c r="B10912" s="802" t="s">
        <v>11874</v>
      </c>
      <c r="C10912" s="801" t="s">
        <v>661</v>
      </c>
      <c r="D10912" s="803">
        <v>554.29</v>
      </c>
    </row>
    <row r="10913" spans="1:4" ht="25.5">
      <c r="A10913" s="801">
        <v>4917</v>
      </c>
      <c r="B10913" s="802" t="s">
        <v>11875</v>
      </c>
      <c r="C10913" s="801" t="s">
        <v>661</v>
      </c>
      <c r="D10913" s="803">
        <v>382.8</v>
      </c>
    </row>
    <row r="10914" spans="1:4" ht="25.5">
      <c r="A10914" s="801">
        <v>39025</v>
      </c>
      <c r="B10914" s="802" t="s">
        <v>11876</v>
      </c>
      <c r="C10914" s="801" t="s">
        <v>656</v>
      </c>
      <c r="D10914" s="803">
        <v>700.98</v>
      </c>
    </row>
    <row r="10915" spans="1:4" ht="38.25">
      <c r="A10915" s="801">
        <v>4922</v>
      </c>
      <c r="B10915" s="802" t="s">
        <v>11877</v>
      </c>
      <c r="C10915" s="801" t="s">
        <v>661</v>
      </c>
      <c r="D10915" s="803">
        <v>355.08</v>
      </c>
    </row>
    <row r="10916" spans="1:4" ht="38.25">
      <c r="A10916" s="801">
        <v>4911</v>
      </c>
      <c r="B10916" s="802" t="s">
        <v>11878</v>
      </c>
      <c r="C10916" s="801" t="s">
        <v>661</v>
      </c>
      <c r="D10916" s="803">
        <v>420</v>
      </c>
    </row>
    <row r="10917" spans="1:4" ht="38.25">
      <c r="A10917" s="801">
        <v>37518</v>
      </c>
      <c r="B10917" s="802" t="s">
        <v>11879</v>
      </c>
      <c r="C10917" s="801" t="s">
        <v>661</v>
      </c>
      <c r="D10917" s="803">
        <v>682.5</v>
      </c>
    </row>
    <row r="10918" spans="1:4" ht="38.25">
      <c r="A10918" s="801">
        <v>4910</v>
      </c>
      <c r="B10918" s="802" t="s">
        <v>11880</v>
      </c>
      <c r="C10918" s="801" t="s">
        <v>661</v>
      </c>
      <c r="D10918" s="803">
        <v>575.35</v>
      </c>
    </row>
    <row r="10919" spans="1:4" ht="38.25">
      <c r="A10919" s="801">
        <v>4943</v>
      </c>
      <c r="B10919" s="802" t="s">
        <v>11881</v>
      </c>
      <c r="C10919" s="801" t="s">
        <v>661</v>
      </c>
      <c r="D10919" s="803">
        <v>857.14</v>
      </c>
    </row>
    <row r="10920" spans="1:4" ht="25.5">
      <c r="A10920" s="801">
        <v>5002</v>
      </c>
      <c r="B10920" s="802" t="s">
        <v>11882</v>
      </c>
      <c r="C10920" s="801" t="s">
        <v>661</v>
      </c>
      <c r="D10920" s="803">
        <v>409.73</v>
      </c>
    </row>
    <row r="10921" spans="1:4" ht="25.5">
      <c r="A10921" s="801">
        <v>4977</v>
      </c>
      <c r="B10921" s="802" t="s">
        <v>11883</v>
      </c>
      <c r="C10921" s="801" t="s">
        <v>661</v>
      </c>
      <c r="D10921" s="803">
        <v>276.58</v>
      </c>
    </row>
    <row r="10922" spans="1:4" ht="25.5">
      <c r="A10922" s="801">
        <v>5028</v>
      </c>
      <c r="B10922" s="802" t="s">
        <v>11884</v>
      </c>
      <c r="C10922" s="801" t="s">
        <v>661</v>
      </c>
      <c r="D10922" s="803">
        <v>676.75</v>
      </c>
    </row>
    <row r="10923" spans="1:4" ht="25.5">
      <c r="A10923" s="801">
        <v>4998</v>
      </c>
      <c r="B10923" s="802" t="s">
        <v>11885</v>
      </c>
      <c r="C10923" s="801" t="s">
        <v>661</v>
      </c>
      <c r="D10923" s="803">
        <v>562.04999999999995</v>
      </c>
    </row>
    <row r="10924" spans="1:4" ht="25.5">
      <c r="A10924" s="801">
        <v>4969</v>
      </c>
      <c r="B10924" s="802" t="s">
        <v>11886</v>
      </c>
      <c r="C10924" s="801" t="s">
        <v>661</v>
      </c>
      <c r="D10924" s="803">
        <v>391.17</v>
      </c>
    </row>
    <row r="10925" spans="1:4" ht="38.25">
      <c r="A10925" s="801">
        <v>11364</v>
      </c>
      <c r="B10925" s="802" t="s">
        <v>11887</v>
      </c>
      <c r="C10925" s="801" t="s">
        <v>656</v>
      </c>
      <c r="D10925" s="803">
        <v>172.68</v>
      </c>
    </row>
    <row r="10926" spans="1:4" ht="38.25">
      <c r="A10926" s="801">
        <v>11365</v>
      </c>
      <c r="B10926" s="802" t="s">
        <v>11888</v>
      </c>
      <c r="C10926" s="801" t="s">
        <v>656</v>
      </c>
      <c r="D10926" s="803">
        <v>179.19</v>
      </c>
    </row>
    <row r="10927" spans="1:4" ht="38.25">
      <c r="A10927" s="801">
        <v>11366</v>
      </c>
      <c r="B10927" s="802" t="s">
        <v>11889</v>
      </c>
      <c r="C10927" s="801" t="s">
        <v>656</v>
      </c>
      <c r="D10927" s="803">
        <v>190.48</v>
      </c>
    </row>
    <row r="10928" spans="1:4" ht="38.25">
      <c r="A10928" s="801">
        <v>43777</v>
      </c>
      <c r="B10928" s="802" t="s">
        <v>11890</v>
      </c>
      <c r="C10928" s="801" t="s">
        <v>656</v>
      </c>
      <c r="D10928" s="803">
        <v>223.75</v>
      </c>
    </row>
    <row r="10929" spans="1:4" ht="51">
      <c r="A10929" s="801">
        <v>20322</v>
      </c>
      <c r="B10929" s="802" t="s">
        <v>11891</v>
      </c>
      <c r="C10929" s="801" t="s">
        <v>656</v>
      </c>
      <c r="D10929" s="803">
        <v>207.71</v>
      </c>
    </row>
    <row r="10930" spans="1:4" ht="51">
      <c r="A10930" s="801">
        <v>10553</v>
      </c>
      <c r="B10930" s="802" t="s">
        <v>11892</v>
      </c>
      <c r="C10930" s="801" t="s">
        <v>656</v>
      </c>
      <c r="D10930" s="803">
        <v>188.6</v>
      </c>
    </row>
    <row r="10931" spans="1:4" ht="51">
      <c r="A10931" s="801">
        <v>5020</v>
      </c>
      <c r="B10931" s="802" t="s">
        <v>11893</v>
      </c>
      <c r="C10931" s="801" t="s">
        <v>656</v>
      </c>
      <c r="D10931" s="803">
        <v>198.84</v>
      </c>
    </row>
    <row r="10932" spans="1:4" ht="51">
      <c r="A10932" s="801">
        <v>10554</v>
      </c>
      <c r="B10932" s="802" t="s">
        <v>11894</v>
      </c>
      <c r="C10932" s="801" t="s">
        <v>656</v>
      </c>
      <c r="D10932" s="803">
        <v>190.27</v>
      </c>
    </row>
    <row r="10933" spans="1:4" ht="51">
      <c r="A10933" s="801">
        <v>10555</v>
      </c>
      <c r="B10933" s="802" t="s">
        <v>11895</v>
      </c>
      <c r="C10933" s="801" t="s">
        <v>656</v>
      </c>
      <c r="D10933" s="803">
        <v>207.5</v>
      </c>
    </row>
    <row r="10934" spans="1:4" ht="51">
      <c r="A10934" s="801">
        <v>10556</v>
      </c>
      <c r="B10934" s="802" t="s">
        <v>11896</v>
      </c>
      <c r="C10934" s="801" t="s">
        <v>656</v>
      </c>
      <c r="D10934" s="803">
        <v>275.89</v>
      </c>
    </row>
    <row r="10935" spans="1:4" ht="38.25">
      <c r="A10935" s="801">
        <v>39502</v>
      </c>
      <c r="B10935" s="802" t="s">
        <v>11897</v>
      </c>
      <c r="C10935" s="801" t="s">
        <v>656</v>
      </c>
      <c r="D10935" s="803">
        <v>387.41</v>
      </c>
    </row>
    <row r="10936" spans="1:4" ht="38.25">
      <c r="A10936" s="801">
        <v>39504</v>
      </c>
      <c r="B10936" s="802" t="s">
        <v>11898</v>
      </c>
      <c r="C10936" s="801" t="s">
        <v>656</v>
      </c>
      <c r="D10936" s="803">
        <v>428.41</v>
      </c>
    </row>
    <row r="10937" spans="1:4" ht="38.25">
      <c r="A10937" s="801">
        <v>39503</v>
      </c>
      <c r="B10937" s="802" t="s">
        <v>11899</v>
      </c>
      <c r="C10937" s="801" t="s">
        <v>656</v>
      </c>
      <c r="D10937" s="803">
        <v>450.88</v>
      </c>
    </row>
    <row r="10938" spans="1:4" ht="38.25">
      <c r="A10938" s="801">
        <v>39505</v>
      </c>
      <c r="B10938" s="802" t="s">
        <v>11900</v>
      </c>
      <c r="C10938" s="801" t="s">
        <v>656</v>
      </c>
      <c r="D10938" s="803">
        <v>485.89</v>
      </c>
    </row>
    <row r="10939" spans="1:4">
      <c r="A10939" s="801">
        <v>44471</v>
      </c>
      <c r="B10939" s="802" t="s">
        <v>11901</v>
      </c>
      <c r="C10939" s="801" t="s">
        <v>656</v>
      </c>
      <c r="D10939" s="803">
        <v>528.22</v>
      </c>
    </row>
    <row r="10940" spans="1:4" ht="38.25">
      <c r="A10940" s="801">
        <v>4944</v>
      </c>
      <c r="B10940" s="802" t="s">
        <v>11902</v>
      </c>
      <c r="C10940" s="801" t="s">
        <v>661</v>
      </c>
      <c r="D10940" s="803">
        <v>1281.42</v>
      </c>
    </row>
    <row r="10941" spans="1:4">
      <c r="A10941" s="801">
        <v>21102</v>
      </c>
      <c r="B10941" s="802" t="s">
        <v>11903</v>
      </c>
      <c r="C10941" s="801" t="s">
        <v>656</v>
      </c>
      <c r="D10941" s="803">
        <v>37.94</v>
      </c>
    </row>
    <row r="10942" spans="1:4">
      <c r="A10942" s="801">
        <v>21101</v>
      </c>
      <c r="B10942" s="802" t="s">
        <v>11904</v>
      </c>
      <c r="C10942" s="801" t="s">
        <v>656</v>
      </c>
      <c r="D10942" s="803">
        <v>24.36</v>
      </c>
    </row>
    <row r="10943" spans="1:4" ht="25.5">
      <c r="A10943" s="801">
        <v>34713</v>
      </c>
      <c r="B10943" s="802" t="s">
        <v>11905</v>
      </c>
      <c r="C10943" s="801" t="s">
        <v>661</v>
      </c>
      <c r="D10943" s="803">
        <v>473.99</v>
      </c>
    </row>
    <row r="10944" spans="1:4" ht="25.5">
      <c r="A10944" s="801">
        <v>37563</v>
      </c>
      <c r="B10944" s="802" t="s">
        <v>11906</v>
      </c>
      <c r="C10944" s="801" t="s">
        <v>661</v>
      </c>
      <c r="D10944" s="803">
        <v>589.17999999999995</v>
      </c>
    </row>
    <row r="10945" spans="1:4" ht="38.25">
      <c r="A10945" s="801">
        <v>4948</v>
      </c>
      <c r="B10945" s="802" t="s">
        <v>11907</v>
      </c>
      <c r="C10945" s="801" t="s">
        <v>661</v>
      </c>
      <c r="D10945" s="803">
        <v>512.6</v>
      </c>
    </row>
    <row r="10946" spans="1:4" ht="38.25">
      <c r="A10946" s="801">
        <v>37561</v>
      </c>
      <c r="B10946" s="802" t="s">
        <v>11908</v>
      </c>
      <c r="C10946" s="801" t="s">
        <v>661</v>
      </c>
      <c r="D10946" s="803">
        <v>478.07</v>
      </c>
    </row>
    <row r="10947" spans="1:4" ht="38.25">
      <c r="A10947" s="801">
        <v>37562</v>
      </c>
      <c r="B10947" s="802" t="s">
        <v>11909</v>
      </c>
      <c r="C10947" s="801" t="s">
        <v>661</v>
      </c>
      <c r="D10947" s="803">
        <v>626.80999999999995</v>
      </c>
    </row>
    <row r="10948" spans="1:4" ht="25.5">
      <c r="A10948" s="801">
        <v>14164</v>
      </c>
      <c r="B10948" s="802" t="s">
        <v>11910</v>
      </c>
      <c r="C10948" s="801" t="s">
        <v>656</v>
      </c>
      <c r="D10948" s="803">
        <v>2405.31</v>
      </c>
    </row>
    <row r="10949" spans="1:4" ht="25.5">
      <c r="A10949" s="801">
        <v>14163</v>
      </c>
      <c r="B10949" s="802" t="s">
        <v>11911</v>
      </c>
      <c r="C10949" s="801" t="s">
        <v>656</v>
      </c>
      <c r="D10949" s="803">
        <v>2733.79</v>
      </c>
    </row>
    <row r="10950" spans="1:4" ht="25.5">
      <c r="A10950" s="801">
        <v>5051</v>
      </c>
      <c r="B10950" s="802" t="s">
        <v>11912</v>
      </c>
      <c r="C10950" s="801" t="s">
        <v>656</v>
      </c>
      <c r="D10950" s="803">
        <v>2325.06</v>
      </c>
    </row>
    <row r="10951" spans="1:4" ht="25.5">
      <c r="A10951" s="801">
        <v>14162</v>
      </c>
      <c r="B10951" s="802" t="s">
        <v>11913</v>
      </c>
      <c r="C10951" s="801" t="s">
        <v>656</v>
      </c>
      <c r="D10951" s="803">
        <v>2321.6799999999998</v>
      </c>
    </row>
    <row r="10952" spans="1:4" ht="25.5">
      <c r="A10952" s="801">
        <v>5052</v>
      </c>
      <c r="B10952" s="802" t="s">
        <v>11914</v>
      </c>
      <c r="C10952" s="801" t="s">
        <v>656</v>
      </c>
      <c r="D10952" s="803">
        <v>1732.3</v>
      </c>
    </row>
    <row r="10953" spans="1:4" ht="25.5">
      <c r="A10953" s="801">
        <v>14166</v>
      </c>
      <c r="B10953" s="802" t="s">
        <v>11915</v>
      </c>
      <c r="C10953" s="801" t="s">
        <v>656</v>
      </c>
      <c r="D10953" s="803">
        <v>1754.29</v>
      </c>
    </row>
    <row r="10954" spans="1:4" ht="25.5">
      <c r="A10954" s="801">
        <v>14165</v>
      </c>
      <c r="B10954" s="802" t="s">
        <v>11916</v>
      </c>
      <c r="C10954" s="801" t="s">
        <v>656</v>
      </c>
      <c r="D10954" s="803">
        <v>2430.33</v>
      </c>
    </row>
    <row r="10955" spans="1:4" ht="25.5">
      <c r="A10955" s="801">
        <v>5050</v>
      </c>
      <c r="B10955" s="802" t="s">
        <v>11917</v>
      </c>
      <c r="C10955" s="801" t="s">
        <v>656</v>
      </c>
      <c r="D10955" s="803">
        <v>598.16</v>
      </c>
    </row>
    <row r="10956" spans="1:4" ht="25.5">
      <c r="A10956" s="801">
        <v>12366</v>
      </c>
      <c r="B10956" s="802" t="s">
        <v>11918</v>
      </c>
      <c r="C10956" s="801" t="s">
        <v>656</v>
      </c>
      <c r="D10956" s="803">
        <v>1020.97</v>
      </c>
    </row>
    <row r="10957" spans="1:4" ht="25.5">
      <c r="A10957" s="801">
        <v>5045</v>
      </c>
      <c r="B10957" s="802" t="s">
        <v>11919</v>
      </c>
      <c r="C10957" s="801" t="s">
        <v>656</v>
      </c>
      <c r="D10957" s="803">
        <v>1621.63</v>
      </c>
    </row>
    <row r="10958" spans="1:4" ht="25.5">
      <c r="A10958" s="801">
        <v>5035</v>
      </c>
      <c r="B10958" s="802" t="s">
        <v>11920</v>
      </c>
      <c r="C10958" s="801" t="s">
        <v>656</v>
      </c>
      <c r="D10958" s="803">
        <v>2487.88</v>
      </c>
    </row>
    <row r="10959" spans="1:4" ht="25.5">
      <c r="A10959" s="801">
        <v>41180</v>
      </c>
      <c r="B10959" s="802" t="s">
        <v>11921</v>
      </c>
      <c r="C10959" s="801" t="s">
        <v>656</v>
      </c>
      <c r="D10959" s="803">
        <v>3645.41</v>
      </c>
    </row>
    <row r="10960" spans="1:4" ht="25.5">
      <c r="A10960" s="801">
        <v>41181</v>
      </c>
      <c r="B10960" s="802" t="s">
        <v>11922</v>
      </c>
      <c r="C10960" s="801" t="s">
        <v>656</v>
      </c>
      <c r="D10960" s="803">
        <v>4826.41</v>
      </c>
    </row>
    <row r="10961" spans="1:4" ht="25.5">
      <c r="A10961" s="801">
        <v>41182</v>
      </c>
      <c r="B10961" s="802" t="s">
        <v>11923</v>
      </c>
      <c r="C10961" s="801" t="s">
        <v>656</v>
      </c>
      <c r="D10961" s="803">
        <v>6923.88</v>
      </c>
    </row>
    <row r="10962" spans="1:4" ht="25.5">
      <c r="A10962" s="801">
        <v>41183</v>
      </c>
      <c r="B10962" s="802" t="s">
        <v>11924</v>
      </c>
      <c r="C10962" s="801" t="s">
        <v>656</v>
      </c>
      <c r="D10962" s="803">
        <v>8644.61</v>
      </c>
    </row>
    <row r="10963" spans="1:4" ht="25.5">
      <c r="A10963" s="801">
        <v>41184</v>
      </c>
      <c r="B10963" s="802" t="s">
        <v>11925</v>
      </c>
      <c r="C10963" s="801" t="s">
        <v>656</v>
      </c>
      <c r="D10963" s="803">
        <v>13161.95</v>
      </c>
    </row>
    <row r="10964" spans="1:4" ht="25.5">
      <c r="A10964" s="801">
        <v>41185</v>
      </c>
      <c r="B10964" s="802" t="s">
        <v>11926</v>
      </c>
      <c r="C10964" s="801" t="s">
        <v>656</v>
      </c>
      <c r="D10964" s="803">
        <v>4881.04</v>
      </c>
    </row>
    <row r="10965" spans="1:4" ht="25.5">
      <c r="A10965" s="801">
        <v>41186</v>
      </c>
      <c r="B10965" s="802" t="s">
        <v>11927</v>
      </c>
      <c r="C10965" s="801" t="s">
        <v>656</v>
      </c>
      <c r="D10965" s="803">
        <v>6840.22</v>
      </c>
    </row>
    <row r="10966" spans="1:4" ht="25.5">
      <c r="A10966" s="801">
        <v>41187</v>
      </c>
      <c r="B10966" s="802" t="s">
        <v>11928</v>
      </c>
      <c r="C10966" s="801" t="s">
        <v>656</v>
      </c>
      <c r="D10966" s="803">
        <v>9173.2999999999993</v>
      </c>
    </row>
    <row r="10967" spans="1:4" ht="25.5">
      <c r="A10967" s="801">
        <v>41188</v>
      </c>
      <c r="B10967" s="802" t="s">
        <v>11929</v>
      </c>
      <c r="C10967" s="801" t="s">
        <v>656</v>
      </c>
      <c r="D10967" s="803">
        <v>11730.6</v>
      </c>
    </row>
    <row r="10968" spans="1:4" ht="25.5">
      <c r="A10968" s="801">
        <v>5036</v>
      </c>
      <c r="B10968" s="802" t="s">
        <v>11930</v>
      </c>
      <c r="C10968" s="801" t="s">
        <v>656</v>
      </c>
      <c r="D10968" s="803">
        <v>879.61</v>
      </c>
    </row>
    <row r="10969" spans="1:4" ht="25.5">
      <c r="A10969" s="801">
        <v>41189</v>
      </c>
      <c r="B10969" s="802" t="s">
        <v>11931</v>
      </c>
      <c r="C10969" s="801" t="s">
        <v>656</v>
      </c>
      <c r="D10969" s="803">
        <v>15080.92</v>
      </c>
    </row>
    <row r="10970" spans="1:4" ht="25.5">
      <c r="A10970" s="801">
        <v>41190</v>
      </c>
      <c r="B10970" s="802" t="s">
        <v>11932</v>
      </c>
      <c r="C10970" s="801" t="s">
        <v>656</v>
      </c>
      <c r="D10970" s="803">
        <v>5244.61</v>
      </c>
    </row>
    <row r="10971" spans="1:4" ht="25.5">
      <c r="A10971" s="801">
        <v>41191</v>
      </c>
      <c r="B10971" s="802" t="s">
        <v>11933</v>
      </c>
      <c r="C10971" s="801" t="s">
        <v>656</v>
      </c>
      <c r="D10971" s="803">
        <v>8042.42</v>
      </c>
    </row>
    <row r="10972" spans="1:4" ht="25.5">
      <c r="A10972" s="801">
        <v>41192</v>
      </c>
      <c r="B10972" s="802" t="s">
        <v>11934</v>
      </c>
      <c r="C10972" s="801" t="s">
        <v>656</v>
      </c>
      <c r="D10972" s="803">
        <v>8384.16</v>
      </c>
    </row>
    <row r="10973" spans="1:4" ht="25.5">
      <c r="A10973" s="801">
        <v>41193</v>
      </c>
      <c r="B10973" s="802" t="s">
        <v>11935</v>
      </c>
      <c r="C10973" s="801" t="s">
        <v>656</v>
      </c>
      <c r="D10973" s="803">
        <v>13699.44</v>
      </c>
    </row>
    <row r="10974" spans="1:4" ht="25.5">
      <c r="A10974" s="801">
        <v>41194</v>
      </c>
      <c r="B10974" s="802" t="s">
        <v>11936</v>
      </c>
      <c r="C10974" s="801" t="s">
        <v>656</v>
      </c>
      <c r="D10974" s="803">
        <v>16346.54</v>
      </c>
    </row>
    <row r="10975" spans="1:4" ht="25.5">
      <c r="A10975" s="801">
        <v>5044</v>
      </c>
      <c r="B10975" s="802" t="s">
        <v>11937</v>
      </c>
      <c r="C10975" s="801" t="s">
        <v>656</v>
      </c>
      <c r="D10975" s="803">
        <v>1410.41</v>
      </c>
    </row>
    <row r="10976" spans="1:4" ht="25.5">
      <c r="A10976" s="801">
        <v>5059</v>
      </c>
      <c r="B10976" s="802" t="s">
        <v>11938</v>
      </c>
      <c r="C10976" s="801" t="s">
        <v>656</v>
      </c>
      <c r="D10976" s="803">
        <v>1051.9100000000001</v>
      </c>
    </row>
    <row r="10977" spans="1:4" ht="25.5">
      <c r="A10977" s="801">
        <v>41201</v>
      </c>
      <c r="B10977" s="802" t="s">
        <v>11939</v>
      </c>
      <c r="C10977" s="801" t="s">
        <v>656</v>
      </c>
      <c r="D10977" s="803">
        <v>2134.7600000000002</v>
      </c>
    </row>
    <row r="10978" spans="1:4" ht="25.5">
      <c r="A10978" s="801">
        <v>41199</v>
      </c>
      <c r="B10978" s="802" t="s">
        <v>11940</v>
      </c>
      <c r="C10978" s="801" t="s">
        <v>656</v>
      </c>
      <c r="D10978" s="803">
        <v>685.98</v>
      </c>
    </row>
    <row r="10979" spans="1:4" ht="25.5">
      <c r="A10979" s="801">
        <v>5057</v>
      </c>
      <c r="B10979" s="802" t="s">
        <v>11941</v>
      </c>
      <c r="C10979" s="801" t="s">
        <v>656</v>
      </c>
      <c r="D10979" s="803">
        <v>928.69</v>
      </c>
    </row>
    <row r="10980" spans="1:4" ht="25.5">
      <c r="A10980" s="801">
        <v>41200</v>
      </c>
      <c r="B10980" s="802" t="s">
        <v>11942</v>
      </c>
      <c r="C10980" s="801" t="s">
        <v>656</v>
      </c>
      <c r="D10980" s="803">
        <v>1335.15</v>
      </c>
    </row>
    <row r="10981" spans="1:4" ht="25.5">
      <c r="A10981" s="801">
        <v>41205</v>
      </c>
      <c r="B10981" s="802" t="s">
        <v>11943</v>
      </c>
      <c r="C10981" s="801" t="s">
        <v>656</v>
      </c>
      <c r="D10981" s="803">
        <v>2474.0100000000002</v>
      </c>
    </row>
    <row r="10982" spans="1:4" ht="25.5">
      <c r="A10982" s="801">
        <v>41202</v>
      </c>
      <c r="B10982" s="802" t="s">
        <v>11944</v>
      </c>
      <c r="C10982" s="801" t="s">
        <v>656</v>
      </c>
      <c r="D10982" s="803">
        <v>721.93</v>
      </c>
    </row>
    <row r="10983" spans="1:4" ht="25.5">
      <c r="A10983" s="801">
        <v>41206</v>
      </c>
      <c r="B10983" s="802" t="s">
        <v>11945</v>
      </c>
      <c r="C10983" s="801" t="s">
        <v>656</v>
      </c>
      <c r="D10983" s="803">
        <v>3261.88</v>
      </c>
    </row>
    <row r="10984" spans="1:4" ht="25.5">
      <c r="A10984" s="801">
        <v>12372</v>
      </c>
      <c r="B10984" s="802" t="s">
        <v>11946</v>
      </c>
      <c r="C10984" s="801" t="s">
        <v>656</v>
      </c>
      <c r="D10984" s="803">
        <v>758.03</v>
      </c>
    </row>
    <row r="10985" spans="1:4" ht="25.5">
      <c r="A10985" s="801">
        <v>41207</v>
      </c>
      <c r="B10985" s="802" t="s">
        <v>11947</v>
      </c>
      <c r="C10985" s="801" t="s">
        <v>656</v>
      </c>
      <c r="D10985" s="803">
        <v>4391.1400000000003</v>
      </c>
    </row>
    <row r="10986" spans="1:4" ht="25.5">
      <c r="A10986" s="801">
        <v>41203</v>
      </c>
      <c r="B10986" s="802" t="s">
        <v>11948</v>
      </c>
      <c r="C10986" s="801" t="s">
        <v>656</v>
      </c>
      <c r="D10986" s="803">
        <v>1156.46</v>
      </c>
    </row>
    <row r="10987" spans="1:4" ht="25.5">
      <c r="A10987" s="801">
        <v>41204</v>
      </c>
      <c r="B10987" s="802" t="s">
        <v>11949</v>
      </c>
      <c r="C10987" s="801" t="s">
        <v>656</v>
      </c>
      <c r="D10987" s="803">
        <v>1634.94</v>
      </c>
    </row>
    <row r="10988" spans="1:4" ht="25.5">
      <c r="A10988" s="801">
        <v>41210</v>
      </c>
      <c r="B10988" s="802" t="s">
        <v>11950</v>
      </c>
      <c r="C10988" s="801" t="s">
        <v>656</v>
      </c>
      <c r="D10988" s="803">
        <v>2731.12</v>
      </c>
    </row>
    <row r="10989" spans="1:4" ht="25.5">
      <c r="A10989" s="801">
        <v>41208</v>
      </c>
      <c r="B10989" s="802" t="s">
        <v>11951</v>
      </c>
      <c r="C10989" s="801" t="s">
        <v>656</v>
      </c>
      <c r="D10989" s="803">
        <v>956.05</v>
      </c>
    </row>
    <row r="10990" spans="1:4" ht="25.5">
      <c r="A10990" s="801">
        <v>41211</v>
      </c>
      <c r="B10990" s="802" t="s">
        <v>11952</v>
      </c>
      <c r="C10990" s="801" t="s">
        <v>656</v>
      </c>
      <c r="D10990" s="803">
        <v>3848.11</v>
      </c>
    </row>
    <row r="10991" spans="1:4" ht="25.5">
      <c r="A10991" s="801">
        <v>13339</v>
      </c>
      <c r="B10991" s="802" t="s">
        <v>11953</v>
      </c>
      <c r="C10991" s="801" t="s">
        <v>656</v>
      </c>
      <c r="D10991" s="803">
        <v>1295.68</v>
      </c>
    </row>
    <row r="10992" spans="1:4" ht="25.5">
      <c r="A10992" s="801">
        <v>41213</v>
      </c>
      <c r="B10992" s="802" t="s">
        <v>11954</v>
      </c>
      <c r="C10992" s="801" t="s">
        <v>656</v>
      </c>
      <c r="D10992" s="803">
        <v>7976.19</v>
      </c>
    </row>
    <row r="10993" spans="1:4" ht="25.5">
      <c r="A10993" s="801">
        <v>41209</v>
      </c>
      <c r="B10993" s="802" t="s">
        <v>11955</v>
      </c>
      <c r="C10993" s="801" t="s">
        <v>656</v>
      </c>
      <c r="D10993" s="803">
        <v>1782.7</v>
      </c>
    </row>
    <row r="10994" spans="1:4" ht="25.5">
      <c r="A10994" s="801">
        <v>41216</v>
      </c>
      <c r="B10994" s="802" t="s">
        <v>11956</v>
      </c>
      <c r="C10994" s="801" t="s">
        <v>656</v>
      </c>
      <c r="D10994" s="803">
        <v>3339.23</v>
      </c>
    </row>
    <row r="10995" spans="1:4" ht="25.5">
      <c r="A10995" s="801">
        <v>41217</v>
      </c>
      <c r="B10995" s="802" t="s">
        <v>11957</v>
      </c>
      <c r="C10995" s="801" t="s">
        <v>656</v>
      </c>
      <c r="D10995" s="803">
        <v>5353.97</v>
      </c>
    </row>
    <row r="10996" spans="1:4" ht="25.5">
      <c r="A10996" s="801">
        <v>41218</v>
      </c>
      <c r="B10996" s="802" t="s">
        <v>11958</v>
      </c>
      <c r="C10996" s="801" t="s">
        <v>656</v>
      </c>
      <c r="D10996" s="803">
        <v>7179.83</v>
      </c>
    </row>
    <row r="10997" spans="1:4" ht="25.5">
      <c r="A10997" s="801">
        <v>41214</v>
      </c>
      <c r="B10997" s="802" t="s">
        <v>11959</v>
      </c>
      <c r="C10997" s="801" t="s">
        <v>656</v>
      </c>
      <c r="D10997" s="803">
        <v>1513.85</v>
      </c>
    </row>
    <row r="10998" spans="1:4" ht="25.5">
      <c r="A10998" s="801">
        <v>41215</v>
      </c>
      <c r="B10998" s="802" t="s">
        <v>11960</v>
      </c>
      <c r="C10998" s="801" t="s">
        <v>656</v>
      </c>
      <c r="D10998" s="803">
        <v>2279.31</v>
      </c>
    </row>
    <row r="10999" spans="1:4" ht="25.5">
      <c r="A10999" s="801">
        <v>41221</v>
      </c>
      <c r="B10999" s="802" t="s">
        <v>11961</v>
      </c>
      <c r="C10999" s="801" t="s">
        <v>656</v>
      </c>
      <c r="D10999" s="803">
        <v>6599.79</v>
      </c>
    </row>
    <row r="11000" spans="1:4" ht="25.5">
      <c r="A11000" s="801">
        <v>41222</v>
      </c>
      <c r="B11000" s="802" t="s">
        <v>11962</v>
      </c>
      <c r="C11000" s="801" t="s">
        <v>656</v>
      </c>
      <c r="D11000" s="803">
        <v>9444.3700000000008</v>
      </c>
    </row>
    <row r="11001" spans="1:4" ht="25.5">
      <c r="A11001" s="801">
        <v>41195</v>
      </c>
      <c r="B11001" s="802" t="s">
        <v>11963</v>
      </c>
      <c r="C11001" s="801" t="s">
        <v>656</v>
      </c>
      <c r="D11001" s="803">
        <v>485.41</v>
      </c>
    </row>
    <row r="11002" spans="1:4" ht="25.5">
      <c r="A11002" s="801">
        <v>41198</v>
      </c>
      <c r="B11002" s="802" t="s">
        <v>11964</v>
      </c>
      <c r="C11002" s="801" t="s">
        <v>656</v>
      </c>
      <c r="D11002" s="803">
        <v>1896.88</v>
      </c>
    </row>
    <row r="11003" spans="1:4" ht="25.5">
      <c r="A11003" s="801">
        <v>41196</v>
      </c>
      <c r="B11003" s="802" t="s">
        <v>11965</v>
      </c>
      <c r="C11003" s="801" t="s">
        <v>656</v>
      </c>
      <c r="D11003" s="803">
        <v>601.70000000000005</v>
      </c>
    </row>
    <row r="11004" spans="1:4" ht="25.5">
      <c r="A11004" s="801">
        <v>5033</v>
      </c>
      <c r="B11004" s="802" t="s">
        <v>11966</v>
      </c>
      <c r="C11004" s="801" t="s">
        <v>656</v>
      </c>
      <c r="D11004" s="803">
        <v>790</v>
      </c>
    </row>
    <row r="11005" spans="1:4" ht="25.5">
      <c r="A11005" s="801">
        <v>41197</v>
      </c>
      <c r="B11005" s="802" t="s">
        <v>11967</v>
      </c>
      <c r="C11005" s="801" t="s">
        <v>656</v>
      </c>
      <c r="D11005" s="803">
        <v>1173.44</v>
      </c>
    </row>
    <row r="11006" spans="1:4" ht="25.5">
      <c r="A11006" s="801">
        <v>12388</v>
      </c>
      <c r="B11006" s="802" t="s">
        <v>11968</v>
      </c>
      <c r="C11006" s="801" t="s">
        <v>656</v>
      </c>
      <c r="D11006" s="803">
        <v>354.06</v>
      </c>
    </row>
    <row r="11007" spans="1:4" ht="25.5">
      <c r="A11007" s="801">
        <v>2731</v>
      </c>
      <c r="B11007" s="802" t="s">
        <v>11969</v>
      </c>
      <c r="C11007" s="801" t="s">
        <v>660</v>
      </c>
      <c r="D11007" s="803">
        <v>110.97</v>
      </c>
    </row>
    <row r="11008" spans="1:4" ht="25.5">
      <c r="A11008" s="801">
        <v>41457</v>
      </c>
      <c r="B11008" s="802" t="s">
        <v>11970</v>
      </c>
      <c r="C11008" s="801" t="s">
        <v>656</v>
      </c>
      <c r="D11008" s="803">
        <v>1586.26</v>
      </c>
    </row>
    <row r="11009" spans="1:4" ht="25.5">
      <c r="A11009" s="801">
        <v>41458</v>
      </c>
      <c r="B11009" s="802" t="s">
        <v>11971</v>
      </c>
      <c r="C11009" s="801" t="s">
        <v>656</v>
      </c>
      <c r="D11009" s="803">
        <v>2214.4899999999998</v>
      </c>
    </row>
    <row r="11010" spans="1:4" ht="25.5">
      <c r="A11010" s="801">
        <v>41459</v>
      </c>
      <c r="B11010" s="802" t="s">
        <v>11972</v>
      </c>
      <c r="C11010" s="801" t="s">
        <v>656</v>
      </c>
      <c r="D11010" s="803">
        <v>3089.05</v>
      </c>
    </row>
    <row r="11011" spans="1:4" ht="25.5">
      <c r="A11011" s="801">
        <v>41461</v>
      </c>
      <c r="B11011" s="802" t="s">
        <v>11973</v>
      </c>
      <c r="C11011" s="801" t="s">
        <v>656</v>
      </c>
      <c r="D11011" s="803">
        <v>4211.76</v>
      </c>
    </row>
    <row r="11012" spans="1:4">
      <c r="A11012" s="801">
        <v>44537</v>
      </c>
      <c r="B11012" s="802" t="s">
        <v>11974</v>
      </c>
      <c r="C11012" s="801" t="s">
        <v>662</v>
      </c>
      <c r="D11012" s="803">
        <v>265.91000000000003</v>
      </c>
    </row>
    <row r="11013" spans="1:4" ht="25.5">
      <c r="A11013" s="801">
        <v>11844</v>
      </c>
      <c r="B11013" s="802" t="s">
        <v>11975</v>
      </c>
      <c r="C11013" s="801" t="s">
        <v>660</v>
      </c>
      <c r="D11013" s="803">
        <v>41.45</v>
      </c>
    </row>
    <row r="11014" spans="1:4" ht="25.5">
      <c r="A11014" s="801">
        <v>4465</v>
      </c>
      <c r="B11014" s="802" t="s">
        <v>11976</v>
      </c>
      <c r="C11014" s="801" t="s">
        <v>660</v>
      </c>
      <c r="D11014" s="803">
        <v>34.44</v>
      </c>
    </row>
    <row r="11015" spans="1:4" ht="25.5">
      <c r="A11015" s="801">
        <v>35273</v>
      </c>
      <c r="B11015" s="802" t="s">
        <v>11977</v>
      </c>
      <c r="C11015" s="801" t="s">
        <v>660</v>
      </c>
      <c r="D11015" s="803">
        <v>41.31</v>
      </c>
    </row>
    <row r="11016" spans="1:4" ht="25.5">
      <c r="A11016" s="801">
        <v>4470</v>
      </c>
      <c r="B11016" s="802" t="s">
        <v>11978</v>
      </c>
      <c r="C11016" s="801" t="s">
        <v>660</v>
      </c>
      <c r="D11016" s="803">
        <v>95.33</v>
      </c>
    </row>
    <row r="11017" spans="1:4" ht="25.5">
      <c r="A11017" s="801">
        <v>20208</v>
      </c>
      <c r="B11017" s="802" t="s">
        <v>11979</v>
      </c>
      <c r="C11017" s="801" t="s">
        <v>660</v>
      </c>
      <c r="D11017" s="803">
        <v>85.8</v>
      </c>
    </row>
    <row r="11018" spans="1:4" ht="25.5">
      <c r="A11018" s="801">
        <v>20204</v>
      </c>
      <c r="B11018" s="802" t="s">
        <v>11980</v>
      </c>
      <c r="C11018" s="801" t="s">
        <v>660</v>
      </c>
      <c r="D11018" s="803">
        <v>63.55</v>
      </c>
    </row>
    <row r="11019" spans="1:4" ht="25.5">
      <c r="A11019" s="801">
        <v>4437</v>
      </c>
      <c r="B11019" s="802" t="s">
        <v>11981</v>
      </c>
      <c r="C11019" s="801" t="s">
        <v>660</v>
      </c>
      <c r="D11019" s="803">
        <v>71.5</v>
      </c>
    </row>
    <row r="11020" spans="1:4" ht="25.5">
      <c r="A11020" s="801">
        <v>14580</v>
      </c>
      <c r="B11020" s="802" t="s">
        <v>11982</v>
      </c>
      <c r="C11020" s="801" t="s">
        <v>660</v>
      </c>
      <c r="D11020" s="803">
        <v>71.5</v>
      </c>
    </row>
    <row r="11021" spans="1:4">
      <c r="A11021" s="801">
        <v>40304</v>
      </c>
      <c r="B11021" s="802" t="s">
        <v>4759</v>
      </c>
      <c r="C11021" s="801" t="s">
        <v>653</v>
      </c>
      <c r="D11021" s="803">
        <v>29.33</v>
      </c>
    </row>
    <row r="11022" spans="1:4">
      <c r="A11022" s="801">
        <v>5065</v>
      </c>
      <c r="B11022" s="802" t="s">
        <v>11983</v>
      </c>
      <c r="C11022" s="801" t="s">
        <v>653</v>
      </c>
      <c r="D11022" s="803">
        <v>45.2</v>
      </c>
    </row>
    <row r="11023" spans="1:4">
      <c r="A11023" s="801">
        <v>5072</v>
      </c>
      <c r="B11023" s="802" t="s">
        <v>11984</v>
      </c>
      <c r="C11023" s="801" t="s">
        <v>653</v>
      </c>
      <c r="D11023" s="803">
        <v>41.81</v>
      </c>
    </row>
    <row r="11024" spans="1:4">
      <c r="A11024" s="801">
        <v>5066</v>
      </c>
      <c r="B11024" s="802" t="s">
        <v>11985</v>
      </c>
      <c r="C11024" s="801" t="s">
        <v>653</v>
      </c>
      <c r="D11024" s="803">
        <v>31.31</v>
      </c>
    </row>
    <row r="11025" spans="1:4">
      <c r="A11025" s="801">
        <v>5063</v>
      </c>
      <c r="B11025" s="802" t="s">
        <v>11986</v>
      </c>
      <c r="C11025" s="801" t="s">
        <v>653</v>
      </c>
      <c r="D11025" s="803">
        <v>28.35</v>
      </c>
    </row>
    <row r="11026" spans="1:4">
      <c r="A11026" s="801">
        <v>20247</v>
      </c>
      <c r="B11026" s="802" t="s">
        <v>4760</v>
      </c>
      <c r="C11026" s="801" t="s">
        <v>653</v>
      </c>
      <c r="D11026" s="803">
        <v>26.31</v>
      </c>
    </row>
    <row r="11027" spans="1:4">
      <c r="A11027" s="801">
        <v>5074</v>
      </c>
      <c r="B11027" s="802" t="s">
        <v>4761</v>
      </c>
      <c r="C11027" s="801" t="s">
        <v>653</v>
      </c>
      <c r="D11027" s="803">
        <v>26.62</v>
      </c>
    </row>
    <row r="11028" spans="1:4">
      <c r="A11028" s="801">
        <v>5067</v>
      </c>
      <c r="B11028" s="802" t="s">
        <v>11987</v>
      </c>
      <c r="C11028" s="801" t="s">
        <v>653</v>
      </c>
      <c r="D11028" s="803">
        <v>25.33</v>
      </c>
    </row>
    <row r="11029" spans="1:4">
      <c r="A11029" s="801">
        <v>5078</v>
      </c>
      <c r="B11029" s="802" t="s">
        <v>11988</v>
      </c>
      <c r="C11029" s="801" t="s">
        <v>653</v>
      </c>
      <c r="D11029" s="803">
        <v>25.04</v>
      </c>
    </row>
    <row r="11030" spans="1:4">
      <c r="A11030" s="801">
        <v>5068</v>
      </c>
      <c r="B11030" s="802" t="s">
        <v>4762</v>
      </c>
      <c r="C11030" s="801" t="s">
        <v>653</v>
      </c>
      <c r="D11030" s="803">
        <v>23.76</v>
      </c>
    </row>
    <row r="11031" spans="1:4">
      <c r="A11031" s="801">
        <v>5073</v>
      </c>
      <c r="B11031" s="802" t="s">
        <v>4763</v>
      </c>
      <c r="C11031" s="801" t="s">
        <v>653</v>
      </c>
      <c r="D11031" s="803">
        <v>24.22</v>
      </c>
    </row>
    <row r="11032" spans="1:4">
      <c r="A11032" s="801">
        <v>5069</v>
      </c>
      <c r="B11032" s="802" t="s">
        <v>11989</v>
      </c>
      <c r="C11032" s="801" t="s">
        <v>653</v>
      </c>
      <c r="D11032" s="803">
        <v>24.22</v>
      </c>
    </row>
    <row r="11033" spans="1:4">
      <c r="A11033" s="801">
        <v>5070</v>
      </c>
      <c r="B11033" s="802" t="s">
        <v>11990</v>
      </c>
      <c r="C11033" s="801" t="s">
        <v>653</v>
      </c>
      <c r="D11033" s="803">
        <v>24.48</v>
      </c>
    </row>
    <row r="11034" spans="1:4">
      <c r="A11034" s="801">
        <v>5071</v>
      </c>
      <c r="B11034" s="802" t="s">
        <v>11991</v>
      </c>
      <c r="C11034" s="801" t="s">
        <v>653</v>
      </c>
      <c r="D11034" s="803">
        <v>23.76</v>
      </c>
    </row>
    <row r="11035" spans="1:4">
      <c r="A11035" s="801">
        <v>5061</v>
      </c>
      <c r="B11035" s="802" t="s">
        <v>4764</v>
      </c>
      <c r="C11035" s="801" t="s">
        <v>653</v>
      </c>
      <c r="D11035" s="803">
        <v>23.36</v>
      </c>
    </row>
    <row r="11036" spans="1:4">
      <c r="A11036" s="801">
        <v>5075</v>
      </c>
      <c r="B11036" s="802" t="s">
        <v>11992</v>
      </c>
      <c r="C11036" s="801" t="s">
        <v>653</v>
      </c>
      <c r="D11036" s="803">
        <v>23.76</v>
      </c>
    </row>
    <row r="11037" spans="1:4">
      <c r="A11037" s="801">
        <v>39027</v>
      </c>
      <c r="B11037" s="802" t="s">
        <v>11993</v>
      </c>
      <c r="C11037" s="801" t="s">
        <v>653</v>
      </c>
      <c r="D11037" s="803">
        <v>23.74</v>
      </c>
    </row>
    <row r="11038" spans="1:4">
      <c r="A11038" s="801">
        <v>5062</v>
      </c>
      <c r="B11038" s="802" t="s">
        <v>11994</v>
      </c>
      <c r="C11038" s="801" t="s">
        <v>653</v>
      </c>
      <c r="D11038" s="803">
        <v>24.08</v>
      </c>
    </row>
    <row r="11039" spans="1:4">
      <c r="A11039" s="801">
        <v>40568</v>
      </c>
      <c r="B11039" s="802" t="s">
        <v>11995</v>
      </c>
      <c r="C11039" s="801" t="s">
        <v>653</v>
      </c>
      <c r="D11039" s="803">
        <v>23.94</v>
      </c>
    </row>
    <row r="11040" spans="1:4">
      <c r="A11040" s="801">
        <v>39026</v>
      </c>
      <c r="B11040" s="802" t="s">
        <v>11996</v>
      </c>
      <c r="C11040" s="801" t="s">
        <v>653</v>
      </c>
      <c r="D11040" s="803">
        <v>26.72</v>
      </c>
    </row>
    <row r="11041" spans="1:4" ht="51">
      <c r="A11041" s="801">
        <v>42431</v>
      </c>
      <c r="B11041" s="802" t="s">
        <v>11997</v>
      </c>
      <c r="C11041" s="801" t="s">
        <v>656</v>
      </c>
      <c r="D11041" s="803">
        <v>3886.39</v>
      </c>
    </row>
    <row r="11042" spans="1:4">
      <c r="A11042" s="801">
        <v>44074</v>
      </c>
      <c r="B11042" s="802" t="s">
        <v>11998</v>
      </c>
      <c r="C11042" s="801" t="s">
        <v>655</v>
      </c>
      <c r="D11042" s="803">
        <v>424.73</v>
      </c>
    </row>
    <row r="11043" spans="1:4">
      <c r="A11043" s="801">
        <v>44072</v>
      </c>
      <c r="B11043" s="802" t="s">
        <v>11999</v>
      </c>
      <c r="C11043" s="801" t="s">
        <v>655</v>
      </c>
      <c r="D11043" s="803">
        <v>90.52</v>
      </c>
    </row>
    <row r="11044" spans="1:4" ht="25.5">
      <c r="A11044" s="801">
        <v>511</v>
      </c>
      <c r="B11044" s="802" t="s">
        <v>12000</v>
      </c>
      <c r="C11044" s="801" t="s">
        <v>655</v>
      </c>
      <c r="D11044" s="803">
        <v>16.75</v>
      </c>
    </row>
    <row r="11045" spans="1:4" ht="38.25">
      <c r="A11045" s="801">
        <v>37540</v>
      </c>
      <c r="B11045" s="802" t="s">
        <v>4765</v>
      </c>
      <c r="C11045" s="801" t="s">
        <v>656</v>
      </c>
      <c r="D11045" s="803">
        <v>86418.13</v>
      </c>
    </row>
    <row r="11046" spans="1:4" ht="25.5">
      <c r="A11046" s="801">
        <v>37548</v>
      </c>
      <c r="B11046" s="802" t="s">
        <v>12001</v>
      </c>
      <c r="C11046" s="801" t="s">
        <v>656</v>
      </c>
      <c r="D11046" s="803">
        <v>114546.8</v>
      </c>
    </row>
    <row r="11047" spans="1:4" ht="38.25">
      <c r="A11047" s="801">
        <v>39828</v>
      </c>
      <c r="B11047" s="802" t="s">
        <v>12002</v>
      </c>
      <c r="C11047" s="801" t="s">
        <v>656</v>
      </c>
      <c r="D11047" s="803">
        <v>687.17</v>
      </c>
    </row>
    <row r="11048" spans="1:4" ht="51">
      <c r="A11048" s="801">
        <v>12273</v>
      </c>
      <c r="B11048" s="802" t="s">
        <v>12003</v>
      </c>
      <c r="C11048" s="801" t="s">
        <v>656</v>
      </c>
      <c r="D11048" s="803">
        <v>162.62</v>
      </c>
    </row>
    <row r="11049" spans="1:4">
      <c r="A11049" s="801">
        <v>38392</v>
      </c>
      <c r="B11049" s="802" t="s">
        <v>12004</v>
      </c>
      <c r="C11049" s="801" t="s">
        <v>656</v>
      </c>
      <c r="D11049" s="803">
        <v>57.09</v>
      </c>
    </row>
    <row r="11050" spans="1:4" ht="25.5">
      <c r="A11050" s="801">
        <v>11735</v>
      </c>
      <c r="B11050" s="802" t="s">
        <v>12005</v>
      </c>
      <c r="C11050" s="801" t="s">
        <v>656</v>
      </c>
      <c r="D11050" s="803">
        <v>9.44</v>
      </c>
    </row>
    <row r="11051" spans="1:4" ht="25.5">
      <c r="A11051" s="801">
        <v>11737</v>
      </c>
      <c r="B11051" s="802" t="s">
        <v>12006</v>
      </c>
      <c r="C11051" s="801" t="s">
        <v>656</v>
      </c>
      <c r="D11051" s="803">
        <v>13.39</v>
      </c>
    </row>
    <row r="11052" spans="1:4" ht="25.5">
      <c r="A11052" s="801">
        <v>11738</v>
      </c>
      <c r="B11052" s="802" t="s">
        <v>12007</v>
      </c>
      <c r="C11052" s="801" t="s">
        <v>656</v>
      </c>
      <c r="D11052" s="803">
        <v>16.88</v>
      </c>
    </row>
    <row r="11053" spans="1:4" ht="25.5">
      <c r="A11053" s="801">
        <v>36143</v>
      </c>
      <c r="B11053" s="802" t="s">
        <v>12008</v>
      </c>
      <c r="C11053" s="801" t="s">
        <v>656</v>
      </c>
      <c r="D11053" s="803">
        <v>41</v>
      </c>
    </row>
    <row r="11054" spans="1:4" ht="25.5">
      <c r="A11054" s="801">
        <v>36142</v>
      </c>
      <c r="B11054" s="802" t="s">
        <v>12009</v>
      </c>
      <c r="C11054" s="801" t="s">
        <v>656</v>
      </c>
      <c r="D11054" s="803">
        <v>3</v>
      </c>
    </row>
    <row r="11055" spans="1:4">
      <c r="A11055" s="801">
        <v>36146</v>
      </c>
      <c r="B11055" s="802" t="s">
        <v>12010</v>
      </c>
      <c r="C11055" s="801" t="s">
        <v>656</v>
      </c>
      <c r="D11055" s="803">
        <v>340</v>
      </c>
    </row>
    <row r="11056" spans="1:4" ht="25.5">
      <c r="A11056" s="801">
        <v>39015</v>
      </c>
      <c r="B11056" s="802" t="s">
        <v>12011</v>
      </c>
      <c r="C11056" s="801" t="s">
        <v>656</v>
      </c>
      <c r="D11056" s="803">
        <v>0.96</v>
      </c>
    </row>
    <row r="11057" spans="1:4">
      <c r="A11057" s="801">
        <v>38377</v>
      </c>
      <c r="B11057" s="802" t="s">
        <v>12012</v>
      </c>
      <c r="C11057" s="801" t="s">
        <v>656</v>
      </c>
      <c r="D11057" s="803">
        <v>37.28</v>
      </c>
    </row>
    <row r="11058" spans="1:4">
      <c r="A11058" s="801">
        <v>38376</v>
      </c>
      <c r="B11058" s="802" t="s">
        <v>12013</v>
      </c>
      <c r="C11058" s="801" t="s">
        <v>656</v>
      </c>
      <c r="D11058" s="803">
        <v>42.51</v>
      </c>
    </row>
    <row r="11059" spans="1:4">
      <c r="A11059" s="801">
        <v>38116</v>
      </c>
      <c r="B11059" s="802" t="s">
        <v>12014</v>
      </c>
      <c r="C11059" s="801" t="s">
        <v>656</v>
      </c>
      <c r="D11059" s="803">
        <v>4.9400000000000004</v>
      </c>
    </row>
    <row r="11060" spans="1:4" ht="25.5">
      <c r="A11060" s="801">
        <v>38066</v>
      </c>
      <c r="B11060" s="802" t="s">
        <v>12015</v>
      </c>
      <c r="C11060" s="801" t="s">
        <v>656</v>
      </c>
      <c r="D11060" s="803">
        <v>8.16</v>
      </c>
    </row>
    <row r="11061" spans="1:4">
      <c r="A11061" s="801">
        <v>38117</v>
      </c>
      <c r="B11061" s="802" t="s">
        <v>12016</v>
      </c>
      <c r="C11061" s="801" t="s">
        <v>656</v>
      </c>
      <c r="D11061" s="803">
        <v>8.42</v>
      </c>
    </row>
    <row r="11062" spans="1:4" ht="25.5">
      <c r="A11062" s="801">
        <v>38067</v>
      </c>
      <c r="B11062" s="802" t="s">
        <v>12017</v>
      </c>
      <c r="C11062" s="801" t="s">
        <v>656</v>
      </c>
      <c r="D11062" s="803">
        <v>11.49</v>
      </c>
    </row>
    <row r="11063" spans="1:4" ht="38.25">
      <c r="A11063" s="801">
        <v>11522</v>
      </c>
      <c r="B11063" s="802" t="s">
        <v>12018</v>
      </c>
      <c r="C11063" s="801" t="s">
        <v>656</v>
      </c>
      <c r="D11063" s="803">
        <v>13.95</v>
      </c>
    </row>
    <row r="11064" spans="1:4" ht="38.25">
      <c r="A11064" s="801">
        <v>43600</v>
      </c>
      <c r="B11064" s="802" t="s">
        <v>12019</v>
      </c>
      <c r="C11064" s="801" t="s">
        <v>656</v>
      </c>
      <c r="D11064" s="803">
        <v>55.89</v>
      </c>
    </row>
    <row r="11065" spans="1:4" ht="38.25">
      <c r="A11065" s="801">
        <v>5080</v>
      </c>
      <c r="B11065" s="802" t="s">
        <v>12020</v>
      </c>
      <c r="C11065" s="801" t="s">
        <v>656</v>
      </c>
      <c r="D11065" s="803">
        <v>21.79</v>
      </c>
    </row>
    <row r="11066" spans="1:4" ht="25.5">
      <c r="A11066" s="801">
        <v>38168</v>
      </c>
      <c r="B11066" s="802" t="s">
        <v>12021</v>
      </c>
      <c r="C11066" s="801" t="s">
        <v>656</v>
      </c>
      <c r="D11066" s="803">
        <v>152.16999999999999</v>
      </c>
    </row>
    <row r="11067" spans="1:4" ht="25.5">
      <c r="A11067" s="801">
        <v>43601</v>
      </c>
      <c r="B11067" s="802" t="s">
        <v>12022</v>
      </c>
      <c r="C11067" s="801" t="s">
        <v>656</v>
      </c>
      <c r="D11067" s="803">
        <v>76.08</v>
      </c>
    </row>
    <row r="11068" spans="1:4" ht="38.25">
      <c r="A11068" s="801">
        <v>13393</v>
      </c>
      <c r="B11068" s="802" t="s">
        <v>4766</v>
      </c>
      <c r="C11068" s="801" t="s">
        <v>656</v>
      </c>
      <c r="D11068" s="803">
        <v>435.79</v>
      </c>
    </row>
    <row r="11069" spans="1:4" ht="38.25">
      <c r="A11069" s="801">
        <v>13395</v>
      </c>
      <c r="B11069" s="802" t="s">
        <v>12023</v>
      </c>
      <c r="C11069" s="801" t="s">
        <v>656</v>
      </c>
      <c r="D11069" s="803">
        <v>610.71</v>
      </c>
    </row>
    <row r="11070" spans="1:4" ht="38.25">
      <c r="A11070" s="801">
        <v>12039</v>
      </c>
      <c r="B11070" s="802" t="s">
        <v>12024</v>
      </c>
      <c r="C11070" s="801" t="s">
        <v>656</v>
      </c>
      <c r="D11070" s="803">
        <v>641.79</v>
      </c>
    </row>
    <row r="11071" spans="1:4" ht="38.25">
      <c r="A11071" s="801">
        <v>13396</v>
      </c>
      <c r="B11071" s="802" t="s">
        <v>12025</v>
      </c>
      <c r="C11071" s="801" t="s">
        <v>656</v>
      </c>
      <c r="D11071" s="803">
        <v>901.36</v>
      </c>
    </row>
    <row r="11072" spans="1:4" ht="38.25">
      <c r="A11072" s="801">
        <v>12041</v>
      </c>
      <c r="B11072" s="802" t="s">
        <v>12026</v>
      </c>
      <c r="C11072" s="801" t="s">
        <v>656</v>
      </c>
      <c r="D11072" s="803">
        <v>736.01</v>
      </c>
    </row>
    <row r="11073" spans="1:4" ht="38.25">
      <c r="A11073" s="801">
        <v>12043</v>
      </c>
      <c r="B11073" s="802" t="s">
        <v>12027</v>
      </c>
      <c r="C11073" s="801" t="s">
        <v>656</v>
      </c>
      <c r="D11073" s="803">
        <v>1553.97</v>
      </c>
    </row>
    <row r="11074" spans="1:4" ht="38.25">
      <c r="A11074" s="801">
        <v>39762</v>
      </c>
      <c r="B11074" s="802" t="s">
        <v>12028</v>
      </c>
      <c r="C11074" s="801" t="s">
        <v>656</v>
      </c>
      <c r="D11074" s="803">
        <v>739.73</v>
      </c>
    </row>
    <row r="11075" spans="1:4" ht="38.25">
      <c r="A11075" s="801">
        <v>12042</v>
      </c>
      <c r="B11075" s="802" t="s">
        <v>12029</v>
      </c>
      <c r="C11075" s="801" t="s">
        <v>656</v>
      </c>
      <c r="D11075" s="803">
        <v>1079.98</v>
      </c>
    </row>
    <row r="11076" spans="1:4" ht="38.25">
      <c r="A11076" s="801">
        <v>39763</v>
      </c>
      <c r="B11076" s="802" t="s">
        <v>12030</v>
      </c>
      <c r="C11076" s="801" t="s">
        <v>656</v>
      </c>
      <c r="D11076" s="803">
        <v>1263.98</v>
      </c>
    </row>
    <row r="11077" spans="1:4" ht="38.25">
      <c r="A11077" s="801">
        <v>39760</v>
      </c>
      <c r="B11077" s="802" t="s">
        <v>12031</v>
      </c>
      <c r="C11077" s="801" t="s">
        <v>656</v>
      </c>
      <c r="D11077" s="803">
        <v>1259.82</v>
      </c>
    </row>
    <row r="11078" spans="1:4" ht="38.25">
      <c r="A11078" s="801">
        <v>39756</v>
      </c>
      <c r="B11078" s="802" t="s">
        <v>12032</v>
      </c>
      <c r="C11078" s="801" t="s">
        <v>656</v>
      </c>
      <c r="D11078" s="803">
        <v>452.35</v>
      </c>
    </row>
    <row r="11079" spans="1:4" ht="38.25">
      <c r="A11079" s="801">
        <v>12038</v>
      </c>
      <c r="B11079" s="802" t="s">
        <v>12033</v>
      </c>
      <c r="C11079" s="801" t="s">
        <v>656</v>
      </c>
      <c r="D11079" s="803">
        <v>565.23</v>
      </c>
    </row>
    <row r="11080" spans="1:4" ht="38.25">
      <c r="A11080" s="801">
        <v>39757</v>
      </c>
      <c r="B11080" s="802" t="s">
        <v>12034</v>
      </c>
      <c r="C11080" s="801" t="s">
        <v>656</v>
      </c>
      <c r="D11080" s="803">
        <v>522.66</v>
      </c>
    </row>
    <row r="11081" spans="1:4" ht="38.25">
      <c r="A11081" s="801">
        <v>39758</v>
      </c>
      <c r="B11081" s="802" t="s">
        <v>12035</v>
      </c>
      <c r="C11081" s="801" t="s">
        <v>656</v>
      </c>
      <c r="D11081" s="803">
        <v>761.71</v>
      </c>
    </row>
    <row r="11082" spans="1:4" ht="38.25">
      <c r="A11082" s="801">
        <v>39759</v>
      </c>
      <c r="B11082" s="802" t="s">
        <v>12036</v>
      </c>
      <c r="C11082" s="801" t="s">
        <v>656</v>
      </c>
      <c r="D11082" s="803">
        <v>940.71</v>
      </c>
    </row>
    <row r="11083" spans="1:4" ht="38.25">
      <c r="A11083" s="801">
        <v>39761</v>
      </c>
      <c r="B11083" s="802" t="s">
        <v>12037</v>
      </c>
      <c r="C11083" s="801" t="s">
        <v>656</v>
      </c>
      <c r="D11083" s="803">
        <v>1130.76</v>
      </c>
    </row>
    <row r="11084" spans="1:4" ht="38.25">
      <c r="A11084" s="801">
        <v>39805</v>
      </c>
      <c r="B11084" s="802" t="s">
        <v>12038</v>
      </c>
      <c r="C11084" s="801" t="s">
        <v>656</v>
      </c>
      <c r="D11084" s="803">
        <v>133.63</v>
      </c>
    </row>
    <row r="11085" spans="1:4" ht="38.25">
      <c r="A11085" s="801">
        <v>39806</v>
      </c>
      <c r="B11085" s="802" t="s">
        <v>12039</v>
      </c>
      <c r="C11085" s="801" t="s">
        <v>656</v>
      </c>
      <c r="D11085" s="803">
        <v>247.58</v>
      </c>
    </row>
    <row r="11086" spans="1:4" ht="38.25">
      <c r="A11086" s="801">
        <v>39807</v>
      </c>
      <c r="B11086" s="802" t="s">
        <v>12040</v>
      </c>
      <c r="C11086" s="801" t="s">
        <v>656</v>
      </c>
      <c r="D11086" s="803">
        <v>536.55999999999995</v>
      </c>
    </row>
    <row r="11087" spans="1:4" ht="25.5">
      <c r="A11087" s="801">
        <v>43100</v>
      </c>
      <c r="B11087" s="802" t="s">
        <v>12041</v>
      </c>
      <c r="C11087" s="801" t="s">
        <v>656</v>
      </c>
      <c r="D11087" s="803">
        <v>419.48</v>
      </c>
    </row>
    <row r="11088" spans="1:4" ht="38.25">
      <c r="A11088" s="801">
        <v>39804</v>
      </c>
      <c r="B11088" s="802" t="s">
        <v>12042</v>
      </c>
      <c r="C11088" s="801" t="s">
        <v>656</v>
      </c>
      <c r="D11088" s="803">
        <v>78.47</v>
      </c>
    </row>
    <row r="11089" spans="1:4" ht="25.5">
      <c r="A11089" s="801">
        <v>39796</v>
      </c>
      <c r="B11089" s="802" t="s">
        <v>12043</v>
      </c>
      <c r="C11089" s="801" t="s">
        <v>656</v>
      </c>
      <c r="D11089" s="803">
        <v>81.27</v>
      </c>
    </row>
    <row r="11090" spans="1:4" ht="25.5">
      <c r="A11090" s="801">
        <v>39797</v>
      </c>
      <c r="B11090" s="802" t="s">
        <v>12044</v>
      </c>
      <c r="C11090" s="801" t="s">
        <v>656</v>
      </c>
      <c r="D11090" s="803">
        <v>127.58</v>
      </c>
    </row>
    <row r="11091" spans="1:4" ht="25.5">
      <c r="A11091" s="801">
        <v>39798</v>
      </c>
      <c r="B11091" s="802" t="s">
        <v>12045</v>
      </c>
      <c r="C11091" s="801" t="s">
        <v>656</v>
      </c>
      <c r="D11091" s="803">
        <v>218.84</v>
      </c>
    </row>
    <row r="11092" spans="1:4" ht="25.5">
      <c r="A11092" s="801">
        <v>39794</v>
      </c>
      <c r="B11092" s="802" t="s">
        <v>12046</v>
      </c>
      <c r="C11092" s="801" t="s">
        <v>656</v>
      </c>
      <c r="D11092" s="803">
        <v>34.5</v>
      </c>
    </row>
    <row r="11093" spans="1:4" ht="25.5">
      <c r="A11093" s="801">
        <v>39795</v>
      </c>
      <c r="B11093" s="802" t="s">
        <v>12047</v>
      </c>
      <c r="C11093" s="801" t="s">
        <v>656</v>
      </c>
      <c r="D11093" s="803">
        <v>54.5</v>
      </c>
    </row>
    <row r="11094" spans="1:4" ht="25.5">
      <c r="A11094" s="801">
        <v>39799</v>
      </c>
      <c r="B11094" s="802" t="s">
        <v>12048</v>
      </c>
      <c r="C11094" s="801" t="s">
        <v>656</v>
      </c>
      <c r="D11094" s="803">
        <v>40.21</v>
      </c>
    </row>
    <row r="11095" spans="1:4" ht="25.5">
      <c r="A11095" s="801">
        <v>39801</v>
      </c>
      <c r="B11095" s="802" t="s">
        <v>12049</v>
      </c>
      <c r="C11095" s="801" t="s">
        <v>656</v>
      </c>
      <c r="D11095" s="803">
        <v>115.08</v>
      </c>
    </row>
    <row r="11096" spans="1:4" ht="25.5">
      <c r="A11096" s="801">
        <v>39802</v>
      </c>
      <c r="B11096" s="802" t="s">
        <v>12050</v>
      </c>
      <c r="C11096" s="801" t="s">
        <v>656</v>
      </c>
      <c r="D11096" s="803">
        <v>168.69</v>
      </c>
    </row>
    <row r="11097" spans="1:4" ht="25.5">
      <c r="A11097" s="801">
        <v>39803</v>
      </c>
      <c r="B11097" s="802" t="s">
        <v>12051</v>
      </c>
      <c r="C11097" s="801" t="s">
        <v>656</v>
      </c>
      <c r="D11097" s="803">
        <v>235.33</v>
      </c>
    </row>
    <row r="11098" spans="1:4" ht="25.5">
      <c r="A11098" s="801">
        <v>39800</v>
      </c>
      <c r="B11098" s="802" t="s">
        <v>12052</v>
      </c>
      <c r="C11098" s="801" t="s">
        <v>656</v>
      </c>
      <c r="D11098" s="803">
        <v>68.5</v>
      </c>
    </row>
    <row r="11099" spans="1:4">
      <c r="A11099" s="801">
        <v>21059</v>
      </c>
      <c r="B11099" s="802" t="s">
        <v>12053</v>
      </c>
      <c r="C11099" s="801" t="s">
        <v>656</v>
      </c>
      <c r="D11099" s="803">
        <v>64.180000000000007</v>
      </c>
    </row>
    <row r="11100" spans="1:4">
      <c r="A11100" s="801">
        <v>11234</v>
      </c>
      <c r="B11100" s="802" t="s">
        <v>12054</v>
      </c>
      <c r="C11100" s="801" t="s">
        <v>656</v>
      </c>
      <c r="D11100" s="803">
        <v>96.74</v>
      </c>
    </row>
    <row r="11101" spans="1:4">
      <c r="A11101" s="801">
        <v>21060</v>
      </c>
      <c r="B11101" s="802" t="s">
        <v>12055</v>
      </c>
      <c r="C11101" s="801" t="s">
        <v>656</v>
      </c>
      <c r="D11101" s="803">
        <v>119.06</v>
      </c>
    </row>
    <row r="11102" spans="1:4">
      <c r="A11102" s="801">
        <v>21061</v>
      </c>
      <c r="B11102" s="802" t="s">
        <v>12056</v>
      </c>
      <c r="C11102" s="801" t="s">
        <v>656</v>
      </c>
      <c r="D11102" s="803">
        <v>148.83000000000001</v>
      </c>
    </row>
    <row r="11103" spans="1:4">
      <c r="A11103" s="801">
        <v>21062</v>
      </c>
      <c r="B11103" s="802" t="s">
        <v>12057</v>
      </c>
      <c r="C11103" s="801" t="s">
        <v>656</v>
      </c>
      <c r="D11103" s="803">
        <v>234.41</v>
      </c>
    </row>
    <row r="11104" spans="1:4">
      <c r="A11104" s="801">
        <v>11708</v>
      </c>
      <c r="B11104" s="802" t="s">
        <v>12058</v>
      </c>
      <c r="C11104" s="801" t="s">
        <v>656</v>
      </c>
      <c r="D11104" s="803">
        <v>25.58</v>
      </c>
    </row>
    <row r="11105" spans="1:4">
      <c r="A11105" s="801">
        <v>11709</v>
      </c>
      <c r="B11105" s="802" t="s">
        <v>12059</v>
      </c>
      <c r="C11105" s="801" t="s">
        <v>656</v>
      </c>
      <c r="D11105" s="803">
        <v>60.09</v>
      </c>
    </row>
    <row r="11106" spans="1:4">
      <c r="A11106" s="801">
        <v>11710</v>
      </c>
      <c r="B11106" s="802" t="s">
        <v>12060</v>
      </c>
      <c r="C11106" s="801" t="s">
        <v>656</v>
      </c>
      <c r="D11106" s="803">
        <v>138.13</v>
      </c>
    </row>
    <row r="11107" spans="1:4">
      <c r="A11107" s="801">
        <v>11707</v>
      </c>
      <c r="B11107" s="802" t="s">
        <v>12061</v>
      </c>
      <c r="C11107" s="801" t="s">
        <v>656</v>
      </c>
      <c r="D11107" s="803">
        <v>19.16</v>
      </c>
    </row>
    <row r="11108" spans="1:4" ht="25.5">
      <c r="A11108" s="801">
        <v>5102</v>
      </c>
      <c r="B11108" s="802" t="s">
        <v>12062</v>
      </c>
      <c r="C11108" s="801" t="s">
        <v>656</v>
      </c>
      <c r="D11108" s="803">
        <v>13.26</v>
      </c>
    </row>
    <row r="11109" spans="1:4" ht="25.5">
      <c r="A11109" s="801">
        <v>11739</v>
      </c>
      <c r="B11109" s="802" t="s">
        <v>12063</v>
      </c>
      <c r="C11109" s="801" t="s">
        <v>656</v>
      </c>
      <c r="D11109" s="803">
        <v>9.4499999999999993</v>
      </c>
    </row>
    <row r="11110" spans="1:4" ht="25.5">
      <c r="A11110" s="801">
        <v>11711</v>
      </c>
      <c r="B11110" s="802" t="s">
        <v>12064</v>
      </c>
      <c r="C11110" s="801" t="s">
        <v>656</v>
      </c>
      <c r="D11110" s="803">
        <v>11.05</v>
      </c>
    </row>
    <row r="11111" spans="1:4" ht="25.5">
      <c r="A11111" s="801">
        <v>11741</v>
      </c>
      <c r="B11111" s="802" t="s">
        <v>12065</v>
      </c>
      <c r="C11111" s="801" t="s">
        <v>656</v>
      </c>
      <c r="D11111" s="803">
        <v>12.03</v>
      </c>
    </row>
    <row r="11112" spans="1:4" ht="25.5">
      <c r="A11112" s="801">
        <v>11745</v>
      </c>
      <c r="B11112" s="802" t="s">
        <v>12066</v>
      </c>
      <c r="C11112" s="801" t="s">
        <v>656</v>
      </c>
      <c r="D11112" s="803">
        <v>15.86</v>
      </c>
    </row>
    <row r="11113" spans="1:4" ht="25.5">
      <c r="A11113" s="801">
        <v>11743</v>
      </c>
      <c r="B11113" s="802" t="s">
        <v>12067</v>
      </c>
      <c r="C11113" s="801" t="s">
        <v>656</v>
      </c>
      <c r="D11113" s="803">
        <v>10.1</v>
      </c>
    </row>
    <row r="11114" spans="1:4">
      <c r="A11114" s="801">
        <v>40985</v>
      </c>
      <c r="B11114" s="802" t="s">
        <v>12068</v>
      </c>
      <c r="C11114" s="801" t="s">
        <v>772</v>
      </c>
      <c r="D11114" s="803">
        <v>1571.85</v>
      </c>
    </row>
    <row r="11115" spans="1:4">
      <c r="A11115" s="801">
        <v>44502</v>
      </c>
      <c r="B11115" s="802" t="s">
        <v>12069</v>
      </c>
      <c r="C11115" s="801" t="s">
        <v>659</v>
      </c>
      <c r="D11115" s="803">
        <v>8.8800000000000008</v>
      </c>
    </row>
    <row r="11116" spans="1:4" ht="25.5">
      <c r="A11116" s="801">
        <v>1088</v>
      </c>
      <c r="B11116" s="802" t="s">
        <v>12070</v>
      </c>
      <c r="C11116" s="801" t="s">
        <v>656</v>
      </c>
      <c r="D11116" s="803">
        <v>43.21</v>
      </c>
    </row>
    <row r="11117" spans="1:4" ht="25.5">
      <c r="A11117" s="801">
        <v>1087</v>
      </c>
      <c r="B11117" s="802" t="s">
        <v>12071</v>
      </c>
      <c r="C11117" s="801" t="s">
        <v>656</v>
      </c>
      <c r="D11117" s="803">
        <v>53.97</v>
      </c>
    </row>
    <row r="11118" spans="1:4" ht="25.5">
      <c r="A11118" s="801">
        <v>38777</v>
      </c>
      <c r="B11118" s="802" t="s">
        <v>12072</v>
      </c>
      <c r="C11118" s="801" t="s">
        <v>656</v>
      </c>
      <c r="D11118" s="803">
        <v>107.49</v>
      </c>
    </row>
    <row r="11119" spans="1:4" ht="25.5">
      <c r="A11119" s="801">
        <v>1086</v>
      </c>
      <c r="B11119" s="802" t="s">
        <v>12073</v>
      </c>
      <c r="C11119" s="801" t="s">
        <v>656</v>
      </c>
      <c r="D11119" s="803">
        <v>56.72</v>
      </c>
    </row>
    <row r="11120" spans="1:4" ht="25.5">
      <c r="A11120" s="801">
        <v>1079</v>
      </c>
      <c r="B11120" s="802" t="s">
        <v>12074</v>
      </c>
      <c r="C11120" s="801" t="s">
        <v>656</v>
      </c>
      <c r="D11120" s="803">
        <v>58.64</v>
      </c>
    </row>
    <row r="11121" spans="1:4" ht="25.5">
      <c r="A11121" s="801">
        <v>39374</v>
      </c>
      <c r="B11121" s="802" t="s">
        <v>12075</v>
      </c>
      <c r="C11121" s="801" t="s">
        <v>656</v>
      </c>
      <c r="D11121" s="803">
        <v>121.9</v>
      </c>
    </row>
    <row r="11122" spans="1:4">
      <c r="A11122" s="801">
        <v>1082</v>
      </c>
      <c r="B11122" s="802" t="s">
        <v>12076</v>
      </c>
      <c r="C11122" s="801" t="s">
        <v>656</v>
      </c>
      <c r="D11122" s="803">
        <v>368.62</v>
      </c>
    </row>
    <row r="11123" spans="1:4">
      <c r="A11123" s="801">
        <v>12316</v>
      </c>
      <c r="B11123" s="802" t="s">
        <v>12077</v>
      </c>
      <c r="C11123" s="801" t="s">
        <v>656</v>
      </c>
      <c r="D11123" s="803">
        <v>168.95</v>
      </c>
    </row>
    <row r="11124" spans="1:4">
      <c r="A11124" s="801">
        <v>12317</v>
      </c>
      <c r="B11124" s="802" t="s">
        <v>12078</v>
      </c>
      <c r="C11124" s="801" t="s">
        <v>656</v>
      </c>
      <c r="D11124" s="803">
        <v>201.47</v>
      </c>
    </row>
    <row r="11125" spans="1:4">
      <c r="A11125" s="801">
        <v>12318</v>
      </c>
      <c r="B11125" s="802" t="s">
        <v>12079</v>
      </c>
      <c r="C11125" s="801" t="s">
        <v>656</v>
      </c>
      <c r="D11125" s="803">
        <v>232.1</v>
      </c>
    </row>
    <row r="11126" spans="1:4" ht="25.5">
      <c r="A11126" s="801">
        <v>5104</v>
      </c>
      <c r="B11126" s="802" t="s">
        <v>4767</v>
      </c>
      <c r="C11126" s="801" t="s">
        <v>653</v>
      </c>
      <c r="D11126" s="803">
        <v>77.14</v>
      </c>
    </row>
    <row r="11127" spans="1:4" ht="25.5">
      <c r="A11127" s="801">
        <v>44530</v>
      </c>
      <c r="B11127" s="802" t="s">
        <v>12080</v>
      </c>
      <c r="C11127" s="801" t="s">
        <v>656</v>
      </c>
      <c r="D11127" s="803">
        <v>67.010000000000005</v>
      </c>
    </row>
    <row r="11128" spans="1:4" ht="25.5">
      <c r="A11128" s="801">
        <v>2710</v>
      </c>
      <c r="B11128" s="802" t="s">
        <v>12081</v>
      </c>
      <c r="C11128" s="801" t="s">
        <v>656</v>
      </c>
      <c r="D11128" s="803">
        <v>53.51</v>
      </c>
    </row>
    <row r="11129" spans="1:4" ht="25.5">
      <c r="A11129" s="801">
        <v>14575</v>
      </c>
      <c r="B11129" s="802" t="s">
        <v>12082</v>
      </c>
      <c r="C11129" s="801" t="s">
        <v>656</v>
      </c>
      <c r="D11129" s="803">
        <v>5335391.82</v>
      </c>
    </row>
    <row r="11130" spans="1:4" ht="25.5">
      <c r="A11130" s="801">
        <v>20034</v>
      </c>
      <c r="B11130" s="802" t="s">
        <v>12083</v>
      </c>
      <c r="C11130" s="801" t="s">
        <v>656</v>
      </c>
      <c r="D11130" s="803">
        <v>125.21</v>
      </c>
    </row>
    <row r="11131" spans="1:4" ht="25.5">
      <c r="A11131" s="801">
        <v>20036</v>
      </c>
      <c r="B11131" s="802" t="s">
        <v>12084</v>
      </c>
      <c r="C11131" s="801" t="s">
        <v>656</v>
      </c>
      <c r="D11131" s="803">
        <v>240.86</v>
      </c>
    </row>
    <row r="11132" spans="1:4" ht="25.5">
      <c r="A11132" s="801">
        <v>20037</v>
      </c>
      <c r="B11132" s="802" t="s">
        <v>12085</v>
      </c>
      <c r="C11132" s="801" t="s">
        <v>656</v>
      </c>
      <c r="D11132" s="803">
        <v>454.3</v>
      </c>
    </row>
    <row r="11133" spans="1:4">
      <c r="A11133" s="801">
        <v>20043</v>
      </c>
      <c r="B11133" s="802" t="s">
        <v>12086</v>
      </c>
      <c r="C11133" s="801" t="s">
        <v>656</v>
      </c>
      <c r="D11133" s="803">
        <v>9.2100000000000009</v>
      </c>
    </row>
    <row r="11134" spans="1:4">
      <c r="A11134" s="801">
        <v>20044</v>
      </c>
      <c r="B11134" s="802" t="s">
        <v>12087</v>
      </c>
      <c r="C11134" s="801" t="s">
        <v>656</v>
      </c>
      <c r="D11134" s="803">
        <v>10.76</v>
      </c>
    </row>
    <row r="11135" spans="1:4">
      <c r="A11135" s="801">
        <v>20042</v>
      </c>
      <c r="B11135" s="802" t="s">
        <v>12088</v>
      </c>
      <c r="C11135" s="801" t="s">
        <v>656</v>
      </c>
      <c r="D11135" s="803">
        <v>7.8</v>
      </c>
    </row>
    <row r="11136" spans="1:4" ht="25.5">
      <c r="A11136" s="801">
        <v>20046</v>
      </c>
      <c r="B11136" s="802" t="s">
        <v>12089</v>
      </c>
      <c r="C11136" s="801" t="s">
        <v>656</v>
      </c>
      <c r="D11136" s="803">
        <v>22.84</v>
      </c>
    </row>
    <row r="11137" spans="1:4" ht="25.5">
      <c r="A11137" s="801">
        <v>20047</v>
      </c>
      <c r="B11137" s="802" t="s">
        <v>12090</v>
      </c>
      <c r="C11137" s="801" t="s">
        <v>656</v>
      </c>
      <c r="D11137" s="803">
        <v>62.42</v>
      </c>
    </row>
    <row r="11138" spans="1:4" ht="25.5">
      <c r="A11138" s="801">
        <v>20045</v>
      </c>
      <c r="B11138" s="802" t="s">
        <v>12091</v>
      </c>
      <c r="C11138" s="801" t="s">
        <v>656</v>
      </c>
      <c r="D11138" s="803">
        <v>9.39</v>
      </c>
    </row>
    <row r="11139" spans="1:4" ht="38.25">
      <c r="A11139" s="801">
        <v>20972</v>
      </c>
      <c r="B11139" s="802" t="s">
        <v>12092</v>
      </c>
      <c r="C11139" s="801" t="s">
        <v>656</v>
      </c>
      <c r="D11139" s="803">
        <v>111.07</v>
      </c>
    </row>
    <row r="11140" spans="1:4" ht="25.5">
      <c r="A11140" s="801">
        <v>20032</v>
      </c>
      <c r="B11140" s="802" t="s">
        <v>12093</v>
      </c>
      <c r="C11140" s="801" t="s">
        <v>656</v>
      </c>
      <c r="D11140" s="803">
        <v>81.13</v>
      </c>
    </row>
    <row r="11141" spans="1:4" ht="25.5">
      <c r="A11141" s="801">
        <v>11321</v>
      </c>
      <c r="B11141" s="802" t="s">
        <v>12094</v>
      </c>
      <c r="C11141" s="801" t="s">
        <v>656</v>
      </c>
      <c r="D11141" s="803">
        <v>36.99</v>
      </c>
    </row>
    <row r="11142" spans="1:4" ht="25.5">
      <c r="A11142" s="801">
        <v>11323</v>
      </c>
      <c r="B11142" s="802" t="s">
        <v>12095</v>
      </c>
      <c r="C11142" s="801" t="s">
        <v>656</v>
      </c>
      <c r="D11142" s="803">
        <v>42.54</v>
      </c>
    </row>
    <row r="11143" spans="1:4" ht="25.5">
      <c r="A11143" s="801">
        <v>20327</v>
      </c>
      <c r="B11143" s="802" t="s">
        <v>12096</v>
      </c>
      <c r="C11143" s="801" t="s">
        <v>656</v>
      </c>
      <c r="D11143" s="803">
        <v>24.14</v>
      </c>
    </row>
    <row r="11144" spans="1:4" ht="51">
      <c r="A11144" s="801">
        <v>13390</v>
      </c>
      <c r="B11144" s="802" t="s">
        <v>12097</v>
      </c>
      <c r="C11144" s="801" t="s">
        <v>656</v>
      </c>
      <c r="D11144" s="803">
        <v>213.22</v>
      </c>
    </row>
    <row r="11145" spans="1:4" ht="25.5">
      <c r="A11145" s="801">
        <v>6034</v>
      </c>
      <c r="B11145" s="802" t="s">
        <v>12098</v>
      </c>
      <c r="C11145" s="801" t="s">
        <v>656</v>
      </c>
      <c r="D11145" s="803">
        <v>8.6</v>
      </c>
    </row>
    <row r="11146" spans="1:4" ht="25.5">
      <c r="A11146" s="801">
        <v>6036</v>
      </c>
      <c r="B11146" s="802" t="s">
        <v>12099</v>
      </c>
      <c r="C11146" s="801" t="s">
        <v>656</v>
      </c>
      <c r="D11146" s="803">
        <v>11.71</v>
      </c>
    </row>
    <row r="11147" spans="1:4" ht="25.5">
      <c r="A11147" s="801">
        <v>6031</v>
      </c>
      <c r="B11147" s="802" t="s">
        <v>12100</v>
      </c>
      <c r="C11147" s="801" t="s">
        <v>656</v>
      </c>
      <c r="D11147" s="803">
        <v>13.76</v>
      </c>
    </row>
    <row r="11148" spans="1:4" ht="25.5">
      <c r="A11148" s="801">
        <v>6029</v>
      </c>
      <c r="B11148" s="802" t="s">
        <v>12101</v>
      </c>
      <c r="C11148" s="801" t="s">
        <v>656</v>
      </c>
      <c r="D11148" s="803">
        <v>13.9</v>
      </c>
    </row>
    <row r="11149" spans="1:4" ht="25.5">
      <c r="A11149" s="801">
        <v>6033</v>
      </c>
      <c r="B11149" s="802" t="s">
        <v>12102</v>
      </c>
      <c r="C11149" s="801" t="s">
        <v>656</v>
      </c>
      <c r="D11149" s="803">
        <v>18.329999999999998</v>
      </c>
    </row>
    <row r="11150" spans="1:4" ht="25.5">
      <c r="A11150" s="801">
        <v>11672</v>
      </c>
      <c r="B11150" s="802" t="s">
        <v>12103</v>
      </c>
      <c r="C11150" s="801" t="s">
        <v>656</v>
      </c>
      <c r="D11150" s="803">
        <v>39.869999999999997</v>
      </c>
    </row>
    <row r="11151" spans="1:4" ht="25.5">
      <c r="A11151" s="801">
        <v>11669</v>
      </c>
      <c r="B11151" s="802" t="s">
        <v>12104</v>
      </c>
      <c r="C11151" s="801" t="s">
        <v>656</v>
      </c>
      <c r="D11151" s="803">
        <v>37.97</v>
      </c>
    </row>
    <row r="11152" spans="1:4" ht="25.5">
      <c r="A11152" s="801">
        <v>11670</v>
      </c>
      <c r="B11152" s="802" t="s">
        <v>12105</v>
      </c>
      <c r="C11152" s="801" t="s">
        <v>656</v>
      </c>
      <c r="D11152" s="803">
        <v>14.54</v>
      </c>
    </row>
    <row r="11153" spans="1:4" ht="25.5">
      <c r="A11153" s="801">
        <v>20055</v>
      </c>
      <c r="B11153" s="802" t="s">
        <v>12106</v>
      </c>
      <c r="C11153" s="801" t="s">
        <v>656</v>
      </c>
      <c r="D11153" s="803">
        <v>28.43</v>
      </c>
    </row>
    <row r="11154" spans="1:4" ht="25.5">
      <c r="A11154" s="801">
        <v>11671</v>
      </c>
      <c r="B11154" s="802" t="s">
        <v>12107</v>
      </c>
      <c r="C11154" s="801" t="s">
        <v>656</v>
      </c>
      <c r="D11154" s="803">
        <v>61.01</v>
      </c>
    </row>
    <row r="11155" spans="1:4" ht="25.5">
      <c r="A11155" s="801">
        <v>6032</v>
      </c>
      <c r="B11155" s="802" t="s">
        <v>12108</v>
      </c>
      <c r="C11155" s="801" t="s">
        <v>656</v>
      </c>
      <c r="D11155" s="803">
        <v>17.420000000000002</v>
      </c>
    </row>
    <row r="11156" spans="1:4" ht="25.5">
      <c r="A11156" s="801">
        <v>11673</v>
      </c>
      <c r="B11156" s="802" t="s">
        <v>12109</v>
      </c>
      <c r="C11156" s="801" t="s">
        <v>656</v>
      </c>
      <c r="D11156" s="803">
        <v>13.72</v>
      </c>
    </row>
    <row r="11157" spans="1:4" ht="25.5">
      <c r="A11157" s="801">
        <v>11674</v>
      </c>
      <c r="B11157" s="802" t="s">
        <v>12110</v>
      </c>
      <c r="C11157" s="801" t="s">
        <v>656</v>
      </c>
      <c r="D11157" s="803">
        <v>17.670000000000002</v>
      </c>
    </row>
    <row r="11158" spans="1:4" ht="25.5">
      <c r="A11158" s="801">
        <v>11675</v>
      </c>
      <c r="B11158" s="802" t="s">
        <v>12111</v>
      </c>
      <c r="C11158" s="801" t="s">
        <v>656</v>
      </c>
      <c r="D11158" s="803">
        <v>28.06</v>
      </c>
    </row>
    <row r="11159" spans="1:4" ht="25.5">
      <c r="A11159" s="801">
        <v>11676</v>
      </c>
      <c r="B11159" s="802" t="s">
        <v>12112</v>
      </c>
      <c r="C11159" s="801" t="s">
        <v>656</v>
      </c>
      <c r="D11159" s="803">
        <v>37.520000000000003</v>
      </c>
    </row>
    <row r="11160" spans="1:4" ht="25.5">
      <c r="A11160" s="801">
        <v>11677</v>
      </c>
      <c r="B11160" s="802" t="s">
        <v>12113</v>
      </c>
      <c r="C11160" s="801" t="s">
        <v>656</v>
      </c>
      <c r="D11160" s="803">
        <v>38.75</v>
      </c>
    </row>
    <row r="11161" spans="1:4" ht="25.5">
      <c r="A11161" s="801">
        <v>11678</v>
      </c>
      <c r="B11161" s="802" t="s">
        <v>12114</v>
      </c>
      <c r="C11161" s="801" t="s">
        <v>656</v>
      </c>
      <c r="D11161" s="803">
        <v>70.97</v>
      </c>
    </row>
    <row r="11162" spans="1:4" ht="25.5">
      <c r="A11162" s="801">
        <v>6038</v>
      </c>
      <c r="B11162" s="802" t="s">
        <v>12115</v>
      </c>
      <c r="C11162" s="801" t="s">
        <v>656</v>
      </c>
      <c r="D11162" s="803">
        <v>4.5</v>
      </c>
    </row>
    <row r="11163" spans="1:4" ht="25.5">
      <c r="A11163" s="801">
        <v>11718</v>
      </c>
      <c r="B11163" s="802" t="s">
        <v>12116</v>
      </c>
      <c r="C11163" s="801" t="s">
        <v>656</v>
      </c>
      <c r="D11163" s="803">
        <v>12.84</v>
      </c>
    </row>
    <row r="11164" spans="1:4" ht="25.5">
      <c r="A11164" s="801">
        <v>6037</v>
      </c>
      <c r="B11164" s="802" t="s">
        <v>12117</v>
      </c>
      <c r="C11164" s="801" t="s">
        <v>656</v>
      </c>
      <c r="D11164" s="803">
        <v>9.36</v>
      </c>
    </row>
    <row r="11165" spans="1:4" ht="25.5">
      <c r="A11165" s="801">
        <v>11719</v>
      </c>
      <c r="B11165" s="802" t="s">
        <v>12118</v>
      </c>
      <c r="C11165" s="801" t="s">
        <v>656</v>
      </c>
      <c r="D11165" s="803">
        <v>10.41</v>
      </c>
    </row>
    <row r="11166" spans="1:4" ht="25.5">
      <c r="A11166" s="801">
        <v>6019</v>
      </c>
      <c r="B11166" s="802" t="s">
        <v>12119</v>
      </c>
      <c r="C11166" s="801" t="s">
        <v>656</v>
      </c>
      <c r="D11166" s="803">
        <v>42.96</v>
      </c>
    </row>
    <row r="11167" spans="1:4" ht="25.5">
      <c r="A11167" s="801">
        <v>6010</v>
      </c>
      <c r="B11167" s="802" t="s">
        <v>4768</v>
      </c>
      <c r="C11167" s="801" t="s">
        <v>656</v>
      </c>
      <c r="D11167" s="803">
        <v>73.92</v>
      </c>
    </row>
    <row r="11168" spans="1:4" ht="25.5">
      <c r="A11168" s="801">
        <v>6017</v>
      </c>
      <c r="B11168" s="802" t="s">
        <v>12120</v>
      </c>
      <c r="C11168" s="801" t="s">
        <v>656</v>
      </c>
      <c r="D11168" s="803">
        <v>58.55</v>
      </c>
    </row>
    <row r="11169" spans="1:4" ht="25.5">
      <c r="A11169" s="801">
        <v>6020</v>
      </c>
      <c r="B11169" s="802" t="s">
        <v>12121</v>
      </c>
      <c r="C11169" s="801" t="s">
        <v>656</v>
      </c>
      <c r="D11169" s="803">
        <v>25.8</v>
      </c>
    </row>
    <row r="11170" spans="1:4" ht="25.5">
      <c r="A11170" s="801">
        <v>6028</v>
      </c>
      <c r="B11170" s="802" t="s">
        <v>4769</v>
      </c>
      <c r="C11170" s="801" t="s">
        <v>656</v>
      </c>
      <c r="D11170" s="803">
        <v>102.96</v>
      </c>
    </row>
    <row r="11171" spans="1:4" ht="25.5">
      <c r="A11171" s="801">
        <v>6011</v>
      </c>
      <c r="B11171" s="802" t="s">
        <v>12122</v>
      </c>
      <c r="C11171" s="801" t="s">
        <v>656</v>
      </c>
      <c r="D11171" s="803">
        <v>213.53</v>
      </c>
    </row>
    <row r="11172" spans="1:4" ht="25.5">
      <c r="A11172" s="801">
        <v>6012</v>
      </c>
      <c r="B11172" s="802" t="s">
        <v>4770</v>
      </c>
      <c r="C11172" s="801" t="s">
        <v>656</v>
      </c>
      <c r="D11172" s="803">
        <v>258.52</v>
      </c>
    </row>
    <row r="11173" spans="1:4" ht="25.5">
      <c r="A11173" s="801">
        <v>6016</v>
      </c>
      <c r="B11173" s="802" t="s">
        <v>4771</v>
      </c>
      <c r="C11173" s="801" t="s">
        <v>656</v>
      </c>
      <c r="D11173" s="803">
        <v>27.21</v>
      </c>
    </row>
    <row r="11174" spans="1:4" ht="25.5">
      <c r="A11174" s="801">
        <v>6027</v>
      </c>
      <c r="B11174" s="802" t="s">
        <v>12123</v>
      </c>
      <c r="C11174" s="801" t="s">
        <v>656</v>
      </c>
      <c r="D11174" s="803">
        <v>538.66</v>
      </c>
    </row>
    <row r="11175" spans="1:4" ht="25.5">
      <c r="A11175" s="801">
        <v>6013</v>
      </c>
      <c r="B11175" s="802" t="s">
        <v>12124</v>
      </c>
      <c r="C11175" s="801" t="s">
        <v>656</v>
      </c>
      <c r="D11175" s="803">
        <v>81.28</v>
      </c>
    </row>
    <row r="11176" spans="1:4" ht="25.5">
      <c r="A11176" s="801">
        <v>6015</v>
      </c>
      <c r="B11176" s="802" t="s">
        <v>12125</v>
      </c>
      <c r="C11176" s="801" t="s">
        <v>656</v>
      </c>
      <c r="D11176" s="803">
        <v>118.2</v>
      </c>
    </row>
    <row r="11177" spans="1:4" ht="25.5">
      <c r="A11177" s="801">
        <v>6014</v>
      </c>
      <c r="B11177" s="802" t="s">
        <v>12126</v>
      </c>
      <c r="C11177" s="801" t="s">
        <v>656</v>
      </c>
      <c r="D11177" s="803">
        <v>113.01</v>
      </c>
    </row>
    <row r="11178" spans="1:4" ht="25.5">
      <c r="A11178" s="801">
        <v>6006</v>
      </c>
      <c r="B11178" s="802" t="s">
        <v>12127</v>
      </c>
      <c r="C11178" s="801" t="s">
        <v>656</v>
      </c>
      <c r="D11178" s="803">
        <v>58.86</v>
      </c>
    </row>
    <row r="11179" spans="1:4" ht="25.5">
      <c r="A11179" s="801">
        <v>6005</v>
      </c>
      <c r="B11179" s="802" t="s">
        <v>4772</v>
      </c>
      <c r="C11179" s="801" t="s">
        <v>656</v>
      </c>
      <c r="D11179" s="803">
        <v>66.400000000000006</v>
      </c>
    </row>
    <row r="11180" spans="1:4" ht="25.5">
      <c r="A11180" s="801">
        <v>11756</v>
      </c>
      <c r="B11180" s="802" t="s">
        <v>12128</v>
      </c>
      <c r="C11180" s="801" t="s">
        <v>656</v>
      </c>
      <c r="D11180" s="803">
        <v>31.71</v>
      </c>
    </row>
    <row r="11181" spans="1:4" ht="51">
      <c r="A11181" s="801">
        <v>10904</v>
      </c>
      <c r="B11181" s="802" t="s">
        <v>12129</v>
      </c>
      <c r="C11181" s="801" t="s">
        <v>656</v>
      </c>
      <c r="D11181" s="803">
        <v>155.5</v>
      </c>
    </row>
    <row r="11182" spans="1:4" ht="25.5">
      <c r="A11182" s="801">
        <v>11752</v>
      </c>
      <c r="B11182" s="802" t="s">
        <v>12130</v>
      </c>
      <c r="C11182" s="801" t="s">
        <v>656</v>
      </c>
      <c r="D11182" s="803">
        <v>18.28</v>
      </c>
    </row>
    <row r="11183" spans="1:4" ht="25.5">
      <c r="A11183" s="801">
        <v>11753</v>
      </c>
      <c r="B11183" s="802" t="s">
        <v>12131</v>
      </c>
      <c r="C11183" s="801" t="s">
        <v>656</v>
      </c>
      <c r="D11183" s="803">
        <v>21.83</v>
      </c>
    </row>
    <row r="11184" spans="1:4" ht="25.5">
      <c r="A11184" s="801">
        <v>6021</v>
      </c>
      <c r="B11184" s="802" t="s">
        <v>12132</v>
      </c>
      <c r="C11184" s="801" t="s">
        <v>656</v>
      </c>
      <c r="D11184" s="803">
        <v>60.58</v>
      </c>
    </row>
    <row r="11185" spans="1:4" ht="25.5">
      <c r="A11185" s="801">
        <v>6024</v>
      </c>
      <c r="B11185" s="802" t="s">
        <v>12133</v>
      </c>
      <c r="C11185" s="801" t="s">
        <v>656</v>
      </c>
      <c r="D11185" s="803">
        <v>62.62</v>
      </c>
    </row>
    <row r="11186" spans="1:4">
      <c r="A11186" s="801">
        <v>38379</v>
      </c>
      <c r="B11186" s="802" t="s">
        <v>12134</v>
      </c>
      <c r="C11186" s="801" t="s">
        <v>660</v>
      </c>
      <c r="D11186" s="803">
        <v>49.88</v>
      </c>
    </row>
    <row r="11187" spans="1:4" ht="25.5">
      <c r="A11187" s="801">
        <v>13897</v>
      </c>
      <c r="B11187" s="802" t="s">
        <v>12135</v>
      </c>
      <c r="C11187" s="801" t="s">
        <v>656</v>
      </c>
      <c r="D11187" s="803">
        <v>6131.58</v>
      </c>
    </row>
    <row r="11188" spans="1:4" ht="25.5">
      <c r="A11188" s="801">
        <v>10640</v>
      </c>
      <c r="B11188" s="802" t="s">
        <v>12136</v>
      </c>
      <c r="C11188" s="801" t="s">
        <v>656</v>
      </c>
      <c r="D11188" s="803">
        <v>13279.73</v>
      </c>
    </row>
    <row r="11189" spans="1:4">
      <c r="A11189" s="801">
        <v>34357</v>
      </c>
      <c r="B11189" s="802" t="s">
        <v>5394</v>
      </c>
      <c r="C11189" s="801" t="s">
        <v>653</v>
      </c>
      <c r="D11189" s="803">
        <v>4.8099999999999996</v>
      </c>
    </row>
    <row r="11190" spans="1:4">
      <c r="A11190" s="801">
        <v>37329</v>
      </c>
      <c r="B11190" s="802" t="s">
        <v>5395</v>
      </c>
      <c r="C11190" s="801" t="s">
        <v>653</v>
      </c>
      <c r="D11190" s="803">
        <v>101.41</v>
      </c>
    </row>
    <row r="11191" spans="1:4" ht="25.5">
      <c r="A11191" s="801">
        <v>2510</v>
      </c>
      <c r="B11191" s="802" t="s">
        <v>12137</v>
      </c>
      <c r="C11191" s="801" t="s">
        <v>656</v>
      </c>
      <c r="D11191" s="803">
        <v>53.4</v>
      </c>
    </row>
    <row r="11192" spans="1:4" ht="38.25">
      <c r="A11192" s="801">
        <v>12359</v>
      </c>
      <c r="B11192" s="802" t="s">
        <v>12138</v>
      </c>
      <c r="C11192" s="801" t="s">
        <v>656</v>
      </c>
      <c r="D11192" s="803">
        <v>132.94999999999999</v>
      </c>
    </row>
    <row r="11193" spans="1:4">
      <c r="A11193" s="801">
        <v>7353</v>
      </c>
      <c r="B11193" s="802" t="s">
        <v>12139</v>
      </c>
      <c r="C11193" s="801" t="s">
        <v>655</v>
      </c>
      <c r="D11193" s="803">
        <v>24.82</v>
      </c>
    </row>
    <row r="11194" spans="1:4">
      <c r="A11194" s="801">
        <v>36144</v>
      </c>
      <c r="B11194" s="802" t="s">
        <v>12140</v>
      </c>
      <c r="C11194" s="801" t="s">
        <v>656</v>
      </c>
      <c r="D11194" s="803">
        <v>2.2400000000000002</v>
      </c>
    </row>
    <row r="11195" spans="1:4">
      <c r="A11195" s="801">
        <v>10518</v>
      </c>
      <c r="B11195" s="802" t="s">
        <v>12141</v>
      </c>
      <c r="C11195" s="801" t="s">
        <v>656</v>
      </c>
      <c r="D11195" s="803">
        <v>137.99</v>
      </c>
    </row>
    <row r="11196" spans="1:4" ht="63.75">
      <c r="A11196" s="801">
        <v>36530</v>
      </c>
      <c r="B11196" s="802" t="s">
        <v>4773</v>
      </c>
      <c r="C11196" s="801" t="s">
        <v>656</v>
      </c>
      <c r="D11196" s="803">
        <v>314222.88</v>
      </c>
    </row>
    <row r="11197" spans="1:4" ht="63.75">
      <c r="A11197" s="801">
        <v>6046</v>
      </c>
      <c r="B11197" s="802" t="s">
        <v>12142</v>
      </c>
      <c r="C11197" s="801" t="s">
        <v>656</v>
      </c>
      <c r="D11197" s="803">
        <v>340823.77</v>
      </c>
    </row>
    <row r="11198" spans="1:4" ht="63.75">
      <c r="A11198" s="801">
        <v>36531</v>
      </c>
      <c r="B11198" s="802" t="s">
        <v>4774</v>
      </c>
      <c r="C11198" s="801" t="s">
        <v>656</v>
      </c>
      <c r="D11198" s="803">
        <v>353292.9</v>
      </c>
    </row>
    <row r="11199" spans="1:4" ht="25.5">
      <c r="A11199" s="801">
        <v>34684</v>
      </c>
      <c r="B11199" s="802" t="s">
        <v>12143</v>
      </c>
      <c r="C11199" s="801" t="s">
        <v>661</v>
      </c>
      <c r="D11199" s="803">
        <v>208.13</v>
      </c>
    </row>
    <row r="11200" spans="1:4" ht="25.5">
      <c r="A11200" s="801">
        <v>34683</v>
      </c>
      <c r="B11200" s="802" t="s">
        <v>12144</v>
      </c>
      <c r="C11200" s="801" t="s">
        <v>661</v>
      </c>
      <c r="D11200" s="803">
        <v>130.08000000000001</v>
      </c>
    </row>
    <row r="11201" spans="1:4" ht="25.5">
      <c r="A11201" s="801">
        <v>533</v>
      </c>
      <c r="B11201" s="802" t="s">
        <v>12145</v>
      </c>
      <c r="C11201" s="801" t="s">
        <v>661</v>
      </c>
      <c r="D11201" s="803">
        <v>23.04</v>
      </c>
    </row>
    <row r="11202" spans="1:4" ht="25.5">
      <c r="A11202" s="801">
        <v>10515</v>
      </c>
      <c r="B11202" s="802" t="s">
        <v>12146</v>
      </c>
      <c r="C11202" s="801" t="s">
        <v>661</v>
      </c>
      <c r="D11202" s="803">
        <v>43.47</v>
      </c>
    </row>
    <row r="11203" spans="1:4" ht="25.5">
      <c r="A11203" s="801">
        <v>536</v>
      </c>
      <c r="B11203" s="802" t="s">
        <v>4775</v>
      </c>
      <c r="C11203" s="801" t="s">
        <v>661</v>
      </c>
      <c r="D11203" s="803">
        <v>31.45</v>
      </c>
    </row>
    <row r="11204" spans="1:4" ht="25.5">
      <c r="A11204" s="801">
        <v>153</v>
      </c>
      <c r="B11204" s="802" t="s">
        <v>12147</v>
      </c>
      <c r="C11204" s="801" t="s">
        <v>655</v>
      </c>
      <c r="D11204" s="803">
        <v>73.64</v>
      </c>
    </row>
    <row r="11205" spans="1:4" ht="25.5">
      <c r="A11205" s="801">
        <v>34682</v>
      </c>
      <c r="B11205" s="802" t="s">
        <v>12148</v>
      </c>
      <c r="C11205" s="801" t="s">
        <v>661</v>
      </c>
      <c r="D11205" s="803">
        <v>99.47</v>
      </c>
    </row>
    <row r="11206" spans="1:4" ht="25.5">
      <c r="A11206" s="801">
        <v>20205</v>
      </c>
      <c r="B11206" s="802" t="s">
        <v>12149</v>
      </c>
      <c r="C11206" s="801" t="s">
        <v>660</v>
      </c>
      <c r="D11206" s="803">
        <v>2.64</v>
      </c>
    </row>
    <row r="11207" spans="1:4" ht="25.5">
      <c r="A11207" s="801">
        <v>4412</v>
      </c>
      <c r="B11207" s="802" t="s">
        <v>12150</v>
      </c>
      <c r="C11207" s="801" t="s">
        <v>660</v>
      </c>
      <c r="D11207" s="803">
        <v>1.58</v>
      </c>
    </row>
    <row r="11208" spans="1:4" ht="25.5">
      <c r="A11208" s="801">
        <v>4408</v>
      </c>
      <c r="B11208" s="802" t="s">
        <v>12151</v>
      </c>
      <c r="C11208" s="801" t="s">
        <v>660</v>
      </c>
      <c r="D11208" s="803">
        <v>1.98</v>
      </c>
    </row>
    <row r="11209" spans="1:4">
      <c r="A11209" s="801">
        <v>36250</v>
      </c>
      <c r="B11209" s="802" t="s">
        <v>12152</v>
      </c>
      <c r="C11209" s="801" t="s">
        <v>660</v>
      </c>
      <c r="D11209" s="803">
        <v>5.68</v>
      </c>
    </row>
    <row r="11210" spans="1:4">
      <c r="A11210" s="801">
        <v>10857</v>
      </c>
      <c r="B11210" s="802" t="s">
        <v>12153</v>
      </c>
      <c r="C11210" s="801" t="s">
        <v>660</v>
      </c>
      <c r="D11210" s="803">
        <v>13.8</v>
      </c>
    </row>
    <row r="11211" spans="1:4" ht="25.5">
      <c r="A11211" s="801">
        <v>4803</v>
      </c>
      <c r="B11211" s="802" t="s">
        <v>4776</v>
      </c>
      <c r="C11211" s="801" t="s">
        <v>660</v>
      </c>
      <c r="D11211" s="803">
        <v>26.25</v>
      </c>
    </row>
    <row r="11212" spans="1:4" ht="25.5">
      <c r="A11212" s="801">
        <v>6186</v>
      </c>
      <c r="B11212" s="802" t="s">
        <v>12154</v>
      </c>
      <c r="C11212" s="801" t="s">
        <v>660</v>
      </c>
      <c r="D11212" s="803">
        <v>16.05</v>
      </c>
    </row>
    <row r="11213" spans="1:4" ht="25.5">
      <c r="A11213" s="801">
        <v>4829</v>
      </c>
      <c r="B11213" s="802" t="s">
        <v>12155</v>
      </c>
      <c r="C11213" s="801" t="s">
        <v>660</v>
      </c>
      <c r="D11213" s="803">
        <v>45.83</v>
      </c>
    </row>
    <row r="11214" spans="1:4">
      <c r="A11214" s="801">
        <v>39829</v>
      </c>
      <c r="B11214" s="802" t="s">
        <v>12156</v>
      </c>
      <c r="C11214" s="801" t="s">
        <v>660</v>
      </c>
      <c r="D11214" s="803">
        <v>34.94</v>
      </c>
    </row>
    <row r="11215" spans="1:4" ht="38.25">
      <c r="A11215" s="801">
        <v>20231</v>
      </c>
      <c r="B11215" s="802" t="s">
        <v>12157</v>
      </c>
      <c r="C11215" s="801" t="s">
        <v>660</v>
      </c>
      <c r="D11215" s="803">
        <v>55.44</v>
      </c>
    </row>
    <row r="11216" spans="1:4">
      <c r="A11216" s="801">
        <v>4804</v>
      </c>
      <c r="B11216" s="802" t="s">
        <v>12158</v>
      </c>
      <c r="C11216" s="801" t="s">
        <v>660</v>
      </c>
      <c r="D11216" s="803">
        <v>20.149999999999999</v>
      </c>
    </row>
    <row r="11217" spans="1:4" ht="25.5">
      <c r="A11217" s="801">
        <v>34680</v>
      </c>
      <c r="B11217" s="802" t="s">
        <v>12159</v>
      </c>
      <c r="C11217" s="801" t="s">
        <v>660</v>
      </c>
      <c r="D11217" s="803">
        <v>30.6</v>
      </c>
    </row>
    <row r="11218" spans="1:4" ht="25.5">
      <c r="A11218" s="801">
        <v>11573</v>
      </c>
      <c r="B11218" s="802" t="s">
        <v>12160</v>
      </c>
      <c r="C11218" s="801" t="s">
        <v>656</v>
      </c>
      <c r="D11218" s="803">
        <v>6.24</v>
      </c>
    </row>
    <row r="11219" spans="1:4">
      <c r="A11219" s="801">
        <v>38401</v>
      </c>
      <c r="B11219" s="802" t="s">
        <v>12161</v>
      </c>
      <c r="C11219" s="801" t="s">
        <v>656</v>
      </c>
      <c r="D11219" s="803">
        <v>20.73</v>
      </c>
    </row>
    <row r="11220" spans="1:4" ht="38.25">
      <c r="A11220" s="801">
        <v>11575</v>
      </c>
      <c r="B11220" s="802" t="s">
        <v>12162</v>
      </c>
      <c r="C11220" s="801" t="s">
        <v>656</v>
      </c>
      <c r="D11220" s="803">
        <v>60.19</v>
      </c>
    </row>
    <row r="11221" spans="1:4" ht="38.25">
      <c r="A11221" s="801">
        <v>38179</v>
      </c>
      <c r="B11221" s="802" t="s">
        <v>12163</v>
      </c>
      <c r="C11221" s="801" t="s">
        <v>656</v>
      </c>
      <c r="D11221" s="803">
        <v>49.77</v>
      </c>
    </row>
    <row r="11222" spans="1:4" ht="25.5">
      <c r="A11222" s="801">
        <v>20256</v>
      </c>
      <c r="B11222" s="802" t="s">
        <v>12164</v>
      </c>
      <c r="C11222" s="801" t="s">
        <v>656</v>
      </c>
      <c r="D11222" s="803">
        <v>0.37</v>
      </c>
    </row>
    <row r="11223" spans="1:4" ht="38.25">
      <c r="A11223" s="801">
        <v>14511</v>
      </c>
      <c r="B11223" s="802" t="s">
        <v>12165</v>
      </c>
      <c r="C11223" s="801" t="s">
        <v>656</v>
      </c>
      <c r="D11223" s="803">
        <v>993313.97</v>
      </c>
    </row>
    <row r="11224" spans="1:4" ht="38.25">
      <c r="A11224" s="801">
        <v>10642</v>
      </c>
      <c r="B11224" s="802" t="s">
        <v>12166</v>
      </c>
      <c r="C11224" s="801" t="s">
        <v>656</v>
      </c>
      <c r="D11224" s="803">
        <v>935750</v>
      </c>
    </row>
    <row r="11225" spans="1:4" ht="38.25">
      <c r="A11225" s="801">
        <v>14489</v>
      </c>
      <c r="B11225" s="802" t="s">
        <v>12167</v>
      </c>
      <c r="C11225" s="801" t="s">
        <v>656</v>
      </c>
      <c r="D11225" s="803">
        <v>829992.84</v>
      </c>
    </row>
    <row r="11226" spans="1:4" ht="38.25">
      <c r="A11226" s="801">
        <v>14513</v>
      </c>
      <c r="B11226" s="802" t="s">
        <v>4777</v>
      </c>
      <c r="C11226" s="801" t="s">
        <v>656</v>
      </c>
      <c r="D11226" s="803">
        <v>622514.32999999996</v>
      </c>
    </row>
    <row r="11227" spans="1:4" ht="38.25">
      <c r="A11227" s="801">
        <v>13600</v>
      </c>
      <c r="B11227" s="802" t="s">
        <v>12168</v>
      </c>
      <c r="C11227" s="801" t="s">
        <v>656</v>
      </c>
      <c r="D11227" s="803">
        <v>803218.79</v>
      </c>
    </row>
    <row r="11228" spans="1:4" ht="38.25">
      <c r="A11228" s="801">
        <v>10646</v>
      </c>
      <c r="B11228" s="802" t="s">
        <v>12169</v>
      </c>
      <c r="C11228" s="801" t="s">
        <v>656</v>
      </c>
      <c r="D11228" s="803">
        <v>598746.09</v>
      </c>
    </row>
    <row r="11229" spans="1:4" ht="38.25">
      <c r="A11229" s="801">
        <v>6070</v>
      </c>
      <c r="B11229" s="802" t="s">
        <v>12170</v>
      </c>
      <c r="C11229" s="801" t="s">
        <v>656</v>
      </c>
      <c r="D11229" s="803">
        <v>818112.84</v>
      </c>
    </row>
    <row r="11230" spans="1:4" ht="38.25">
      <c r="A11230" s="801">
        <v>6069</v>
      </c>
      <c r="B11230" s="802" t="s">
        <v>12171</v>
      </c>
      <c r="C11230" s="801" t="s">
        <v>656</v>
      </c>
      <c r="D11230" s="803">
        <v>180733.46</v>
      </c>
    </row>
    <row r="11231" spans="1:4" ht="38.25">
      <c r="A11231" s="801">
        <v>14626</v>
      </c>
      <c r="B11231" s="802" t="s">
        <v>12172</v>
      </c>
      <c r="C11231" s="801" t="s">
        <v>656</v>
      </c>
      <c r="D11231" s="803">
        <v>895646.46</v>
      </c>
    </row>
    <row r="11232" spans="1:4" ht="38.25">
      <c r="A11232" s="801">
        <v>6067</v>
      </c>
      <c r="B11232" s="802" t="s">
        <v>12173</v>
      </c>
      <c r="C11232" s="801" t="s">
        <v>656</v>
      </c>
      <c r="D11232" s="803">
        <v>735232.15</v>
      </c>
    </row>
    <row r="11233" spans="1:4">
      <c r="A11233" s="801">
        <v>38393</v>
      </c>
      <c r="B11233" s="802" t="s">
        <v>12174</v>
      </c>
      <c r="C11233" s="801" t="s">
        <v>656</v>
      </c>
      <c r="D11233" s="803">
        <v>15.99</v>
      </c>
    </row>
    <row r="11234" spans="1:4">
      <c r="A11234" s="801">
        <v>38390</v>
      </c>
      <c r="B11234" s="802" t="s">
        <v>12175</v>
      </c>
      <c r="C11234" s="801" t="s">
        <v>656</v>
      </c>
      <c r="D11234" s="803">
        <v>35.46</v>
      </c>
    </row>
    <row r="11235" spans="1:4" ht="25.5">
      <c r="A11235" s="801">
        <v>36532</v>
      </c>
      <c r="B11235" s="802" t="s">
        <v>12176</v>
      </c>
      <c r="C11235" s="801" t="s">
        <v>656</v>
      </c>
      <c r="D11235" s="803">
        <v>28801.58</v>
      </c>
    </row>
    <row r="11236" spans="1:4" ht="38.25">
      <c r="A11236" s="801">
        <v>11578</v>
      </c>
      <c r="B11236" s="802" t="s">
        <v>12177</v>
      </c>
      <c r="C11236" s="801" t="s">
        <v>656</v>
      </c>
      <c r="D11236" s="803">
        <v>12.99</v>
      </c>
    </row>
    <row r="11237" spans="1:4" ht="38.25">
      <c r="A11237" s="801">
        <v>11577</v>
      </c>
      <c r="B11237" s="802" t="s">
        <v>12178</v>
      </c>
      <c r="C11237" s="801" t="s">
        <v>656</v>
      </c>
      <c r="D11237" s="803">
        <v>12.4</v>
      </c>
    </row>
    <row r="11238" spans="1:4" ht="51">
      <c r="A11238" s="801">
        <v>42432</v>
      </c>
      <c r="B11238" s="802" t="s">
        <v>12179</v>
      </c>
      <c r="C11238" s="801" t="s">
        <v>656</v>
      </c>
      <c r="D11238" s="803">
        <v>2380.86</v>
      </c>
    </row>
    <row r="11239" spans="1:4" ht="51">
      <c r="A11239" s="801">
        <v>42437</v>
      </c>
      <c r="B11239" s="802" t="s">
        <v>12180</v>
      </c>
      <c r="C11239" s="801" t="s">
        <v>656</v>
      </c>
      <c r="D11239" s="803">
        <v>1810.09</v>
      </c>
    </row>
    <row r="11240" spans="1:4" ht="25.5">
      <c r="A11240" s="801">
        <v>1116</v>
      </c>
      <c r="B11240" s="802" t="s">
        <v>12181</v>
      </c>
      <c r="C11240" s="801" t="s">
        <v>660</v>
      </c>
      <c r="D11240" s="803">
        <v>25.04</v>
      </c>
    </row>
    <row r="11241" spans="1:4" ht="25.5">
      <c r="A11241" s="801">
        <v>1115</v>
      </c>
      <c r="B11241" s="802" t="s">
        <v>12182</v>
      </c>
      <c r="C11241" s="801" t="s">
        <v>660</v>
      </c>
      <c r="D11241" s="803">
        <v>30</v>
      </c>
    </row>
    <row r="11242" spans="1:4" ht="25.5">
      <c r="A11242" s="801">
        <v>1113</v>
      </c>
      <c r="B11242" s="802" t="s">
        <v>4778</v>
      </c>
      <c r="C11242" s="801" t="s">
        <v>660</v>
      </c>
      <c r="D11242" s="803">
        <v>35.07</v>
      </c>
    </row>
    <row r="11243" spans="1:4" ht="25.5">
      <c r="A11243" s="801">
        <v>1114</v>
      </c>
      <c r="B11243" s="802" t="s">
        <v>12183</v>
      </c>
      <c r="C11243" s="801" t="s">
        <v>660</v>
      </c>
      <c r="D11243" s="803">
        <v>41.78</v>
      </c>
    </row>
    <row r="11244" spans="1:4" ht="25.5">
      <c r="A11244" s="801">
        <v>40873</v>
      </c>
      <c r="B11244" s="802" t="s">
        <v>12184</v>
      </c>
      <c r="C11244" s="801" t="s">
        <v>660</v>
      </c>
      <c r="D11244" s="803">
        <v>32.700000000000003</v>
      </c>
    </row>
    <row r="11245" spans="1:4" ht="25.5">
      <c r="A11245" s="801">
        <v>20214</v>
      </c>
      <c r="B11245" s="802" t="s">
        <v>12185</v>
      </c>
      <c r="C11245" s="801" t="s">
        <v>656</v>
      </c>
      <c r="D11245" s="803">
        <v>60.88</v>
      </c>
    </row>
    <row r="11246" spans="1:4" ht="25.5">
      <c r="A11246" s="801">
        <v>7237</v>
      </c>
      <c r="B11246" s="802" t="s">
        <v>12186</v>
      </c>
      <c r="C11246" s="801" t="s">
        <v>656</v>
      </c>
      <c r="D11246" s="803">
        <v>59.6</v>
      </c>
    </row>
    <row r="11247" spans="1:4">
      <c r="A11247" s="801">
        <v>11757</v>
      </c>
      <c r="B11247" s="802" t="s">
        <v>12187</v>
      </c>
      <c r="C11247" s="801" t="s">
        <v>656</v>
      </c>
      <c r="D11247" s="803">
        <v>31.09</v>
      </c>
    </row>
    <row r="11248" spans="1:4" ht="25.5">
      <c r="A11248" s="801">
        <v>11758</v>
      </c>
      <c r="B11248" s="802" t="s">
        <v>12188</v>
      </c>
      <c r="C11248" s="801" t="s">
        <v>656</v>
      </c>
      <c r="D11248" s="803">
        <v>75.900000000000006</v>
      </c>
    </row>
    <row r="11249" spans="1:4" ht="25.5">
      <c r="A11249" s="801">
        <v>37526</v>
      </c>
      <c r="B11249" s="802" t="s">
        <v>12189</v>
      </c>
      <c r="C11249" s="801" t="s">
        <v>656</v>
      </c>
      <c r="D11249" s="803">
        <v>3.41</v>
      </c>
    </row>
    <row r="11250" spans="1:4">
      <c r="A11250" s="801">
        <v>6076</v>
      </c>
      <c r="B11250" s="802" t="s">
        <v>12190</v>
      </c>
      <c r="C11250" s="801" t="s">
        <v>654</v>
      </c>
      <c r="D11250" s="803">
        <v>66.36</v>
      </c>
    </row>
    <row r="11251" spans="1:4">
      <c r="A11251" s="801">
        <v>13109</v>
      </c>
      <c r="B11251" s="802" t="s">
        <v>12191</v>
      </c>
      <c r="C11251" s="801" t="s">
        <v>656</v>
      </c>
      <c r="D11251" s="803">
        <v>276.67</v>
      </c>
    </row>
    <row r="11252" spans="1:4">
      <c r="A11252" s="801">
        <v>13110</v>
      </c>
      <c r="B11252" s="802" t="s">
        <v>12192</v>
      </c>
      <c r="C11252" s="801" t="s">
        <v>656</v>
      </c>
      <c r="D11252" s="803">
        <v>364.11</v>
      </c>
    </row>
    <row r="11253" spans="1:4" ht="25.5">
      <c r="A11253" s="801">
        <v>7581</v>
      </c>
      <c r="B11253" s="802" t="s">
        <v>12193</v>
      </c>
      <c r="C11253" s="801" t="s">
        <v>656</v>
      </c>
      <c r="D11253" s="803">
        <v>4.59</v>
      </c>
    </row>
    <row r="11254" spans="1:4" ht="25.5">
      <c r="A11254" s="801">
        <v>4509</v>
      </c>
      <c r="B11254" s="802" t="s">
        <v>12194</v>
      </c>
      <c r="C11254" s="801" t="s">
        <v>660</v>
      </c>
      <c r="D11254" s="803">
        <v>4.55</v>
      </c>
    </row>
    <row r="11255" spans="1:4" ht="25.5">
      <c r="A11255" s="801">
        <v>4512</v>
      </c>
      <c r="B11255" s="802" t="s">
        <v>12195</v>
      </c>
      <c r="C11255" s="801" t="s">
        <v>660</v>
      </c>
      <c r="D11255" s="803">
        <v>2.17</v>
      </c>
    </row>
    <row r="11256" spans="1:4" ht="25.5">
      <c r="A11256" s="801">
        <v>4517</v>
      </c>
      <c r="B11256" s="802" t="s">
        <v>6139</v>
      </c>
      <c r="C11256" s="801" t="s">
        <v>660</v>
      </c>
      <c r="D11256" s="803">
        <v>3.14</v>
      </c>
    </row>
    <row r="11257" spans="1:4" ht="25.5">
      <c r="A11257" s="801">
        <v>20206</v>
      </c>
      <c r="B11257" s="802" t="s">
        <v>12196</v>
      </c>
      <c r="C11257" s="801" t="s">
        <v>660</v>
      </c>
      <c r="D11257" s="803">
        <v>7.15</v>
      </c>
    </row>
    <row r="11258" spans="1:4" ht="25.5">
      <c r="A11258" s="801">
        <v>4460</v>
      </c>
      <c r="B11258" s="802" t="s">
        <v>12197</v>
      </c>
      <c r="C11258" s="801" t="s">
        <v>660</v>
      </c>
      <c r="D11258" s="803">
        <v>7.34</v>
      </c>
    </row>
    <row r="11259" spans="1:4" ht="25.5">
      <c r="A11259" s="801">
        <v>4417</v>
      </c>
      <c r="B11259" s="802" t="s">
        <v>12198</v>
      </c>
      <c r="C11259" s="801" t="s">
        <v>660</v>
      </c>
      <c r="D11259" s="803">
        <v>5.66</v>
      </c>
    </row>
    <row r="11260" spans="1:4" ht="25.5">
      <c r="A11260" s="801">
        <v>4415</v>
      </c>
      <c r="B11260" s="802" t="s">
        <v>12199</v>
      </c>
      <c r="C11260" s="801" t="s">
        <v>660</v>
      </c>
      <c r="D11260" s="803">
        <v>3.93</v>
      </c>
    </row>
    <row r="11261" spans="1:4">
      <c r="A11261" s="801">
        <v>37373</v>
      </c>
      <c r="B11261" s="802" t="s">
        <v>4779</v>
      </c>
      <c r="C11261" s="801" t="s">
        <v>659</v>
      </c>
      <c r="D11261" s="803">
        <v>0.06</v>
      </c>
    </row>
    <row r="11262" spans="1:4">
      <c r="A11262" s="801">
        <v>40864</v>
      </c>
      <c r="B11262" s="802" t="s">
        <v>12200</v>
      </c>
      <c r="C11262" s="801" t="s">
        <v>772</v>
      </c>
      <c r="D11262" s="803">
        <v>11.8</v>
      </c>
    </row>
    <row r="11263" spans="1:4" ht="25.5">
      <c r="A11263" s="801">
        <v>4734</v>
      </c>
      <c r="B11263" s="802" t="s">
        <v>12201</v>
      </c>
      <c r="C11263" s="801" t="s">
        <v>654</v>
      </c>
      <c r="D11263" s="803">
        <v>277.45999999999998</v>
      </c>
    </row>
    <row r="11264" spans="1:4">
      <c r="A11264" s="801">
        <v>6085</v>
      </c>
      <c r="B11264" s="802" t="s">
        <v>12202</v>
      </c>
      <c r="C11264" s="801" t="s">
        <v>655</v>
      </c>
      <c r="D11264" s="803">
        <v>4.4400000000000004</v>
      </c>
    </row>
    <row r="11265" spans="1:4">
      <c r="A11265" s="801">
        <v>38396</v>
      </c>
      <c r="B11265" s="802" t="s">
        <v>12203</v>
      </c>
      <c r="C11265" s="801" t="s">
        <v>656</v>
      </c>
      <c r="D11265" s="803">
        <v>535.28</v>
      </c>
    </row>
    <row r="11266" spans="1:4" ht="25.5">
      <c r="A11266" s="801">
        <v>11622</v>
      </c>
      <c r="B11266" s="802" t="s">
        <v>12204</v>
      </c>
      <c r="C11266" s="801" t="s">
        <v>653</v>
      </c>
      <c r="D11266" s="803">
        <v>55.49</v>
      </c>
    </row>
    <row r="11267" spans="1:4" ht="38.25">
      <c r="A11267" s="801">
        <v>43143</v>
      </c>
      <c r="B11267" s="802" t="s">
        <v>12205</v>
      </c>
      <c r="C11267" s="801" t="s">
        <v>655</v>
      </c>
      <c r="D11267" s="803">
        <v>20.96</v>
      </c>
    </row>
    <row r="11268" spans="1:4">
      <c r="A11268" s="801">
        <v>7317</v>
      </c>
      <c r="B11268" s="802" t="s">
        <v>12206</v>
      </c>
      <c r="C11268" s="801" t="s">
        <v>653</v>
      </c>
      <c r="D11268" s="803">
        <v>69.22</v>
      </c>
    </row>
    <row r="11269" spans="1:4" ht="25.5">
      <c r="A11269" s="801">
        <v>142</v>
      </c>
      <c r="B11269" s="802" t="s">
        <v>4780</v>
      </c>
      <c r="C11269" s="801" t="s">
        <v>657</v>
      </c>
      <c r="D11269" s="803">
        <v>26.18</v>
      </c>
    </row>
    <row r="11270" spans="1:4" ht="25.5">
      <c r="A11270" s="801">
        <v>43142</v>
      </c>
      <c r="B11270" s="802" t="s">
        <v>12207</v>
      </c>
      <c r="C11270" s="801" t="s">
        <v>655</v>
      </c>
      <c r="D11270" s="803">
        <v>118.94</v>
      </c>
    </row>
    <row r="11271" spans="1:4">
      <c r="A11271" s="801">
        <v>38123</v>
      </c>
      <c r="B11271" s="802" t="s">
        <v>12208</v>
      </c>
      <c r="C11271" s="801" t="s">
        <v>653</v>
      </c>
      <c r="D11271" s="803">
        <v>28.07</v>
      </c>
    </row>
    <row r="11272" spans="1:4" ht="25.5">
      <c r="A11272" s="801">
        <v>42701</v>
      </c>
      <c r="B11272" s="802" t="s">
        <v>12209</v>
      </c>
      <c r="C11272" s="801" t="s">
        <v>656</v>
      </c>
      <c r="D11272" s="803">
        <v>58.23</v>
      </c>
    </row>
    <row r="11273" spans="1:4" ht="25.5">
      <c r="A11273" s="801">
        <v>42702</v>
      </c>
      <c r="B11273" s="802" t="s">
        <v>12210</v>
      </c>
      <c r="C11273" s="801" t="s">
        <v>656</v>
      </c>
      <c r="D11273" s="803">
        <v>103.47</v>
      </c>
    </row>
    <row r="11274" spans="1:4" ht="25.5">
      <c r="A11274" s="801">
        <v>37955</v>
      </c>
      <c r="B11274" s="802" t="s">
        <v>12211</v>
      </c>
      <c r="C11274" s="801" t="s">
        <v>656</v>
      </c>
      <c r="D11274" s="803">
        <v>134.09</v>
      </c>
    </row>
    <row r="11275" spans="1:4" ht="25.5">
      <c r="A11275" s="801">
        <v>42699</v>
      </c>
      <c r="B11275" s="802" t="s">
        <v>12212</v>
      </c>
      <c r="C11275" s="801" t="s">
        <v>656</v>
      </c>
      <c r="D11275" s="803">
        <v>35.57</v>
      </c>
    </row>
    <row r="11276" spans="1:4" ht="25.5">
      <c r="A11276" s="801">
        <v>42700</v>
      </c>
      <c r="B11276" s="802" t="s">
        <v>12213</v>
      </c>
      <c r="C11276" s="801" t="s">
        <v>656</v>
      </c>
      <c r="D11276" s="803">
        <v>101.4</v>
      </c>
    </row>
    <row r="11277" spans="1:4" ht="38.25">
      <c r="A11277" s="801">
        <v>37743</v>
      </c>
      <c r="B11277" s="802" t="s">
        <v>12214</v>
      </c>
      <c r="C11277" s="801" t="s">
        <v>656</v>
      </c>
      <c r="D11277" s="803">
        <v>217162.48</v>
      </c>
    </row>
    <row r="11278" spans="1:4" ht="38.25">
      <c r="A11278" s="801">
        <v>37744</v>
      </c>
      <c r="B11278" s="802" t="s">
        <v>12215</v>
      </c>
      <c r="C11278" s="801" t="s">
        <v>656</v>
      </c>
      <c r="D11278" s="803">
        <v>255342.23</v>
      </c>
    </row>
    <row r="11279" spans="1:4" ht="38.25">
      <c r="A11279" s="801">
        <v>37741</v>
      </c>
      <c r="B11279" s="802" t="s">
        <v>12216</v>
      </c>
      <c r="C11279" s="801" t="s">
        <v>656</v>
      </c>
      <c r="D11279" s="803">
        <v>197464.65</v>
      </c>
    </row>
    <row r="11280" spans="1:4" ht="38.25">
      <c r="A11280" s="801">
        <v>39396</v>
      </c>
      <c r="B11280" s="802" t="s">
        <v>12217</v>
      </c>
      <c r="C11280" s="801" t="s">
        <v>656</v>
      </c>
      <c r="D11280" s="803">
        <v>104.57</v>
      </c>
    </row>
    <row r="11281" spans="1:4" ht="38.25">
      <c r="A11281" s="801">
        <v>39392</v>
      </c>
      <c r="B11281" s="802" t="s">
        <v>12218</v>
      </c>
      <c r="C11281" s="801" t="s">
        <v>656</v>
      </c>
      <c r="D11281" s="803">
        <v>117.96</v>
      </c>
    </row>
    <row r="11282" spans="1:4" ht="38.25">
      <c r="A11282" s="801">
        <v>39393</v>
      </c>
      <c r="B11282" s="802" t="s">
        <v>12219</v>
      </c>
      <c r="C11282" s="801" t="s">
        <v>656</v>
      </c>
      <c r="D11282" s="803">
        <v>72.95</v>
      </c>
    </row>
    <row r="11283" spans="1:4" ht="38.25">
      <c r="A11283" s="801">
        <v>39394</v>
      </c>
      <c r="B11283" s="802" t="s">
        <v>12220</v>
      </c>
      <c r="C11283" s="801" t="s">
        <v>656</v>
      </c>
      <c r="D11283" s="803">
        <v>82.11</v>
      </c>
    </row>
    <row r="11284" spans="1:4" ht="38.25">
      <c r="A11284" s="801">
        <v>39395</v>
      </c>
      <c r="B11284" s="802" t="s">
        <v>12221</v>
      </c>
      <c r="C11284" s="801" t="s">
        <v>656</v>
      </c>
      <c r="D11284" s="803">
        <v>76.349999999999994</v>
      </c>
    </row>
    <row r="11285" spans="1:4" ht="25.5">
      <c r="A11285" s="801">
        <v>14618</v>
      </c>
      <c r="B11285" s="802" t="s">
        <v>4781</v>
      </c>
      <c r="C11285" s="801" t="s">
        <v>656</v>
      </c>
      <c r="D11285" s="803">
        <v>1768.05</v>
      </c>
    </row>
    <row r="11286" spans="1:4" ht="38.25">
      <c r="A11286" s="801">
        <v>40269</v>
      </c>
      <c r="B11286" s="802" t="s">
        <v>12222</v>
      </c>
      <c r="C11286" s="801" t="s">
        <v>656</v>
      </c>
      <c r="D11286" s="803">
        <v>7123.36</v>
      </c>
    </row>
    <row r="11287" spans="1:4">
      <c r="A11287" s="801">
        <v>6110</v>
      </c>
      <c r="B11287" s="802" t="s">
        <v>12223</v>
      </c>
      <c r="C11287" s="801" t="s">
        <v>659</v>
      </c>
      <c r="D11287" s="803">
        <v>13.73</v>
      </c>
    </row>
    <row r="11288" spans="1:4">
      <c r="A11288" s="801">
        <v>40910</v>
      </c>
      <c r="B11288" s="802" t="s">
        <v>12224</v>
      </c>
      <c r="C11288" s="801" t="s">
        <v>772</v>
      </c>
      <c r="D11288" s="803">
        <v>2424.4299999999998</v>
      </c>
    </row>
    <row r="11289" spans="1:4">
      <c r="A11289" s="801">
        <v>6111</v>
      </c>
      <c r="B11289" s="802" t="s">
        <v>4782</v>
      </c>
      <c r="C11289" s="801" t="s">
        <v>659</v>
      </c>
      <c r="D11289" s="803">
        <v>10.210000000000001</v>
      </c>
    </row>
    <row r="11290" spans="1:4">
      <c r="A11290" s="801">
        <v>41084</v>
      </c>
      <c r="B11290" s="802" t="s">
        <v>12225</v>
      </c>
      <c r="C11290" s="801" t="s">
        <v>772</v>
      </c>
      <c r="D11290" s="803">
        <v>1804.46</v>
      </c>
    </row>
    <row r="11291" spans="1:4" ht="25.5">
      <c r="A11291" s="801">
        <v>44535</v>
      </c>
      <c r="B11291" s="802" t="s">
        <v>12226</v>
      </c>
      <c r="C11291" s="801" t="s">
        <v>654</v>
      </c>
      <c r="D11291" s="803">
        <v>53.46</v>
      </c>
    </row>
    <row r="11292" spans="1:4">
      <c r="A11292" s="801">
        <v>38637</v>
      </c>
      <c r="B11292" s="802" t="s">
        <v>12227</v>
      </c>
      <c r="C11292" s="801" t="s">
        <v>656</v>
      </c>
      <c r="D11292" s="803">
        <v>186.89</v>
      </c>
    </row>
    <row r="11293" spans="1:4">
      <c r="A11293" s="801">
        <v>6150</v>
      </c>
      <c r="B11293" s="802" t="s">
        <v>12228</v>
      </c>
      <c r="C11293" s="801" t="s">
        <v>656</v>
      </c>
      <c r="D11293" s="803">
        <v>189.17</v>
      </c>
    </row>
    <row r="11294" spans="1:4">
      <c r="A11294" s="801">
        <v>6136</v>
      </c>
      <c r="B11294" s="802" t="s">
        <v>12229</v>
      </c>
      <c r="C11294" s="801" t="s">
        <v>656</v>
      </c>
      <c r="D11294" s="803">
        <v>148.69999999999999</v>
      </c>
    </row>
    <row r="11295" spans="1:4">
      <c r="A11295" s="801">
        <v>38638</v>
      </c>
      <c r="B11295" s="802" t="s">
        <v>12230</v>
      </c>
      <c r="C11295" s="801" t="s">
        <v>656</v>
      </c>
      <c r="D11295" s="803">
        <v>157.47999999999999</v>
      </c>
    </row>
    <row r="11296" spans="1:4">
      <c r="A11296" s="801">
        <v>20262</v>
      </c>
      <c r="B11296" s="802" t="s">
        <v>12231</v>
      </c>
      <c r="C11296" s="801" t="s">
        <v>656</v>
      </c>
      <c r="D11296" s="803">
        <v>17.760000000000002</v>
      </c>
    </row>
    <row r="11297" spans="1:4" ht="25.5">
      <c r="A11297" s="801">
        <v>6148</v>
      </c>
      <c r="B11297" s="802" t="s">
        <v>4783</v>
      </c>
      <c r="C11297" s="801" t="s">
        <v>656</v>
      </c>
      <c r="D11297" s="803">
        <v>10.99</v>
      </c>
    </row>
    <row r="11298" spans="1:4">
      <c r="A11298" s="801">
        <v>6145</v>
      </c>
      <c r="B11298" s="802" t="s">
        <v>12232</v>
      </c>
      <c r="C11298" s="801" t="s">
        <v>656</v>
      </c>
      <c r="D11298" s="803">
        <v>19.71</v>
      </c>
    </row>
    <row r="11299" spans="1:4">
      <c r="A11299" s="801">
        <v>6149</v>
      </c>
      <c r="B11299" s="802" t="s">
        <v>12233</v>
      </c>
      <c r="C11299" s="801" t="s">
        <v>656</v>
      </c>
      <c r="D11299" s="803">
        <v>18.579999999999998</v>
      </c>
    </row>
    <row r="11300" spans="1:4">
      <c r="A11300" s="801">
        <v>6146</v>
      </c>
      <c r="B11300" s="802" t="s">
        <v>4784</v>
      </c>
      <c r="C11300" s="801" t="s">
        <v>656</v>
      </c>
      <c r="D11300" s="803">
        <v>19.72</v>
      </c>
    </row>
    <row r="11301" spans="1:4">
      <c r="A11301" s="801">
        <v>44536</v>
      </c>
      <c r="B11301" s="802" t="s">
        <v>12234</v>
      </c>
      <c r="C11301" s="801" t="s">
        <v>653</v>
      </c>
      <c r="D11301" s="803">
        <v>2.2000000000000002</v>
      </c>
    </row>
    <row r="11302" spans="1:4">
      <c r="A11302" s="801">
        <v>39961</v>
      </c>
      <c r="B11302" s="802" t="s">
        <v>4785</v>
      </c>
      <c r="C11302" s="801" t="s">
        <v>656</v>
      </c>
      <c r="D11302" s="803">
        <v>17.3</v>
      </c>
    </row>
    <row r="11303" spans="1:4" ht="51">
      <c r="A11303" s="801">
        <v>42433</v>
      </c>
      <c r="B11303" s="802" t="s">
        <v>12235</v>
      </c>
      <c r="C11303" s="801" t="s">
        <v>656</v>
      </c>
      <c r="D11303" s="803">
        <v>4702.72</v>
      </c>
    </row>
    <row r="11304" spans="1:4" ht="51">
      <c r="A11304" s="801">
        <v>42434</v>
      </c>
      <c r="B11304" s="802" t="s">
        <v>12236</v>
      </c>
      <c r="C11304" s="801" t="s">
        <v>656</v>
      </c>
      <c r="D11304" s="803">
        <v>5081.97</v>
      </c>
    </row>
    <row r="11305" spans="1:4" ht="51">
      <c r="A11305" s="801">
        <v>42435</v>
      </c>
      <c r="B11305" s="802" t="s">
        <v>12237</v>
      </c>
      <c r="C11305" s="801" t="s">
        <v>656</v>
      </c>
      <c r="D11305" s="803">
        <v>2534.19</v>
      </c>
    </row>
    <row r="11306" spans="1:4" ht="25.5">
      <c r="A11306" s="801">
        <v>38061</v>
      </c>
      <c r="B11306" s="802" t="s">
        <v>12238</v>
      </c>
      <c r="C11306" s="801" t="s">
        <v>656</v>
      </c>
      <c r="D11306" s="803">
        <v>47.96</v>
      </c>
    </row>
    <row r="11307" spans="1:4">
      <c r="A11307" s="801">
        <v>20250</v>
      </c>
      <c r="B11307" s="802" t="s">
        <v>12239</v>
      </c>
      <c r="C11307" s="801" t="s">
        <v>653</v>
      </c>
      <c r="D11307" s="803">
        <v>15.39</v>
      </c>
    </row>
    <row r="11308" spans="1:4">
      <c r="A11308" s="801">
        <v>13388</v>
      </c>
      <c r="B11308" s="802" t="s">
        <v>4786</v>
      </c>
      <c r="C11308" s="801" t="s">
        <v>653</v>
      </c>
      <c r="D11308" s="803">
        <v>139.41999999999999</v>
      </c>
    </row>
    <row r="11309" spans="1:4" ht="25.5">
      <c r="A11309" s="801">
        <v>39914</v>
      </c>
      <c r="B11309" s="802" t="s">
        <v>12240</v>
      </c>
      <c r="C11309" s="801" t="s">
        <v>653</v>
      </c>
      <c r="D11309" s="803">
        <v>289.41000000000003</v>
      </c>
    </row>
    <row r="11310" spans="1:4" ht="25.5">
      <c r="A11310" s="801">
        <v>12732</v>
      </c>
      <c r="B11310" s="802" t="s">
        <v>12241</v>
      </c>
      <c r="C11310" s="801" t="s">
        <v>656</v>
      </c>
      <c r="D11310" s="803">
        <v>333.94</v>
      </c>
    </row>
    <row r="11311" spans="1:4">
      <c r="A11311" s="801">
        <v>6160</v>
      </c>
      <c r="B11311" s="802" t="s">
        <v>4787</v>
      </c>
      <c r="C11311" s="801" t="s">
        <v>659</v>
      </c>
      <c r="D11311" s="803">
        <v>13.73</v>
      </c>
    </row>
    <row r="11312" spans="1:4">
      <c r="A11312" s="801">
        <v>41087</v>
      </c>
      <c r="B11312" s="802" t="s">
        <v>12242</v>
      </c>
      <c r="C11312" s="801" t="s">
        <v>772</v>
      </c>
      <c r="D11312" s="803">
        <v>2424.4299999999998</v>
      </c>
    </row>
    <row r="11313" spans="1:4" ht="25.5">
      <c r="A11313" s="801">
        <v>6166</v>
      </c>
      <c r="B11313" s="802" t="s">
        <v>4788</v>
      </c>
      <c r="C11313" s="801" t="s">
        <v>659</v>
      </c>
      <c r="D11313" s="803">
        <v>18.399999999999999</v>
      </c>
    </row>
    <row r="11314" spans="1:4" ht="25.5">
      <c r="A11314" s="801">
        <v>41088</v>
      </c>
      <c r="B11314" s="802" t="s">
        <v>12243</v>
      </c>
      <c r="C11314" s="801" t="s">
        <v>772</v>
      </c>
      <c r="D11314" s="803">
        <v>3250.19</v>
      </c>
    </row>
    <row r="11315" spans="1:4" ht="38.25">
      <c r="A11315" s="801">
        <v>20232</v>
      </c>
      <c r="B11315" s="802" t="s">
        <v>12244</v>
      </c>
      <c r="C11315" s="801" t="s">
        <v>660</v>
      </c>
      <c r="D11315" s="803">
        <v>78.48</v>
      </c>
    </row>
    <row r="11316" spans="1:4" ht="25.5">
      <c r="A11316" s="801">
        <v>10856</v>
      </c>
      <c r="B11316" s="802" t="s">
        <v>12245</v>
      </c>
      <c r="C11316" s="801" t="s">
        <v>660</v>
      </c>
      <c r="D11316" s="803">
        <v>84.17</v>
      </c>
    </row>
    <row r="11317" spans="1:4" ht="25.5">
      <c r="A11317" s="801">
        <v>4828</v>
      </c>
      <c r="B11317" s="802" t="s">
        <v>12246</v>
      </c>
      <c r="C11317" s="801" t="s">
        <v>660</v>
      </c>
      <c r="D11317" s="803">
        <v>68.41</v>
      </c>
    </row>
    <row r="11318" spans="1:4" ht="25.5">
      <c r="A11318" s="801">
        <v>20249</v>
      </c>
      <c r="B11318" s="802" t="s">
        <v>12247</v>
      </c>
      <c r="C11318" s="801" t="s">
        <v>660</v>
      </c>
      <c r="D11318" s="803">
        <v>37.46</v>
      </c>
    </row>
    <row r="11319" spans="1:4" ht="25.5">
      <c r="A11319" s="801">
        <v>11609</v>
      </c>
      <c r="B11319" s="802" t="s">
        <v>12248</v>
      </c>
      <c r="C11319" s="801" t="s">
        <v>655</v>
      </c>
      <c r="D11319" s="803">
        <v>9.2200000000000006</v>
      </c>
    </row>
    <row r="11320" spans="1:4" ht="25.5">
      <c r="A11320" s="801">
        <v>20083</v>
      </c>
      <c r="B11320" s="802" t="s">
        <v>12249</v>
      </c>
      <c r="C11320" s="801" t="s">
        <v>656</v>
      </c>
      <c r="D11320" s="803">
        <v>87.17</v>
      </c>
    </row>
    <row r="11321" spans="1:4" ht="25.5">
      <c r="A11321" s="801">
        <v>10691</v>
      </c>
      <c r="B11321" s="802" t="s">
        <v>12250</v>
      </c>
      <c r="C11321" s="801" t="s">
        <v>655</v>
      </c>
      <c r="D11321" s="803">
        <v>61.71</v>
      </c>
    </row>
    <row r="11322" spans="1:4">
      <c r="A11322" s="801">
        <v>12295</v>
      </c>
      <c r="B11322" s="802" t="s">
        <v>12251</v>
      </c>
      <c r="C11322" s="801" t="s">
        <v>656</v>
      </c>
      <c r="D11322" s="803">
        <v>3.12</v>
      </c>
    </row>
    <row r="11323" spans="1:4" ht="25.5">
      <c r="A11323" s="801">
        <v>12296</v>
      </c>
      <c r="B11323" s="802" t="s">
        <v>12252</v>
      </c>
      <c r="C11323" s="801" t="s">
        <v>656</v>
      </c>
      <c r="D11323" s="803">
        <v>4.04</v>
      </c>
    </row>
    <row r="11324" spans="1:4" ht="25.5">
      <c r="A11324" s="801">
        <v>12294</v>
      </c>
      <c r="B11324" s="802" t="s">
        <v>12253</v>
      </c>
      <c r="C11324" s="801" t="s">
        <v>656</v>
      </c>
      <c r="D11324" s="803">
        <v>9.7100000000000009</v>
      </c>
    </row>
    <row r="11325" spans="1:4" ht="25.5">
      <c r="A11325" s="801">
        <v>14543</v>
      </c>
      <c r="B11325" s="802" t="s">
        <v>12254</v>
      </c>
      <c r="C11325" s="801" t="s">
        <v>656</v>
      </c>
      <c r="D11325" s="803">
        <v>6.93</v>
      </c>
    </row>
    <row r="11326" spans="1:4" ht="25.5">
      <c r="A11326" s="801">
        <v>13329</v>
      </c>
      <c r="B11326" s="802" t="s">
        <v>12255</v>
      </c>
      <c r="C11326" s="801" t="s">
        <v>656</v>
      </c>
      <c r="D11326" s="803">
        <v>4.07</v>
      </c>
    </row>
    <row r="11327" spans="1:4" ht="25.5">
      <c r="A11327" s="801">
        <v>21044</v>
      </c>
      <c r="B11327" s="802" t="s">
        <v>12256</v>
      </c>
      <c r="C11327" s="801" t="s">
        <v>656</v>
      </c>
      <c r="D11327" s="803">
        <v>29.63</v>
      </c>
    </row>
    <row r="11328" spans="1:4" ht="25.5">
      <c r="A11328" s="801">
        <v>21045</v>
      </c>
      <c r="B11328" s="802" t="s">
        <v>12257</v>
      </c>
      <c r="C11328" s="801" t="s">
        <v>656</v>
      </c>
      <c r="D11328" s="803">
        <v>40.590000000000003</v>
      </c>
    </row>
    <row r="11329" spans="1:4" ht="25.5">
      <c r="A11329" s="801">
        <v>21040</v>
      </c>
      <c r="B11329" s="802" t="s">
        <v>12258</v>
      </c>
      <c r="C11329" s="801" t="s">
        <v>656</v>
      </c>
      <c r="D11329" s="803">
        <v>29</v>
      </c>
    </row>
    <row r="11330" spans="1:4" ht="25.5">
      <c r="A11330" s="801">
        <v>21041</v>
      </c>
      <c r="B11330" s="802" t="s">
        <v>12259</v>
      </c>
      <c r="C11330" s="801" t="s">
        <v>656</v>
      </c>
      <c r="D11330" s="803">
        <v>35</v>
      </c>
    </row>
    <row r="11331" spans="1:4" ht="25.5">
      <c r="A11331" s="801">
        <v>21047</v>
      </c>
      <c r="B11331" s="802" t="s">
        <v>12260</v>
      </c>
      <c r="C11331" s="801" t="s">
        <v>656</v>
      </c>
      <c r="D11331" s="803">
        <v>43.69</v>
      </c>
    </row>
    <row r="11332" spans="1:4" ht="25.5">
      <c r="A11332" s="801">
        <v>21043</v>
      </c>
      <c r="B11332" s="802" t="s">
        <v>12261</v>
      </c>
      <c r="C11332" s="801" t="s">
        <v>656</v>
      </c>
      <c r="D11332" s="803">
        <v>42.54</v>
      </c>
    </row>
    <row r="11333" spans="1:4" ht="25.5">
      <c r="A11333" s="801">
        <v>21042</v>
      </c>
      <c r="B11333" s="802" t="s">
        <v>12262</v>
      </c>
      <c r="C11333" s="801" t="s">
        <v>656</v>
      </c>
      <c r="D11333" s="803">
        <v>33.67</v>
      </c>
    </row>
    <row r="11334" spans="1:4">
      <c r="A11334" s="801">
        <v>14149</v>
      </c>
      <c r="B11334" s="802" t="s">
        <v>12263</v>
      </c>
      <c r="C11334" s="801" t="s">
        <v>773</v>
      </c>
      <c r="D11334" s="803">
        <v>193.02</v>
      </c>
    </row>
    <row r="11335" spans="1:4" ht="38.25">
      <c r="A11335" s="801">
        <v>38099</v>
      </c>
      <c r="B11335" s="802" t="s">
        <v>4789</v>
      </c>
      <c r="C11335" s="801" t="s">
        <v>656</v>
      </c>
      <c r="D11335" s="803">
        <v>1.3</v>
      </c>
    </row>
    <row r="11336" spans="1:4" ht="38.25">
      <c r="A11336" s="801">
        <v>38100</v>
      </c>
      <c r="B11336" s="802" t="s">
        <v>12264</v>
      </c>
      <c r="C11336" s="801" t="s">
        <v>656</v>
      </c>
      <c r="D11336" s="803">
        <v>2.12</v>
      </c>
    </row>
    <row r="11337" spans="1:4" ht="25.5">
      <c r="A11337" s="801">
        <v>20061</v>
      </c>
      <c r="B11337" s="802" t="s">
        <v>12265</v>
      </c>
      <c r="C11337" s="801" t="s">
        <v>656</v>
      </c>
      <c r="D11337" s="803">
        <v>3.54</v>
      </c>
    </row>
    <row r="11338" spans="1:4" ht="25.5">
      <c r="A11338" s="801">
        <v>7576</v>
      </c>
      <c r="B11338" s="802" t="s">
        <v>12266</v>
      </c>
      <c r="C11338" s="801" t="s">
        <v>656</v>
      </c>
      <c r="D11338" s="803">
        <v>188.4</v>
      </c>
    </row>
    <row r="11339" spans="1:4" ht="25.5">
      <c r="A11339" s="801">
        <v>3384</v>
      </c>
      <c r="B11339" s="802" t="s">
        <v>12267</v>
      </c>
      <c r="C11339" s="801" t="s">
        <v>656</v>
      </c>
      <c r="D11339" s="803">
        <v>6.12</v>
      </c>
    </row>
    <row r="11340" spans="1:4" ht="25.5">
      <c r="A11340" s="801">
        <v>7572</v>
      </c>
      <c r="B11340" s="802" t="s">
        <v>4790</v>
      </c>
      <c r="C11340" s="801" t="s">
        <v>656</v>
      </c>
      <c r="D11340" s="803">
        <v>7.84</v>
      </c>
    </row>
    <row r="11341" spans="1:4" ht="25.5">
      <c r="A11341" s="801">
        <v>3396</v>
      </c>
      <c r="B11341" s="802" t="s">
        <v>12268</v>
      </c>
      <c r="C11341" s="801" t="s">
        <v>656</v>
      </c>
      <c r="D11341" s="803">
        <v>5.3</v>
      </c>
    </row>
    <row r="11342" spans="1:4" ht="25.5">
      <c r="A11342" s="801">
        <v>37590</v>
      </c>
      <c r="B11342" s="802" t="s">
        <v>12269</v>
      </c>
      <c r="C11342" s="801" t="s">
        <v>656</v>
      </c>
      <c r="D11342" s="803">
        <v>21.58</v>
      </c>
    </row>
    <row r="11343" spans="1:4" ht="25.5">
      <c r="A11343" s="801">
        <v>37591</v>
      </c>
      <c r="B11343" s="802" t="s">
        <v>4791</v>
      </c>
      <c r="C11343" s="801" t="s">
        <v>656</v>
      </c>
      <c r="D11343" s="803">
        <v>25.94</v>
      </c>
    </row>
    <row r="11344" spans="1:4" ht="25.5">
      <c r="A11344" s="801">
        <v>12626</v>
      </c>
      <c r="B11344" s="802" t="s">
        <v>12270</v>
      </c>
      <c r="C11344" s="801" t="s">
        <v>656</v>
      </c>
      <c r="D11344" s="803">
        <v>17.010000000000002</v>
      </c>
    </row>
    <row r="11345" spans="1:4">
      <c r="A11345" s="801">
        <v>11033</v>
      </c>
      <c r="B11345" s="802" t="s">
        <v>12271</v>
      </c>
      <c r="C11345" s="801" t="s">
        <v>656</v>
      </c>
      <c r="D11345" s="803">
        <v>7.01</v>
      </c>
    </row>
    <row r="11346" spans="1:4" ht="25.5">
      <c r="A11346" s="801">
        <v>390</v>
      </c>
      <c r="B11346" s="802" t="s">
        <v>12272</v>
      </c>
      <c r="C11346" s="801" t="s">
        <v>656</v>
      </c>
      <c r="D11346" s="803">
        <v>9.59</v>
      </c>
    </row>
    <row r="11347" spans="1:4" ht="38.25">
      <c r="A11347" s="801">
        <v>42436</v>
      </c>
      <c r="B11347" s="802" t="s">
        <v>12273</v>
      </c>
      <c r="C11347" s="801" t="s">
        <v>656</v>
      </c>
      <c r="D11347" s="803">
        <v>2652.57</v>
      </c>
    </row>
    <row r="11348" spans="1:4" ht="25.5">
      <c r="A11348" s="801">
        <v>6193</v>
      </c>
      <c r="B11348" s="802" t="s">
        <v>12274</v>
      </c>
      <c r="C11348" s="801" t="s">
        <v>660</v>
      </c>
      <c r="D11348" s="803">
        <v>14.69</v>
      </c>
    </row>
    <row r="11349" spans="1:4" ht="25.5">
      <c r="A11349" s="801">
        <v>6194</v>
      </c>
      <c r="B11349" s="802" t="s">
        <v>12275</v>
      </c>
      <c r="C11349" s="801" t="s">
        <v>660</v>
      </c>
      <c r="D11349" s="803">
        <v>6.41</v>
      </c>
    </row>
    <row r="11350" spans="1:4" ht="25.5">
      <c r="A11350" s="801">
        <v>10567</v>
      </c>
      <c r="B11350" s="802" t="s">
        <v>12276</v>
      </c>
      <c r="C11350" s="801" t="s">
        <v>660</v>
      </c>
      <c r="D11350" s="803">
        <v>10.15</v>
      </c>
    </row>
    <row r="11351" spans="1:4" ht="25.5">
      <c r="A11351" s="801">
        <v>6212</v>
      </c>
      <c r="B11351" s="802" t="s">
        <v>12277</v>
      </c>
      <c r="C11351" s="801" t="s">
        <v>660</v>
      </c>
      <c r="D11351" s="803">
        <v>14.89</v>
      </c>
    </row>
    <row r="11352" spans="1:4" ht="25.5">
      <c r="A11352" s="801">
        <v>3993</v>
      </c>
      <c r="B11352" s="802" t="s">
        <v>12278</v>
      </c>
      <c r="C11352" s="801" t="s">
        <v>661</v>
      </c>
      <c r="D11352" s="803">
        <v>94.99</v>
      </c>
    </row>
    <row r="11353" spans="1:4" ht="25.5">
      <c r="A11353" s="801">
        <v>3990</v>
      </c>
      <c r="B11353" s="802" t="s">
        <v>12279</v>
      </c>
      <c r="C11353" s="801" t="s">
        <v>660</v>
      </c>
      <c r="D11353" s="803">
        <v>17.87</v>
      </c>
    </row>
    <row r="11354" spans="1:4" ht="25.5">
      <c r="A11354" s="801">
        <v>3992</v>
      </c>
      <c r="B11354" s="802" t="s">
        <v>12280</v>
      </c>
      <c r="C11354" s="801" t="s">
        <v>660</v>
      </c>
      <c r="D11354" s="803">
        <v>24.13</v>
      </c>
    </row>
    <row r="11355" spans="1:4" ht="25.5">
      <c r="A11355" s="801">
        <v>6178</v>
      </c>
      <c r="B11355" s="802" t="s">
        <v>12281</v>
      </c>
      <c r="C11355" s="801" t="s">
        <v>661</v>
      </c>
      <c r="D11355" s="803">
        <v>267.77</v>
      </c>
    </row>
    <row r="11356" spans="1:4" ht="25.5">
      <c r="A11356" s="801">
        <v>6180</v>
      </c>
      <c r="B11356" s="802" t="s">
        <v>12282</v>
      </c>
      <c r="C11356" s="801" t="s">
        <v>661</v>
      </c>
      <c r="D11356" s="803">
        <v>289</v>
      </c>
    </row>
    <row r="11357" spans="1:4" ht="25.5">
      <c r="A11357" s="801">
        <v>6182</v>
      </c>
      <c r="B11357" s="802" t="s">
        <v>12283</v>
      </c>
      <c r="C11357" s="801" t="s">
        <v>661</v>
      </c>
      <c r="D11357" s="803">
        <v>358.72</v>
      </c>
    </row>
    <row r="11358" spans="1:4" ht="25.5">
      <c r="A11358" s="801">
        <v>43614</v>
      </c>
      <c r="B11358" s="802" t="s">
        <v>12284</v>
      </c>
      <c r="C11358" s="801" t="s">
        <v>660</v>
      </c>
      <c r="D11358" s="803">
        <v>12.07</v>
      </c>
    </row>
    <row r="11359" spans="1:4" ht="25.5">
      <c r="A11359" s="801">
        <v>6189</v>
      </c>
      <c r="B11359" s="802" t="s">
        <v>12285</v>
      </c>
      <c r="C11359" s="801" t="s">
        <v>660</v>
      </c>
      <c r="D11359" s="803">
        <v>21.45</v>
      </c>
    </row>
    <row r="11360" spans="1:4" ht="25.5">
      <c r="A11360" s="801">
        <v>6214</v>
      </c>
      <c r="B11360" s="802" t="s">
        <v>12286</v>
      </c>
      <c r="C11360" s="801" t="s">
        <v>661</v>
      </c>
      <c r="D11360" s="803">
        <v>167.74</v>
      </c>
    </row>
    <row r="11361" spans="1:4" ht="25.5">
      <c r="A11361" s="801">
        <v>36153</v>
      </c>
      <c r="B11361" s="802" t="s">
        <v>12287</v>
      </c>
      <c r="C11361" s="801" t="s">
        <v>656</v>
      </c>
      <c r="D11361" s="803">
        <v>267.5</v>
      </c>
    </row>
    <row r="11362" spans="1:4">
      <c r="A11362" s="801">
        <v>10740</v>
      </c>
      <c r="B11362" s="802" t="s">
        <v>12288</v>
      </c>
      <c r="C11362" s="801" t="s">
        <v>656</v>
      </c>
      <c r="D11362" s="803">
        <v>11693.47</v>
      </c>
    </row>
    <row r="11363" spans="1:4" ht="25.5">
      <c r="A11363" s="801">
        <v>13914</v>
      </c>
      <c r="B11363" s="802" t="s">
        <v>12289</v>
      </c>
      <c r="C11363" s="801" t="s">
        <v>656</v>
      </c>
      <c r="D11363" s="803">
        <v>846.07</v>
      </c>
    </row>
    <row r="11364" spans="1:4" ht="25.5">
      <c r="A11364" s="801">
        <v>10742</v>
      </c>
      <c r="B11364" s="802" t="s">
        <v>12290</v>
      </c>
      <c r="C11364" s="801" t="s">
        <v>656</v>
      </c>
      <c r="D11364" s="803">
        <v>1234</v>
      </c>
    </row>
    <row r="11365" spans="1:4">
      <c r="A11365" s="801">
        <v>38465</v>
      </c>
      <c r="B11365" s="802" t="s">
        <v>12291</v>
      </c>
      <c r="C11365" s="801" t="s">
        <v>656</v>
      </c>
      <c r="D11365" s="803">
        <v>32.32</v>
      </c>
    </row>
    <row r="11366" spans="1:4">
      <c r="A11366" s="801">
        <v>7543</v>
      </c>
      <c r="B11366" s="802" t="s">
        <v>12292</v>
      </c>
      <c r="C11366" s="801" t="s">
        <v>656</v>
      </c>
      <c r="D11366" s="803">
        <v>5.0199999999999996</v>
      </c>
    </row>
    <row r="11367" spans="1:4" ht="25.5">
      <c r="A11367" s="801">
        <v>43427</v>
      </c>
      <c r="B11367" s="802" t="s">
        <v>12293</v>
      </c>
      <c r="C11367" s="801" t="s">
        <v>656</v>
      </c>
      <c r="D11367" s="803">
        <v>1588.58</v>
      </c>
    </row>
    <row r="11368" spans="1:4" ht="25.5">
      <c r="A11368" s="801">
        <v>41613</v>
      </c>
      <c r="B11368" s="802" t="s">
        <v>12294</v>
      </c>
      <c r="C11368" s="801" t="s">
        <v>656</v>
      </c>
      <c r="D11368" s="803">
        <v>102.11</v>
      </c>
    </row>
    <row r="11369" spans="1:4" ht="25.5">
      <c r="A11369" s="801">
        <v>41614</v>
      </c>
      <c r="B11369" s="802" t="s">
        <v>12295</v>
      </c>
      <c r="C11369" s="801" t="s">
        <v>656</v>
      </c>
      <c r="D11369" s="803">
        <v>130.11000000000001</v>
      </c>
    </row>
    <row r="11370" spans="1:4" ht="25.5">
      <c r="A11370" s="801">
        <v>41615</v>
      </c>
      <c r="B11370" s="802" t="s">
        <v>12296</v>
      </c>
      <c r="C11370" s="801" t="s">
        <v>656</v>
      </c>
      <c r="D11370" s="803">
        <v>201.1</v>
      </c>
    </row>
    <row r="11371" spans="1:4" ht="25.5">
      <c r="A11371" s="801">
        <v>41616</v>
      </c>
      <c r="B11371" s="802" t="s">
        <v>12297</v>
      </c>
      <c r="C11371" s="801" t="s">
        <v>656</v>
      </c>
      <c r="D11371" s="803">
        <v>300.48</v>
      </c>
    </row>
    <row r="11372" spans="1:4" ht="25.5">
      <c r="A11372" s="801">
        <v>41617</v>
      </c>
      <c r="B11372" s="802" t="s">
        <v>12298</v>
      </c>
      <c r="C11372" s="801" t="s">
        <v>656</v>
      </c>
      <c r="D11372" s="803">
        <v>597.47</v>
      </c>
    </row>
    <row r="11373" spans="1:4" ht="25.5">
      <c r="A11373" s="801">
        <v>41618</v>
      </c>
      <c r="B11373" s="802" t="s">
        <v>12299</v>
      </c>
      <c r="C11373" s="801" t="s">
        <v>656</v>
      </c>
      <c r="D11373" s="803">
        <v>1099.9000000000001</v>
      </c>
    </row>
    <row r="11374" spans="1:4" ht="38.25">
      <c r="A11374" s="801">
        <v>43428</v>
      </c>
      <c r="B11374" s="802" t="s">
        <v>12300</v>
      </c>
      <c r="C11374" s="801" t="s">
        <v>656</v>
      </c>
      <c r="D11374" s="803">
        <v>1932</v>
      </c>
    </row>
    <row r="11375" spans="1:4" ht="25.5">
      <c r="A11375" s="801">
        <v>41619</v>
      </c>
      <c r="B11375" s="802" t="s">
        <v>12301</v>
      </c>
      <c r="C11375" s="801" t="s">
        <v>656</v>
      </c>
      <c r="D11375" s="803">
        <v>125.17</v>
      </c>
    </row>
    <row r="11376" spans="1:4" ht="25.5">
      <c r="A11376" s="801">
        <v>41620</v>
      </c>
      <c r="B11376" s="802" t="s">
        <v>12302</v>
      </c>
      <c r="C11376" s="801" t="s">
        <v>656</v>
      </c>
      <c r="D11376" s="803">
        <v>158.11000000000001</v>
      </c>
    </row>
    <row r="11377" spans="1:4" ht="25.5">
      <c r="A11377" s="801">
        <v>41622</v>
      </c>
      <c r="B11377" s="802" t="s">
        <v>12303</v>
      </c>
      <c r="C11377" s="801" t="s">
        <v>656</v>
      </c>
      <c r="D11377" s="803">
        <v>274.23</v>
      </c>
    </row>
    <row r="11378" spans="1:4" ht="25.5">
      <c r="A11378" s="801">
        <v>41623</v>
      </c>
      <c r="B11378" s="802" t="s">
        <v>12304</v>
      </c>
      <c r="C11378" s="801" t="s">
        <v>656</v>
      </c>
      <c r="D11378" s="803">
        <v>421.64</v>
      </c>
    </row>
    <row r="11379" spans="1:4" ht="25.5">
      <c r="A11379" s="801">
        <v>41624</v>
      </c>
      <c r="B11379" s="802" t="s">
        <v>12305</v>
      </c>
      <c r="C11379" s="801" t="s">
        <v>656</v>
      </c>
      <c r="D11379" s="803">
        <v>790.58</v>
      </c>
    </row>
    <row r="11380" spans="1:4" ht="25.5">
      <c r="A11380" s="801">
        <v>41625</v>
      </c>
      <c r="B11380" s="802" t="s">
        <v>12306</v>
      </c>
      <c r="C11380" s="801" t="s">
        <v>656</v>
      </c>
      <c r="D11380" s="803">
        <v>1216.3499999999999</v>
      </c>
    </row>
    <row r="11381" spans="1:4">
      <c r="A11381" s="801">
        <v>39352</v>
      </c>
      <c r="B11381" s="802" t="s">
        <v>12307</v>
      </c>
      <c r="C11381" s="801" t="s">
        <v>656</v>
      </c>
      <c r="D11381" s="803">
        <v>3.1</v>
      </c>
    </row>
    <row r="11382" spans="1:4">
      <c r="A11382" s="801">
        <v>39346</v>
      </c>
      <c r="B11382" s="802" t="s">
        <v>12308</v>
      </c>
      <c r="C11382" s="801" t="s">
        <v>656</v>
      </c>
      <c r="D11382" s="803">
        <v>3.1</v>
      </c>
    </row>
    <row r="11383" spans="1:4">
      <c r="A11383" s="801">
        <v>39350</v>
      </c>
      <c r="B11383" s="802" t="s">
        <v>12309</v>
      </c>
      <c r="C11383" s="801" t="s">
        <v>656</v>
      </c>
      <c r="D11383" s="803">
        <v>3.34</v>
      </c>
    </row>
    <row r="11384" spans="1:4">
      <c r="A11384" s="801">
        <v>39351</v>
      </c>
      <c r="B11384" s="802" t="s">
        <v>12310</v>
      </c>
      <c r="C11384" s="801" t="s">
        <v>656</v>
      </c>
      <c r="D11384" s="803">
        <v>3.86</v>
      </c>
    </row>
    <row r="11385" spans="1:4" ht="25.5">
      <c r="A11385" s="801">
        <v>38952</v>
      </c>
      <c r="B11385" s="802" t="s">
        <v>12311</v>
      </c>
      <c r="C11385" s="801" t="s">
        <v>656</v>
      </c>
      <c r="D11385" s="803">
        <v>4.1500000000000004</v>
      </c>
    </row>
    <row r="11386" spans="1:4" ht="25.5">
      <c r="A11386" s="801">
        <v>38953</v>
      </c>
      <c r="B11386" s="802" t="s">
        <v>12312</v>
      </c>
      <c r="C11386" s="801" t="s">
        <v>656</v>
      </c>
      <c r="D11386" s="803">
        <v>6.53</v>
      </c>
    </row>
    <row r="11387" spans="1:4">
      <c r="A11387" s="801">
        <v>38835</v>
      </c>
      <c r="B11387" s="802" t="s">
        <v>12313</v>
      </c>
      <c r="C11387" s="801" t="s">
        <v>656</v>
      </c>
      <c r="D11387" s="803">
        <v>5.86</v>
      </c>
    </row>
    <row r="11388" spans="1:4">
      <c r="A11388" s="801">
        <v>38837</v>
      </c>
      <c r="B11388" s="802" t="s">
        <v>12314</v>
      </c>
      <c r="C11388" s="801" t="s">
        <v>656</v>
      </c>
      <c r="D11388" s="803">
        <v>15.27</v>
      </c>
    </row>
    <row r="11389" spans="1:4">
      <c r="A11389" s="801">
        <v>38836</v>
      </c>
      <c r="B11389" s="802" t="s">
        <v>12315</v>
      </c>
      <c r="C11389" s="801" t="s">
        <v>656</v>
      </c>
      <c r="D11389" s="803">
        <v>8.4499999999999993</v>
      </c>
    </row>
    <row r="11390" spans="1:4" ht="25.5">
      <c r="A11390" s="801">
        <v>2666</v>
      </c>
      <c r="B11390" s="802" t="s">
        <v>12316</v>
      </c>
      <c r="C11390" s="801" t="s">
        <v>656</v>
      </c>
      <c r="D11390" s="803">
        <v>5.05</v>
      </c>
    </row>
    <row r="11391" spans="1:4" ht="25.5">
      <c r="A11391" s="801">
        <v>2668</v>
      </c>
      <c r="B11391" s="802" t="s">
        <v>12317</v>
      </c>
      <c r="C11391" s="801" t="s">
        <v>656</v>
      </c>
      <c r="D11391" s="803">
        <v>5.77</v>
      </c>
    </row>
    <row r="11392" spans="1:4" ht="25.5">
      <c r="A11392" s="801">
        <v>2664</v>
      </c>
      <c r="B11392" s="802" t="s">
        <v>12318</v>
      </c>
      <c r="C11392" s="801" t="s">
        <v>656</v>
      </c>
      <c r="D11392" s="803">
        <v>8.51</v>
      </c>
    </row>
    <row r="11393" spans="1:4" ht="25.5">
      <c r="A11393" s="801">
        <v>2662</v>
      </c>
      <c r="B11393" s="802" t="s">
        <v>12319</v>
      </c>
      <c r="C11393" s="801" t="s">
        <v>656</v>
      </c>
      <c r="D11393" s="803">
        <v>10.44</v>
      </c>
    </row>
    <row r="11394" spans="1:4" ht="25.5">
      <c r="A11394" s="801">
        <v>20964</v>
      </c>
      <c r="B11394" s="802" t="s">
        <v>12320</v>
      </c>
      <c r="C11394" s="801" t="s">
        <v>656</v>
      </c>
      <c r="D11394" s="803">
        <v>60.71</v>
      </c>
    </row>
    <row r="11395" spans="1:4" ht="25.5">
      <c r="A11395" s="801">
        <v>10905</v>
      </c>
      <c r="B11395" s="802" t="s">
        <v>12321</v>
      </c>
      <c r="C11395" s="801" t="s">
        <v>656</v>
      </c>
      <c r="D11395" s="803">
        <v>81.45</v>
      </c>
    </row>
    <row r="11396" spans="1:4" ht="25.5">
      <c r="A11396" s="801">
        <v>42703</v>
      </c>
      <c r="B11396" s="802" t="s">
        <v>12322</v>
      </c>
      <c r="C11396" s="801" t="s">
        <v>656</v>
      </c>
      <c r="D11396" s="803">
        <v>113.95</v>
      </c>
    </row>
    <row r="11397" spans="1:4" ht="25.5">
      <c r="A11397" s="801">
        <v>42704</v>
      </c>
      <c r="B11397" s="802" t="s">
        <v>12323</v>
      </c>
      <c r="C11397" s="801" t="s">
        <v>656</v>
      </c>
      <c r="D11397" s="803">
        <v>174.93</v>
      </c>
    </row>
    <row r="11398" spans="1:4" ht="25.5">
      <c r="A11398" s="801">
        <v>42705</v>
      </c>
      <c r="B11398" s="802" t="s">
        <v>12324</v>
      </c>
      <c r="C11398" s="801" t="s">
        <v>656</v>
      </c>
      <c r="D11398" s="803">
        <v>223.18</v>
      </c>
    </row>
    <row r="11399" spans="1:4" ht="25.5">
      <c r="A11399" s="801">
        <v>42706</v>
      </c>
      <c r="B11399" s="802" t="s">
        <v>12325</v>
      </c>
      <c r="C11399" s="801" t="s">
        <v>656</v>
      </c>
      <c r="D11399" s="803">
        <v>276.41000000000003</v>
      </c>
    </row>
    <row r="11400" spans="1:4" ht="25.5">
      <c r="A11400" s="801">
        <v>11289</v>
      </c>
      <c r="B11400" s="802" t="s">
        <v>12326</v>
      </c>
      <c r="C11400" s="801" t="s">
        <v>656</v>
      </c>
      <c r="D11400" s="803">
        <v>104.18</v>
      </c>
    </row>
    <row r="11401" spans="1:4" ht="25.5">
      <c r="A11401" s="801">
        <v>11241</v>
      </c>
      <c r="B11401" s="802" t="s">
        <v>12327</v>
      </c>
      <c r="C11401" s="801" t="s">
        <v>656</v>
      </c>
      <c r="D11401" s="803">
        <v>260.45999999999998</v>
      </c>
    </row>
    <row r="11402" spans="1:4" ht="38.25">
      <c r="A11402" s="801">
        <v>11301</v>
      </c>
      <c r="B11402" s="802" t="s">
        <v>13461</v>
      </c>
      <c r="C11402" s="801" t="s">
        <v>656</v>
      </c>
      <c r="D11402" s="803">
        <v>660.46</v>
      </c>
    </row>
    <row r="11403" spans="1:4" ht="38.25">
      <c r="A11403" s="801">
        <v>21090</v>
      </c>
      <c r="B11403" s="802" t="s">
        <v>13462</v>
      </c>
      <c r="C11403" s="801" t="s">
        <v>656</v>
      </c>
      <c r="D11403" s="803">
        <v>809.3</v>
      </c>
    </row>
    <row r="11404" spans="1:4" ht="25.5">
      <c r="A11404" s="801">
        <v>11315</v>
      </c>
      <c r="B11404" s="802" t="s">
        <v>13463</v>
      </c>
      <c r="C11404" s="801" t="s">
        <v>656</v>
      </c>
      <c r="D11404" s="803">
        <v>158.13</v>
      </c>
    </row>
    <row r="11405" spans="1:4" ht="25.5">
      <c r="A11405" s="801">
        <v>21071</v>
      </c>
      <c r="B11405" s="802" t="s">
        <v>13464</v>
      </c>
      <c r="C11405" s="801" t="s">
        <v>656</v>
      </c>
      <c r="D11405" s="803">
        <v>241.86</v>
      </c>
    </row>
    <row r="11406" spans="1:4" ht="25.5">
      <c r="A11406" s="801">
        <v>14112</v>
      </c>
      <c r="B11406" s="802" t="s">
        <v>13465</v>
      </c>
      <c r="C11406" s="801" t="s">
        <v>656</v>
      </c>
      <c r="D11406" s="803">
        <v>337.67</v>
      </c>
    </row>
    <row r="11407" spans="1:4" ht="38.25">
      <c r="A11407" s="801">
        <v>11316</v>
      </c>
      <c r="B11407" s="802" t="s">
        <v>13466</v>
      </c>
      <c r="C11407" s="801" t="s">
        <v>656</v>
      </c>
      <c r="D11407" s="803">
        <v>520.92999999999995</v>
      </c>
    </row>
    <row r="11408" spans="1:4" ht="38.25">
      <c r="A11408" s="801">
        <v>6243</v>
      </c>
      <c r="B11408" s="802" t="s">
        <v>13467</v>
      </c>
      <c r="C11408" s="801" t="s">
        <v>656</v>
      </c>
      <c r="D11408" s="803">
        <v>600</v>
      </c>
    </row>
    <row r="11409" spans="1:4" ht="38.25">
      <c r="A11409" s="801">
        <v>6240</v>
      </c>
      <c r="B11409" s="802" t="s">
        <v>13468</v>
      </c>
      <c r="C11409" s="801" t="s">
        <v>656</v>
      </c>
      <c r="D11409" s="803">
        <v>794.41</v>
      </c>
    </row>
    <row r="11410" spans="1:4" ht="38.25">
      <c r="A11410" s="801">
        <v>11296</v>
      </c>
      <c r="B11410" s="802" t="s">
        <v>13469</v>
      </c>
      <c r="C11410" s="801" t="s">
        <v>656</v>
      </c>
      <c r="D11410" s="803">
        <v>2531.16</v>
      </c>
    </row>
    <row r="11411" spans="1:4" ht="25.5">
      <c r="A11411" s="801">
        <v>11299</v>
      </c>
      <c r="B11411" s="802" t="s">
        <v>13470</v>
      </c>
      <c r="C11411" s="801" t="s">
        <v>656</v>
      </c>
      <c r="D11411" s="803">
        <v>856.74</v>
      </c>
    </row>
    <row r="11412" spans="1:4" ht="25.5">
      <c r="A11412" s="801">
        <v>11688</v>
      </c>
      <c r="B11412" s="802" t="s">
        <v>12328</v>
      </c>
      <c r="C11412" s="801" t="s">
        <v>656</v>
      </c>
      <c r="D11412" s="803">
        <v>570.67999999999995</v>
      </c>
    </row>
    <row r="11413" spans="1:4" ht="51">
      <c r="A11413" s="801">
        <v>37736</v>
      </c>
      <c r="B11413" s="802" t="s">
        <v>4792</v>
      </c>
      <c r="C11413" s="801" t="s">
        <v>656</v>
      </c>
      <c r="D11413" s="803">
        <v>84300</v>
      </c>
    </row>
    <row r="11414" spans="1:4" ht="25.5">
      <c r="A11414" s="801">
        <v>37739</v>
      </c>
      <c r="B11414" s="802" t="s">
        <v>12329</v>
      </c>
      <c r="C11414" s="801" t="s">
        <v>656</v>
      </c>
      <c r="D11414" s="803">
        <v>103753.84</v>
      </c>
    </row>
    <row r="11415" spans="1:4" ht="25.5">
      <c r="A11415" s="801">
        <v>37740</v>
      </c>
      <c r="B11415" s="802" t="s">
        <v>12330</v>
      </c>
      <c r="C11415" s="801" t="s">
        <v>656</v>
      </c>
      <c r="D11415" s="803">
        <v>59207.35</v>
      </c>
    </row>
    <row r="11416" spans="1:4" ht="25.5">
      <c r="A11416" s="801">
        <v>37738</v>
      </c>
      <c r="B11416" s="802" t="s">
        <v>12331</v>
      </c>
      <c r="C11416" s="801" t="s">
        <v>656</v>
      </c>
      <c r="D11416" s="803">
        <v>70343.98</v>
      </c>
    </row>
    <row r="11417" spans="1:4" ht="25.5">
      <c r="A11417" s="801">
        <v>37737</v>
      </c>
      <c r="B11417" s="802" t="s">
        <v>12332</v>
      </c>
      <c r="C11417" s="801" t="s">
        <v>656</v>
      </c>
      <c r="D11417" s="803">
        <v>55965.05</v>
      </c>
    </row>
    <row r="11418" spans="1:4" ht="25.5">
      <c r="A11418" s="801">
        <v>25014</v>
      </c>
      <c r="B11418" s="802" t="s">
        <v>12333</v>
      </c>
      <c r="C11418" s="801" t="s">
        <v>656</v>
      </c>
      <c r="D11418" s="803">
        <v>117216.46</v>
      </c>
    </row>
    <row r="11419" spans="1:4" ht="25.5">
      <c r="A11419" s="801">
        <v>25013</v>
      </c>
      <c r="B11419" s="802" t="s">
        <v>12334</v>
      </c>
      <c r="C11419" s="801" t="s">
        <v>656</v>
      </c>
      <c r="D11419" s="803">
        <v>122855.27</v>
      </c>
    </row>
    <row r="11420" spans="1:4" ht="25.5">
      <c r="A11420" s="801">
        <v>14405</v>
      </c>
      <c r="B11420" s="802" t="s">
        <v>12335</v>
      </c>
      <c r="C11420" s="801" t="s">
        <v>656</v>
      </c>
      <c r="D11420" s="803">
        <v>144212.20000000001</v>
      </c>
    </row>
    <row r="11421" spans="1:4">
      <c r="A11421" s="801">
        <v>20271</v>
      </c>
      <c r="B11421" s="802" t="s">
        <v>12336</v>
      </c>
      <c r="C11421" s="801" t="s">
        <v>656</v>
      </c>
      <c r="D11421" s="803">
        <v>491.46</v>
      </c>
    </row>
    <row r="11422" spans="1:4">
      <c r="A11422" s="801">
        <v>10423</v>
      </c>
      <c r="B11422" s="802" t="s">
        <v>12337</v>
      </c>
      <c r="C11422" s="801" t="s">
        <v>656</v>
      </c>
      <c r="D11422" s="803">
        <v>360.84</v>
      </c>
    </row>
    <row r="11423" spans="1:4" ht="25.5">
      <c r="A11423" s="801">
        <v>36790</v>
      </c>
      <c r="B11423" s="802" t="s">
        <v>12338</v>
      </c>
      <c r="C11423" s="801" t="s">
        <v>656</v>
      </c>
      <c r="D11423" s="803">
        <v>253.69</v>
      </c>
    </row>
    <row r="11424" spans="1:4" ht="25.5">
      <c r="A11424" s="801">
        <v>37589</v>
      </c>
      <c r="B11424" s="802" t="s">
        <v>12339</v>
      </c>
      <c r="C11424" s="801" t="s">
        <v>656</v>
      </c>
      <c r="D11424" s="803">
        <v>310.83999999999997</v>
      </c>
    </row>
    <row r="11425" spans="1:4" ht="25.5">
      <c r="A11425" s="801">
        <v>11690</v>
      </c>
      <c r="B11425" s="802" t="s">
        <v>12340</v>
      </c>
      <c r="C11425" s="801" t="s">
        <v>656</v>
      </c>
      <c r="D11425" s="803">
        <v>165.13</v>
      </c>
    </row>
    <row r="11426" spans="1:4" ht="25.5">
      <c r="A11426" s="801">
        <v>20234</v>
      </c>
      <c r="B11426" s="802" t="s">
        <v>12341</v>
      </c>
      <c r="C11426" s="801" t="s">
        <v>656</v>
      </c>
      <c r="D11426" s="803">
        <v>208.97</v>
      </c>
    </row>
    <row r="11427" spans="1:4">
      <c r="A11427" s="801">
        <v>4763</v>
      </c>
      <c r="B11427" s="802" t="s">
        <v>13471</v>
      </c>
      <c r="C11427" s="801" t="s">
        <v>659</v>
      </c>
      <c r="D11427" s="803">
        <v>13.73</v>
      </c>
    </row>
    <row r="11428" spans="1:4">
      <c r="A11428" s="801">
        <v>41070</v>
      </c>
      <c r="B11428" s="802" t="s">
        <v>12342</v>
      </c>
      <c r="C11428" s="801" t="s">
        <v>772</v>
      </c>
      <c r="D11428" s="803">
        <v>2424.4299999999998</v>
      </c>
    </row>
    <row r="11429" spans="1:4">
      <c r="A11429" s="801">
        <v>44480</v>
      </c>
      <c r="B11429" s="802" t="s">
        <v>12343</v>
      </c>
      <c r="C11429" s="801" t="s">
        <v>654</v>
      </c>
      <c r="D11429" s="803">
        <v>17.59</v>
      </c>
    </row>
    <row r="11430" spans="1:4" ht="25.5">
      <c r="A11430" s="801">
        <v>11457</v>
      </c>
      <c r="B11430" s="802" t="s">
        <v>12344</v>
      </c>
      <c r="C11430" s="801" t="s">
        <v>656</v>
      </c>
      <c r="D11430" s="803">
        <v>49.21</v>
      </c>
    </row>
    <row r="11431" spans="1:4" ht="25.5">
      <c r="A11431" s="801">
        <v>44073</v>
      </c>
      <c r="B11431" s="802" t="s">
        <v>12345</v>
      </c>
      <c r="C11431" s="801" t="s">
        <v>660</v>
      </c>
      <c r="D11431" s="803">
        <v>0.49</v>
      </c>
    </row>
    <row r="11432" spans="1:4" ht="25.5">
      <c r="A11432" s="801">
        <v>21121</v>
      </c>
      <c r="B11432" s="802" t="s">
        <v>12346</v>
      </c>
      <c r="C11432" s="801" t="s">
        <v>656</v>
      </c>
      <c r="D11432" s="803">
        <v>4.5199999999999996</v>
      </c>
    </row>
    <row r="11433" spans="1:4" ht="25.5">
      <c r="A11433" s="801">
        <v>38010</v>
      </c>
      <c r="B11433" s="802" t="s">
        <v>12347</v>
      </c>
      <c r="C11433" s="801" t="s">
        <v>656</v>
      </c>
      <c r="D11433" s="803">
        <v>7.4</v>
      </c>
    </row>
    <row r="11434" spans="1:4" ht="25.5">
      <c r="A11434" s="801">
        <v>38011</v>
      </c>
      <c r="B11434" s="802" t="s">
        <v>12348</v>
      </c>
      <c r="C11434" s="801" t="s">
        <v>656</v>
      </c>
      <c r="D11434" s="803">
        <v>13.65</v>
      </c>
    </row>
    <row r="11435" spans="1:4" ht="25.5">
      <c r="A11435" s="801">
        <v>38012</v>
      </c>
      <c r="B11435" s="802" t="s">
        <v>12349</v>
      </c>
      <c r="C11435" s="801" t="s">
        <v>656</v>
      </c>
      <c r="D11435" s="803">
        <v>46.65</v>
      </c>
    </row>
    <row r="11436" spans="1:4" ht="25.5">
      <c r="A11436" s="801">
        <v>38013</v>
      </c>
      <c r="B11436" s="802" t="s">
        <v>12350</v>
      </c>
      <c r="C11436" s="801" t="s">
        <v>656</v>
      </c>
      <c r="D11436" s="803">
        <v>60.56</v>
      </c>
    </row>
    <row r="11437" spans="1:4" ht="25.5">
      <c r="A11437" s="801">
        <v>38014</v>
      </c>
      <c r="B11437" s="802" t="s">
        <v>12351</v>
      </c>
      <c r="C11437" s="801" t="s">
        <v>656</v>
      </c>
      <c r="D11437" s="803">
        <v>98.56</v>
      </c>
    </row>
    <row r="11438" spans="1:4" ht="25.5">
      <c r="A11438" s="801">
        <v>38015</v>
      </c>
      <c r="B11438" s="802" t="s">
        <v>12352</v>
      </c>
      <c r="C11438" s="801" t="s">
        <v>656</v>
      </c>
      <c r="D11438" s="803">
        <v>237.99</v>
      </c>
    </row>
    <row r="11439" spans="1:4" ht="25.5">
      <c r="A11439" s="801">
        <v>38016</v>
      </c>
      <c r="B11439" s="802" t="s">
        <v>12353</v>
      </c>
      <c r="C11439" s="801" t="s">
        <v>656</v>
      </c>
      <c r="D11439" s="803">
        <v>289.58</v>
      </c>
    </row>
    <row r="11440" spans="1:4" ht="25.5">
      <c r="A11440" s="801">
        <v>12741</v>
      </c>
      <c r="B11440" s="802" t="s">
        <v>12354</v>
      </c>
      <c r="C11440" s="801" t="s">
        <v>656</v>
      </c>
      <c r="D11440" s="803">
        <v>1603.48</v>
      </c>
    </row>
    <row r="11441" spans="1:4" ht="25.5">
      <c r="A11441" s="801">
        <v>12733</v>
      </c>
      <c r="B11441" s="802" t="s">
        <v>12355</v>
      </c>
      <c r="C11441" s="801" t="s">
        <v>656</v>
      </c>
      <c r="D11441" s="803">
        <v>8.07</v>
      </c>
    </row>
    <row r="11442" spans="1:4" ht="25.5">
      <c r="A11442" s="801">
        <v>12734</v>
      </c>
      <c r="B11442" s="802" t="s">
        <v>12356</v>
      </c>
      <c r="C11442" s="801" t="s">
        <v>656</v>
      </c>
      <c r="D11442" s="803">
        <v>17.190000000000001</v>
      </c>
    </row>
    <row r="11443" spans="1:4" ht="25.5">
      <c r="A11443" s="801">
        <v>12735</v>
      </c>
      <c r="B11443" s="802" t="s">
        <v>12357</v>
      </c>
      <c r="C11443" s="801" t="s">
        <v>656</v>
      </c>
      <c r="D11443" s="803">
        <v>28.29</v>
      </c>
    </row>
    <row r="11444" spans="1:4" ht="25.5">
      <c r="A11444" s="801">
        <v>12736</v>
      </c>
      <c r="B11444" s="802" t="s">
        <v>12358</v>
      </c>
      <c r="C11444" s="801" t="s">
        <v>656</v>
      </c>
      <c r="D11444" s="803">
        <v>64.67</v>
      </c>
    </row>
    <row r="11445" spans="1:4" ht="25.5">
      <c r="A11445" s="801">
        <v>12737</v>
      </c>
      <c r="B11445" s="802" t="s">
        <v>12359</v>
      </c>
      <c r="C11445" s="801" t="s">
        <v>656</v>
      </c>
      <c r="D11445" s="803">
        <v>83.31</v>
      </c>
    </row>
    <row r="11446" spans="1:4" ht="25.5">
      <c r="A11446" s="801">
        <v>12738</v>
      </c>
      <c r="B11446" s="802" t="s">
        <v>12360</v>
      </c>
      <c r="C11446" s="801" t="s">
        <v>656</v>
      </c>
      <c r="D11446" s="803">
        <v>164.67</v>
      </c>
    </row>
    <row r="11447" spans="1:4" ht="25.5">
      <c r="A11447" s="801">
        <v>12739</v>
      </c>
      <c r="B11447" s="802" t="s">
        <v>12361</v>
      </c>
      <c r="C11447" s="801" t="s">
        <v>656</v>
      </c>
      <c r="D11447" s="803">
        <v>468.74</v>
      </c>
    </row>
    <row r="11448" spans="1:4" ht="25.5">
      <c r="A11448" s="801">
        <v>12740</v>
      </c>
      <c r="B11448" s="802" t="s">
        <v>12362</v>
      </c>
      <c r="C11448" s="801" t="s">
        <v>656</v>
      </c>
      <c r="D11448" s="803">
        <v>733.37</v>
      </c>
    </row>
    <row r="11449" spans="1:4">
      <c r="A11449" s="801">
        <v>6297</v>
      </c>
      <c r="B11449" s="802" t="s">
        <v>12363</v>
      </c>
      <c r="C11449" s="801" t="s">
        <v>656</v>
      </c>
      <c r="D11449" s="803">
        <v>33.020000000000003</v>
      </c>
    </row>
    <row r="11450" spans="1:4">
      <c r="A11450" s="801">
        <v>6296</v>
      </c>
      <c r="B11450" s="802" t="s">
        <v>12364</v>
      </c>
      <c r="C11450" s="801" t="s">
        <v>656</v>
      </c>
      <c r="D11450" s="803">
        <v>26.07</v>
      </c>
    </row>
    <row r="11451" spans="1:4">
      <c r="A11451" s="801">
        <v>6294</v>
      </c>
      <c r="B11451" s="802" t="s">
        <v>12365</v>
      </c>
      <c r="C11451" s="801" t="s">
        <v>656</v>
      </c>
      <c r="D11451" s="803">
        <v>7.43</v>
      </c>
    </row>
    <row r="11452" spans="1:4">
      <c r="A11452" s="801">
        <v>6323</v>
      </c>
      <c r="B11452" s="802" t="s">
        <v>12366</v>
      </c>
      <c r="C11452" s="801" t="s">
        <v>656</v>
      </c>
      <c r="D11452" s="803">
        <v>17.03</v>
      </c>
    </row>
    <row r="11453" spans="1:4">
      <c r="A11453" s="801">
        <v>6299</v>
      </c>
      <c r="B11453" s="802" t="s">
        <v>12367</v>
      </c>
      <c r="C11453" s="801" t="s">
        <v>656</v>
      </c>
      <c r="D11453" s="803">
        <v>99.32</v>
      </c>
    </row>
    <row r="11454" spans="1:4">
      <c r="A11454" s="801">
        <v>6298</v>
      </c>
      <c r="B11454" s="802" t="s">
        <v>12368</v>
      </c>
      <c r="C11454" s="801" t="s">
        <v>656</v>
      </c>
      <c r="D11454" s="803">
        <v>52.31</v>
      </c>
    </row>
    <row r="11455" spans="1:4">
      <c r="A11455" s="801">
        <v>6295</v>
      </c>
      <c r="B11455" s="802" t="s">
        <v>12369</v>
      </c>
      <c r="C11455" s="801" t="s">
        <v>656</v>
      </c>
      <c r="D11455" s="803">
        <v>10.58</v>
      </c>
    </row>
    <row r="11456" spans="1:4">
      <c r="A11456" s="801">
        <v>6322</v>
      </c>
      <c r="B11456" s="802" t="s">
        <v>12370</v>
      </c>
      <c r="C11456" s="801" t="s">
        <v>656</v>
      </c>
      <c r="D11456" s="803">
        <v>133.03</v>
      </c>
    </row>
    <row r="11457" spans="1:4">
      <c r="A11457" s="801">
        <v>6300</v>
      </c>
      <c r="B11457" s="802" t="s">
        <v>12371</v>
      </c>
      <c r="C11457" s="801" t="s">
        <v>656</v>
      </c>
      <c r="D11457" s="803">
        <v>245.26</v>
      </c>
    </row>
    <row r="11458" spans="1:4">
      <c r="A11458" s="801">
        <v>6321</v>
      </c>
      <c r="B11458" s="802" t="s">
        <v>12372</v>
      </c>
      <c r="C11458" s="801" t="s">
        <v>656</v>
      </c>
      <c r="D11458" s="803">
        <v>350.35</v>
      </c>
    </row>
    <row r="11459" spans="1:4">
      <c r="A11459" s="801">
        <v>6301</v>
      </c>
      <c r="B11459" s="802" t="s">
        <v>12373</v>
      </c>
      <c r="C11459" s="801" t="s">
        <v>656</v>
      </c>
      <c r="D11459" s="803">
        <v>821.17</v>
      </c>
    </row>
    <row r="11460" spans="1:4" ht="25.5">
      <c r="A11460" s="801">
        <v>7105</v>
      </c>
      <c r="B11460" s="802" t="s">
        <v>12374</v>
      </c>
      <c r="C11460" s="801" t="s">
        <v>656</v>
      </c>
      <c r="D11460" s="803">
        <v>49.68</v>
      </c>
    </row>
    <row r="11461" spans="1:4" ht="25.5">
      <c r="A11461" s="801">
        <v>20183</v>
      </c>
      <c r="B11461" s="802" t="s">
        <v>12375</v>
      </c>
      <c r="C11461" s="801" t="s">
        <v>656</v>
      </c>
      <c r="D11461" s="803">
        <v>65.41</v>
      </c>
    </row>
    <row r="11462" spans="1:4" ht="25.5">
      <c r="A11462" s="801">
        <v>38448</v>
      </c>
      <c r="B11462" s="802" t="s">
        <v>12376</v>
      </c>
      <c r="C11462" s="801" t="s">
        <v>656</v>
      </c>
      <c r="D11462" s="803">
        <v>307.33999999999997</v>
      </c>
    </row>
    <row r="11463" spans="1:4" ht="25.5">
      <c r="A11463" s="801">
        <v>20182</v>
      </c>
      <c r="B11463" s="802" t="s">
        <v>12377</v>
      </c>
      <c r="C11463" s="801" t="s">
        <v>656</v>
      </c>
      <c r="D11463" s="803">
        <v>37.340000000000003</v>
      </c>
    </row>
    <row r="11464" spans="1:4" ht="25.5">
      <c r="A11464" s="801">
        <v>7119</v>
      </c>
      <c r="B11464" s="802" t="s">
        <v>12378</v>
      </c>
      <c r="C11464" s="801" t="s">
        <v>656</v>
      </c>
      <c r="D11464" s="803">
        <v>10.36</v>
      </c>
    </row>
    <row r="11465" spans="1:4" ht="25.5">
      <c r="A11465" s="801">
        <v>7120</v>
      </c>
      <c r="B11465" s="802" t="s">
        <v>12379</v>
      </c>
      <c r="C11465" s="801" t="s">
        <v>656</v>
      </c>
      <c r="D11465" s="803">
        <v>7.11</v>
      </c>
    </row>
    <row r="11466" spans="1:4" ht="25.5">
      <c r="A11466" s="801">
        <v>6319</v>
      </c>
      <c r="B11466" s="802" t="s">
        <v>12380</v>
      </c>
      <c r="C11466" s="801" t="s">
        <v>656</v>
      </c>
      <c r="D11466" s="803">
        <v>38.799999999999997</v>
      </c>
    </row>
    <row r="11467" spans="1:4" ht="25.5">
      <c r="A11467" s="801">
        <v>6304</v>
      </c>
      <c r="B11467" s="802" t="s">
        <v>12381</v>
      </c>
      <c r="C11467" s="801" t="s">
        <v>656</v>
      </c>
      <c r="D11467" s="803">
        <v>38.799999999999997</v>
      </c>
    </row>
    <row r="11468" spans="1:4" ht="25.5">
      <c r="A11468" s="801">
        <v>21116</v>
      </c>
      <c r="B11468" s="802" t="s">
        <v>12382</v>
      </c>
      <c r="C11468" s="801" t="s">
        <v>656</v>
      </c>
      <c r="D11468" s="803">
        <v>29.38</v>
      </c>
    </row>
    <row r="11469" spans="1:4" ht="25.5">
      <c r="A11469" s="801">
        <v>6320</v>
      </c>
      <c r="B11469" s="802" t="s">
        <v>12383</v>
      </c>
      <c r="C11469" s="801" t="s">
        <v>656</v>
      </c>
      <c r="D11469" s="803">
        <v>19.98</v>
      </c>
    </row>
    <row r="11470" spans="1:4" ht="25.5">
      <c r="A11470" s="801">
        <v>6303</v>
      </c>
      <c r="B11470" s="802" t="s">
        <v>12384</v>
      </c>
      <c r="C11470" s="801" t="s">
        <v>656</v>
      </c>
      <c r="D11470" s="803">
        <v>19.98</v>
      </c>
    </row>
    <row r="11471" spans="1:4" ht="25.5">
      <c r="A11471" s="801">
        <v>6308</v>
      </c>
      <c r="B11471" s="802" t="s">
        <v>12385</v>
      </c>
      <c r="C11471" s="801" t="s">
        <v>656</v>
      </c>
      <c r="D11471" s="803">
        <v>107.36</v>
      </c>
    </row>
    <row r="11472" spans="1:4" ht="25.5">
      <c r="A11472" s="801">
        <v>6317</v>
      </c>
      <c r="B11472" s="802" t="s">
        <v>12386</v>
      </c>
      <c r="C11472" s="801" t="s">
        <v>656</v>
      </c>
      <c r="D11472" s="803">
        <v>107.36</v>
      </c>
    </row>
    <row r="11473" spans="1:4" ht="25.5">
      <c r="A11473" s="801">
        <v>6307</v>
      </c>
      <c r="B11473" s="802" t="s">
        <v>12387</v>
      </c>
      <c r="C11473" s="801" t="s">
        <v>656</v>
      </c>
      <c r="D11473" s="803">
        <v>107.36</v>
      </c>
    </row>
    <row r="11474" spans="1:4" ht="25.5">
      <c r="A11474" s="801">
        <v>6309</v>
      </c>
      <c r="B11474" s="802" t="s">
        <v>12388</v>
      </c>
      <c r="C11474" s="801" t="s">
        <v>656</v>
      </c>
      <c r="D11474" s="803">
        <v>110.48</v>
      </c>
    </row>
    <row r="11475" spans="1:4" ht="25.5">
      <c r="A11475" s="801">
        <v>6318</v>
      </c>
      <c r="B11475" s="802" t="s">
        <v>12389</v>
      </c>
      <c r="C11475" s="801" t="s">
        <v>656</v>
      </c>
      <c r="D11475" s="803">
        <v>57.91</v>
      </c>
    </row>
    <row r="11476" spans="1:4" ht="25.5">
      <c r="A11476" s="801">
        <v>6306</v>
      </c>
      <c r="B11476" s="802" t="s">
        <v>12390</v>
      </c>
      <c r="C11476" s="801" t="s">
        <v>656</v>
      </c>
      <c r="D11476" s="803">
        <v>57.91</v>
      </c>
    </row>
    <row r="11477" spans="1:4" ht="25.5">
      <c r="A11477" s="801">
        <v>6305</v>
      </c>
      <c r="B11477" s="802" t="s">
        <v>12391</v>
      </c>
      <c r="C11477" s="801" t="s">
        <v>656</v>
      </c>
      <c r="D11477" s="803">
        <v>57.91</v>
      </c>
    </row>
    <row r="11478" spans="1:4" ht="25.5">
      <c r="A11478" s="801">
        <v>6302</v>
      </c>
      <c r="B11478" s="802" t="s">
        <v>12392</v>
      </c>
      <c r="C11478" s="801" t="s">
        <v>656</v>
      </c>
      <c r="D11478" s="803">
        <v>12.28</v>
      </c>
    </row>
    <row r="11479" spans="1:4" ht="25.5">
      <c r="A11479" s="801">
        <v>6312</v>
      </c>
      <c r="B11479" s="802" t="s">
        <v>12393</v>
      </c>
      <c r="C11479" s="801" t="s">
        <v>656</v>
      </c>
      <c r="D11479" s="803">
        <v>154.41999999999999</v>
      </c>
    </row>
    <row r="11480" spans="1:4" ht="25.5">
      <c r="A11480" s="801">
        <v>6311</v>
      </c>
      <c r="B11480" s="802" t="s">
        <v>12394</v>
      </c>
      <c r="C11480" s="801" t="s">
        <v>656</v>
      </c>
      <c r="D11480" s="803">
        <v>154.41999999999999</v>
      </c>
    </row>
    <row r="11481" spans="1:4" ht="25.5">
      <c r="A11481" s="801">
        <v>6310</v>
      </c>
      <c r="B11481" s="802" t="s">
        <v>12395</v>
      </c>
      <c r="C11481" s="801" t="s">
        <v>656</v>
      </c>
      <c r="D11481" s="803">
        <v>154.41999999999999</v>
      </c>
    </row>
    <row r="11482" spans="1:4" ht="25.5">
      <c r="A11482" s="801">
        <v>6314</v>
      </c>
      <c r="B11482" s="802" t="s">
        <v>12396</v>
      </c>
      <c r="C11482" s="801" t="s">
        <v>656</v>
      </c>
      <c r="D11482" s="803">
        <v>154.41999999999999</v>
      </c>
    </row>
    <row r="11483" spans="1:4" ht="25.5">
      <c r="A11483" s="801">
        <v>6313</v>
      </c>
      <c r="B11483" s="802" t="s">
        <v>12397</v>
      </c>
      <c r="C11483" s="801" t="s">
        <v>656</v>
      </c>
      <c r="D11483" s="803">
        <v>154.41999999999999</v>
      </c>
    </row>
    <row r="11484" spans="1:4" ht="25.5">
      <c r="A11484" s="801">
        <v>6315</v>
      </c>
      <c r="B11484" s="802" t="s">
        <v>12398</v>
      </c>
      <c r="C11484" s="801" t="s">
        <v>656</v>
      </c>
      <c r="D11484" s="803">
        <v>292.39</v>
      </c>
    </row>
    <row r="11485" spans="1:4" ht="25.5">
      <c r="A11485" s="801">
        <v>6316</v>
      </c>
      <c r="B11485" s="802" t="s">
        <v>12399</v>
      </c>
      <c r="C11485" s="801" t="s">
        <v>656</v>
      </c>
      <c r="D11485" s="803">
        <v>292.39</v>
      </c>
    </row>
    <row r="11486" spans="1:4" ht="25.5">
      <c r="A11486" s="801">
        <v>38878</v>
      </c>
      <c r="B11486" s="802" t="s">
        <v>12400</v>
      </c>
      <c r="C11486" s="801" t="s">
        <v>656</v>
      </c>
      <c r="D11486" s="803">
        <v>21.48</v>
      </c>
    </row>
    <row r="11487" spans="1:4" ht="25.5">
      <c r="A11487" s="801">
        <v>38879</v>
      </c>
      <c r="B11487" s="802" t="s">
        <v>12401</v>
      </c>
      <c r="C11487" s="801" t="s">
        <v>656</v>
      </c>
      <c r="D11487" s="803">
        <v>40.26</v>
      </c>
    </row>
    <row r="11488" spans="1:4" ht="25.5">
      <c r="A11488" s="801">
        <v>38881</v>
      </c>
      <c r="B11488" s="802" t="s">
        <v>12402</v>
      </c>
      <c r="C11488" s="801" t="s">
        <v>656</v>
      </c>
      <c r="D11488" s="803">
        <v>21.07</v>
      </c>
    </row>
    <row r="11489" spans="1:4" ht="25.5">
      <c r="A11489" s="801">
        <v>38880</v>
      </c>
      <c r="B11489" s="802" t="s">
        <v>12403</v>
      </c>
      <c r="C11489" s="801" t="s">
        <v>656</v>
      </c>
      <c r="D11489" s="803">
        <v>22.08</v>
      </c>
    </row>
    <row r="11490" spans="1:4" ht="25.5">
      <c r="A11490" s="801">
        <v>38882</v>
      </c>
      <c r="B11490" s="802" t="s">
        <v>12404</v>
      </c>
      <c r="C11490" s="801" t="s">
        <v>656</v>
      </c>
      <c r="D11490" s="803">
        <v>22.87</v>
      </c>
    </row>
    <row r="11491" spans="1:4" ht="25.5">
      <c r="A11491" s="801">
        <v>38883</v>
      </c>
      <c r="B11491" s="802" t="s">
        <v>12405</v>
      </c>
      <c r="C11491" s="801" t="s">
        <v>656</v>
      </c>
      <c r="D11491" s="803">
        <v>33.82</v>
      </c>
    </row>
    <row r="11492" spans="1:4" ht="25.5">
      <c r="A11492" s="801">
        <v>38884</v>
      </c>
      <c r="B11492" s="802" t="s">
        <v>12406</v>
      </c>
      <c r="C11492" s="801" t="s">
        <v>656</v>
      </c>
      <c r="D11492" s="803">
        <v>36.71</v>
      </c>
    </row>
    <row r="11493" spans="1:4" ht="25.5">
      <c r="A11493" s="801">
        <v>38885</v>
      </c>
      <c r="B11493" s="802" t="s">
        <v>12407</v>
      </c>
      <c r="C11493" s="801" t="s">
        <v>656</v>
      </c>
      <c r="D11493" s="803">
        <v>35.51</v>
      </c>
    </row>
    <row r="11494" spans="1:4" ht="25.5">
      <c r="A11494" s="801">
        <v>38886</v>
      </c>
      <c r="B11494" s="802" t="s">
        <v>12408</v>
      </c>
      <c r="C11494" s="801" t="s">
        <v>656</v>
      </c>
      <c r="D11494" s="803">
        <v>38.33</v>
      </c>
    </row>
    <row r="11495" spans="1:4" ht="25.5">
      <c r="A11495" s="801">
        <v>38887</v>
      </c>
      <c r="B11495" s="802" t="s">
        <v>12409</v>
      </c>
      <c r="C11495" s="801" t="s">
        <v>656</v>
      </c>
      <c r="D11495" s="803">
        <v>34.42</v>
      </c>
    </row>
    <row r="11496" spans="1:4" ht="25.5">
      <c r="A11496" s="801">
        <v>38888</v>
      </c>
      <c r="B11496" s="802" t="s">
        <v>12410</v>
      </c>
      <c r="C11496" s="801" t="s">
        <v>656</v>
      </c>
      <c r="D11496" s="803">
        <v>40.92</v>
      </c>
    </row>
    <row r="11497" spans="1:4" ht="25.5">
      <c r="A11497" s="801">
        <v>38890</v>
      </c>
      <c r="B11497" s="802" t="s">
        <v>12411</v>
      </c>
      <c r="C11497" s="801" t="s">
        <v>656</v>
      </c>
      <c r="D11497" s="803">
        <v>60.83</v>
      </c>
    </row>
    <row r="11498" spans="1:4" ht="25.5">
      <c r="A11498" s="801">
        <v>38893</v>
      </c>
      <c r="B11498" s="802" t="s">
        <v>12412</v>
      </c>
      <c r="C11498" s="801" t="s">
        <v>656</v>
      </c>
      <c r="D11498" s="803">
        <v>48.92</v>
      </c>
    </row>
    <row r="11499" spans="1:4" ht="25.5">
      <c r="A11499" s="801">
        <v>38894</v>
      </c>
      <c r="B11499" s="802" t="s">
        <v>12413</v>
      </c>
      <c r="C11499" s="801" t="s">
        <v>656</v>
      </c>
      <c r="D11499" s="803">
        <v>62.13</v>
      </c>
    </row>
    <row r="11500" spans="1:4" ht="25.5">
      <c r="A11500" s="801">
        <v>38896</v>
      </c>
      <c r="B11500" s="802" t="s">
        <v>12414</v>
      </c>
      <c r="C11500" s="801" t="s">
        <v>656</v>
      </c>
      <c r="D11500" s="803">
        <v>63.35</v>
      </c>
    </row>
    <row r="11501" spans="1:4">
      <c r="A11501" s="801">
        <v>39324</v>
      </c>
      <c r="B11501" s="802" t="s">
        <v>12415</v>
      </c>
      <c r="C11501" s="801" t="s">
        <v>656</v>
      </c>
      <c r="D11501" s="803">
        <v>10.029999999999999</v>
      </c>
    </row>
    <row r="11502" spans="1:4">
      <c r="A11502" s="801">
        <v>39325</v>
      </c>
      <c r="B11502" s="802" t="s">
        <v>12416</v>
      </c>
      <c r="C11502" s="801" t="s">
        <v>656</v>
      </c>
      <c r="D11502" s="803">
        <v>15.18</v>
      </c>
    </row>
    <row r="11503" spans="1:4">
      <c r="A11503" s="801">
        <v>39326</v>
      </c>
      <c r="B11503" s="802" t="s">
        <v>12417</v>
      </c>
      <c r="C11503" s="801" t="s">
        <v>656</v>
      </c>
      <c r="D11503" s="803">
        <v>39.090000000000003</v>
      </c>
    </row>
    <row r="11504" spans="1:4">
      <c r="A11504" s="801">
        <v>39327</v>
      </c>
      <c r="B11504" s="802" t="s">
        <v>12418</v>
      </c>
      <c r="C11504" s="801" t="s">
        <v>656</v>
      </c>
      <c r="D11504" s="803">
        <v>59.22</v>
      </c>
    </row>
    <row r="11505" spans="1:4" ht="25.5">
      <c r="A11505" s="801">
        <v>20176</v>
      </c>
      <c r="B11505" s="802" t="s">
        <v>12419</v>
      </c>
      <c r="C11505" s="801" t="s">
        <v>656</v>
      </c>
      <c r="D11505" s="803">
        <v>56.37</v>
      </c>
    </row>
    <row r="11506" spans="1:4" ht="25.5">
      <c r="A11506" s="801">
        <v>11378</v>
      </c>
      <c r="B11506" s="802" t="s">
        <v>12420</v>
      </c>
      <c r="C11506" s="801" t="s">
        <v>656</v>
      </c>
      <c r="D11506" s="803">
        <v>115.7</v>
      </c>
    </row>
    <row r="11507" spans="1:4" ht="25.5">
      <c r="A11507" s="801">
        <v>11379</v>
      </c>
      <c r="B11507" s="802" t="s">
        <v>12421</v>
      </c>
      <c r="C11507" s="801" t="s">
        <v>656</v>
      </c>
      <c r="D11507" s="803">
        <v>97.77</v>
      </c>
    </row>
    <row r="11508" spans="1:4" ht="25.5">
      <c r="A11508" s="801">
        <v>11493</v>
      </c>
      <c r="B11508" s="802" t="s">
        <v>12422</v>
      </c>
      <c r="C11508" s="801" t="s">
        <v>656</v>
      </c>
      <c r="D11508" s="803">
        <v>56.39</v>
      </c>
    </row>
    <row r="11509" spans="1:4" ht="38.25">
      <c r="A11509" s="801">
        <v>42717</v>
      </c>
      <c r="B11509" s="802" t="s">
        <v>12423</v>
      </c>
      <c r="C11509" s="801" t="s">
        <v>656</v>
      </c>
      <c r="D11509" s="803">
        <v>678.12</v>
      </c>
    </row>
    <row r="11510" spans="1:4" ht="38.25">
      <c r="A11510" s="801">
        <v>42718</v>
      </c>
      <c r="B11510" s="802" t="s">
        <v>12424</v>
      </c>
      <c r="C11510" s="801" t="s">
        <v>656</v>
      </c>
      <c r="D11510" s="803">
        <v>752.85</v>
      </c>
    </row>
    <row r="11511" spans="1:4" ht="25.5">
      <c r="A11511" s="801">
        <v>7106</v>
      </c>
      <c r="B11511" s="802" t="s">
        <v>12425</v>
      </c>
      <c r="C11511" s="801" t="s">
        <v>656</v>
      </c>
      <c r="D11511" s="803">
        <v>168.51</v>
      </c>
    </row>
    <row r="11512" spans="1:4" ht="25.5">
      <c r="A11512" s="801">
        <v>7104</v>
      </c>
      <c r="B11512" s="802" t="s">
        <v>12426</v>
      </c>
      <c r="C11512" s="801" t="s">
        <v>656</v>
      </c>
      <c r="D11512" s="803">
        <v>3.51</v>
      </c>
    </row>
    <row r="11513" spans="1:4" ht="25.5">
      <c r="A11513" s="801">
        <v>7136</v>
      </c>
      <c r="B11513" s="802" t="s">
        <v>4793</v>
      </c>
      <c r="C11513" s="801" t="s">
        <v>656</v>
      </c>
      <c r="D11513" s="803">
        <v>6.6</v>
      </c>
    </row>
    <row r="11514" spans="1:4" ht="25.5">
      <c r="A11514" s="801">
        <v>7128</v>
      </c>
      <c r="B11514" s="802" t="s">
        <v>12427</v>
      </c>
      <c r="C11514" s="801" t="s">
        <v>656</v>
      </c>
      <c r="D11514" s="803">
        <v>10.82</v>
      </c>
    </row>
    <row r="11515" spans="1:4" ht="25.5">
      <c r="A11515" s="801">
        <v>7108</v>
      </c>
      <c r="B11515" s="802" t="s">
        <v>12428</v>
      </c>
      <c r="C11515" s="801" t="s">
        <v>656</v>
      </c>
      <c r="D11515" s="803">
        <v>11.58</v>
      </c>
    </row>
    <row r="11516" spans="1:4" ht="25.5">
      <c r="A11516" s="801">
        <v>7129</v>
      </c>
      <c r="B11516" s="802" t="s">
        <v>12429</v>
      </c>
      <c r="C11516" s="801" t="s">
        <v>656</v>
      </c>
      <c r="D11516" s="803">
        <v>9.6300000000000008</v>
      </c>
    </row>
    <row r="11517" spans="1:4" ht="25.5">
      <c r="A11517" s="801">
        <v>7130</v>
      </c>
      <c r="B11517" s="802" t="s">
        <v>12430</v>
      </c>
      <c r="C11517" s="801" t="s">
        <v>656</v>
      </c>
      <c r="D11517" s="803">
        <v>15.7</v>
      </c>
    </row>
    <row r="11518" spans="1:4" ht="25.5">
      <c r="A11518" s="801">
        <v>7131</v>
      </c>
      <c r="B11518" s="802" t="s">
        <v>12431</v>
      </c>
      <c r="C11518" s="801" t="s">
        <v>656</v>
      </c>
      <c r="D11518" s="803">
        <v>19.260000000000002</v>
      </c>
    </row>
    <row r="11519" spans="1:4" ht="25.5">
      <c r="A11519" s="801">
        <v>7132</v>
      </c>
      <c r="B11519" s="802" t="s">
        <v>4794</v>
      </c>
      <c r="C11519" s="801" t="s">
        <v>656</v>
      </c>
      <c r="D11519" s="803">
        <v>53.47</v>
      </c>
    </row>
    <row r="11520" spans="1:4" ht="25.5">
      <c r="A11520" s="801">
        <v>7133</v>
      </c>
      <c r="B11520" s="802" t="s">
        <v>12432</v>
      </c>
      <c r="C11520" s="801" t="s">
        <v>656</v>
      </c>
      <c r="D11520" s="803">
        <v>83.05</v>
      </c>
    </row>
    <row r="11521" spans="1:4" ht="25.5">
      <c r="A11521" s="801">
        <v>37420</v>
      </c>
      <c r="B11521" s="802" t="s">
        <v>12433</v>
      </c>
      <c r="C11521" s="801" t="s">
        <v>656</v>
      </c>
      <c r="D11521" s="803">
        <v>48.01</v>
      </c>
    </row>
    <row r="11522" spans="1:4" ht="25.5">
      <c r="A11522" s="801">
        <v>37421</v>
      </c>
      <c r="B11522" s="802" t="s">
        <v>12434</v>
      </c>
      <c r="C11522" s="801" t="s">
        <v>656</v>
      </c>
      <c r="D11522" s="803">
        <v>65.62</v>
      </c>
    </row>
    <row r="11523" spans="1:4" ht="25.5">
      <c r="A11523" s="801">
        <v>37422</v>
      </c>
      <c r="B11523" s="802" t="s">
        <v>12435</v>
      </c>
      <c r="C11523" s="801" t="s">
        <v>656</v>
      </c>
      <c r="D11523" s="803">
        <v>61.42</v>
      </c>
    </row>
    <row r="11524" spans="1:4" ht="25.5">
      <c r="A11524" s="801">
        <v>37443</v>
      </c>
      <c r="B11524" s="802" t="s">
        <v>12436</v>
      </c>
      <c r="C11524" s="801" t="s">
        <v>656</v>
      </c>
      <c r="D11524" s="803">
        <v>210.18</v>
      </c>
    </row>
    <row r="11525" spans="1:4" ht="25.5">
      <c r="A11525" s="801">
        <v>37444</v>
      </c>
      <c r="B11525" s="802" t="s">
        <v>12437</v>
      </c>
      <c r="C11525" s="801" t="s">
        <v>656</v>
      </c>
      <c r="D11525" s="803">
        <v>213.75</v>
      </c>
    </row>
    <row r="11526" spans="1:4" ht="25.5">
      <c r="A11526" s="801">
        <v>37445</v>
      </c>
      <c r="B11526" s="802" t="s">
        <v>12438</v>
      </c>
      <c r="C11526" s="801" t="s">
        <v>656</v>
      </c>
      <c r="D11526" s="803">
        <v>323.98</v>
      </c>
    </row>
    <row r="11527" spans="1:4" ht="25.5">
      <c r="A11527" s="801">
        <v>37446</v>
      </c>
      <c r="B11527" s="802" t="s">
        <v>12439</v>
      </c>
      <c r="C11527" s="801" t="s">
        <v>656</v>
      </c>
      <c r="D11527" s="803">
        <v>353.19</v>
      </c>
    </row>
    <row r="11528" spans="1:4" ht="25.5">
      <c r="A11528" s="801">
        <v>37447</v>
      </c>
      <c r="B11528" s="802" t="s">
        <v>12440</v>
      </c>
      <c r="C11528" s="801" t="s">
        <v>656</v>
      </c>
      <c r="D11528" s="803">
        <v>358.72</v>
      </c>
    </row>
    <row r="11529" spans="1:4" ht="25.5">
      <c r="A11529" s="801">
        <v>37448</v>
      </c>
      <c r="B11529" s="802" t="s">
        <v>12441</v>
      </c>
      <c r="C11529" s="801" t="s">
        <v>656</v>
      </c>
      <c r="D11529" s="803">
        <v>492.04</v>
      </c>
    </row>
    <row r="11530" spans="1:4" ht="25.5">
      <c r="A11530" s="801">
        <v>37440</v>
      </c>
      <c r="B11530" s="802" t="s">
        <v>12442</v>
      </c>
      <c r="C11530" s="801" t="s">
        <v>656</v>
      </c>
      <c r="D11530" s="803">
        <v>166.83</v>
      </c>
    </row>
    <row r="11531" spans="1:4" ht="25.5">
      <c r="A11531" s="801">
        <v>37441</v>
      </c>
      <c r="B11531" s="802" t="s">
        <v>12443</v>
      </c>
      <c r="C11531" s="801" t="s">
        <v>656</v>
      </c>
      <c r="D11531" s="803">
        <v>166.83</v>
      </c>
    </row>
    <row r="11532" spans="1:4" ht="25.5">
      <c r="A11532" s="801">
        <v>37442</v>
      </c>
      <c r="B11532" s="802" t="s">
        <v>12444</v>
      </c>
      <c r="C11532" s="801" t="s">
        <v>656</v>
      </c>
      <c r="D11532" s="803">
        <v>200.93</v>
      </c>
    </row>
    <row r="11533" spans="1:4" ht="25.5">
      <c r="A11533" s="801">
        <v>38017</v>
      </c>
      <c r="B11533" s="802" t="s">
        <v>12445</v>
      </c>
      <c r="C11533" s="801" t="s">
        <v>656</v>
      </c>
      <c r="D11533" s="803">
        <v>14.27</v>
      </c>
    </row>
    <row r="11534" spans="1:4" ht="25.5">
      <c r="A11534" s="801">
        <v>38018</v>
      </c>
      <c r="B11534" s="802" t="s">
        <v>12446</v>
      </c>
      <c r="C11534" s="801" t="s">
        <v>656</v>
      </c>
      <c r="D11534" s="803">
        <v>15.74</v>
      </c>
    </row>
    <row r="11535" spans="1:4" ht="25.5">
      <c r="A11535" s="801">
        <v>39895</v>
      </c>
      <c r="B11535" s="802" t="s">
        <v>12447</v>
      </c>
      <c r="C11535" s="801" t="s">
        <v>656</v>
      </c>
      <c r="D11535" s="803">
        <v>58.25</v>
      </c>
    </row>
    <row r="11536" spans="1:4" ht="25.5">
      <c r="A11536" s="801">
        <v>39896</v>
      </c>
      <c r="B11536" s="802" t="s">
        <v>12448</v>
      </c>
      <c r="C11536" s="801" t="s">
        <v>656</v>
      </c>
      <c r="D11536" s="803">
        <v>85.37</v>
      </c>
    </row>
    <row r="11537" spans="1:4" ht="25.5">
      <c r="A11537" s="801">
        <v>38873</v>
      </c>
      <c r="B11537" s="802" t="s">
        <v>12449</v>
      </c>
      <c r="C11537" s="801" t="s">
        <v>656</v>
      </c>
      <c r="D11537" s="803">
        <v>19.05</v>
      </c>
    </row>
    <row r="11538" spans="1:4" ht="25.5">
      <c r="A11538" s="801">
        <v>38874</v>
      </c>
      <c r="B11538" s="802" t="s">
        <v>12450</v>
      </c>
      <c r="C11538" s="801" t="s">
        <v>656</v>
      </c>
      <c r="D11538" s="803">
        <v>23.16</v>
      </c>
    </row>
    <row r="11539" spans="1:4" ht="25.5">
      <c r="A11539" s="801">
        <v>38875</v>
      </c>
      <c r="B11539" s="802" t="s">
        <v>12451</v>
      </c>
      <c r="C11539" s="801" t="s">
        <v>656</v>
      </c>
      <c r="D11539" s="803">
        <v>40.94</v>
      </c>
    </row>
    <row r="11540" spans="1:4" ht="25.5">
      <c r="A11540" s="801">
        <v>38876</v>
      </c>
      <c r="B11540" s="802" t="s">
        <v>12452</v>
      </c>
      <c r="C11540" s="801" t="s">
        <v>656</v>
      </c>
      <c r="D11540" s="803">
        <v>55.09</v>
      </c>
    </row>
    <row r="11541" spans="1:4" ht="25.5">
      <c r="A11541" s="801">
        <v>39000</v>
      </c>
      <c r="B11541" s="802" t="s">
        <v>12453</v>
      </c>
      <c r="C11541" s="801" t="s">
        <v>656</v>
      </c>
      <c r="D11541" s="803">
        <v>42.92</v>
      </c>
    </row>
    <row r="11542" spans="1:4" ht="25.5">
      <c r="A11542" s="801">
        <v>38674</v>
      </c>
      <c r="B11542" s="802" t="s">
        <v>12454</v>
      </c>
      <c r="C11542" s="801" t="s">
        <v>656</v>
      </c>
      <c r="D11542" s="803">
        <v>49.6</v>
      </c>
    </row>
    <row r="11543" spans="1:4" ht="25.5">
      <c r="A11543" s="801">
        <v>38911</v>
      </c>
      <c r="B11543" s="802" t="s">
        <v>12455</v>
      </c>
      <c r="C11543" s="801" t="s">
        <v>656</v>
      </c>
      <c r="D11543" s="803">
        <v>68.319999999999993</v>
      </c>
    </row>
    <row r="11544" spans="1:4" ht="25.5">
      <c r="A11544" s="801">
        <v>38912</v>
      </c>
      <c r="B11544" s="802" t="s">
        <v>12456</v>
      </c>
      <c r="C11544" s="801" t="s">
        <v>656</v>
      </c>
      <c r="D11544" s="803">
        <v>86.82</v>
      </c>
    </row>
    <row r="11545" spans="1:4">
      <c r="A11545" s="801">
        <v>38019</v>
      </c>
      <c r="B11545" s="802" t="s">
        <v>12457</v>
      </c>
      <c r="C11545" s="801" t="s">
        <v>656</v>
      </c>
      <c r="D11545" s="803">
        <v>12.43</v>
      </c>
    </row>
    <row r="11546" spans="1:4">
      <c r="A11546" s="801">
        <v>38020</v>
      </c>
      <c r="B11546" s="802" t="s">
        <v>12458</v>
      </c>
      <c r="C11546" s="801" t="s">
        <v>656</v>
      </c>
      <c r="D11546" s="803">
        <v>15.74</v>
      </c>
    </row>
    <row r="11547" spans="1:4" ht="25.5">
      <c r="A11547" s="801">
        <v>38454</v>
      </c>
      <c r="B11547" s="802" t="s">
        <v>12459</v>
      </c>
      <c r="C11547" s="801" t="s">
        <v>656</v>
      </c>
      <c r="D11547" s="803">
        <v>7.83</v>
      </c>
    </row>
    <row r="11548" spans="1:4" ht="25.5">
      <c r="A11548" s="801">
        <v>38455</v>
      </c>
      <c r="B11548" s="802" t="s">
        <v>12460</v>
      </c>
      <c r="C11548" s="801" t="s">
        <v>656</v>
      </c>
      <c r="D11548" s="803">
        <v>7.17</v>
      </c>
    </row>
    <row r="11549" spans="1:4" ht="25.5">
      <c r="A11549" s="801">
        <v>38462</v>
      </c>
      <c r="B11549" s="802" t="s">
        <v>12461</v>
      </c>
      <c r="C11549" s="801" t="s">
        <v>656</v>
      </c>
      <c r="D11549" s="803">
        <v>202.41</v>
      </c>
    </row>
    <row r="11550" spans="1:4" ht="25.5">
      <c r="A11550" s="801">
        <v>36362</v>
      </c>
      <c r="B11550" s="802" t="s">
        <v>12462</v>
      </c>
      <c r="C11550" s="801" t="s">
        <v>656</v>
      </c>
      <c r="D11550" s="803">
        <v>3.08</v>
      </c>
    </row>
    <row r="11551" spans="1:4" ht="25.5">
      <c r="A11551" s="801">
        <v>36298</v>
      </c>
      <c r="B11551" s="802" t="s">
        <v>12463</v>
      </c>
      <c r="C11551" s="801" t="s">
        <v>656</v>
      </c>
      <c r="D11551" s="803">
        <v>4.57</v>
      </c>
    </row>
    <row r="11552" spans="1:4" ht="25.5">
      <c r="A11552" s="801">
        <v>38456</v>
      </c>
      <c r="B11552" s="802" t="s">
        <v>12464</v>
      </c>
      <c r="C11552" s="801" t="s">
        <v>656</v>
      </c>
      <c r="D11552" s="803">
        <v>7.45</v>
      </c>
    </row>
    <row r="11553" spans="1:4" ht="25.5">
      <c r="A11553" s="801">
        <v>38457</v>
      </c>
      <c r="B11553" s="802" t="s">
        <v>12465</v>
      </c>
      <c r="C11553" s="801" t="s">
        <v>656</v>
      </c>
      <c r="D11553" s="803">
        <v>16.78</v>
      </c>
    </row>
    <row r="11554" spans="1:4" ht="25.5">
      <c r="A11554" s="801">
        <v>38458</v>
      </c>
      <c r="B11554" s="802" t="s">
        <v>12466</v>
      </c>
      <c r="C11554" s="801" t="s">
        <v>656</v>
      </c>
      <c r="D11554" s="803">
        <v>22.49</v>
      </c>
    </row>
    <row r="11555" spans="1:4" ht="25.5">
      <c r="A11555" s="801">
        <v>38459</v>
      </c>
      <c r="B11555" s="802" t="s">
        <v>12467</v>
      </c>
      <c r="C11555" s="801" t="s">
        <v>656</v>
      </c>
      <c r="D11555" s="803">
        <v>39.700000000000003</v>
      </c>
    </row>
    <row r="11556" spans="1:4" ht="25.5">
      <c r="A11556" s="801">
        <v>38460</v>
      </c>
      <c r="B11556" s="802" t="s">
        <v>12468</v>
      </c>
      <c r="C11556" s="801" t="s">
        <v>656</v>
      </c>
      <c r="D11556" s="803">
        <v>82.92</v>
      </c>
    </row>
    <row r="11557" spans="1:4" ht="25.5">
      <c r="A11557" s="801">
        <v>38461</v>
      </c>
      <c r="B11557" s="802" t="s">
        <v>12469</v>
      </c>
      <c r="C11557" s="801" t="s">
        <v>656</v>
      </c>
      <c r="D11557" s="803">
        <v>126.49</v>
      </c>
    </row>
    <row r="11558" spans="1:4">
      <c r="A11558" s="801">
        <v>7094</v>
      </c>
      <c r="B11558" s="802" t="s">
        <v>12470</v>
      </c>
      <c r="C11558" s="801" t="s">
        <v>656</v>
      </c>
      <c r="D11558" s="803">
        <v>12.14</v>
      </c>
    </row>
    <row r="11559" spans="1:4" ht="25.5">
      <c r="A11559" s="801">
        <v>7116</v>
      </c>
      <c r="B11559" s="802" t="s">
        <v>12471</v>
      </c>
      <c r="C11559" s="801" t="s">
        <v>656</v>
      </c>
      <c r="D11559" s="803">
        <v>4.21</v>
      </c>
    </row>
    <row r="11560" spans="1:4">
      <c r="A11560" s="801">
        <v>7118</v>
      </c>
      <c r="B11560" s="802" t="s">
        <v>12472</v>
      </c>
      <c r="C11560" s="801" t="s">
        <v>656</v>
      </c>
      <c r="D11560" s="803">
        <v>26.79</v>
      </c>
    </row>
    <row r="11561" spans="1:4">
      <c r="A11561" s="801">
        <v>7117</v>
      </c>
      <c r="B11561" s="802" t="s">
        <v>12473</v>
      </c>
      <c r="C11561" s="801" t="s">
        <v>656</v>
      </c>
      <c r="D11561" s="803">
        <v>23.82</v>
      </c>
    </row>
    <row r="11562" spans="1:4">
      <c r="A11562" s="801">
        <v>7098</v>
      </c>
      <c r="B11562" s="802" t="s">
        <v>12474</v>
      </c>
      <c r="C11562" s="801" t="s">
        <v>656</v>
      </c>
      <c r="D11562" s="803">
        <v>3.32</v>
      </c>
    </row>
    <row r="11563" spans="1:4">
      <c r="A11563" s="801">
        <v>7110</v>
      </c>
      <c r="B11563" s="802" t="s">
        <v>12475</v>
      </c>
      <c r="C11563" s="801" t="s">
        <v>656</v>
      </c>
      <c r="D11563" s="803">
        <v>58.27</v>
      </c>
    </row>
    <row r="11564" spans="1:4">
      <c r="A11564" s="801">
        <v>7123</v>
      </c>
      <c r="B11564" s="802" t="s">
        <v>12476</v>
      </c>
      <c r="C11564" s="801" t="s">
        <v>656</v>
      </c>
      <c r="D11564" s="803">
        <v>4.2699999999999996</v>
      </c>
    </row>
    <row r="11565" spans="1:4" ht="25.5">
      <c r="A11565" s="801">
        <v>7121</v>
      </c>
      <c r="B11565" s="802" t="s">
        <v>12477</v>
      </c>
      <c r="C11565" s="801" t="s">
        <v>656</v>
      </c>
      <c r="D11565" s="803">
        <v>10.53</v>
      </c>
    </row>
    <row r="11566" spans="1:4" ht="25.5">
      <c r="A11566" s="801">
        <v>7137</v>
      </c>
      <c r="B11566" s="802" t="s">
        <v>12478</v>
      </c>
      <c r="C11566" s="801" t="s">
        <v>656</v>
      </c>
      <c r="D11566" s="803">
        <v>9.48</v>
      </c>
    </row>
    <row r="11567" spans="1:4" ht="25.5">
      <c r="A11567" s="801">
        <v>7122</v>
      </c>
      <c r="B11567" s="802" t="s">
        <v>12479</v>
      </c>
      <c r="C11567" s="801" t="s">
        <v>656</v>
      </c>
      <c r="D11567" s="803">
        <v>11.84</v>
      </c>
    </row>
    <row r="11568" spans="1:4" ht="25.5">
      <c r="A11568" s="801">
        <v>7114</v>
      </c>
      <c r="B11568" s="802" t="s">
        <v>12480</v>
      </c>
      <c r="C11568" s="801" t="s">
        <v>656</v>
      </c>
      <c r="D11568" s="803">
        <v>18.260000000000002</v>
      </c>
    </row>
    <row r="11569" spans="1:4" ht="25.5">
      <c r="A11569" s="801">
        <v>7109</v>
      </c>
      <c r="B11569" s="802" t="s">
        <v>12481</v>
      </c>
      <c r="C11569" s="801" t="s">
        <v>656</v>
      </c>
      <c r="D11569" s="803">
        <v>3.2</v>
      </c>
    </row>
    <row r="11570" spans="1:4" ht="25.5">
      <c r="A11570" s="801">
        <v>7135</v>
      </c>
      <c r="B11570" s="802" t="s">
        <v>12482</v>
      </c>
      <c r="C11570" s="801" t="s">
        <v>656</v>
      </c>
      <c r="D11570" s="803">
        <v>4.99</v>
      </c>
    </row>
    <row r="11571" spans="1:4" ht="25.5">
      <c r="A11571" s="801">
        <v>37947</v>
      </c>
      <c r="B11571" s="802" t="s">
        <v>12483</v>
      </c>
      <c r="C11571" s="801" t="s">
        <v>656</v>
      </c>
      <c r="D11571" s="803">
        <v>5.05</v>
      </c>
    </row>
    <row r="11572" spans="1:4" ht="25.5">
      <c r="A11572" s="801">
        <v>7103</v>
      </c>
      <c r="B11572" s="802" t="s">
        <v>12484</v>
      </c>
      <c r="C11572" s="801" t="s">
        <v>656</v>
      </c>
      <c r="D11572" s="803">
        <v>11.58</v>
      </c>
    </row>
    <row r="11573" spans="1:4">
      <c r="A11573" s="801">
        <v>40419</v>
      </c>
      <c r="B11573" s="802" t="s">
        <v>12485</v>
      </c>
      <c r="C11573" s="801" t="s">
        <v>656</v>
      </c>
      <c r="D11573" s="803">
        <v>48.71</v>
      </c>
    </row>
    <row r="11574" spans="1:4">
      <c r="A11574" s="801">
        <v>40420</v>
      </c>
      <c r="B11574" s="802" t="s">
        <v>12486</v>
      </c>
      <c r="C11574" s="801" t="s">
        <v>656</v>
      </c>
      <c r="D11574" s="803">
        <v>71.069999999999993</v>
      </c>
    </row>
    <row r="11575" spans="1:4">
      <c r="A11575" s="801">
        <v>40421</v>
      </c>
      <c r="B11575" s="802" t="s">
        <v>12487</v>
      </c>
      <c r="C11575" s="801" t="s">
        <v>656</v>
      </c>
      <c r="D11575" s="803">
        <v>75.650000000000006</v>
      </c>
    </row>
    <row r="11576" spans="1:4" ht="25.5">
      <c r="A11576" s="801">
        <v>7126</v>
      </c>
      <c r="B11576" s="802" t="s">
        <v>12488</v>
      </c>
      <c r="C11576" s="801" t="s">
        <v>656</v>
      </c>
      <c r="D11576" s="803">
        <v>24.31</v>
      </c>
    </row>
    <row r="11577" spans="1:4" ht="25.5">
      <c r="A11577" s="801">
        <v>38905</v>
      </c>
      <c r="B11577" s="802" t="s">
        <v>12489</v>
      </c>
      <c r="C11577" s="801" t="s">
        <v>656</v>
      </c>
      <c r="D11577" s="803">
        <v>21.41</v>
      </c>
    </row>
    <row r="11578" spans="1:4" ht="25.5">
      <c r="A11578" s="801">
        <v>38907</v>
      </c>
      <c r="B11578" s="802" t="s">
        <v>12490</v>
      </c>
      <c r="C11578" s="801" t="s">
        <v>656</v>
      </c>
      <c r="D11578" s="803">
        <v>22.78</v>
      </c>
    </row>
    <row r="11579" spans="1:4" ht="25.5">
      <c r="A11579" s="801">
        <v>38908</v>
      </c>
      <c r="B11579" s="802" t="s">
        <v>12491</v>
      </c>
      <c r="C11579" s="801" t="s">
        <v>656</v>
      </c>
      <c r="D11579" s="803">
        <v>25.63</v>
      </c>
    </row>
    <row r="11580" spans="1:4" ht="25.5">
      <c r="A11580" s="801">
        <v>38909</v>
      </c>
      <c r="B11580" s="802" t="s">
        <v>12492</v>
      </c>
      <c r="C11580" s="801" t="s">
        <v>656</v>
      </c>
      <c r="D11580" s="803">
        <v>36.85</v>
      </c>
    </row>
    <row r="11581" spans="1:4" ht="25.5">
      <c r="A11581" s="801">
        <v>38910</v>
      </c>
      <c r="B11581" s="802" t="s">
        <v>12493</v>
      </c>
      <c r="C11581" s="801" t="s">
        <v>656</v>
      </c>
      <c r="D11581" s="803">
        <v>39.799999999999997</v>
      </c>
    </row>
    <row r="11582" spans="1:4" ht="25.5">
      <c r="A11582" s="801">
        <v>38897</v>
      </c>
      <c r="B11582" s="802" t="s">
        <v>12494</v>
      </c>
      <c r="C11582" s="801" t="s">
        <v>656</v>
      </c>
      <c r="D11582" s="803">
        <v>21.5</v>
      </c>
    </row>
    <row r="11583" spans="1:4" ht="25.5">
      <c r="A11583" s="801">
        <v>38899</v>
      </c>
      <c r="B11583" s="802" t="s">
        <v>12495</v>
      </c>
      <c r="C11583" s="801" t="s">
        <v>656</v>
      </c>
      <c r="D11583" s="803">
        <v>24.18</v>
      </c>
    </row>
    <row r="11584" spans="1:4" ht="25.5">
      <c r="A11584" s="801">
        <v>38900</v>
      </c>
      <c r="B11584" s="802" t="s">
        <v>12496</v>
      </c>
      <c r="C11584" s="801" t="s">
        <v>656</v>
      </c>
      <c r="D11584" s="803">
        <v>25.21</v>
      </c>
    </row>
    <row r="11585" spans="1:4" ht="25.5">
      <c r="A11585" s="801">
        <v>38901</v>
      </c>
      <c r="B11585" s="802" t="s">
        <v>12497</v>
      </c>
      <c r="C11585" s="801" t="s">
        <v>656</v>
      </c>
      <c r="D11585" s="803">
        <v>41.24</v>
      </c>
    </row>
    <row r="11586" spans="1:4" ht="25.5">
      <c r="A11586" s="801">
        <v>38904</v>
      </c>
      <c r="B11586" s="802" t="s">
        <v>12498</v>
      </c>
      <c r="C11586" s="801" t="s">
        <v>656</v>
      </c>
      <c r="D11586" s="803">
        <v>67</v>
      </c>
    </row>
    <row r="11587" spans="1:4" ht="25.5">
      <c r="A11587" s="801">
        <v>38903</v>
      </c>
      <c r="B11587" s="802" t="s">
        <v>12499</v>
      </c>
      <c r="C11587" s="801" t="s">
        <v>656</v>
      </c>
      <c r="D11587" s="803">
        <v>66.58</v>
      </c>
    </row>
    <row r="11588" spans="1:4" ht="25.5">
      <c r="A11588" s="801">
        <v>7091</v>
      </c>
      <c r="B11588" s="802" t="s">
        <v>12500</v>
      </c>
      <c r="C11588" s="801" t="s">
        <v>656</v>
      </c>
      <c r="D11588" s="803">
        <v>19.84</v>
      </c>
    </row>
    <row r="11589" spans="1:4" ht="25.5">
      <c r="A11589" s="801">
        <v>11655</v>
      </c>
      <c r="B11589" s="802" t="s">
        <v>12501</v>
      </c>
      <c r="C11589" s="801" t="s">
        <v>656</v>
      </c>
      <c r="D11589" s="803">
        <v>18.95</v>
      </c>
    </row>
    <row r="11590" spans="1:4" ht="25.5">
      <c r="A11590" s="801">
        <v>11656</v>
      </c>
      <c r="B11590" s="802" t="s">
        <v>12502</v>
      </c>
      <c r="C11590" s="801" t="s">
        <v>656</v>
      </c>
      <c r="D11590" s="803">
        <v>19.82</v>
      </c>
    </row>
    <row r="11591" spans="1:4" ht="25.5">
      <c r="A11591" s="801">
        <v>37948</v>
      </c>
      <c r="B11591" s="802" t="s">
        <v>12503</v>
      </c>
      <c r="C11591" s="801" t="s">
        <v>656</v>
      </c>
      <c r="D11591" s="803">
        <v>4.01</v>
      </c>
    </row>
    <row r="11592" spans="1:4" ht="25.5">
      <c r="A11592" s="801">
        <v>7097</v>
      </c>
      <c r="B11592" s="802" t="s">
        <v>12504</v>
      </c>
      <c r="C11592" s="801" t="s">
        <v>656</v>
      </c>
      <c r="D11592" s="803">
        <v>8.81</v>
      </c>
    </row>
    <row r="11593" spans="1:4" ht="25.5">
      <c r="A11593" s="801">
        <v>11657</v>
      </c>
      <c r="B11593" s="802" t="s">
        <v>12505</v>
      </c>
      <c r="C11593" s="801" t="s">
        <v>656</v>
      </c>
      <c r="D11593" s="803">
        <v>17.28</v>
      </c>
    </row>
    <row r="11594" spans="1:4" ht="25.5">
      <c r="A11594" s="801">
        <v>11658</v>
      </c>
      <c r="B11594" s="802" t="s">
        <v>12506</v>
      </c>
      <c r="C11594" s="801" t="s">
        <v>656</v>
      </c>
      <c r="D11594" s="803">
        <v>17.600000000000001</v>
      </c>
    </row>
    <row r="11595" spans="1:4" ht="25.5">
      <c r="A11595" s="801">
        <v>7146</v>
      </c>
      <c r="B11595" s="802" t="s">
        <v>12507</v>
      </c>
      <c r="C11595" s="801" t="s">
        <v>656</v>
      </c>
      <c r="D11595" s="803">
        <v>180.45</v>
      </c>
    </row>
    <row r="11596" spans="1:4" ht="25.5">
      <c r="A11596" s="801">
        <v>7138</v>
      </c>
      <c r="B11596" s="802" t="s">
        <v>12508</v>
      </c>
      <c r="C11596" s="801" t="s">
        <v>656</v>
      </c>
      <c r="D11596" s="803">
        <v>1.02</v>
      </c>
    </row>
    <row r="11597" spans="1:4" ht="25.5">
      <c r="A11597" s="801">
        <v>7139</v>
      </c>
      <c r="B11597" s="802" t="s">
        <v>4795</v>
      </c>
      <c r="C11597" s="801" t="s">
        <v>656</v>
      </c>
      <c r="D11597" s="803">
        <v>1.34</v>
      </c>
    </row>
    <row r="11598" spans="1:4" ht="25.5">
      <c r="A11598" s="801">
        <v>7140</v>
      </c>
      <c r="B11598" s="802" t="s">
        <v>12509</v>
      </c>
      <c r="C11598" s="801" t="s">
        <v>656</v>
      </c>
      <c r="D11598" s="803">
        <v>4.45</v>
      </c>
    </row>
    <row r="11599" spans="1:4" ht="25.5">
      <c r="A11599" s="801">
        <v>7141</v>
      </c>
      <c r="B11599" s="802" t="s">
        <v>12510</v>
      </c>
      <c r="C11599" s="801" t="s">
        <v>656</v>
      </c>
      <c r="D11599" s="803">
        <v>9.73</v>
      </c>
    </row>
    <row r="11600" spans="1:4" ht="25.5">
      <c r="A11600" s="801">
        <v>7143</v>
      </c>
      <c r="B11600" s="802" t="s">
        <v>12511</v>
      </c>
      <c r="C11600" s="801" t="s">
        <v>656</v>
      </c>
      <c r="D11600" s="803">
        <v>32.43</v>
      </c>
    </row>
    <row r="11601" spans="1:4" ht="25.5">
      <c r="A11601" s="801">
        <v>7144</v>
      </c>
      <c r="B11601" s="802" t="s">
        <v>12512</v>
      </c>
      <c r="C11601" s="801" t="s">
        <v>656</v>
      </c>
      <c r="D11601" s="803">
        <v>64.88</v>
      </c>
    </row>
    <row r="11602" spans="1:4" ht="25.5">
      <c r="A11602" s="801">
        <v>7145</v>
      </c>
      <c r="B11602" s="802" t="s">
        <v>12513</v>
      </c>
      <c r="C11602" s="801" t="s">
        <v>656</v>
      </c>
      <c r="D11602" s="803">
        <v>106.4</v>
      </c>
    </row>
    <row r="11603" spans="1:4" ht="25.5">
      <c r="A11603" s="801">
        <v>7142</v>
      </c>
      <c r="B11603" s="802" t="s">
        <v>4796</v>
      </c>
      <c r="C11603" s="801" t="s">
        <v>656</v>
      </c>
      <c r="D11603" s="803">
        <v>10.88</v>
      </c>
    </row>
    <row r="11604" spans="1:4" ht="25.5">
      <c r="A11604" s="801">
        <v>3593</v>
      </c>
      <c r="B11604" s="802" t="s">
        <v>12514</v>
      </c>
      <c r="C11604" s="801" t="s">
        <v>656</v>
      </c>
      <c r="D11604" s="803">
        <v>71.67</v>
      </c>
    </row>
    <row r="11605" spans="1:4" ht="25.5">
      <c r="A11605" s="801">
        <v>3588</v>
      </c>
      <c r="B11605" s="802" t="s">
        <v>12515</v>
      </c>
      <c r="C11605" s="801" t="s">
        <v>656</v>
      </c>
      <c r="D11605" s="803">
        <v>55.25</v>
      </c>
    </row>
    <row r="11606" spans="1:4">
      <c r="A11606" s="801">
        <v>3585</v>
      </c>
      <c r="B11606" s="802" t="s">
        <v>12516</v>
      </c>
      <c r="C11606" s="801" t="s">
        <v>656</v>
      </c>
      <c r="D11606" s="803">
        <v>17.059999999999999</v>
      </c>
    </row>
    <row r="11607" spans="1:4">
      <c r="A11607" s="801">
        <v>3587</v>
      </c>
      <c r="B11607" s="802" t="s">
        <v>12517</v>
      </c>
      <c r="C11607" s="801" t="s">
        <v>656</v>
      </c>
      <c r="D11607" s="803">
        <v>34.28</v>
      </c>
    </row>
    <row r="11608" spans="1:4" ht="25.5">
      <c r="A11608" s="801">
        <v>3590</v>
      </c>
      <c r="B11608" s="802" t="s">
        <v>12518</v>
      </c>
      <c r="C11608" s="801" t="s">
        <v>656</v>
      </c>
      <c r="D11608" s="803">
        <v>203.5</v>
      </c>
    </row>
    <row r="11609" spans="1:4">
      <c r="A11609" s="801">
        <v>3589</v>
      </c>
      <c r="B11609" s="802" t="s">
        <v>12519</v>
      </c>
      <c r="C11609" s="801" t="s">
        <v>656</v>
      </c>
      <c r="D11609" s="803">
        <v>109.23</v>
      </c>
    </row>
    <row r="11610" spans="1:4">
      <c r="A11610" s="801">
        <v>3586</v>
      </c>
      <c r="B11610" s="802" t="s">
        <v>12520</v>
      </c>
      <c r="C11610" s="801" t="s">
        <v>656</v>
      </c>
      <c r="D11610" s="803">
        <v>22.35</v>
      </c>
    </row>
    <row r="11611" spans="1:4">
      <c r="A11611" s="801">
        <v>3592</v>
      </c>
      <c r="B11611" s="802" t="s">
        <v>12521</v>
      </c>
      <c r="C11611" s="801" t="s">
        <v>656</v>
      </c>
      <c r="D11611" s="803">
        <v>321.68</v>
      </c>
    </row>
    <row r="11612" spans="1:4">
      <c r="A11612" s="801">
        <v>3591</v>
      </c>
      <c r="B11612" s="802" t="s">
        <v>12522</v>
      </c>
      <c r="C11612" s="801" t="s">
        <v>656</v>
      </c>
      <c r="D11612" s="803">
        <v>515.66999999999996</v>
      </c>
    </row>
    <row r="11613" spans="1:4" ht="25.5">
      <c r="A11613" s="801">
        <v>40396</v>
      </c>
      <c r="B11613" s="802" t="s">
        <v>12523</v>
      </c>
      <c r="C11613" s="801" t="s">
        <v>656</v>
      </c>
      <c r="D11613" s="803">
        <v>133.44999999999999</v>
      </c>
    </row>
    <row r="11614" spans="1:4" ht="25.5">
      <c r="A11614" s="801">
        <v>40395</v>
      </c>
      <c r="B11614" s="802" t="s">
        <v>12524</v>
      </c>
      <c r="C11614" s="801" t="s">
        <v>656</v>
      </c>
      <c r="D11614" s="803">
        <v>102.42</v>
      </c>
    </row>
    <row r="11615" spans="1:4" ht="25.5">
      <c r="A11615" s="801">
        <v>40392</v>
      </c>
      <c r="B11615" s="802" t="s">
        <v>12525</v>
      </c>
      <c r="C11615" s="801" t="s">
        <v>656</v>
      </c>
      <c r="D11615" s="803">
        <v>32.950000000000003</v>
      </c>
    </row>
    <row r="11616" spans="1:4" ht="25.5">
      <c r="A11616" s="801">
        <v>40394</v>
      </c>
      <c r="B11616" s="802" t="s">
        <v>12526</v>
      </c>
      <c r="C11616" s="801" t="s">
        <v>656</v>
      </c>
      <c r="D11616" s="803">
        <v>66.680000000000007</v>
      </c>
    </row>
    <row r="11617" spans="1:4" ht="25.5">
      <c r="A11617" s="801">
        <v>40398</v>
      </c>
      <c r="B11617" s="802" t="s">
        <v>12527</v>
      </c>
      <c r="C11617" s="801" t="s">
        <v>656</v>
      </c>
      <c r="D11617" s="803">
        <v>428.14</v>
      </c>
    </row>
    <row r="11618" spans="1:4" ht="25.5">
      <c r="A11618" s="801">
        <v>40397</v>
      </c>
      <c r="B11618" s="802" t="s">
        <v>12528</v>
      </c>
      <c r="C11618" s="801" t="s">
        <v>656</v>
      </c>
      <c r="D11618" s="803">
        <v>219.26</v>
      </c>
    </row>
    <row r="11619" spans="1:4" ht="25.5">
      <c r="A11619" s="801">
        <v>40393</v>
      </c>
      <c r="B11619" s="802" t="s">
        <v>12529</v>
      </c>
      <c r="C11619" s="801" t="s">
        <v>656</v>
      </c>
      <c r="D11619" s="803">
        <v>42.45</v>
      </c>
    </row>
    <row r="11620" spans="1:4" ht="25.5">
      <c r="A11620" s="801">
        <v>40399</v>
      </c>
      <c r="B11620" s="802" t="s">
        <v>12530</v>
      </c>
      <c r="C11620" s="801" t="s">
        <v>656</v>
      </c>
      <c r="D11620" s="803">
        <v>700.44</v>
      </c>
    </row>
    <row r="11621" spans="1:4" ht="25.5">
      <c r="A11621" s="801">
        <v>39322</v>
      </c>
      <c r="B11621" s="802" t="s">
        <v>12531</v>
      </c>
      <c r="C11621" s="801" t="s">
        <v>656</v>
      </c>
      <c r="D11621" s="803">
        <v>25.97</v>
      </c>
    </row>
    <row r="11622" spans="1:4" ht="25.5">
      <c r="A11622" s="801">
        <v>39289</v>
      </c>
      <c r="B11622" s="802" t="s">
        <v>12532</v>
      </c>
      <c r="C11622" s="801" t="s">
        <v>656</v>
      </c>
      <c r="D11622" s="803">
        <v>31.11</v>
      </c>
    </row>
    <row r="11623" spans="1:4" ht="25.5">
      <c r="A11623" s="801">
        <v>39290</v>
      </c>
      <c r="B11623" s="802" t="s">
        <v>12533</v>
      </c>
      <c r="C11623" s="801" t="s">
        <v>656</v>
      </c>
      <c r="D11623" s="803">
        <v>52.8</v>
      </c>
    </row>
    <row r="11624" spans="1:4" ht="25.5">
      <c r="A11624" s="801">
        <v>39291</v>
      </c>
      <c r="B11624" s="802" t="s">
        <v>12534</v>
      </c>
      <c r="C11624" s="801" t="s">
        <v>656</v>
      </c>
      <c r="D11624" s="803">
        <v>79.06</v>
      </c>
    </row>
    <row r="11625" spans="1:4">
      <c r="A11625" s="801">
        <v>20174</v>
      </c>
      <c r="B11625" s="802" t="s">
        <v>12535</v>
      </c>
      <c r="C11625" s="801" t="s">
        <v>656</v>
      </c>
      <c r="D11625" s="803">
        <v>48.34</v>
      </c>
    </row>
    <row r="11626" spans="1:4" ht="25.5">
      <c r="A11626" s="801">
        <v>41892</v>
      </c>
      <c r="B11626" s="802" t="s">
        <v>12536</v>
      </c>
      <c r="C11626" s="801" t="s">
        <v>656</v>
      </c>
      <c r="D11626" s="803">
        <v>145.6</v>
      </c>
    </row>
    <row r="11627" spans="1:4" ht="25.5">
      <c r="A11627" s="801">
        <v>7048</v>
      </c>
      <c r="B11627" s="802" t="s">
        <v>12537</v>
      </c>
      <c r="C11627" s="801" t="s">
        <v>656</v>
      </c>
      <c r="D11627" s="803">
        <v>31.42</v>
      </c>
    </row>
    <row r="11628" spans="1:4" ht="25.5">
      <c r="A11628" s="801">
        <v>7088</v>
      </c>
      <c r="B11628" s="802" t="s">
        <v>12538</v>
      </c>
      <c r="C11628" s="801" t="s">
        <v>656</v>
      </c>
      <c r="D11628" s="803">
        <v>68.72</v>
      </c>
    </row>
    <row r="11629" spans="1:4" ht="25.5">
      <c r="A11629" s="801">
        <v>20179</v>
      </c>
      <c r="B11629" s="802" t="s">
        <v>12539</v>
      </c>
      <c r="C11629" s="801" t="s">
        <v>656</v>
      </c>
      <c r="D11629" s="803">
        <v>65.08</v>
      </c>
    </row>
    <row r="11630" spans="1:4" ht="25.5">
      <c r="A11630" s="801">
        <v>20178</v>
      </c>
      <c r="B11630" s="802" t="s">
        <v>12540</v>
      </c>
      <c r="C11630" s="801" t="s">
        <v>656</v>
      </c>
      <c r="D11630" s="803">
        <v>57.51</v>
      </c>
    </row>
    <row r="11631" spans="1:4" ht="25.5">
      <c r="A11631" s="801">
        <v>20180</v>
      </c>
      <c r="B11631" s="802" t="s">
        <v>12541</v>
      </c>
      <c r="C11631" s="801" t="s">
        <v>656</v>
      </c>
      <c r="D11631" s="803">
        <v>105.69</v>
      </c>
    </row>
    <row r="11632" spans="1:4" ht="25.5">
      <c r="A11632" s="801">
        <v>20181</v>
      </c>
      <c r="B11632" s="802" t="s">
        <v>12542</v>
      </c>
      <c r="C11632" s="801" t="s">
        <v>656</v>
      </c>
      <c r="D11632" s="803">
        <v>156.78</v>
      </c>
    </row>
    <row r="11633" spans="1:4" ht="25.5">
      <c r="A11633" s="801">
        <v>20177</v>
      </c>
      <c r="B11633" s="802" t="s">
        <v>12543</v>
      </c>
      <c r="C11633" s="801" t="s">
        <v>656</v>
      </c>
      <c r="D11633" s="803">
        <v>37.69</v>
      </c>
    </row>
    <row r="11634" spans="1:4" ht="25.5">
      <c r="A11634" s="801">
        <v>7082</v>
      </c>
      <c r="B11634" s="802" t="s">
        <v>12544</v>
      </c>
      <c r="C11634" s="801" t="s">
        <v>656</v>
      </c>
      <c r="D11634" s="803">
        <v>73.05</v>
      </c>
    </row>
    <row r="11635" spans="1:4" ht="25.5">
      <c r="A11635" s="801">
        <v>42707</v>
      </c>
      <c r="B11635" s="802" t="s">
        <v>12545</v>
      </c>
      <c r="C11635" s="801" t="s">
        <v>656</v>
      </c>
      <c r="D11635" s="803">
        <v>198.38</v>
      </c>
    </row>
    <row r="11636" spans="1:4" ht="25.5">
      <c r="A11636" s="801">
        <v>7069</v>
      </c>
      <c r="B11636" s="802" t="s">
        <v>12546</v>
      </c>
      <c r="C11636" s="801" t="s">
        <v>656</v>
      </c>
      <c r="D11636" s="803">
        <v>162.12</v>
      </c>
    </row>
    <row r="11637" spans="1:4" ht="25.5">
      <c r="A11637" s="801">
        <v>42708</v>
      </c>
      <c r="B11637" s="802" t="s">
        <v>12547</v>
      </c>
      <c r="C11637" s="801" t="s">
        <v>656</v>
      </c>
      <c r="D11637" s="803">
        <v>520.69000000000005</v>
      </c>
    </row>
    <row r="11638" spans="1:4" ht="25.5">
      <c r="A11638" s="801">
        <v>7070</v>
      </c>
      <c r="B11638" s="802" t="s">
        <v>12548</v>
      </c>
      <c r="C11638" s="801" t="s">
        <v>656</v>
      </c>
      <c r="D11638" s="803">
        <v>232.15</v>
      </c>
    </row>
    <row r="11639" spans="1:4" ht="25.5">
      <c r="A11639" s="801">
        <v>42709</v>
      </c>
      <c r="B11639" s="802" t="s">
        <v>12549</v>
      </c>
      <c r="C11639" s="801" t="s">
        <v>656</v>
      </c>
      <c r="D11639" s="803">
        <v>778.71</v>
      </c>
    </row>
    <row r="11640" spans="1:4" ht="25.5">
      <c r="A11640" s="801">
        <v>42710</v>
      </c>
      <c r="B11640" s="802" t="s">
        <v>12550</v>
      </c>
      <c r="C11640" s="801" t="s">
        <v>656</v>
      </c>
      <c r="D11640" s="803">
        <v>2238.42</v>
      </c>
    </row>
    <row r="11641" spans="1:4" ht="25.5">
      <c r="A11641" s="801">
        <v>42716</v>
      </c>
      <c r="B11641" s="802" t="s">
        <v>12551</v>
      </c>
      <c r="C11641" s="801" t="s">
        <v>656</v>
      </c>
      <c r="D11641" s="803">
        <v>2786.1</v>
      </c>
    </row>
    <row r="11642" spans="1:4" ht="25.5">
      <c r="A11642" s="801">
        <v>20172</v>
      </c>
      <c r="B11642" s="802" t="s">
        <v>12552</v>
      </c>
      <c r="C11642" s="801" t="s">
        <v>656</v>
      </c>
      <c r="D11642" s="803">
        <v>53.57</v>
      </c>
    </row>
    <row r="11643" spans="1:4">
      <c r="A11643" s="801">
        <v>40945</v>
      </c>
      <c r="B11643" s="802" t="s">
        <v>12553</v>
      </c>
      <c r="C11643" s="801" t="s">
        <v>659</v>
      </c>
      <c r="D11643" s="803">
        <v>13.08</v>
      </c>
    </row>
    <row r="11644" spans="1:4">
      <c r="A11644" s="801">
        <v>40946</v>
      </c>
      <c r="B11644" s="802" t="s">
        <v>12554</v>
      </c>
      <c r="C11644" s="801" t="s">
        <v>772</v>
      </c>
      <c r="D11644" s="803">
        <v>2312.69</v>
      </c>
    </row>
    <row r="11645" spans="1:4">
      <c r="A11645" s="801">
        <v>7153</v>
      </c>
      <c r="B11645" s="802" t="s">
        <v>12555</v>
      </c>
      <c r="C11645" s="801" t="s">
        <v>659</v>
      </c>
      <c r="D11645" s="803">
        <v>19.75</v>
      </c>
    </row>
    <row r="11646" spans="1:4" ht="25.5">
      <c r="A11646" s="801">
        <v>41089</v>
      </c>
      <c r="B11646" s="802" t="s">
        <v>12556</v>
      </c>
      <c r="C11646" s="801" t="s">
        <v>772</v>
      </c>
      <c r="D11646" s="803">
        <v>3490.5</v>
      </c>
    </row>
    <row r="11647" spans="1:4">
      <c r="A11647" s="801">
        <v>40943</v>
      </c>
      <c r="B11647" s="802" t="s">
        <v>12557</v>
      </c>
      <c r="C11647" s="801" t="s">
        <v>659</v>
      </c>
      <c r="D11647" s="803">
        <v>20.8</v>
      </c>
    </row>
    <row r="11648" spans="1:4">
      <c r="A11648" s="801">
        <v>40944</v>
      </c>
      <c r="B11648" s="802" t="s">
        <v>12558</v>
      </c>
      <c r="C11648" s="801" t="s">
        <v>772</v>
      </c>
      <c r="D11648" s="803">
        <v>3675.97</v>
      </c>
    </row>
    <row r="11649" spans="1:4">
      <c r="A11649" s="801">
        <v>6175</v>
      </c>
      <c r="B11649" s="802" t="s">
        <v>12559</v>
      </c>
      <c r="C11649" s="801" t="s">
        <v>659</v>
      </c>
      <c r="D11649" s="803">
        <v>18.2</v>
      </c>
    </row>
    <row r="11650" spans="1:4">
      <c r="A11650" s="801">
        <v>41092</v>
      </c>
      <c r="B11650" s="802" t="s">
        <v>12560</v>
      </c>
      <c r="C11650" s="801" t="s">
        <v>772</v>
      </c>
      <c r="D11650" s="803">
        <v>3215.47</v>
      </c>
    </row>
    <row r="11651" spans="1:4" ht="38.25">
      <c r="A11651" s="801">
        <v>37712</v>
      </c>
      <c r="B11651" s="802" t="s">
        <v>12561</v>
      </c>
      <c r="C11651" s="801" t="s">
        <v>661</v>
      </c>
      <c r="D11651" s="803">
        <v>67.72</v>
      </c>
    </row>
    <row r="11652" spans="1:4" ht="25.5">
      <c r="A11652" s="801">
        <v>34547</v>
      </c>
      <c r="B11652" s="802" t="s">
        <v>4797</v>
      </c>
      <c r="C11652" s="801" t="s">
        <v>660</v>
      </c>
      <c r="D11652" s="803">
        <v>6.98</v>
      </c>
    </row>
    <row r="11653" spans="1:4" ht="25.5">
      <c r="A11653" s="801">
        <v>34548</v>
      </c>
      <c r="B11653" s="802" t="s">
        <v>12562</v>
      </c>
      <c r="C11653" s="801" t="s">
        <v>660</v>
      </c>
      <c r="D11653" s="803">
        <v>11.45</v>
      </c>
    </row>
    <row r="11654" spans="1:4" ht="25.5">
      <c r="A11654" s="801">
        <v>34558</v>
      </c>
      <c r="B11654" s="802" t="s">
        <v>12563</v>
      </c>
      <c r="C11654" s="801" t="s">
        <v>660</v>
      </c>
      <c r="D11654" s="803">
        <v>5.67</v>
      </c>
    </row>
    <row r="11655" spans="1:4" ht="25.5">
      <c r="A11655" s="801">
        <v>34550</v>
      </c>
      <c r="B11655" s="802" t="s">
        <v>12564</v>
      </c>
      <c r="C11655" s="801" t="s">
        <v>660</v>
      </c>
      <c r="D11655" s="803">
        <v>3.02</v>
      </c>
    </row>
    <row r="11656" spans="1:4" ht="25.5">
      <c r="A11656" s="801">
        <v>34557</v>
      </c>
      <c r="B11656" s="802" t="s">
        <v>4798</v>
      </c>
      <c r="C11656" s="801" t="s">
        <v>660</v>
      </c>
      <c r="D11656" s="803">
        <v>4.42</v>
      </c>
    </row>
    <row r="11657" spans="1:4" ht="25.5">
      <c r="A11657" s="801">
        <v>37411</v>
      </c>
      <c r="B11657" s="802" t="s">
        <v>12565</v>
      </c>
      <c r="C11657" s="801" t="s">
        <v>661</v>
      </c>
      <c r="D11657" s="803">
        <v>32.31</v>
      </c>
    </row>
    <row r="11658" spans="1:4" ht="38.25">
      <c r="A11658" s="801">
        <v>39508</v>
      </c>
      <c r="B11658" s="802" t="s">
        <v>12566</v>
      </c>
      <c r="C11658" s="801" t="s">
        <v>661</v>
      </c>
      <c r="D11658" s="803">
        <v>18.149999999999999</v>
      </c>
    </row>
    <row r="11659" spans="1:4" ht="38.25">
      <c r="A11659" s="801">
        <v>39507</v>
      </c>
      <c r="B11659" s="802" t="s">
        <v>12567</v>
      </c>
      <c r="C11659" s="801" t="s">
        <v>661</v>
      </c>
      <c r="D11659" s="803">
        <v>27.07</v>
      </c>
    </row>
    <row r="11660" spans="1:4" ht="38.25">
      <c r="A11660" s="801">
        <v>7155</v>
      </c>
      <c r="B11660" s="802" t="s">
        <v>12568</v>
      </c>
      <c r="C11660" s="801" t="s">
        <v>661</v>
      </c>
      <c r="D11660" s="803">
        <v>34.75</v>
      </c>
    </row>
    <row r="11661" spans="1:4" ht="38.25">
      <c r="A11661" s="801">
        <v>42406</v>
      </c>
      <c r="B11661" s="802" t="s">
        <v>12569</v>
      </c>
      <c r="C11661" s="801" t="s">
        <v>661</v>
      </c>
      <c r="D11661" s="803">
        <v>39.85</v>
      </c>
    </row>
    <row r="11662" spans="1:4" ht="38.25">
      <c r="A11662" s="801">
        <v>7156</v>
      </c>
      <c r="B11662" s="802" t="s">
        <v>4799</v>
      </c>
      <c r="C11662" s="801" t="s">
        <v>661</v>
      </c>
      <c r="D11662" s="803">
        <v>49.86</v>
      </c>
    </row>
    <row r="11663" spans="1:4" ht="38.25">
      <c r="A11663" s="801">
        <v>43127</v>
      </c>
      <c r="B11663" s="802" t="s">
        <v>12570</v>
      </c>
      <c r="C11663" s="801" t="s">
        <v>661</v>
      </c>
      <c r="D11663" s="803">
        <v>71.36</v>
      </c>
    </row>
    <row r="11664" spans="1:4" ht="38.25">
      <c r="A11664" s="801">
        <v>10917</v>
      </c>
      <c r="B11664" s="802" t="s">
        <v>12571</v>
      </c>
      <c r="C11664" s="801" t="s">
        <v>661</v>
      </c>
      <c r="D11664" s="803">
        <v>15.06</v>
      </c>
    </row>
    <row r="11665" spans="1:4" ht="38.25">
      <c r="A11665" s="801">
        <v>21141</v>
      </c>
      <c r="B11665" s="802" t="s">
        <v>12572</v>
      </c>
      <c r="C11665" s="801" t="s">
        <v>661</v>
      </c>
      <c r="D11665" s="803">
        <v>23.32</v>
      </c>
    </row>
    <row r="11666" spans="1:4" ht="38.25">
      <c r="A11666" s="801">
        <v>39509</v>
      </c>
      <c r="B11666" s="802" t="s">
        <v>12573</v>
      </c>
      <c r="C11666" s="801" t="s">
        <v>661</v>
      </c>
      <c r="D11666" s="803">
        <v>22.43</v>
      </c>
    </row>
    <row r="11667" spans="1:4">
      <c r="A11667" s="801">
        <v>44529</v>
      </c>
      <c r="B11667" s="802" t="s">
        <v>12574</v>
      </c>
      <c r="C11667" s="801" t="s">
        <v>661</v>
      </c>
      <c r="D11667" s="803">
        <v>13.82</v>
      </c>
    </row>
    <row r="11668" spans="1:4" ht="25.5">
      <c r="A11668" s="801">
        <v>7167</v>
      </c>
      <c r="B11668" s="802" t="s">
        <v>12575</v>
      </c>
      <c r="C11668" s="801" t="s">
        <v>661</v>
      </c>
      <c r="D11668" s="803">
        <v>27.21</v>
      </c>
    </row>
    <row r="11669" spans="1:4" ht="25.5">
      <c r="A11669" s="801">
        <v>10928</v>
      </c>
      <c r="B11669" s="802" t="s">
        <v>12576</v>
      </c>
      <c r="C11669" s="801" t="s">
        <v>661</v>
      </c>
      <c r="D11669" s="803">
        <v>15.64</v>
      </c>
    </row>
    <row r="11670" spans="1:4" ht="25.5">
      <c r="A11670" s="801">
        <v>10933</v>
      </c>
      <c r="B11670" s="802" t="s">
        <v>12577</v>
      </c>
      <c r="C11670" s="801" t="s">
        <v>661</v>
      </c>
      <c r="D11670" s="803">
        <v>23.58</v>
      </c>
    </row>
    <row r="11671" spans="1:4" ht="25.5">
      <c r="A11671" s="801">
        <v>7158</v>
      </c>
      <c r="B11671" s="802" t="s">
        <v>12578</v>
      </c>
      <c r="C11671" s="801" t="s">
        <v>661</v>
      </c>
      <c r="D11671" s="803">
        <v>40</v>
      </c>
    </row>
    <row r="11672" spans="1:4" ht="25.5">
      <c r="A11672" s="801">
        <v>10927</v>
      </c>
      <c r="B11672" s="802" t="s">
        <v>12579</v>
      </c>
      <c r="C11672" s="801" t="s">
        <v>661</v>
      </c>
      <c r="D11672" s="803">
        <v>25.58</v>
      </c>
    </row>
    <row r="11673" spans="1:4" ht="25.5">
      <c r="A11673" s="801">
        <v>7162</v>
      </c>
      <c r="B11673" s="802" t="s">
        <v>12580</v>
      </c>
      <c r="C11673" s="801" t="s">
        <v>661</v>
      </c>
      <c r="D11673" s="803">
        <v>62.59</v>
      </c>
    </row>
    <row r="11674" spans="1:4" ht="25.5">
      <c r="A11674" s="801">
        <v>10932</v>
      </c>
      <c r="B11674" s="802" t="s">
        <v>12581</v>
      </c>
      <c r="C11674" s="801" t="s">
        <v>661</v>
      </c>
      <c r="D11674" s="803">
        <v>108.87</v>
      </c>
    </row>
    <row r="11675" spans="1:4" ht="38.25">
      <c r="A11675" s="801">
        <v>10937</v>
      </c>
      <c r="B11675" s="802" t="s">
        <v>12582</v>
      </c>
      <c r="C11675" s="801" t="s">
        <v>661</v>
      </c>
      <c r="D11675" s="803">
        <v>27.98</v>
      </c>
    </row>
    <row r="11676" spans="1:4" ht="38.25">
      <c r="A11676" s="801">
        <v>10935</v>
      </c>
      <c r="B11676" s="802" t="s">
        <v>12583</v>
      </c>
      <c r="C11676" s="801" t="s">
        <v>661</v>
      </c>
      <c r="D11676" s="803">
        <v>48.53</v>
      </c>
    </row>
    <row r="11677" spans="1:4" ht="25.5">
      <c r="A11677" s="801">
        <v>10931</v>
      </c>
      <c r="B11677" s="802" t="s">
        <v>12584</v>
      </c>
      <c r="C11677" s="801" t="s">
        <v>661</v>
      </c>
      <c r="D11677" s="803">
        <v>13.65</v>
      </c>
    </row>
    <row r="11678" spans="1:4" ht="25.5">
      <c r="A11678" s="801">
        <v>7164</v>
      </c>
      <c r="B11678" s="802" t="s">
        <v>12585</v>
      </c>
      <c r="C11678" s="801" t="s">
        <v>661</v>
      </c>
      <c r="D11678" s="803">
        <v>45.18</v>
      </c>
    </row>
    <row r="11679" spans="1:4" ht="25.5">
      <c r="A11679" s="801">
        <v>36887</v>
      </c>
      <c r="B11679" s="802" t="s">
        <v>12586</v>
      </c>
      <c r="C11679" s="801" t="s">
        <v>661</v>
      </c>
      <c r="D11679" s="803">
        <v>10.87</v>
      </c>
    </row>
    <row r="11680" spans="1:4" ht="51">
      <c r="A11680" s="801">
        <v>34630</v>
      </c>
      <c r="B11680" s="802" t="s">
        <v>12587</v>
      </c>
      <c r="C11680" s="801" t="s">
        <v>656</v>
      </c>
      <c r="D11680" s="803">
        <v>1100.67</v>
      </c>
    </row>
    <row r="11681" spans="1:4">
      <c r="A11681" s="801">
        <v>7161</v>
      </c>
      <c r="B11681" s="802" t="s">
        <v>12588</v>
      </c>
      <c r="C11681" s="801" t="s">
        <v>661</v>
      </c>
      <c r="D11681" s="803">
        <v>5.62</v>
      </c>
    </row>
    <row r="11682" spans="1:4" ht="25.5">
      <c r="A11682" s="801">
        <v>7170</v>
      </c>
      <c r="B11682" s="802" t="s">
        <v>12589</v>
      </c>
      <c r="C11682" s="801" t="s">
        <v>661</v>
      </c>
      <c r="D11682" s="803">
        <v>2.62</v>
      </c>
    </row>
    <row r="11683" spans="1:4" ht="25.5">
      <c r="A11683" s="801">
        <v>37524</v>
      </c>
      <c r="B11683" s="802" t="s">
        <v>12590</v>
      </c>
      <c r="C11683" s="801" t="s">
        <v>660</v>
      </c>
      <c r="D11683" s="803">
        <v>2.4</v>
      </c>
    </row>
    <row r="11684" spans="1:4" ht="38.25">
      <c r="A11684" s="801">
        <v>37525</v>
      </c>
      <c r="B11684" s="802" t="s">
        <v>12591</v>
      </c>
      <c r="C11684" s="801" t="s">
        <v>660</v>
      </c>
      <c r="D11684" s="803">
        <v>3.28</v>
      </c>
    </row>
    <row r="11685" spans="1:4" ht="25.5">
      <c r="A11685" s="801">
        <v>36789</v>
      </c>
      <c r="B11685" s="802" t="s">
        <v>12592</v>
      </c>
      <c r="C11685" s="801" t="s">
        <v>656</v>
      </c>
      <c r="D11685" s="803">
        <v>2.77</v>
      </c>
    </row>
    <row r="11686" spans="1:4" ht="38.25">
      <c r="A11686" s="801">
        <v>7173</v>
      </c>
      <c r="B11686" s="802" t="s">
        <v>12593</v>
      </c>
      <c r="C11686" s="801" t="s">
        <v>664</v>
      </c>
      <c r="D11686" s="803">
        <v>1789.99</v>
      </c>
    </row>
    <row r="11687" spans="1:4" ht="38.25">
      <c r="A11687" s="801">
        <v>7175</v>
      </c>
      <c r="B11687" s="802" t="s">
        <v>12594</v>
      </c>
      <c r="C11687" s="801" t="s">
        <v>656</v>
      </c>
      <c r="D11687" s="803">
        <v>2.02</v>
      </c>
    </row>
    <row r="11688" spans="1:4" ht="25.5">
      <c r="A11688" s="801">
        <v>40741</v>
      </c>
      <c r="B11688" s="802" t="s">
        <v>12595</v>
      </c>
      <c r="C11688" s="801" t="s">
        <v>656</v>
      </c>
      <c r="D11688" s="803">
        <v>2.8</v>
      </c>
    </row>
    <row r="11689" spans="1:4" ht="25.5">
      <c r="A11689" s="801">
        <v>7184</v>
      </c>
      <c r="B11689" s="802" t="s">
        <v>12596</v>
      </c>
      <c r="C11689" s="801" t="s">
        <v>661</v>
      </c>
      <c r="D11689" s="803">
        <v>35.770000000000003</v>
      </c>
    </row>
    <row r="11690" spans="1:4" ht="25.5">
      <c r="A11690" s="801">
        <v>34458</v>
      </c>
      <c r="B11690" s="802" t="s">
        <v>12597</v>
      </c>
      <c r="C11690" s="801" t="s">
        <v>656</v>
      </c>
      <c r="D11690" s="803">
        <v>166.26</v>
      </c>
    </row>
    <row r="11691" spans="1:4" ht="25.5">
      <c r="A11691" s="801">
        <v>34464</v>
      </c>
      <c r="B11691" s="802" t="s">
        <v>12598</v>
      </c>
      <c r="C11691" s="801" t="s">
        <v>656</v>
      </c>
      <c r="D11691" s="803">
        <v>247.49</v>
      </c>
    </row>
    <row r="11692" spans="1:4" ht="25.5">
      <c r="A11692" s="801">
        <v>34468</v>
      </c>
      <c r="B11692" s="802" t="s">
        <v>12599</v>
      </c>
      <c r="C11692" s="801" t="s">
        <v>656</v>
      </c>
      <c r="D11692" s="803">
        <v>312.02</v>
      </c>
    </row>
    <row r="11693" spans="1:4" ht="25.5">
      <c r="A11693" s="801">
        <v>34473</v>
      </c>
      <c r="B11693" s="802" t="s">
        <v>12600</v>
      </c>
      <c r="C11693" s="801" t="s">
        <v>656</v>
      </c>
      <c r="D11693" s="803">
        <v>189.27</v>
      </c>
    </row>
    <row r="11694" spans="1:4" ht="25.5">
      <c r="A11694" s="801">
        <v>34480</v>
      </c>
      <c r="B11694" s="802" t="s">
        <v>12601</v>
      </c>
      <c r="C11694" s="801" t="s">
        <v>656</v>
      </c>
      <c r="D11694" s="803">
        <v>349.79</v>
      </c>
    </row>
    <row r="11695" spans="1:4" ht="25.5">
      <c r="A11695" s="801">
        <v>34486</v>
      </c>
      <c r="B11695" s="802" t="s">
        <v>12602</v>
      </c>
      <c r="C11695" s="801" t="s">
        <v>656</v>
      </c>
      <c r="D11695" s="803">
        <v>414.14</v>
      </c>
    </row>
    <row r="11696" spans="1:4" ht="25.5">
      <c r="A11696" s="801">
        <v>7190</v>
      </c>
      <c r="B11696" s="802" t="s">
        <v>12603</v>
      </c>
      <c r="C11696" s="801" t="s">
        <v>656</v>
      </c>
      <c r="D11696" s="803">
        <v>13.82</v>
      </c>
    </row>
    <row r="11697" spans="1:4" ht="25.5">
      <c r="A11697" s="801">
        <v>34417</v>
      </c>
      <c r="B11697" s="802" t="s">
        <v>12604</v>
      </c>
      <c r="C11697" s="801" t="s">
        <v>656</v>
      </c>
      <c r="D11697" s="803">
        <v>22.13</v>
      </c>
    </row>
    <row r="11698" spans="1:4" ht="25.5">
      <c r="A11698" s="801">
        <v>7213</v>
      </c>
      <c r="B11698" s="802" t="s">
        <v>12605</v>
      </c>
      <c r="C11698" s="801" t="s">
        <v>661</v>
      </c>
      <c r="D11698" s="803">
        <v>20.29</v>
      </c>
    </row>
    <row r="11699" spans="1:4" ht="25.5">
      <c r="A11699" s="801">
        <v>7195</v>
      </c>
      <c r="B11699" s="802" t="s">
        <v>12606</v>
      </c>
      <c r="C11699" s="801" t="s">
        <v>656</v>
      </c>
      <c r="D11699" s="803">
        <v>59.58</v>
      </c>
    </row>
    <row r="11700" spans="1:4" ht="25.5">
      <c r="A11700" s="801">
        <v>7186</v>
      </c>
      <c r="B11700" s="802" t="s">
        <v>12607</v>
      </c>
      <c r="C11700" s="801" t="s">
        <v>656</v>
      </c>
      <c r="D11700" s="803">
        <v>64.900000000000006</v>
      </c>
    </row>
    <row r="11701" spans="1:4" ht="25.5">
      <c r="A11701" s="801">
        <v>7194</v>
      </c>
      <c r="B11701" s="802" t="s">
        <v>4800</v>
      </c>
      <c r="C11701" s="801" t="s">
        <v>661</v>
      </c>
      <c r="D11701" s="803">
        <v>29.92</v>
      </c>
    </row>
    <row r="11702" spans="1:4" ht="25.5">
      <c r="A11702" s="801">
        <v>7197</v>
      </c>
      <c r="B11702" s="802" t="s">
        <v>12608</v>
      </c>
      <c r="C11702" s="801" t="s">
        <v>656</v>
      </c>
      <c r="D11702" s="803">
        <v>126.29</v>
      </c>
    </row>
    <row r="11703" spans="1:4" ht="25.5">
      <c r="A11703" s="801">
        <v>7192</v>
      </c>
      <c r="B11703" s="802" t="s">
        <v>12609</v>
      </c>
      <c r="C11703" s="801" t="s">
        <v>656</v>
      </c>
      <c r="D11703" s="803">
        <v>113.15</v>
      </c>
    </row>
    <row r="11704" spans="1:4" ht="25.5">
      <c r="A11704" s="801">
        <v>7193</v>
      </c>
      <c r="B11704" s="802" t="s">
        <v>12610</v>
      </c>
      <c r="C11704" s="801" t="s">
        <v>656</v>
      </c>
      <c r="D11704" s="803">
        <v>127.39</v>
      </c>
    </row>
    <row r="11705" spans="1:4" ht="25.5">
      <c r="A11705" s="801">
        <v>7189</v>
      </c>
      <c r="B11705" s="802" t="s">
        <v>12611</v>
      </c>
      <c r="C11705" s="801" t="s">
        <v>656</v>
      </c>
      <c r="D11705" s="803">
        <v>148.04</v>
      </c>
    </row>
    <row r="11706" spans="1:4" ht="25.5">
      <c r="A11706" s="801">
        <v>34402</v>
      </c>
      <c r="B11706" s="802" t="s">
        <v>12612</v>
      </c>
      <c r="C11706" s="801" t="s">
        <v>656</v>
      </c>
      <c r="D11706" s="803">
        <v>209</v>
      </c>
    </row>
    <row r="11707" spans="1:4">
      <c r="A11707" s="801">
        <v>7245</v>
      </c>
      <c r="B11707" s="802" t="s">
        <v>12613</v>
      </c>
      <c r="C11707" s="801" t="s">
        <v>656</v>
      </c>
      <c r="D11707" s="803">
        <v>45.79</v>
      </c>
    </row>
    <row r="11708" spans="1:4" ht="25.5">
      <c r="A11708" s="801">
        <v>34425</v>
      </c>
      <c r="B11708" s="802" t="s">
        <v>12614</v>
      </c>
      <c r="C11708" s="801" t="s">
        <v>656</v>
      </c>
      <c r="D11708" s="803">
        <v>134.26</v>
      </c>
    </row>
    <row r="11709" spans="1:4" ht="25.5">
      <c r="A11709" s="801">
        <v>7223</v>
      </c>
      <c r="B11709" s="802" t="s">
        <v>12615</v>
      </c>
      <c r="C11709" s="801" t="s">
        <v>656</v>
      </c>
      <c r="D11709" s="803">
        <v>149.62</v>
      </c>
    </row>
    <row r="11710" spans="1:4" ht="25.5">
      <c r="A11710" s="801">
        <v>7234</v>
      </c>
      <c r="B11710" s="802" t="s">
        <v>12616</v>
      </c>
      <c r="C11710" s="801" t="s">
        <v>656</v>
      </c>
      <c r="D11710" s="803">
        <v>225.78</v>
      </c>
    </row>
    <row r="11711" spans="1:4" ht="25.5">
      <c r="A11711" s="801">
        <v>7224</v>
      </c>
      <c r="B11711" s="802" t="s">
        <v>12617</v>
      </c>
      <c r="C11711" s="801" t="s">
        <v>656</v>
      </c>
      <c r="D11711" s="803">
        <v>275.06</v>
      </c>
    </row>
    <row r="11712" spans="1:4" ht="25.5">
      <c r="A11712" s="801">
        <v>7225</v>
      </c>
      <c r="B11712" s="802" t="s">
        <v>12618</v>
      </c>
      <c r="C11712" s="801" t="s">
        <v>656</v>
      </c>
      <c r="D11712" s="803">
        <v>294.93</v>
      </c>
    </row>
    <row r="11713" spans="1:4" ht="25.5">
      <c r="A11713" s="801">
        <v>7226</v>
      </c>
      <c r="B11713" s="802" t="s">
        <v>12619</v>
      </c>
      <c r="C11713" s="801" t="s">
        <v>656</v>
      </c>
      <c r="D11713" s="803">
        <v>314.74</v>
      </c>
    </row>
    <row r="11714" spans="1:4" ht="25.5">
      <c r="A11714" s="801">
        <v>7227</v>
      </c>
      <c r="B11714" s="802" t="s">
        <v>12620</v>
      </c>
      <c r="C11714" s="801" t="s">
        <v>656</v>
      </c>
      <c r="D11714" s="803">
        <v>358.25</v>
      </c>
    </row>
    <row r="11715" spans="1:4" ht="25.5">
      <c r="A11715" s="801">
        <v>7212</v>
      </c>
      <c r="B11715" s="802" t="s">
        <v>12621</v>
      </c>
      <c r="C11715" s="801" t="s">
        <v>656</v>
      </c>
      <c r="D11715" s="803">
        <v>393.63</v>
      </c>
    </row>
    <row r="11716" spans="1:4" ht="25.5">
      <c r="A11716" s="801">
        <v>7229</v>
      </c>
      <c r="B11716" s="802" t="s">
        <v>12622</v>
      </c>
      <c r="C11716" s="801" t="s">
        <v>656</v>
      </c>
      <c r="D11716" s="803">
        <v>249.51</v>
      </c>
    </row>
    <row r="11717" spans="1:4" ht="25.5">
      <c r="A11717" s="801">
        <v>7230</v>
      </c>
      <c r="B11717" s="802" t="s">
        <v>12623</v>
      </c>
      <c r="C11717" s="801" t="s">
        <v>656</v>
      </c>
      <c r="D11717" s="803">
        <v>415.38</v>
      </c>
    </row>
    <row r="11718" spans="1:4" ht="25.5">
      <c r="A11718" s="801">
        <v>7231</v>
      </c>
      <c r="B11718" s="802" t="s">
        <v>12624</v>
      </c>
      <c r="C11718" s="801" t="s">
        <v>656</v>
      </c>
      <c r="D11718" s="803">
        <v>589.26</v>
      </c>
    </row>
    <row r="11719" spans="1:4" ht="25.5">
      <c r="A11719" s="801">
        <v>7220</v>
      </c>
      <c r="B11719" s="802" t="s">
        <v>12625</v>
      </c>
      <c r="C11719" s="801" t="s">
        <v>656</v>
      </c>
      <c r="D11719" s="803">
        <v>727.38</v>
      </c>
    </row>
    <row r="11720" spans="1:4" ht="25.5">
      <c r="A11720" s="801">
        <v>34447</v>
      </c>
      <c r="B11720" s="802" t="s">
        <v>12626</v>
      </c>
      <c r="C11720" s="801" t="s">
        <v>656</v>
      </c>
      <c r="D11720" s="803">
        <v>813.32</v>
      </c>
    </row>
    <row r="11721" spans="1:4" ht="25.5">
      <c r="A11721" s="801">
        <v>7233</v>
      </c>
      <c r="B11721" s="802" t="s">
        <v>12627</v>
      </c>
      <c r="C11721" s="801" t="s">
        <v>656</v>
      </c>
      <c r="D11721" s="803">
        <v>933</v>
      </c>
    </row>
    <row r="11722" spans="1:4" ht="76.5">
      <c r="A11722" s="801">
        <v>40740</v>
      </c>
      <c r="B11722" s="802" t="s">
        <v>12628</v>
      </c>
      <c r="C11722" s="801" t="s">
        <v>661</v>
      </c>
      <c r="D11722" s="803">
        <v>179.98</v>
      </c>
    </row>
    <row r="11723" spans="1:4" ht="38.25">
      <c r="A11723" s="801">
        <v>25007</v>
      </c>
      <c r="B11723" s="802" t="s">
        <v>12629</v>
      </c>
      <c r="C11723" s="801" t="s">
        <v>661</v>
      </c>
      <c r="D11723" s="803">
        <v>51.5</v>
      </c>
    </row>
    <row r="11724" spans="1:4" ht="63.75">
      <c r="A11724" s="801">
        <v>43071</v>
      </c>
      <c r="B11724" s="802" t="s">
        <v>12630</v>
      </c>
      <c r="C11724" s="801" t="s">
        <v>661</v>
      </c>
      <c r="D11724" s="803">
        <v>202.65</v>
      </c>
    </row>
    <row r="11725" spans="1:4" ht="63.75">
      <c r="A11725" s="801">
        <v>39520</v>
      </c>
      <c r="B11725" s="802" t="s">
        <v>12631</v>
      </c>
      <c r="C11725" s="801" t="s">
        <v>661</v>
      </c>
      <c r="D11725" s="803">
        <v>165.33</v>
      </c>
    </row>
    <row r="11726" spans="1:4" ht="63.75">
      <c r="A11726" s="801">
        <v>39521</v>
      </c>
      <c r="B11726" s="802" t="s">
        <v>12632</v>
      </c>
      <c r="C11726" s="801" t="s">
        <v>661</v>
      </c>
      <c r="D11726" s="803">
        <v>170.73</v>
      </c>
    </row>
    <row r="11727" spans="1:4" ht="63.75">
      <c r="A11727" s="801">
        <v>39522</v>
      </c>
      <c r="B11727" s="802" t="s">
        <v>12633</v>
      </c>
      <c r="C11727" s="801" t="s">
        <v>661</v>
      </c>
      <c r="D11727" s="803">
        <v>176.3</v>
      </c>
    </row>
    <row r="11728" spans="1:4" ht="38.25">
      <c r="A11728" s="801">
        <v>7243</v>
      </c>
      <c r="B11728" s="802" t="s">
        <v>4801</v>
      </c>
      <c r="C11728" s="801" t="s">
        <v>661</v>
      </c>
      <c r="D11728" s="803">
        <v>53.81</v>
      </c>
    </row>
    <row r="11729" spans="1:4" ht="38.25">
      <c r="A11729" s="801">
        <v>11067</v>
      </c>
      <c r="B11729" s="802" t="s">
        <v>12634</v>
      </c>
      <c r="C11729" s="801" t="s">
        <v>656</v>
      </c>
      <c r="D11729" s="803">
        <v>481.54</v>
      </c>
    </row>
    <row r="11730" spans="1:4" ht="38.25">
      <c r="A11730" s="801">
        <v>11068</v>
      </c>
      <c r="B11730" s="802" t="s">
        <v>12635</v>
      </c>
      <c r="C11730" s="801" t="s">
        <v>656</v>
      </c>
      <c r="D11730" s="803">
        <v>608.35</v>
      </c>
    </row>
    <row r="11731" spans="1:4">
      <c r="A11731" s="801">
        <v>7246</v>
      </c>
      <c r="B11731" s="802" t="s">
        <v>12636</v>
      </c>
      <c r="C11731" s="801" t="s">
        <v>656</v>
      </c>
      <c r="D11731" s="803">
        <v>50.57</v>
      </c>
    </row>
    <row r="11732" spans="1:4">
      <c r="A11732" s="801">
        <v>41097</v>
      </c>
      <c r="B11732" s="802" t="s">
        <v>12637</v>
      </c>
      <c r="C11732" s="801" t="s">
        <v>772</v>
      </c>
      <c r="D11732" s="803">
        <v>2395.62</v>
      </c>
    </row>
    <row r="11733" spans="1:4">
      <c r="A11733" s="801">
        <v>12869</v>
      </c>
      <c r="B11733" s="802" t="s">
        <v>13472</v>
      </c>
      <c r="C11733" s="801" t="s">
        <v>659</v>
      </c>
      <c r="D11733" s="803">
        <v>13.56</v>
      </c>
    </row>
    <row r="11734" spans="1:4" ht="38.25">
      <c r="A11734" s="801">
        <v>1574</v>
      </c>
      <c r="B11734" s="802" t="s">
        <v>12638</v>
      </c>
      <c r="C11734" s="801" t="s">
        <v>656</v>
      </c>
      <c r="D11734" s="803">
        <v>1.27</v>
      </c>
    </row>
    <row r="11735" spans="1:4" ht="38.25">
      <c r="A11735" s="801">
        <v>1581</v>
      </c>
      <c r="B11735" s="802" t="s">
        <v>12639</v>
      </c>
      <c r="C11735" s="801" t="s">
        <v>656</v>
      </c>
      <c r="D11735" s="803">
        <v>8.83</v>
      </c>
    </row>
    <row r="11736" spans="1:4" ht="38.25">
      <c r="A11736" s="801">
        <v>1575</v>
      </c>
      <c r="B11736" s="802" t="s">
        <v>12640</v>
      </c>
      <c r="C11736" s="801" t="s">
        <v>656</v>
      </c>
      <c r="D11736" s="803">
        <v>1.51</v>
      </c>
    </row>
    <row r="11737" spans="1:4" ht="38.25">
      <c r="A11737" s="801">
        <v>1570</v>
      </c>
      <c r="B11737" s="802" t="s">
        <v>4802</v>
      </c>
      <c r="C11737" s="801" t="s">
        <v>656</v>
      </c>
      <c r="D11737" s="803">
        <v>0.76</v>
      </c>
    </row>
    <row r="11738" spans="1:4" ht="38.25">
      <c r="A11738" s="801">
        <v>1576</v>
      </c>
      <c r="B11738" s="802" t="s">
        <v>12641</v>
      </c>
      <c r="C11738" s="801" t="s">
        <v>656</v>
      </c>
      <c r="D11738" s="803">
        <v>2.09</v>
      </c>
    </row>
    <row r="11739" spans="1:4" ht="38.25">
      <c r="A11739" s="801">
        <v>1577</v>
      </c>
      <c r="B11739" s="802" t="s">
        <v>12642</v>
      </c>
      <c r="C11739" s="801" t="s">
        <v>656</v>
      </c>
      <c r="D11739" s="803">
        <v>2.36</v>
      </c>
    </row>
    <row r="11740" spans="1:4" ht="25.5">
      <c r="A11740" s="801">
        <v>1571</v>
      </c>
      <c r="B11740" s="802" t="s">
        <v>4803</v>
      </c>
      <c r="C11740" s="801" t="s">
        <v>656</v>
      </c>
      <c r="D11740" s="803">
        <v>0.99</v>
      </c>
    </row>
    <row r="11741" spans="1:4" ht="38.25">
      <c r="A11741" s="801">
        <v>1578</v>
      </c>
      <c r="B11741" s="802" t="s">
        <v>12643</v>
      </c>
      <c r="C11741" s="801" t="s">
        <v>656</v>
      </c>
      <c r="D11741" s="803">
        <v>4.09</v>
      </c>
    </row>
    <row r="11742" spans="1:4" ht="25.5">
      <c r="A11742" s="801">
        <v>1573</v>
      </c>
      <c r="B11742" s="802" t="s">
        <v>12644</v>
      </c>
      <c r="C11742" s="801" t="s">
        <v>656</v>
      </c>
      <c r="D11742" s="803">
        <v>1.18</v>
      </c>
    </row>
    <row r="11743" spans="1:4" ht="38.25">
      <c r="A11743" s="801">
        <v>1579</v>
      </c>
      <c r="B11743" s="802" t="s">
        <v>12645</v>
      </c>
      <c r="C11743" s="801" t="s">
        <v>656</v>
      </c>
      <c r="D11743" s="803">
        <v>5.0999999999999996</v>
      </c>
    </row>
    <row r="11744" spans="1:4" ht="38.25">
      <c r="A11744" s="801">
        <v>1580</v>
      </c>
      <c r="B11744" s="802" t="s">
        <v>12646</v>
      </c>
      <c r="C11744" s="801" t="s">
        <v>656</v>
      </c>
      <c r="D11744" s="803">
        <v>6.28</v>
      </c>
    </row>
    <row r="11745" spans="1:4" ht="25.5">
      <c r="A11745" s="801">
        <v>39321</v>
      </c>
      <c r="B11745" s="802" t="s">
        <v>12647</v>
      </c>
      <c r="C11745" s="801" t="s">
        <v>656</v>
      </c>
      <c r="D11745" s="803">
        <v>21.84</v>
      </c>
    </row>
    <row r="11746" spans="1:4" ht="25.5">
      <c r="A11746" s="801">
        <v>39319</v>
      </c>
      <c r="B11746" s="802" t="s">
        <v>12648</v>
      </c>
      <c r="C11746" s="801" t="s">
        <v>656</v>
      </c>
      <c r="D11746" s="803">
        <v>8.5299999999999994</v>
      </c>
    </row>
    <row r="11747" spans="1:4" ht="25.5">
      <c r="A11747" s="801">
        <v>39320</v>
      </c>
      <c r="B11747" s="802" t="s">
        <v>12649</v>
      </c>
      <c r="C11747" s="801" t="s">
        <v>656</v>
      </c>
      <c r="D11747" s="803">
        <v>14.18</v>
      </c>
    </row>
    <row r="11748" spans="1:4" ht="25.5">
      <c r="A11748" s="801">
        <v>1591</v>
      </c>
      <c r="B11748" s="802" t="s">
        <v>12650</v>
      </c>
      <c r="C11748" s="801" t="s">
        <v>656</v>
      </c>
      <c r="D11748" s="803">
        <v>19.48</v>
      </c>
    </row>
    <row r="11749" spans="1:4" ht="25.5">
      <c r="A11749" s="801">
        <v>1547</v>
      </c>
      <c r="B11749" s="802" t="s">
        <v>12651</v>
      </c>
      <c r="C11749" s="801" t="s">
        <v>656</v>
      </c>
      <c r="D11749" s="803">
        <v>102.08</v>
      </c>
    </row>
    <row r="11750" spans="1:4" ht="25.5">
      <c r="A11750" s="801">
        <v>38196</v>
      </c>
      <c r="B11750" s="802" t="s">
        <v>12652</v>
      </c>
      <c r="C11750" s="801" t="s">
        <v>656</v>
      </c>
      <c r="D11750" s="803">
        <v>19.88</v>
      </c>
    </row>
    <row r="11751" spans="1:4" ht="25.5">
      <c r="A11751" s="801">
        <v>1543</v>
      </c>
      <c r="B11751" s="802" t="s">
        <v>12653</v>
      </c>
      <c r="C11751" s="801" t="s">
        <v>656</v>
      </c>
      <c r="D11751" s="803">
        <v>21.13</v>
      </c>
    </row>
    <row r="11752" spans="1:4" ht="25.5">
      <c r="A11752" s="801">
        <v>1585</v>
      </c>
      <c r="B11752" s="802" t="s">
        <v>12654</v>
      </c>
      <c r="C11752" s="801" t="s">
        <v>656</v>
      </c>
      <c r="D11752" s="803">
        <v>4.09</v>
      </c>
    </row>
    <row r="11753" spans="1:4" ht="25.5">
      <c r="A11753" s="801">
        <v>1593</v>
      </c>
      <c r="B11753" s="802" t="s">
        <v>12655</v>
      </c>
      <c r="C11753" s="801" t="s">
        <v>656</v>
      </c>
      <c r="D11753" s="803">
        <v>21.73</v>
      </c>
    </row>
    <row r="11754" spans="1:4" ht="25.5">
      <c r="A11754" s="801">
        <v>11838</v>
      </c>
      <c r="B11754" s="802" t="s">
        <v>12656</v>
      </c>
      <c r="C11754" s="801" t="s">
        <v>656</v>
      </c>
      <c r="D11754" s="803">
        <v>28.67</v>
      </c>
    </row>
    <row r="11755" spans="1:4" ht="25.5">
      <c r="A11755" s="801">
        <v>1594</v>
      </c>
      <c r="B11755" s="802" t="s">
        <v>12657</v>
      </c>
      <c r="C11755" s="801" t="s">
        <v>656</v>
      </c>
      <c r="D11755" s="803">
        <v>28.98</v>
      </c>
    </row>
    <row r="11756" spans="1:4" ht="25.5">
      <c r="A11756" s="801">
        <v>1586</v>
      </c>
      <c r="B11756" s="802" t="s">
        <v>12658</v>
      </c>
      <c r="C11756" s="801" t="s">
        <v>656</v>
      </c>
      <c r="D11756" s="803">
        <v>5.18</v>
      </c>
    </row>
    <row r="11757" spans="1:4" ht="25.5">
      <c r="A11757" s="801">
        <v>11839</v>
      </c>
      <c r="B11757" s="802" t="s">
        <v>12659</v>
      </c>
      <c r="C11757" s="801" t="s">
        <v>656</v>
      </c>
      <c r="D11757" s="803">
        <v>41.71</v>
      </c>
    </row>
    <row r="11758" spans="1:4" ht="25.5">
      <c r="A11758" s="801">
        <v>1587</v>
      </c>
      <c r="B11758" s="802" t="s">
        <v>12660</v>
      </c>
      <c r="C11758" s="801" t="s">
        <v>656</v>
      </c>
      <c r="D11758" s="803">
        <v>5.27</v>
      </c>
    </row>
    <row r="11759" spans="1:4" ht="25.5">
      <c r="A11759" s="801">
        <v>1545</v>
      </c>
      <c r="B11759" s="802" t="s">
        <v>12661</v>
      </c>
      <c r="C11759" s="801" t="s">
        <v>656</v>
      </c>
      <c r="D11759" s="803">
        <v>50.06</v>
      </c>
    </row>
    <row r="11760" spans="1:4" ht="25.5">
      <c r="A11760" s="801">
        <v>1588</v>
      </c>
      <c r="B11760" s="802" t="s">
        <v>12662</v>
      </c>
      <c r="C11760" s="801" t="s">
        <v>656</v>
      </c>
      <c r="D11760" s="803">
        <v>7.23</v>
      </c>
    </row>
    <row r="11761" spans="1:4" ht="25.5">
      <c r="A11761" s="801">
        <v>1535</v>
      </c>
      <c r="B11761" s="802" t="s">
        <v>12663</v>
      </c>
      <c r="C11761" s="801" t="s">
        <v>656</v>
      </c>
      <c r="D11761" s="803">
        <v>4.17</v>
      </c>
    </row>
    <row r="11762" spans="1:4" ht="25.5">
      <c r="A11762" s="801">
        <v>1589</v>
      </c>
      <c r="B11762" s="802" t="s">
        <v>12664</v>
      </c>
      <c r="C11762" s="801" t="s">
        <v>656</v>
      </c>
      <c r="D11762" s="803">
        <v>7.46</v>
      </c>
    </row>
    <row r="11763" spans="1:4" ht="25.5">
      <c r="A11763" s="801">
        <v>1546</v>
      </c>
      <c r="B11763" s="802" t="s">
        <v>12665</v>
      </c>
      <c r="C11763" s="801" t="s">
        <v>656</v>
      </c>
      <c r="D11763" s="803">
        <v>84.47</v>
      </c>
    </row>
    <row r="11764" spans="1:4" ht="25.5">
      <c r="A11764" s="801">
        <v>1590</v>
      </c>
      <c r="B11764" s="802" t="s">
        <v>12666</v>
      </c>
      <c r="C11764" s="801" t="s">
        <v>656</v>
      </c>
      <c r="D11764" s="803">
        <v>13.14</v>
      </c>
    </row>
    <row r="11765" spans="1:4" ht="25.5">
      <c r="A11765" s="801">
        <v>1542</v>
      </c>
      <c r="B11765" s="802" t="s">
        <v>12667</v>
      </c>
      <c r="C11765" s="801" t="s">
        <v>656</v>
      </c>
      <c r="D11765" s="803">
        <v>17.399999999999999</v>
      </c>
    </row>
    <row r="11766" spans="1:4" ht="25.5">
      <c r="A11766" s="801">
        <v>38415</v>
      </c>
      <c r="B11766" s="802" t="s">
        <v>12668</v>
      </c>
      <c r="C11766" s="801" t="s">
        <v>656</v>
      </c>
      <c r="D11766" s="803">
        <v>1311.09</v>
      </c>
    </row>
    <row r="11767" spans="1:4" ht="38.25">
      <c r="A11767" s="801">
        <v>38414</v>
      </c>
      <c r="B11767" s="802" t="s">
        <v>12669</v>
      </c>
      <c r="C11767" s="801" t="s">
        <v>656</v>
      </c>
      <c r="D11767" s="803">
        <v>1840.13</v>
      </c>
    </row>
    <row r="11768" spans="1:4">
      <c r="A11768" s="801">
        <v>38128</v>
      </c>
      <c r="B11768" s="802" t="s">
        <v>12670</v>
      </c>
      <c r="C11768" s="801" t="s">
        <v>653</v>
      </c>
      <c r="D11768" s="803">
        <v>0.67</v>
      </c>
    </row>
    <row r="11769" spans="1:4">
      <c r="A11769" s="801">
        <v>7253</v>
      </c>
      <c r="B11769" s="802" t="s">
        <v>12671</v>
      </c>
      <c r="C11769" s="801" t="s">
        <v>654</v>
      </c>
      <c r="D11769" s="803">
        <v>143.57</v>
      </c>
    </row>
    <row r="11770" spans="1:4" ht="25.5">
      <c r="A11770" s="801">
        <v>4806</v>
      </c>
      <c r="B11770" s="802" t="s">
        <v>12672</v>
      </c>
      <c r="C11770" s="801" t="s">
        <v>660</v>
      </c>
      <c r="D11770" s="803">
        <v>15.24</v>
      </c>
    </row>
    <row r="11771" spans="1:4">
      <c r="A11771" s="801">
        <v>34401</v>
      </c>
      <c r="B11771" s="802" t="s">
        <v>12673</v>
      </c>
      <c r="C11771" s="801" t="s">
        <v>656</v>
      </c>
      <c r="D11771" s="803">
        <v>2.13</v>
      </c>
    </row>
    <row r="11772" spans="1:4">
      <c r="A11772" s="801">
        <v>7260</v>
      </c>
      <c r="B11772" s="802" t="s">
        <v>12674</v>
      </c>
      <c r="C11772" s="801" t="s">
        <v>656</v>
      </c>
      <c r="D11772" s="803">
        <v>1.89</v>
      </c>
    </row>
    <row r="11773" spans="1:4" ht="25.5">
      <c r="A11773" s="801">
        <v>7256</v>
      </c>
      <c r="B11773" s="802" t="s">
        <v>12675</v>
      </c>
      <c r="C11773" s="801" t="s">
        <v>656</v>
      </c>
      <c r="D11773" s="803">
        <v>1.87</v>
      </c>
    </row>
    <row r="11774" spans="1:4">
      <c r="A11774" s="801">
        <v>7258</v>
      </c>
      <c r="B11774" s="802" t="s">
        <v>5396</v>
      </c>
      <c r="C11774" s="801" t="s">
        <v>656</v>
      </c>
      <c r="D11774" s="803">
        <v>0.77</v>
      </c>
    </row>
    <row r="11775" spans="1:4">
      <c r="A11775" s="801">
        <v>34400</v>
      </c>
      <c r="B11775" s="802" t="s">
        <v>12676</v>
      </c>
      <c r="C11775" s="801" t="s">
        <v>656</v>
      </c>
      <c r="D11775" s="803">
        <v>3.28</v>
      </c>
    </row>
    <row r="11776" spans="1:4">
      <c r="A11776" s="801">
        <v>10617</v>
      </c>
      <c r="B11776" s="802" t="s">
        <v>12677</v>
      </c>
      <c r="C11776" s="801" t="s">
        <v>656</v>
      </c>
      <c r="D11776" s="803">
        <v>6.27</v>
      </c>
    </row>
    <row r="11777" spans="1:4" ht="25.5">
      <c r="A11777" s="801">
        <v>7274</v>
      </c>
      <c r="B11777" s="802" t="s">
        <v>12678</v>
      </c>
      <c r="C11777" s="801" t="s">
        <v>656</v>
      </c>
      <c r="D11777" s="803">
        <v>64.459999999999994</v>
      </c>
    </row>
    <row r="11778" spans="1:4" ht="25.5">
      <c r="A11778" s="801">
        <v>11663</v>
      </c>
      <c r="B11778" s="802" t="s">
        <v>12679</v>
      </c>
      <c r="C11778" s="801" t="s">
        <v>656</v>
      </c>
      <c r="D11778" s="803">
        <v>530.29</v>
      </c>
    </row>
    <row r="11779" spans="1:4" ht="25.5">
      <c r="A11779" s="801">
        <v>154</v>
      </c>
      <c r="B11779" s="802" t="s">
        <v>12680</v>
      </c>
      <c r="C11779" s="801" t="s">
        <v>655</v>
      </c>
      <c r="D11779" s="803">
        <v>55.36</v>
      </c>
    </row>
    <row r="11780" spans="1:4" ht="25.5">
      <c r="A11780" s="801">
        <v>38121</v>
      </c>
      <c r="B11780" s="802" t="s">
        <v>12681</v>
      </c>
      <c r="C11780" s="801" t="s">
        <v>655</v>
      </c>
      <c r="D11780" s="803">
        <v>8.19</v>
      </c>
    </row>
    <row r="11781" spans="1:4">
      <c r="A11781" s="801">
        <v>43776</v>
      </c>
      <c r="B11781" s="802" t="s">
        <v>12682</v>
      </c>
      <c r="C11781" s="801" t="s">
        <v>655</v>
      </c>
      <c r="D11781" s="803">
        <v>20.28</v>
      </c>
    </row>
    <row r="11782" spans="1:4" ht="25.5">
      <c r="A11782" s="801">
        <v>7343</v>
      </c>
      <c r="B11782" s="802" t="s">
        <v>12683</v>
      </c>
      <c r="C11782" s="801" t="s">
        <v>655</v>
      </c>
      <c r="D11782" s="803">
        <v>7.25</v>
      </c>
    </row>
    <row r="11783" spans="1:4">
      <c r="A11783" s="801">
        <v>7348</v>
      </c>
      <c r="B11783" s="802" t="s">
        <v>4804</v>
      </c>
      <c r="C11783" s="801" t="s">
        <v>655</v>
      </c>
      <c r="D11783" s="803">
        <v>15.02</v>
      </c>
    </row>
    <row r="11784" spans="1:4" ht="25.5">
      <c r="A11784" s="801">
        <v>7313</v>
      </c>
      <c r="B11784" s="802" t="s">
        <v>12684</v>
      </c>
      <c r="C11784" s="801" t="s">
        <v>655</v>
      </c>
      <c r="D11784" s="803">
        <v>36.549999999999997</v>
      </c>
    </row>
    <row r="11785" spans="1:4" ht="25.5">
      <c r="A11785" s="801">
        <v>7319</v>
      </c>
      <c r="B11785" s="802" t="s">
        <v>12685</v>
      </c>
      <c r="C11785" s="801" t="s">
        <v>655</v>
      </c>
      <c r="D11785" s="803">
        <v>20.92</v>
      </c>
    </row>
    <row r="11786" spans="1:4" ht="25.5">
      <c r="A11786" s="801">
        <v>7314</v>
      </c>
      <c r="B11786" s="802" t="s">
        <v>12686</v>
      </c>
      <c r="C11786" s="801" t="s">
        <v>655</v>
      </c>
      <c r="D11786" s="803">
        <v>32.46</v>
      </c>
    </row>
    <row r="11787" spans="1:4">
      <c r="A11787" s="801">
        <v>7304</v>
      </c>
      <c r="B11787" s="802" t="s">
        <v>12687</v>
      </c>
      <c r="C11787" s="801" t="s">
        <v>655</v>
      </c>
      <c r="D11787" s="803">
        <v>60.12</v>
      </c>
    </row>
    <row r="11788" spans="1:4">
      <c r="A11788" s="801">
        <v>43649</v>
      </c>
      <c r="B11788" s="802" t="s">
        <v>12688</v>
      </c>
      <c r="C11788" s="801" t="s">
        <v>655</v>
      </c>
      <c r="D11788" s="803">
        <v>31.09</v>
      </c>
    </row>
    <row r="11789" spans="1:4">
      <c r="A11789" s="801">
        <v>43650</v>
      </c>
      <c r="B11789" s="802" t="s">
        <v>12689</v>
      </c>
      <c r="C11789" s="801" t="s">
        <v>655</v>
      </c>
      <c r="D11789" s="803">
        <v>29.38</v>
      </c>
    </row>
    <row r="11790" spans="1:4">
      <c r="A11790" s="801">
        <v>7311</v>
      </c>
      <c r="B11790" s="802" t="s">
        <v>4805</v>
      </c>
      <c r="C11790" s="801" t="s">
        <v>655</v>
      </c>
      <c r="D11790" s="803">
        <v>30.1</v>
      </c>
    </row>
    <row r="11791" spans="1:4">
      <c r="A11791" s="801">
        <v>7292</v>
      </c>
      <c r="B11791" s="802" t="s">
        <v>12690</v>
      </c>
      <c r="C11791" s="801" t="s">
        <v>655</v>
      </c>
      <c r="D11791" s="803">
        <v>29.14</v>
      </c>
    </row>
    <row r="11792" spans="1:4" ht="25.5">
      <c r="A11792" s="801">
        <v>7293</v>
      </c>
      <c r="B11792" s="802" t="s">
        <v>12691</v>
      </c>
      <c r="C11792" s="801" t="s">
        <v>655</v>
      </c>
      <c r="D11792" s="803">
        <v>32.24</v>
      </c>
    </row>
    <row r="11793" spans="1:4" ht="25.5">
      <c r="A11793" s="801">
        <v>7306</v>
      </c>
      <c r="B11793" s="802" t="s">
        <v>12692</v>
      </c>
      <c r="C11793" s="801" t="s">
        <v>655</v>
      </c>
      <c r="D11793" s="803">
        <v>35.58</v>
      </c>
    </row>
    <row r="11794" spans="1:4">
      <c r="A11794" s="801">
        <v>7288</v>
      </c>
      <c r="B11794" s="802" t="s">
        <v>12693</v>
      </c>
      <c r="C11794" s="801" t="s">
        <v>655</v>
      </c>
      <c r="D11794" s="803">
        <v>29.54</v>
      </c>
    </row>
    <row r="11795" spans="1:4">
      <c r="A11795" s="801">
        <v>43625</v>
      </c>
      <c r="B11795" s="802" t="s">
        <v>12694</v>
      </c>
      <c r="C11795" s="801" t="s">
        <v>655</v>
      </c>
      <c r="D11795" s="803">
        <v>23.85</v>
      </c>
    </row>
    <row r="11796" spans="1:4">
      <c r="A11796" s="801">
        <v>43647</v>
      </c>
      <c r="B11796" s="802" t="s">
        <v>12695</v>
      </c>
      <c r="C11796" s="801" t="s">
        <v>655</v>
      </c>
      <c r="D11796" s="803">
        <v>21.66</v>
      </c>
    </row>
    <row r="11797" spans="1:4">
      <c r="A11797" s="801">
        <v>43648</v>
      </c>
      <c r="B11797" s="802" t="s">
        <v>12696</v>
      </c>
      <c r="C11797" s="801" t="s">
        <v>655</v>
      </c>
      <c r="D11797" s="803">
        <v>20.9</v>
      </c>
    </row>
    <row r="11798" spans="1:4">
      <c r="A11798" s="801">
        <v>35693</v>
      </c>
      <c r="B11798" s="802" t="s">
        <v>12697</v>
      </c>
      <c r="C11798" s="801" t="s">
        <v>655</v>
      </c>
      <c r="D11798" s="803">
        <v>9.34</v>
      </c>
    </row>
    <row r="11799" spans="1:4">
      <c r="A11799" s="801">
        <v>7356</v>
      </c>
      <c r="B11799" s="802" t="s">
        <v>12698</v>
      </c>
      <c r="C11799" s="801" t="s">
        <v>655</v>
      </c>
      <c r="D11799" s="803">
        <v>22.4</v>
      </c>
    </row>
    <row r="11800" spans="1:4">
      <c r="A11800" s="801">
        <v>35692</v>
      </c>
      <c r="B11800" s="802" t="s">
        <v>12699</v>
      </c>
      <c r="C11800" s="801" t="s">
        <v>655</v>
      </c>
      <c r="D11800" s="803">
        <v>14.66</v>
      </c>
    </row>
    <row r="11801" spans="1:4">
      <c r="A11801" s="801">
        <v>43624</v>
      </c>
      <c r="B11801" s="802" t="s">
        <v>12700</v>
      </c>
      <c r="C11801" s="801" t="s">
        <v>655</v>
      </c>
      <c r="D11801" s="803">
        <v>27.3</v>
      </c>
    </row>
    <row r="11802" spans="1:4">
      <c r="A11802" s="801">
        <v>7342</v>
      </c>
      <c r="B11802" s="802" t="s">
        <v>12701</v>
      </c>
      <c r="C11802" s="801" t="s">
        <v>653</v>
      </c>
      <c r="D11802" s="803">
        <v>4.01</v>
      </c>
    </row>
    <row r="11803" spans="1:4">
      <c r="A11803" s="801">
        <v>7350</v>
      </c>
      <c r="B11803" s="802" t="s">
        <v>12702</v>
      </c>
      <c r="C11803" s="801" t="s">
        <v>655</v>
      </c>
      <c r="D11803" s="803">
        <v>32.33</v>
      </c>
    </row>
    <row r="11804" spans="1:4" ht="25.5">
      <c r="A11804" s="801">
        <v>39574</v>
      </c>
      <c r="B11804" s="802" t="s">
        <v>12703</v>
      </c>
      <c r="C11804" s="801" t="s">
        <v>656</v>
      </c>
      <c r="D11804" s="803">
        <v>6.67</v>
      </c>
    </row>
    <row r="11805" spans="1:4" ht="25.5">
      <c r="A11805" s="801">
        <v>11060</v>
      </c>
      <c r="B11805" s="802" t="s">
        <v>12704</v>
      </c>
      <c r="C11805" s="801" t="s">
        <v>656</v>
      </c>
      <c r="D11805" s="803">
        <v>41.58</v>
      </c>
    </row>
    <row r="11806" spans="1:4" ht="25.5">
      <c r="A11806" s="801">
        <v>37401</v>
      </c>
      <c r="B11806" s="802" t="s">
        <v>12705</v>
      </c>
      <c r="C11806" s="801" t="s">
        <v>656</v>
      </c>
      <c r="D11806" s="803">
        <v>79.02</v>
      </c>
    </row>
    <row r="11807" spans="1:4" ht="25.5">
      <c r="A11807" s="801">
        <v>7525</v>
      </c>
      <c r="B11807" s="802" t="s">
        <v>12706</v>
      </c>
      <c r="C11807" s="801" t="s">
        <v>656</v>
      </c>
      <c r="D11807" s="803">
        <v>38.85</v>
      </c>
    </row>
    <row r="11808" spans="1:4" ht="25.5">
      <c r="A11808" s="801">
        <v>7524</v>
      </c>
      <c r="B11808" s="802" t="s">
        <v>12707</v>
      </c>
      <c r="C11808" s="801" t="s">
        <v>656</v>
      </c>
      <c r="D11808" s="803">
        <v>36.61</v>
      </c>
    </row>
    <row r="11809" spans="1:4" ht="25.5">
      <c r="A11809" s="801">
        <v>38105</v>
      </c>
      <c r="B11809" s="802" t="s">
        <v>12708</v>
      </c>
      <c r="C11809" s="801" t="s">
        <v>656</v>
      </c>
      <c r="D11809" s="803">
        <v>9.4</v>
      </c>
    </row>
    <row r="11810" spans="1:4" ht="38.25">
      <c r="A11810" s="801">
        <v>38084</v>
      </c>
      <c r="B11810" s="802" t="s">
        <v>12709</v>
      </c>
      <c r="C11810" s="801" t="s">
        <v>656</v>
      </c>
      <c r="D11810" s="803">
        <v>13.35</v>
      </c>
    </row>
    <row r="11811" spans="1:4">
      <c r="A11811" s="801">
        <v>38103</v>
      </c>
      <c r="B11811" s="802" t="s">
        <v>12710</v>
      </c>
      <c r="C11811" s="801" t="s">
        <v>656</v>
      </c>
      <c r="D11811" s="803">
        <v>14.12</v>
      </c>
    </row>
    <row r="11812" spans="1:4" ht="25.5">
      <c r="A11812" s="801">
        <v>38082</v>
      </c>
      <c r="B11812" s="802" t="s">
        <v>12711</v>
      </c>
      <c r="C11812" s="801" t="s">
        <v>656</v>
      </c>
      <c r="D11812" s="803">
        <v>17.39</v>
      </c>
    </row>
    <row r="11813" spans="1:4">
      <c r="A11813" s="801">
        <v>38104</v>
      </c>
      <c r="B11813" s="802" t="s">
        <v>12712</v>
      </c>
      <c r="C11813" s="801" t="s">
        <v>656</v>
      </c>
      <c r="D11813" s="803">
        <v>27.64</v>
      </c>
    </row>
    <row r="11814" spans="1:4" ht="25.5">
      <c r="A11814" s="801">
        <v>38083</v>
      </c>
      <c r="B11814" s="802" t="s">
        <v>12713</v>
      </c>
      <c r="C11814" s="801" t="s">
        <v>656</v>
      </c>
      <c r="D11814" s="803">
        <v>30.69</v>
      </c>
    </row>
    <row r="11815" spans="1:4">
      <c r="A11815" s="801">
        <v>38101</v>
      </c>
      <c r="B11815" s="802" t="s">
        <v>4806</v>
      </c>
      <c r="C11815" s="801" t="s">
        <v>656</v>
      </c>
      <c r="D11815" s="803">
        <v>6.71</v>
      </c>
    </row>
    <row r="11816" spans="1:4" ht="25.5">
      <c r="A11816" s="801">
        <v>7528</v>
      </c>
      <c r="B11816" s="802" t="s">
        <v>12714</v>
      </c>
      <c r="C11816" s="801" t="s">
        <v>656</v>
      </c>
      <c r="D11816" s="803">
        <v>7.89</v>
      </c>
    </row>
    <row r="11817" spans="1:4" ht="25.5">
      <c r="A11817" s="801">
        <v>12147</v>
      </c>
      <c r="B11817" s="802" t="s">
        <v>12715</v>
      </c>
      <c r="C11817" s="801" t="s">
        <v>656</v>
      </c>
      <c r="D11817" s="803">
        <v>12.03</v>
      </c>
    </row>
    <row r="11818" spans="1:4" ht="25.5">
      <c r="A11818" s="801">
        <v>38075</v>
      </c>
      <c r="B11818" s="802" t="s">
        <v>12716</v>
      </c>
      <c r="C11818" s="801" t="s">
        <v>656</v>
      </c>
      <c r="D11818" s="803">
        <v>13.66</v>
      </c>
    </row>
    <row r="11819" spans="1:4">
      <c r="A11819" s="801">
        <v>38102</v>
      </c>
      <c r="B11819" s="802" t="s">
        <v>4807</v>
      </c>
      <c r="C11819" s="801" t="s">
        <v>656</v>
      </c>
      <c r="D11819" s="803">
        <v>8.59</v>
      </c>
    </row>
    <row r="11820" spans="1:4" ht="25.5">
      <c r="A11820" s="801">
        <v>38076</v>
      </c>
      <c r="B11820" s="802" t="s">
        <v>12717</v>
      </c>
      <c r="C11820" s="801" t="s">
        <v>656</v>
      </c>
      <c r="D11820" s="803">
        <v>15.32</v>
      </c>
    </row>
    <row r="11821" spans="1:4">
      <c r="A11821" s="801">
        <v>7592</v>
      </c>
      <c r="B11821" s="802" t="s">
        <v>12718</v>
      </c>
      <c r="C11821" s="801" t="s">
        <v>659</v>
      </c>
      <c r="D11821" s="803">
        <v>13.73</v>
      </c>
    </row>
    <row r="11822" spans="1:4">
      <c r="A11822" s="801">
        <v>40820</v>
      </c>
      <c r="B11822" s="802" t="s">
        <v>12719</v>
      </c>
      <c r="C11822" s="801" t="s">
        <v>772</v>
      </c>
      <c r="D11822" s="803">
        <v>2424.4299999999998</v>
      </c>
    </row>
    <row r="11823" spans="1:4" ht="38.25">
      <c r="A11823" s="801">
        <v>11826</v>
      </c>
      <c r="B11823" s="802" t="s">
        <v>12720</v>
      </c>
      <c r="C11823" s="801" t="s">
        <v>656</v>
      </c>
      <c r="D11823" s="803">
        <v>67.63</v>
      </c>
    </row>
    <row r="11824" spans="1:4" ht="38.25">
      <c r="A11824" s="801">
        <v>7606</v>
      </c>
      <c r="B11824" s="802" t="s">
        <v>12721</v>
      </c>
      <c r="C11824" s="801" t="s">
        <v>656</v>
      </c>
      <c r="D11824" s="803">
        <v>81.33</v>
      </c>
    </row>
    <row r="11825" spans="1:4" ht="38.25">
      <c r="A11825" s="801">
        <v>11763</v>
      </c>
      <c r="B11825" s="802" t="s">
        <v>12722</v>
      </c>
      <c r="C11825" s="801" t="s">
        <v>656</v>
      </c>
      <c r="D11825" s="803">
        <v>177.61</v>
      </c>
    </row>
    <row r="11826" spans="1:4" ht="38.25">
      <c r="A11826" s="801">
        <v>11764</v>
      </c>
      <c r="B11826" s="802" t="s">
        <v>12723</v>
      </c>
      <c r="C11826" s="801" t="s">
        <v>656</v>
      </c>
      <c r="D11826" s="803">
        <v>145.72</v>
      </c>
    </row>
    <row r="11827" spans="1:4" ht="38.25">
      <c r="A11827" s="801">
        <v>11829</v>
      </c>
      <c r="B11827" s="802" t="s">
        <v>12724</v>
      </c>
      <c r="C11827" s="801" t="s">
        <v>656</v>
      </c>
      <c r="D11827" s="803">
        <v>35.22</v>
      </c>
    </row>
    <row r="11828" spans="1:4" ht="38.25">
      <c r="A11828" s="801">
        <v>11830</v>
      </c>
      <c r="B11828" s="802" t="s">
        <v>12725</v>
      </c>
      <c r="C11828" s="801" t="s">
        <v>656</v>
      </c>
      <c r="D11828" s="803">
        <v>38.03</v>
      </c>
    </row>
    <row r="11829" spans="1:4" ht="25.5">
      <c r="A11829" s="801">
        <v>11825</v>
      </c>
      <c r="B11829" s="802" t="s">
        <v>12726</v>
      </c>
      <c r="C11829" s="801" t="s">
        <v>656</v>
      </c>
      <c r="D11829" s="803">
        <v>85.56</v>
      </c>
    </row>
    <row r="11830" spans="1:4" ht="25.5">
      <c r="A11830" s="801">
        <v>11767</v>
      </c>
      <c r="B11830" s="802" t="s">
        <v>12727</v>
      </c>
      <c r="C11830" s="801" t="s">
        <v>656</v>
      </c>
      <c r="D11830" s="803">
        <v>227.88</v>
      </c>
    </row>
    <row r="11831" spans="1:4" ht="38.25">
      <c r="A11831" s="801">
        <v>11766</v>
      </c>
      <c r="B11831" s="802" t="s">
        <v>12728</v>
      </c>
      <c r="C11831" s="801" t="s">
        <v>656</v>
      </c>
      <c r="D11831" s="803">
        <v>53.12</v>
      </c>
    </row>
    <row r="11832" spans="1:4" ht="38.25">
      <c r="A11832" s="801">
        <v>11765</v>
      </c>
      <c r="B11832" s="802" t="s">
        <v>12729</v>
      </c>
      <c r="C11832" s="801" t="s">
        <v>656</v>
      </c>
      <c r="D11832" s="803">
        <v>97.11</v>
      </c>
    </row>
    <row r="11833" spans="1:4" ht="38.25">
      <c r="A11833" s="801">
        <v>11824</v>
      </c>
      <c r="B11833" s="802" t="s">
        <v>12730</v>
      </c>
      <c r="C11833" s="801" t="s">
        <v>656</v>
      </c>
      <c r="D11833" s="803">
        <v>62.48</v>
      </c>
    </row>
    <row r="11834" spans="1:4" ht="25.5">
      <c r="A11834" s="801">
        <v>44045</v>
      </c>
      <c r="B11834" s="802" t="s">
        <v>12731</v>
      </c>
      <c r="C11834" s="801" t="s">
        <v>656</v>
      </c>
      <c r="D11834" s="803">
        <v>287.10000000000002</v>
      </c>
    </row>
    <row r="11835" spans="1:4" ht="25.5">
      <c r="A11835" s="801">
        <v>39702</v>
      </c>
      <c r="B11835" s="802" t="s">
        <v>12732</v>
      </c>
      <c r="C11835" s="801" t="s">
        <v>656</v>
      </c>
      <c r="D11835" s="803">
        <v>1906.74</v>
      </c>
    </row>
    <row r="11836" spans="1:4" ht="25.5">
      <c r="A11836" s="801">
        <v>13415</v>
      </c>
      <c r="B11836" s="802" t="s">
        <v>12733</v>
      </c>
      <c r="C11836" s="801" t="s">
        <v>656</v>
      </c>
      <c r="D11836" s="803">
        <v>62.6</v>
      </c>
    </row>
    <row r="11837" spans="1:4" ht="38.25">
      <c r="A11837" s="801">
        <v>7602</v>
      </c>
      <c r="B11837" s="802" t="s">
        <v>12734</v>
      </c>
      <c r="C11837" s="801" t="s">
        <v>656</v>
      </c>
      <c r="D11837" s="803">
        <v>39.950000000000003</v>
      </c>
    </row>
    <row r="11838" spans="1:4" ht="38.25">
      <c r="A11838" s="801">
        <v>7603</v>
      </c>
      <c r="B11838" s="802" t="s">
        <v>12735</v>
      </c>
      <c r="C11838" s="801" t="s">
        <v>656</v>
      </c>
      <c r="D11838" s="803">
        <v>33.89</v>
      </c>
    </row>
    <row r="11839" spans="1:4" ht="25.5">
      <c r="A11839" s="801">
        <v>11777</v>
      </c>
      <c r="B11839" s="802" t="s">
        <v>12736</v>
      </c>
      <c r="C11839" s="801" t="s">
        <v>656</v>
      </c>
      <c r="D11839" s="803">
        <v>161.97999999999999</v>
      </c>
    </row>
    <row r="11840" spans="1:4" ht="38.25">
      <c r="A11840" s="801">
        <v>13417</v>
      </c>
      <c r="B11840" s="802" t="s">
        <v>12737</v>
      </c>
      <c r="C11840" s="801" t="s">
        <v>656</v>
      </c>
      <c r="D11840" s="803">
        <v>81.53</v>
      </c>
    </row>
    <row r="11841" spans="1:4" ht="25.5">
      <c r="A11841" s="801">
        <v>36791</v>
      </c>
      <c r="B11841" s="802" t="s">
        <v>12738</v>
      </c>
      <c r="C11841" s="801" t="s">
        <v>656</v>
      </c>
      <c r="D11841" s="803">
        <v>122.36</v>
      </c>
    </row>
    <row r="11842" spans="1:4" ht="25.5">
      <c r="A11842" s="801">
        <v>36795</v>
      </c>
      <c r="B11842" s="802" t="s">
        <v>12739</v>
      </c>
      <c r="C11842" s="801" t="s">
        <v>656</v>
      </c>
      <c r="D11842" s="803">
        <v>1547.15</v>
      </c>
    </row>
    <row r="11843" spans="1:4" ht="25.5">
      <c r="A11843" s="801">
        <v>36796</v>
      </c>
      <c r="B11843" s="802" t="s">
        <v>12740</v>
      </c>
      <c r="C11843" s="801" t="s">
        <v>656</v>
      </c>
      <c r="D11843" s="803">
        <v>128.56</v>
      </c>
    </row>
    <row r="11844" spans="1:4" ht="38.25">
      <c r="A11844" s="801">
        <v>36792</v>
      </c>
      <c r="B11844" s="802" t="s">
        <v>12741</v>
      </c>
      <c r="C11844" s="801" t="s">
        <v>656</v>
      </c>
      <c r="D11844" s="803">
        <v>162.86000000000001</v>
      </c>
    </row>
    <row r="11845" spans="1:4" ht="25.5">
      <c r="A11845" s="801">
        <v>11773</v>
      </c>
      <c r="B11845" s="802" t="s">
        <v>12742</v>
      </c>
      <c r="C11845" s="801" t="s">
        <v>656</v>
      </c>
      <c r="D11845" s="803">
        <v>108.41</v>
      </c>
    </row>
    <row r="11846" spans="1:4" ht="38.25">
      <c r="A11846" s="801">
        <v>11762</v>
      </c>
      <c r="B11846" s="802" t="s">
        <v>12743</v>
      </c>
      <c r="C11846" s="801" t="s">
        <v>656</v>
      </c>
      <c r="D11846" s="803">
        <v>51.42</v>
      </c>
    </row>
    <row r="11847" spans="1:4" ht="38.25">
      <c r="A11847" s="801">
        <v>7604</v>
      </c>
      <c r="B11847" s="802" t="s">
        <v>12744</v>
      </c>
      <c r="C11847" s="801" t="s">
        <v>656</v>
      </c>
      <c r="D11847" s="803">
        <v>43.54</v>
      </c>
    </row>
    <row r="11848" spans="1:4" ht="38.25">
      <c r="A11848" s="801">
        <v>13984</v>
      </c>
      <c r="B11848" s="802" t="s">
        <v>12745</v>
      </c>
      <c r="C11848" s="801" t="s">
        <v>656</v>
      </c>
      <c r="D11848" s="803">
        <v>63.28</v>
      </c>
    </row>
    <row r="11849" spans="1:4" ht="38.25">
      <c r="A11849" s="801">
        <v>11772</v>
      </c>
      <c r="B11849" s="802" t="s">
        <v>12746</v>
      </c>
      <c r="C11849" s="801" t="s">
        <v>656</v>
      </c>
      <c r="D11849" s="803">
        <v>108.75</v>
      </c>
    </row>
    <row r="11850" spans="1:4" ht="38.25">
      <c r="A11850" s="801">
        <v>13983</v>
      </c>
      <c r="B11850" s="802" t="s">
        <v>12747</v>
      </c>
      <c r="C11850" s="801" t="s">
        <v>656</v>
      </c>
      <c r="D11850" s="803">
        <v>82.36</v>
      </c>
    </row>
    <row r="11851" spans="1:4" ht="38.25">
      <c r="A11851" s="801">
        <v>13416</v>
      </c>
      <c r="B11851" s="802" t="s">
        <v>12748</v>
      </c>
      <c r="C11851" s="801" t="s">
        <v>656</v>
      </c>
      <c r="D11851" s="803">
        <v>73.150000000000006</v>
      </c>
    </row>
    <row r="11852" spans="1:4" ht="38.25">
      <c r="A11852" s="801">
        <v>40329</v>
      </c>
      <c r="B11852" s="802" t="s">
        <v>12749</v>
      </c>
      <c r="C11852" s="801" t="s">
        <v>656</v>
      </c>
      <c r="D11852" s="803">
        <v>22.07</v>
      </c>
    </row>
    <row r="11853" spans="1:4" ht="25.5">
      <c r="A11853" s="801">
        <v>11823</v>
      </c>
      <c r="B11853" s="802" t="s">
        <v>12750</v>
      </c>
      <c r="C11853" s="801" t="s">
        <v>656</v>
      </c>
      <c r="D11853" s="803">
        <v>9.2899999999999991</v>
      </c>
    </row>
    <row r="11854" spans="1:4">
      <c r="A11854" s="801">
        <v>11822</v>
      </c>
      <c r="B11854" s="802" t="s">
        <v>12751</v>
      </c>
      <c r="C11854" s="801" t="s">
        <v>656</v>
      </c>
      <c r="D11854" s="803">
        <v>48.19</v>
      </c>
    </row>
    <row r="11855" spans="1:4" ht="25.5">
      <c r="A11855" s="801">
        <v>11831</v>
      </c>
      <c r="B11855" s="802" t="s">
        <v>12752</v>
      </c>
      <c r="C11855" s="801" t="s">
        <v>656</v>
      </c>
      <c r="D11855" s="803">
        <v>36.590000000000003</v>
      </c>
    </row>
    <row r="11856" spans="1:4" ht="38.25">
      <c r="A11856" s="801">
        <v>7613</v>
      </c>
      <c r="B11856" s="802" t="s">
        <v>12753</v>
      </c>
      <c r="C11856" s="801" t="s">
        <v>656</v>
      </c>
      <c r="D11856" s="803">
        <v>130613.67</v>
      </c>
    </row>
    <row r="11857" spans="1:4" ht="38.25">
      <c r="A11857" s="801">
        <v>7619</v>
      </c>
      <c r="B11857" s="802" t="s">
        <v>12754</v>
      </c>
      <c r="C11857" s="801" t="s">
        <v>656</v>
      </c>
      <c r="D11857" s="803">
        <v>20190.07</v>
      </c>
    </row>
    <row r="11858" spans="1:4" ht="38.25">
      <c r="A11858" s="801">
        <v>12076</v>
      </c>
      <c r="B11858" s="802" t="s">
        <v>12755</v>
      </c>
      <c r="C11858" s="801" t="s">
        <v>656</v>
      </c>
      <c r="D11858" s="803">
        <v>9261.5</v>
      </c>
    </row>
    <row r="11859" spans="1:4" ht="38.25">
      <c r="A11859" s="801">
        <v>7614</v>
      </c>
      <c r="B11859" s="802" t="s">
        <v>12756</v>
      </c>
      <c r="C11859" s="801" t="s">
        <v>656</v>
      </c>
      <c r="D11859" s="803">
        <v>25464.5</v>
      </c>
    </row>
    <row r="11860" spans="1:4" ht="38.25">
      <c r="A11860" s="801">
        <v>7618</v>
      </c>
      <c r="B11860" s="802" t="s">
        <v>12757</v>
      </c>
      <c r="C11860" s="801" t="s">
        <v>656</v>
      </c>
      <c r="D11860" s="803">
        <v>165156.43</v>
      </c>
    </row>
    <row r="11861" spans="1:4" ht="38.25">
      <c r="A11861" s="801">
        <v>7620</v>
      </c>
      <c r="B11861" s="802" t="s">
        <v>12758</v>
      </c>
      <c r="C11861" s="801" t="s">
        <v>656</v>
      </c>
      <c r="D11861" s="803">
        <v>35722.94</v>
      </c>
    </row>
    <row r="11862" spans="1:4" ht="38.25">
      <c r="A11862" s="801">
        <v>7610</v>
      </c>
      <c r="B11862" s="802" t="s">
        <v>12759</v>
      </c>
      <c r="C11862" s="801" t="s">
        <v>656</v>
      </c>
      <c r="D11862" s="803">
        <v>11312.26</v>
      </c>
    </row>
    <row r="11863" spans="1:4" ht="38.25">
      <c r="A11863" s="801">
        <v>7615</v>
      </c>
      <c r="B11863" s="802" t="s">
        <v>12760</v>
      </c>
      <c r="C11863" s="801" t="s">
        <v>656</v>
      </c>
      <c r="D11863" s="803">
        <v>41676.76</v>
      </c>
    </row>
    <row r="11864" spans="1:4" ht="38.25">
      <c r="A11864" s="801">
        <v>7617</v>
      </c>
      <c r="B11864" s="802" t="s">
        <v>12761</v>
      </c>
      <c r="C11864" s="801" t="s">
        <v>656</v>
      </c>
      <c r="D11864" s="803">
        <v>12635.33</v>
      </c>
    </row>
    <row r="11865" spans="1:4" ht="38.25">
      <c r="A11865" s="801">
        <v>7616</v>
      </c>
      <c r="B11865" s="802" t="s">
        <v>12762</v>
      </c>
      <c r="C11865" s="801" t="s">
        <v>656</v>
      </c>
      <c r="D11865" s="803">
        <v>68009.87</v>
      </c>
    </row>
    <row r="11866" spans="1:4" ht="38.25">
      <c r="A11866" s="801">
        <v>7611</v>
      </c>
      <c r="B11866" s="802" t="s">
        <v>12763</v>
      </c>
      <c r="C11866" s="801" t="s">
        <v>656</v>
      </c>
      <c r="D11866" s="803">
        <v>16339.94</v>
      </c>
    </row>
    <row r="11867" spans="1:4" ht="38.25">
      <c r="A11867" s="801">
        <v>7612</v>
      </c>
      <c r="B11867" s="802" t="s">
        <v>12764</v>
      </c>
      <c r="C11867" s="801" t="s">
        <v>656</v>
      </c>
      <c r="D11867" s="803">
        <v>93287.16</v>
      </c>
    </row>
    <row r="11868" spans="1:4">
      <c r="A11868" s="801">
        <v>37371</v>
      </c>
      <c r="B11868" s="802" t="s">
        <v>4808</v>
      </c>
      <c r="C11868" s="801" t="s">
        <v>659</v>
      </c>
      <c r="D11868" s="803">
        <v>0.68</v>
      </c>
    </row>
    <row r="11869" spans="1:4">
      <c r="A11869" s="801">
        <v>40861</v>
      </c>
      <c r="B11869" s="802" t="s">
        <v>12765</v>
      </c>
      <c r="C11869" s="801" t="s">
        <v>772</v>
      </c>
      <c r="D11869" s="803">
        <v>128.34</v>
      </c>
    </row>
    <row r="11870" spans="1:4" ht="25.5">
      <c r="A11870" s="801">
        <v>36510</v>
      </c>
      <c r="B11870" s="802" t="s">
        <v>12766</v>
      </c>
      <c r="C11870" s="801" t="s">
        <v>656</v>
      </c>
      <c r="D11870" s="803">
        <v>879448.23</v>
      </c>
    </row>
    <row r="11871" spans="1:4" ht="38.25">
      <c r="A11871" s="801">
        <v>25020</v>
      </c>
      <c r="B11871" s="802" t="s">
        <v>12767</v>
      </c>
      <c r="C11871" s="801" t="s">
        <v>656</v>
      </c>
      <c r="D11871" s="803">
        <v>3623017.32</v>
      </c>
    </row>
    <row r="11872" spans="1:4" ht="25.5">
      <c r="A11872" s="801">
        <v>7622</v>
      </c>
      <c r="B11872" s="802" t="s">
        <v>4809</v>
      </c>
      <c r="C11872" s="801" t="s">
        <v>656</v>
      </c>
      <c r="D11872" s="803">
        <v>853193.32</v>
      </c>
    </row>
    <row r="11873" spans="1:4" ht="38.25">
      <c r="A11873" s="801">
        <v>7624</v>
      </c>
      <c r="B11873" s="802" t="s">
        <v>12768</v>
      </c>
      <c r="C11873" s="801" t="s">
        <v>656</v>
      </c>
      <c r="D11873" s="803">
        <v>1106075.33</v>
      </c>
    </row>
    <row r="11874" spans="1:4" ht="25.5">
      <c r="A11874" s="801">
        <v>7625</v>
      </c>
      <c r="B11874" s="802" t="s">
        <v>12769</v>
      </c>
      <c r="C11874" s="801" t="s">
        <v>656</v>
      </c>
      <c r="D11874" s="803">
        <v>1099310.24</v>
      </c>
    </row>
    <row r="11875" spans="1:4" ht="25.5">
      <c r="A11875" s="801">
        <v>7623</v>
      </c>
      <c r="B11875" s="802" t="s">
        <v>12770</v>
      </c>
      <c r="C11875" s="801" t="s">
        <v>656</v>
      </c>
      <c r="D11875" s="803">
        <v>3623017.32</v>
      </c>
    </row>
    <row r="11876" spans="1:4" ht="38.25">
      <c r="A11876" s="801">
        <v>36508</v>
      </c>
      <c r="B11876" s="802" t="s">
        <v>12771</v>
      </c>
      <c r="C11876" s="801" t="s">
        <v>656</v>
      </c>
      <c r="D11876" s="803">
        <v>1629414.65</v>
      </c>
    </row>
    <row r="11877" spans="1:4" ht="25.5">
      <c r="A11877" s="801">
        <v>36509</v>
      </c>
      <c r="B11877" s="802" t="s">
        <v>12772</v>
      </c>
      <c r="C11877" s="801" t="s">
        <v>656</v>
      </c>
      <c r="D11877" s="803">
        <v>892978.19</v>
      </c>
    </row>
    <row r="11878" spans="1:4" ht="25.5">
      <c r="A11878" s="801">
        <v>13238</v>
      </c>
      <c r="B11878" s="802" t="s">
        <v>12773</v>
      </c>
      <c r="C11878" s="801" t="s">
        <v>656</v>
      </c>
      <c r="D11878" s="803">
        <v>294392.5</v>
      </c>
    </row>
    <row r="11879" spans="1:4" ht="25.5">
      <c r="A11879" s="801">
        <v>36511</v>
      </c>
      <c r="B11879" s="802" t="s">
        <v>12774</v>
      </c>
      <c r="C11879" s="801" t="s">
        <v>656</v>
      </c>
      <c r="D11879" s="803">
        <v>341121.47</v>
      </c>
    </row>
    <row r="11880" spans="1:4" ht="25.5">
      <c r="A11880" s="801">
        <v>36515</v>
      </c>
      <c r="B11880" s="802" t="s">
        <v>12775</v>
      </c>
      <c r="C11880" s="801" t="s">
        <v>656</v>
      </c>
      <c r="D11880" s="803">
        <v>100467.27</v>
      </c>
    </row>
    <row r="11881" spans="1:4" ht="25.5">
      <c r="A11881" s="801">
        <v>10598</v>
      </c>
      <c r="B11881" s="802" t="s">
        <v>12776</v>
      </c>
      <c r="C11881" s="801" t="s">
        <v>656</v>
      </c>
      <c r="D11881" s="803">
        <v>162922.87</v>
      </c>
    </row>
    <row r="11882" spans="1:4" ht="25.5">
      <c r="A11882" s="801">
        <v>7640</v>
      </c>
      <c r="B11882" s="802" t="s">
        <v>12777</v>
      </c>
      <c r="C11882" s="801" t="s">
        <v>656</v>
      </c>
      <c r="D11882" s="803">
        <v>250000</v>
      </c>
    </row>
    <row r="11883" spans="1:4" ht="25.5">
      <c r="A11883" s="801">
        <v>36513</v>
      </c>
      <c r="B11883" s="802" t="s">
        <v>12778</v>
      </c>
      <c r="C11883" s="801" t="s">
        <v>656</v>
      </c>
      <c r="D11883" s="803">
        <v>240829.42</v>
      </c>
    </row>
    <row r="11884" spans="1:4" ht="25.5">
      <c r="A11884" s="801">
        <v>36514</v>
      </c>
      <c r="B11884" s="802" t="s">
        <v>12779</v>
      </c>
      <c r="C11884" s="801" t="s">
        <v>656</v>
      </c>
      <c r="D11884" s="803">
        <v>268691.57</v>
      </c>
    </row>
    <row r="11885" spans="1:4" ht="25.5">
      <c r="A11885" s="801">
        <v>11572</v>
      </c>
      <c r="B11885" s="802" t="s">
        <v>12780</v>
      </c>
      <c r="C11885" s="801" t="s">
        <v>656</v>
      </c>
      <c r="D11885" s="803">
        <v>33.450000000000003</v>
      </c>
    </row>
    <row r="11886" spans="1:4" ht="25.5">
      <c r="A11886" s="801">
        <v>36149</v>
      </c>
      <c r="B11886" s="802" t="s">
        <v>12781</v>
      </c>
      <c r="C11886" s="801" t="s">
        <v>656</v>
      </c>
      <c r="D11886" s="803">
        <v>235</v>
      </c>
    </row>
    <row r="11887" spans="1:4" ht="38.25">
      <c r="A11887" s="801">
        <v>42407</v>
      </c>
      <c r="B11887" s="802" t="s">
        <v>12782</v>
      </c>
      <c r="C11887" s="801" t="s">
        <v>660</v>
      </c>
      <c r="D11887" s="803">
        <v>11.38</v>
      </c>
    </row>
    <row r="11888" spans="1:4" ht="38.25">
      <c r="A11888" s="801">
        <v>11581</v>
      </c>
      <c r="B11888" s="802" t="s">
        <v>12783</v>
      </c>
      <c r="C11888" s="801" t="s">
        <v>660</v>
      </c>
      <c r="D11888" s="803">
        <v>22.08</v>
      </c>
    </row>
    <row r="11889" spans="1:4" ht="25.5">
      <c r="A11889" s="801">
        <v>43605</v>
      </c>
      <c r="B11889" s="802" t="s">
        <v>12784</v>
      </c>
      <c r="C11889" s="801" t="s">
        <v>660</v>
      </c>
      <c r="D11889" s="803">
        <v>45.17</v>
      </c>
    </row>
    <row r="11890" spans="1:4" ht="25.5">
      <c r="A11890" s="801">
        <v>11580</v>
      </c>
      <c r="B11890" s="802" t="s">
        <v>12785</v>
      </c>
      <c r="C11890" s="801" t="s">
        <v>660</v>
      </c>
      <c r="D11890" s="803">
        <v>8.86</v>
      </c>
    </row>
    <row r="11891" spans="1:4">
      <c r="A11891" s="801">
        <v>10743</v>
      </c>
      <c r="B11891" s="802" t="s">
        <v>12786</v>
      </c>
      <c r="C11891" s="801" t="s">
        <v>656</v>
      </c>
      <c r="D11891" s="803">
        <v>683.15</v>
      </c>
    </row>
    <row r="11892" spans="1:4" ht="38.25">
      <c r="A11892" s="801">
        <v>39848</v>
      </c>
      <c r="B11892" s="802" t="s">
        <v>12787</v>
      </c>
      <c r="C11892" s="801" t="s">
        <v>660</v>
      </c>
      <c r="D11892" s="803">
        <v>2</v>
      </c>
    </row>
    <row r="11893" spans="1:4" ht="25.5">
      <c r="A11893" s="801">
        <v>20999</v>
      </c>
      <c r="B11893" s="802" t="s">
        <v>12788</v>
      </c>
      <c r="C11893" s="801" t="s">
        <v>660</v>
      </c>
      <c r="D11893" s="803">
        <v>14.69</v>
      </c>
    </row>
    <row r="11894" spans="1:4" ht="25.5">
      <c r="A11894" s="801">
        <v>21001</v>
      </c>
      <c r="B11894" s="802" t="s">
        <v>12789</v>
      </c>
      <c r="C11894" s="801" t="s">
        <v>660</v>
      </c>
      <c r="D11894" s="803">
        <v>27.42</v>
      </c>
    </row>
    <row r="11895" spans="1:4" ht="25.5">
      <c r="A11895" s="801">
        <v>21003</v>
      </c>
      <c r="B11895" s="802" t="s">
        <v>12790</v>
      </c>
      <c r="C11895" s="801" t="s">
        <v>660</v>
      </c>
      <c r="D11895" s="803">
        <v>45.06</v>
      </c>
    </row>
    <row r="11896" spans="1:4" ht="25.5">
      <c r="A11896" s="801">
        <v>21006</v>
      </c>
      <c r="B11896" s="802" t="s">
        <v>12791</v>
      </c>
      <c r="C11896" s="801" t="s">
        <v>660</v>
      </c>
      <c r="D11896" s="803">
        <v>95.62</v>
      </c>
    </row>
    <row r="11897" spans="1:4" ht="25.5">
      <c r="A11897" s="801">
        <v>21019</v>
      </c>
      <c r="B11897" s="802" t="s">
        <v>12792</v>
      </c>
      <c r="C11897" s="801" t="s">
        <v>660</v>
      </c>
      <c r="D11897" s="803">
        <v>33.24</v>
      </c>
    </row>
    <row r="11898" spans="1:4" ht="25.5">
      <c r="A11898" s="801">
        <v>21021</v>
      </c>
      <c r="B11898" s="802" t="s">
        <v>12793</v>
      </c>
      <c r="C11898" s="801" t="s">
        <v>660</v>
      </c>
      <c r="D11898" s="803">
        <v>52.54</v>
      </c>
    </row>
    <row r="11899" spans="1:4" ht="25.5">
      <c r="A11899" s="801">
        <v>21024</v>
      </c>
      <c r="B11899" s="802" t="s">
        <v>12794</v>
      </c>
      <c r="C11899" s="801" t="s">
        <v>660</v>
      </c>
      <c r="D11899" s="803">
        <v>112.58</v>
      </c>
    </row>
    <row r="11900" spans="1:4" ht="25.5">
      <c r="A11900" s="801">
        <v>40624</v>
      </c>
      <c r="B11900" s="802" t="s">
        <v>12795</v>
      </c>
      <c r="C11900" s="801" t="s">
        <v>660</v>
      </c>
      <c r="D11900" s="803">
        <v>74.290000000000006</v>
      </c>
    </row>
    <row r="11901" spans="1:4" ht="25.5">
      <c r="A11901" s="801">
        <v>42575</v>
      </c>
      <c r="B11901" s="802" t="s">
        <v>12796</v>
      </c>
      <c r="C11901" s="801" t="s">
        <v>660</v>
      </c>
      <c r="D11901" s="803">
        <v>68.180000000000007</v>
      </c>
    </row>
    <row r="11902" spans="1:4" ht="25.5">
      <c r="A11902" s="801">
        <v>13127</v>
      </c>
      <c r="B11902" s="802" t="s">
        <v>12797</v>
      </c>
      <c r="C11902" s="801" t="s">
        <v>660</v>
      </c>
      <c r="D11902" s="803">
        <v>33.14</v>
      </c>
    </row>
    <row r="11903" spans="1:4" ht="25.5">
      <c r="A11903" s="801">
        <v>13137</v>
      </c>
      <c r="B11903" s="802" t="s">
        <v>12798</v>
      </c>
      <c r="C11903" s="801" t="s">
        <v>660</v>
      </c>
      <c r="D11903" s="803">
        <v>43.97</v>
      </c>
    </row>
    <row r="11904" spans="1:4" ht="25.5">
      <c r="A11904" s="801">
        <v>42574</v>
      </c>
      <c r="B11904" s="802" t="s">
        <v>12799</v>
      </c>
      <c r="C11904" s="801" t="s">
        <v>660</v>
      </c>
      <c r="D11904" s="803">
        <v>50.88</v>
      </c>
    </row>
    <row r="11905" spans="1:4" ht="25.5">
      <c r="A11905" s="801">
        <v>20989</v>
      </c>
      <c r="B11905" s="802" t="s">
        <v>12800</v>
      </c>
      <c r="C11905" s="801" t="s">
        <v>660</v>
      </c>
      <c r="D11905" s="803">
        <v>1575.44</v>
      </c>
    </row>
    <row r="11906" spans="1:4" ht="25.5">
      <c r="A11906" s="801">
        <v>21147</v>
      </c>
      <c r="B11906" s="802" t="s">
        <v>12801</v>
      </c>
      <c r="C11906" s="801" t="s">
        <v>660</v>
      </c>
      <c r="D11906" s="803">
        <v>147.71</v>
      </c>
    </row>
    <row r="11907" spans="1:4" ht="25.5">
      <c r="A11907" s="801">
        <v>21148</v>
      </c>
      <c r="B11907" s="802" t="s">
        <v>12802</v>
      </c>
      <c r="C11907" s="801" t="s">
        <v>660</v>
      </c>
      <c r="D11907" s="803">
        <v>91.17</v>
      </c>
    </row>
    <row r="11908" spans="1:4" ht="25.5">
      <c r="A11908" s="801">
        <v>20984</v>
      </c>
      <c r="B11908" s="802" t="s">
        <v>12803</v>
      </c>
      <c r="C11908" s="801" t="s">
        <v>660</v>
      </c>
      <c r="D11908" s="803">
        <v>3022.96</v>
      </c>
    </row>
    <row r="11909" spans="1:4" ht="25.5">
      <c r="A11909" s="801">
        <v>13042</v>
      </c>
      <c r="B11909" s="802" t="s">
        <v>12804</v>
      </c>
      <c r="C11909" s="801" t="s">
        <v>660</v>
      </c>
      <c r="D11909" s="803">
        <v>1675.17</v>
      </c>
    </row>
    <row r="11910" spans="1:4" ht="25.5">
      <c r="A11910" s="801">
        <v>21150</v>
      </c>
      <c r="B11910" s="802" t="s">
        <v>12805</v>
      </c>
      <c r="C11910" s="801" t="s">
        <v>660</v>
      </c>
      <c r="D11910" s="803">
        <v>45.2</v>
      </c>
    </row>
    <row r="11911" spans="1:4" ht="25.5">
      <c r="A11911" s="801">
        <v>13141</v>
      </c>
      <c r="B11911" s="802" t="s">
        <v>12806</v>
      </c>
      <c r="C11911" s="801" t="s">
        <v>660</v>
      </c>
      <c r="D11911" s="803">
        <v>56.96</v>
      </c>
    </row>
    <row r="11912" spans="1:4" ht="25.5">
      <c r="A11912" s="801">
        <v>42576</v>
      </c>
      <c r="B11912" s="802" t="s">
        <v>12807</v>
      </c>
      <c r="C11912" s="801" t="s">
        <v>660</v>
      </c>
      <c r="D11912" s="803">
        <v>185.97</v>
      </c>
    </row>
    <row r="11913" spans="1:4" ht="25.5">
      <c r="A11913" s="801">
        <v>21151</v>
      </c>
      <c r="B11913" s="802" t="s">
        <v>12808</v>
      </c>
      <c r="C11913" s="801" t="s">
        <v>660</v>
      </c>
      <c r="D11913" s="803">
        <v>270.58999999999997</v>
      </c>
    </row>
    <row r="11914" spans="1:4" ht="25.5">
      <c r="A11914" s="801">
        <v>13142</v>
      </c>
      <c r="B11914" s="802" t="s">
        <v>12809</v>
      </c>
      <c r="C11914" s="801" t="s">
        <v>660</v>
      </c>
      <c r="D11914" s="803">
        <v>386.83</v>
      </c>
    </row>
    <row r="11915" spans="1:4" ht="25.5">
      <c r="A11915" s="801">
        <v>42577</v>
      </c>
      <c r="B11915" s="802" t="s">
        <v>12810</v>
      </c>
      <c r="C11915" s="801" t="s">
        <v>660</v>
      </c>
      <c r="D11915" s="803">
        <v>424.46</v>
      </c>
    </row>
    <row r="11916" spans="1:4" ht="25.5">
      <c r="A11916" s="801">
        <v>20994</v>
      </c>
      <c r="B11916" s="802" t="s">
        <v>12811</v>
      </c>
      <c r="C11916" s="801" t="s">
        <v>660</v>
      </c>
      <c r="D11916" s="803">
        <v>729.35</v>
      </c>
    </row>
    <row r="11917" spans="1:4" ht="25.5">
      <c r="A11917" s="801">
        <v>7672</v>
      </c>
      <c r="B11917" s="802" t="s">
        <v>12812</v>
      </c>
      <c r="C11917" s="801" t="s">
        <v>660</v>
      </c>
      <c r="D11917" s="803">
        <v>477.8</v>
      </c>
    </row>
    <row r="11918" spans="1:4" ht="25.5">
      <c r="A11918" s="801">
        <v>20995</v>
      </c>
      <c r="B11918" s="802" t="s">
        <v>12813</v>
      </c>
      <c r="C11918" s="801" t="s">
        <v>660</v>
      </c>
      <c r="D11918" s="803">
        <v>958.5</v>
      </c>
    </row>
    <row r="11919" spans="1:4" ht="25.5">
      <c r="A11919" s="801">
        <v>7690</v>
      </c>
      <c r="B11919" s="802" t="s">
        <v>12814</v>
      </c>
      <c r="C11919" s="801" t="s">
        <v>660</v>
      </c>
      <c r="D11919" s="803">
        <v>554.36</v>
      </c>
    </row>
    <row r="11920" spans="1:4" ht="25.5">
      <c r="A11920" s="801">
        <v>20980</v>
      </c>
      <c r="B11920" s="802" t="s">
        <v>12815</v>
      </c>
      <c r="C11920" s="801" t="s">
        <v>660</v>
      </c>
      <c r="D11920" s="803">
        <v>604.76</v>
      </c>
    </row>
    <row r="11921" spans="1:4" ht="25.5">
      <c r="A11921" s="801">
        <v>7661</v>
      </c>
      <c r="B11921" s="802" t="s">
        <v>12816</v>
      </c>
      <c r="C11921" s="801" t="s">
        <v>660</v>
      </c>
      <c r="D11921" s="803">
        <v>719.41</v>
      </c>
    </row>
    <row r="11922" spans="1:4" ht="25.5">
      <c r="A11922" s="801">
        <v>21016</v>
      </c>
      <c r="B11922" s="802" t="s">
        <v>12817</v>
      </c>
      <c r="C11922" s="801" t="s">
        <v>660</v>
      </c>
      <c r="D11922" s="803">
        <v>192.04</v>
      </c>
    </row>
    <row r="11923" spans="1:4" ht="25.5">
      <c r="A11923" s="801">
        <v>21008</v>
      </c>
      <c r="B11923" s="802" t="s">
        <v>12818</v>
      </c>
      <c r="C11923" s="801" t="s">
        <v>660</v>
      </c>
      <c r="D11923" s="803">
        <v>22.43</v>
      </c>
    </row>
    <row r="11924" spans="1:4" ht="25.5">
      <c r="A11924" s="801">
        <v>21009</v>
      </c>
      <c r="B11924" s="802" t="s">
        <v>12819</v>
      </c>
      <c r="C11924" s="801" t="s">
        <v>660</v>
      </c>
      <c r="D11924" s="803">
        <v>29.21</v>
      </c>
    </row>
    <row r="11925" spans="1:4" ht="25.5">
      <c r="A11925" s="801">
        <v>21010</v>
      </c>
      <c r="B11925" s="802" t="s">
        <v>12820</v>
      </c>
      <c r="C11925" s="801" t="s">
        <v>660</v>
      </c>
      <c r="D11925" s="803">
        <v>39.22</v>
      </c>
    </row>
    <row r="11926" spans="1:4" ht="25.5">
      <c r="A11926" s="801">
        <v>21011</v>
      </c>
      <c r="B11926" s="802" t="s">
        <v>12821</v>
      </c>
      <c r="C11926" s="801" t="s">
        <v>660</v>
      </c>
      <c r="D11926" s="803">
        <v>57.16</v>
      </c>
    </row>
    <row r="11927" spans="1:4" ht="25.5">
      <c r="A11927" s="801">
        <v>21012</v>
      </c>
      <c r="B11927" s="802" t="s">
        <v>12822</v>
      </c>
      <c r="C11927" s="801" t="s">
        <v>660</v>
      </c>
      <c r="D11927" s="803">
        <v>63.17</v>
      </c>
    </row>
    <row r="11928" spans="1:4" ht="25.5">
      <c r="A11928" s="801">
        <v>21013</v>
      </c>
      <c r="B11928" s="802" t="s">
        <v>12823</v>
      </c>
      <c r="C11928" s="801" t="s">
        <v>660</v>
      </c>
      <c r="D11928" s="803">
        <v>82.43</v>
      </c>
    </row>
    <row r="11929" spans="1:4" ht="25.5">
      <c r="A11929" s="801">
        <v>21014</v>
      </c>
      <c r="B11929" s="802" t="s">
        <v>12824</v>
      </c>
      <c r="C11929" s="801" t="s">
        <v>660</v>
      </c>
      <c r="D11929" s="803">
        <v>115.34</v>
      </c>
    </row>
    <row r="11930" spans="1:4" ht="25.5">
      <c r="A11930" s="801">
        <v>21015</v>
      </c>
      <c r="B11930" s="802" t="s">
        <v>12825</v>
      </c>
      <c r="C11930" s="801" t="s">
        <v>660</v>
      </c>
      <c r="D11930" s="803">
        <v>132.51</v>
      </c>
    </row>
    <row r="11931" spans="1:4" ht="25.5">
      <c r="A11931" s="801">
        <v>7697</v>
      </c>
      <c r="B11931" s="802" t="s">
        <v>12826</v>
      </c>
      <c r="C11931" s="801" t="s">
        <v>660</v>
      </c>
      <c r="D11931" s="803">
        <v>63.23</v>
      </c>
    </row>
    <row r="11932" spans="1:4" ht="25.5">
      <c r="A11932" s="801">
        <v>7698</v>
      </c>
      <c r="B11932" s="802" t="s">
        <v>12827</v>
      </c>
      <c r="C11932" s="801" t="s">
        <v>660</v>
      </c>
      <c r="D11932" s="803">
        <v>54.43</v>
      </c>
    </row>
    <row r="11933" spans="1:4" ht="25.5">
      <c r="A11933" s="801">
        <v>7691</v>
      </c>
      <c r="B11933" s="802" t="s">
        <v>12828</v>
      </c>
      <c r="C11933" s="801" t="s">
        <v>660</v>
      </c>
      <c r="D11933" s="803">
        <v>23</v>
      </c>
    </row>
    <row r="11934" spans="1:4" ht="25.5">
      <c r="A11934" s="801">
        <v>40626</v>
      </c>
      <c r="B11934" s="802" t="s">
        <v>12829</v>
      </c>
      <c r="C11934" s="801" t="s">
        <v>660</v>
      </c>
      <c r="D11934" s="803">
        <v>43.16</v>
      </c>
    </row>
    <row r="11935" spans="1:4" ht="25.5">
      <c r="A11935" s="801">
        <v>7701</v>
      </c>
      <c r="B11935" s="802" t="s">
        <v>12830</v>
      </c>
      <c r="C11935" s="801" t="s">
        <v>660</v>
      </c>
      <c r="D11935" s="803">
        <v>113.16</v>
      </c>
    </row>
    <row r="11936" spans="1:4" ht="25.5">
      <c r="A11936" s="801">
        <v>7696</v>
      </c>
      <c r="B11936" s="802" t="s">
        <v>12831</v>
      </c>
      <c r="C11936" s="801" t="s">
        <v>660</v>
      </c>
      <c r="D11936" s="803">
        <v>91.18</v>
      </c>
    </row>
    <row r="11937" spans="1:4" ht="25.5">
      <c r="A11937" s="801">
        <v>7700</v>
      </c>
      <c r="B11937" s="802" t="s">
        <v>4810</v>
      </c>
      <c r="C11937" s="801" t="s">
        <v>660</v>
      </c>
      <c r="D11937" s="803">
        <v>29.09</v>
      </c>
    </row>
    <row r="11938" spans="1:4" ht="25.5">
      <c r="A11938" s="801">
        <v>7694</v>
      </c>
      <c r="B11938" s="802" t="s">
        <v>12832</v>
      </c>
      <c r="C11938" s="801" t="s">
        <v>660</v>
      </c>
      <c r="D11938" s="803">
        <v>152.27000000000001</v>
      </c>
    </row>
    <row r="11939" spans="1:4" ht="25.5">
      <c r="A11939" s="801">
        <v>7693</v>
      </c>
      <c r="B11939" s="802" t="s">
        <v>12833</v>
      </c>
      <c r="C11939" s="801" t="s">
        <v>660</v>
      </c>
      <c r="D11939" s="803">
        <v>209.71</v>
      </c>
    </row>
    <row r="11940" spans="1:4" ht="25.5">
      <c r="A11940" s="801">
        <v>7692</v>
      </c>
      <c r="B11940" s="802" t="s">
        <v>12834</v>
      </c>
      <c r="C11940" s="801" t="s">
        <v>660</v>
      </c>
      <c r="D11940" s="803">
        <v>313.98</v>
      </c>
    </row>
    <row r="11941" spans="1:4" ht="25.5">
      <c r="A11941" s="801">
        <v>7695</v>
      </c>
      <c r="B11941" s="802" t="s">
        <v>12835</v>
      </c>
      <c r="C11941" s="801" t="s">
        <v>660</v>
      </c>
      <c r="D11941" s="803">
        <v>340.51</v>
      </c>
    </row>
    <row r="11942" spans="1:4" ht="25.5">
      <c r="A11942" s="801">
        <v>13356</v>
      </c>
      <c r="B11942" s="802" t="s">
        <v>12836</v>
      </c>
      <c r="C11942" s="801" t="s">
        <v>660</v>
      </c>
      <c r="D11942" s="803">
        <v>24.69</v>
      </c>
    </row>
    <row r="11943" spans="1:4">
      <c r="A11943" s="801">
        <v>36365</v>
      </c>
      <c r="B11943" s="802" t="s">
        <v>12837</v>
      </c>
      <c r="C11943" s="801" t="s">
        <v>660</v>
      </c>
      <c r="D11943" s="803">
        <v>39.44</v>
      </c>
    </row>
    <row r="11944" spans="1:4">
      <c r="A11944" s="801">
        <v>41930</v>
      </c>
      <c r="B11944" s="802" t="s">
        <v>12838</v>
      </c>
      <c r="C11944" s="801" t="s">
        <v>660</v>
      </c>
      <c r="D11944" s="803">
        <v>127.67</v>
      </c>
    </row>
    <row r="11945" spans="1:4">
      <c r="A11945" s="801">
        <v>41931</v>
      </c>
      <c r="B11945" s="802" t="s">
        <v>12839</v>
      </c>
      <c r="C11945" s="801" t="s">
        <v>660</v>
      </c>
      <c r="D11945" s="803">
        <v>217.71</v>
      </c>
    </row>
    <row r="11946" spans="1:4">
      <c r="A11946" s="801">
        <v>41932</v>
      </c>
      <c r="B11946" s="802" t="s">
        <v>12840</v>
      </c>
      <c r="C11946" s="801" t="s">
        <v>660</v>
      </c>
      <c r="D11946" s="803">
        <v>351.64</v>
      </c>
    </row>
    <row r="11947" spans="1:4">
      <c r="A11947" s="801">
        <v>41933</v>
      </c>
      <c r="B11947" s="802" t="s">
        <v>12841</v>
      </c>
      <c r="C11947" s="801" t="s">
        <v>660</v>
      </c>
      <c r="D11947" s="803">
        <v>435.51</v>
      </c>
    </row>
    <row r="11948" spans="1:4">
      <c r="A11948" s="801">
        <v>41934</v>
      </c>
      <c r="B11948" s="802" t="s">
        <v>12842</v>
      </c>
      <c r="C11948" s="801" t="s">
        <v>660</v>
      </c>
      <c r="D11948" s="803">
        <v>564.09</v>
      </c>
    </row>
    <row r="11949" spans="1:4">
      <c r="A11949" s="801">
        <v>41936</v>
      </c>
      <c r="B11949" s="802" t="s">
        <v>12843</v>
      </c>
      <c r="C11949" s="801" t="s">
        <v>660</v>
      </c>
      <c r="D11949" s="803">
        <v>85.05</v>
      </c>
    </row>
    <row r="11950" spans="1:4" ht="25.5">
      <c r="A11950" s="801">
        <v>41785</v>
      </c>
      <c r="B11950" s="802" t="s">
        <v>12844</v>
      </c>
      <c r="C11950" s="801" t="s">
        <v>660</v>
      </c>
      <c r="D11950" s="803">
        <v>2248.63</v>
      </c>
    </row>
    <row r="11951" spans="1:4" ht="25.5">
      <c r="A11951" s="801">
        <v>41781</v>
      </c>
      <c r="B11951" s="802" t="s">
        <v>12845</v>
      </c>
      <c r="C11951" s="801" t="s">
        <v>660</v>
      </c>
      <c r="D11951" s="803">
        <v>641.1</v>
      </c>
    </row>
    <row r="11952" spans="1:4" ht="25.5">
      <c r="A11952" s="801">
        <v>41783</v>
      </c>
      <c r="B11952" s="802" t="s">
        <v>12846</v>
      </c>
      <c r="C11952" s="801" t="s">
        <v>660</v>
      </c>
      <c r="D11952" s="803">
        <v>1691.77</v>
      </c>
    </row>
    <row r="11953" spans="1:4" ht="25.5">
      <c r="A11953" s="801">
        <v>41786</v>
      </c>
      <c r="B11953" s="802" t="s">
        <v>12847</v>
      </c>
      <c r="C11953" s="801" t="s">
        <v>660</v>
      </c>
      <c r="D11953" s="803">
        <v>3529.21</v>
      </c>
    </row>
    <row r="11954" spans="1:4" ht="25.5">
      <c r="A11954" s="801">
        <v>41779</v>
      </c>
      <c r="B11954" s="802" t="s">
        <v>12848</v>
      </c>
      <c r="C11954" s="801" t="s">
        <v>660</v>
      </c>
      <c r="D11954" s="803">
        <v>245.88</v>
      </c>
    </row>
    <row r="11955" spans="1:4" ht="25.5">
      <c r="A11955" s="801">
        <v>41780</v>
      </c>
      <c r="B11955" s="802" t="s">
        <v>12849</v>
      </c>
      <c r="C11955" s="801" t="s">
        <v>660</v>
      </c>
      <c r="D11955" s="803">
        <v>290.81</v>
      </c>
    </row>
    <row r="11956" spans="1:4" ht="25.5">
      <c r="A11956" s="801">
        <v>41782</v>
      </c>
      <c r="B11956" s="802" t="s">
        <v>12850</v>
      </c>
      <c r="C11956" s="801" t="s">
        <v>660</v>
      </c>
      <c r="D11956" s="803">
        <v>1198.81</v>
      </c>
    </row>
    <row r="11957" spans="1:4" ht="25.5">
      <c r="A11957" s="801">
        <v>38130</v>
      </c>
      <c r="B11957" s="802" t="s">
        <v>12851</v>
      </c>
      <c r="C11957" s="801" t="s">
        <v>660</v>
      </c>
      <c r="D11957" s="803">
        <v>35.24</v>
      </c>
    </row>
    <row r="11958" spans="1:4" ht="25.5">
      <c r="A11958" s="801">
        <v>21123</v>
      </c>
      <c r="B11958" s="802" t="s">
        <v>12852</v>
      </c>
      <c r="C11958" s="801" t="s">
        <v>660</v>
      </c>
      <c r="D11958" s="803">
        <v>10</v>
      </c>
    </row>
    <row r="11959" spans="1:4" ht="25.5">
      <c r="A11959" s="801">
        <v>21124</v>
      </c>
      <c r="B11959" s="802" t="s">
        <v>12853</v>
      </c>
      <c r="C11959" s="801" t="s">
        <v>660</v>
      </c>
      <c r="D11959" s="803">
        <v>17.73</v>
      </c>
    </row>
    <row r="11960" spans="1:4" ht="25.5">
      <c r="A11960" s="801">
        <v>21125</v>
      </c>
      <c r="B11960" s="802" t="s">
        <v>12854</v>
      </c>
      <c r="C11960" s="801" t="s">
        <v>660</v>
      </c>
      <c r="D11960" s="803">
        <v>28.46</v>
      </c>
    </row>
    <row r="11961" spans="1:4" ht="25.5">
      <c r="A11961" s="801">
        <v>38028</v>
      </c>
      <c r="B11961" s="802" t="s">
        <v>12855</v>
      </c>
      <c r="C11961" s="801" t="s">
        <v>660</v>
      </c>
      <c r="D11961" s="803">
        <v>48.29</v>
      </c>
    </row>
    <row r="11962" spans="1:4" ht="25.5">
      <c r="A11962" s="801">
        <v>38029</v>
      </c>
      <c r="B11962" s="802" t="s">
        <v>12856</v>
      </c>
      <c r="C11962" s="801" t="s">
        <v>660</v>
      </c>
      <c r="D11962" s="803">
        <v>73.61</v>
      </c>
    </row>
    <row r="11963" spans="1:4" ht="25.5">
      <c r="A11963" s="801">
        <v>38030</v>
      </c>
      <c r="B11963" s="802" t="s">
        <v>12857</v>
      </c>
      <c r="C11963" s="801" t="s">
        <v>660</v>
      </c>
      <c r="D11963" s="803">
        <v>113.07</v>
      </c>
    </row>
    <row r="11964" spans="1:4" ht="25.5">
      <c r="A11964" s="801">
        <v>38031</v>
      </c>
      <c r="B11964" s="802" t="s">
        <v>12858</v>
      </c>
      <c r="C11964" s="801" t="s">
        <v>660</v>
      </c>
      <c r="D11964" s="803">
        <v>179.18</v>
      </c>
    </row>
    <row r="11965" spans="1:4" ht="51">
      <c r="A11965" s="801">
        <v>39735</v>
      </c>
      <c r="B11965" s="802" t="s">
        <v>12859</v>
      </c>
      <c r="C11965" s="801" t="s">
        <v>660</v>
      </c>
      <c r="D11965" s="803">
        <v>112.9</v>
      </c>
    </row>
    <row r="11966" spans="1:4" ht="51">
      <c r="A11966" s="801">
        <v>39734</v>
      </c>
      <c r="B11966" s="802" t="s">
        <v>12860</v>
      </c>
      <c r="C11966" s="801" t="s">
        <v>660</v>
      </c>
      <c r="D11966" s="803">
        <v>133.91999999999999</v>
      </c>
    </row>
    <row r="11967" spans="1:4" ht="51">
      <c r="A11967" s="801">
        <v>39736</v>
      </c>
      <c r="B11967" s="802" t="s">
        <v>12861</v>
      </c>
      <c r="C11967" s="801" t="s">
        <v>660</v>
      </c>
      <c r="D11967" s="803">
        <v>152.84</v>
      </c>
    </row>
    <row r="11968" spans="1:4" ht="51">
      <c r="A11968" s="801">
        <v>39737</v>
      </c>
      <c r="B11968" s="802" t="s">
        <v>12862</v>
      </c>
      <c r="C11968" s="801" t="s">
        <v>660</v>
      </c>
      <c r="D11968" s="803">
        <v>20.56</v>
      </c>
    </row>
    <row r="11969" spans="1:4" ht="51">
      <c r="A11969" s="801">
        <v>39738</v>
      </c>
      <c r="B11969" s="802" t="s">
        <v>12863</v>
      </c>
      <c r="C11969" s="801" t="s">
        <v>660</v>
      </c>
      <c r="D11969" s="803">
        <v>7.43</v>
      </c>
    </row>
    <row r="11970" spans="1:4" ht="51">
      <c r="A11970" s="801">
        <v>39739</v>
      </c>
      <c r="B11970" s="802" t="s">
        <v>12864</v>
      </c>
      <c r="C11970" s="801" t="s">
        <v>660</v>
      </c>
      <c r="D11970" s="803">
        <v>105.7</v>
      </c>
    </row>
    <row r="11971" spans="1:4" ht="51">
      <c r="A11971" s="801">
        <v>39733</v>
      </c>
      <c r="B11971" s="802" t="s">
        <v>12865</v>
      </c>
      <c r="C11971" s="801" t="s">
        <v>660</v>
      </c>
      <c r="D11971" s="803">
        <v>182.91</v>
      </c>
    </row>
    <row r="11972" spans="1:4" ht="51">
      <c r="A11972" s="801">
        <v>39854</v>
      </c>
      <c r="B11972" s="802" t="s">
        <v>12866</v>
      </c>
      <c r="C11972" s="801" t="s">
        <v>660</v>
      </c>
      <c r="D11972" s="803">
        <v>185.5</v>
      </c>
    </row>
    <row r="11973" spans="1:4" ht="51">
      <c r="A11973" s="801">
        <v>39740</v>
      </c>
      <c r="B11973" s="802" t="s">
        <v>12867</v>
      </c>
      <c r="C11973" s="801" t="s">
        <v>660</v>
      </c>
      <c r="D11973" s="803">
        <v>101.5</v>
      </c>
    </row>
    <row r="11974" spans="1:4" ht="51">
      <c r="A11974" s="801">
        <v>39741</v>
      </c>
      <c r="B11974" s="802" t="s">
        <v>12868</v>
      </c>
      <c r="C11974" s="801" t="s">
        <v>660</v>
      </c>
      <c r="D11974" s="803">
        <v>18.7</v>
      </c>
    </row>
    <row r="11975" spans="1:4" ht="51">
      <c r="A11975" s="801">
        <v>39853</v>
      </c>
      <c r="B11975" s="802" t="s">
        <v>12869</v>
      </c>
      <c r="C11975" s="801" t="s">
        <v>660</v>
      </c>
      <c r="D11975" s="803">
        <v>24.57</v>
      </c>
    </row>
    <row r="11976" spans="1:4" ht="51">
      <c r="A11976" s="801">
        <v>39742</v>
      </c>
      <c r="B11976" s="802" t="s">
        <v>12870</v>
      </c>
      <c r="C11976" s="801" t="s">
        <v>660</v>
      </c>
      <c r="D11976" s="803">
        <v>81.58</v>
      </c>
    </row>
    <row r="11977" spans="1:4" ht="38.25">
      <c r="A11977" s="801">
        <v>39749</v>
      </c>
      <c r="B11977" s="802" t="s">
        <v>12871</v>
      </c>
      <c r="C11977" s="801" t="s">
        <v>660</v>
      </c>
      <c r="D11977" s="803">
        <v>112.56</v>
      </c>
    </row>
    <row r="11978" spans="1:4" ht="38.25">
      <c r="A11978" s="801">
        <v>39751</v>
      </c>
      <c r="B11978" s="802" t="s">
        <v>12872</v>
      </c>
      <c r="C11978" s="801" t="s">
        <v>660</v>
      </c>
      <c r="D11978" s="803">
        <v>204.54</v>
      </c>
    </row>
    <row r="11979" spans="1:4" ht="38.25">
      <c r="A11979" s="801">
        <v>39750</v>
      </c>
      <c r="B11979" s="802" t="s">
        <v>12873</v>
      </c>
      <c r="C11979" s="801" t="s">
        <v>660</v>
      </c>
      <c r="D11979" s="803">
        <v>170.01</v>
      </c>
    </row>
    <row r="11980" spans="1:4" ht="38.25">
      <c r="A11980" s="801">
        <v>39747</v>
      </c>
      <c r="B11980" s="802" t="s">
        <v>12874</v>
      </c>
      <c r="C11980" s="801" t="s">
        <v>660</v>
      </c>
      <c r="D11980" s="803">
        <v>54.68</v>
      </c>
    </row>
    <row r="11981" spans="1:4" ht="38.25">
      <c r="A11981" s="801">
        <v>39753</v>
      </c>
      <c r="B11981" s="802" t="s">
        <v>12875</v>
      </c>
      <c r="C11981" s="801" t="s">
        <v>660</v>
      </c>
      <c r="D11981" s="803">
        <v>376.5</v>
      </c>
    </row>
    <row r="11982" spans="1:4" ht="38.25">
      <c r="A11982" s="801">
        <v>39754</v>
      </c>
      <c r="B11982" s="802" t="s">
        <v>12876</v>
      </c>
      <c r="C11982" s="801" t="s">
        <v>660</v>
      </c>
      <c r="D11982" s="803">
        <v>554.69000000000005</v>
      </c>
    </row>
    <row r="11983" spans="1:4" ht="38.25">
      <c r="A11983" s="801">
        <v>39748</v>
      </c>
      <c r="B11983" s="802" t="s">
        <v>12877</v>
      </c>
      <c r="C11983" s="801" t="s">
        <v>660</v>
      </c>
      <c r="D11983" s="803">
        <v>88.48</v>
      </c>
    </row>
    <row r="11984" spans="1:4" ht="38.25">
      <c r="A11984" s="801">
        <v>39755</v>
      </c>
      <c r="B11984" s="802" t="s">
        <v>12878</v>
      </c>
      <c r="C11984" s="801" t="s">
        <v>660</v>
      </c>
      <c r="D11984" s="803">
        <v>841.04</v>
      </c>
    </row>
    <row r="11985" spans="1:4" ht="25.5">
      <c r="A11985" s="801">
        <v>12742</v>
      </c>
      <c r="B11985" s="802" t="s">
        <v>12879</v>
      </c>
      <c r="C11985" s="801" t="s">
        <v>660</v>
      </c>
      <c r="D11985" s="803">
        <v>665.96</v>
      </c>
    </row>
    <row r="11986" spans="1:4" ht="25.5">
      <c r="A11986" s="801">
        <v>12713</v>
      </c>
      <c r="B11986" s="802" t="s">
        <v>12880</v>
      </c>
      <c r="C11986" s="801" t="s">
        <v>660</v>
      </c>
      <c r="D11986" s="803">
        <v>35.32</v>
      </c>
    </row>
    <row r="11987" spans="1:4" ht="25.5">
      <c r="A11987" s="801">
        <v>12743</v>
      </c>
      <c r="B11987" s="802" t="s">
        <v>12881</v>
      </c>
      <c r="C11987" s="801" t="s">
        <v>660</v>
      </c>
      <c r="D11987" s="803">
        <v>60.76</v>
      </c>
    </row>
    <row r="11988" spans="1:4" ht="25.5">
      <c r="A11988" s="801">
        <v>12744</v>
      </c>
      <c r="B11988" s="802" t="s">
        <v>12882</v>
      </c>
      <c r="C11988" s="801" t="s">
        <v>660</v>
      </c>
      <c r="D11988" s="803">
        <v>77.11</v>
      </c>
    </row>
    <row r="11989" spans="1:4" ht="25.5">
      <c r="A11989" s="801">
        <v>12745</v>
      </c>
      <c r="B11989" s="802" t="s">
        <v>12883</v>
      </c>
      <c r="C11989" s="801" t="s">
        <v>660</v>
      </c>
      <c r="D11989" s="803">
        <v>111.98</v>
      </c>
    </row>
    <row r="11990" spans="1:4" ht="25.5">
      <c r="A11990" s="801">
        <v>12746</v>
      </c>
      <c r="B11990" s="802" t="s">
        <v>12884</v>
      </c>
      <c r="C11990" s="801" t="s">
        <v>660</v>
      </c>
      <c r="D11990" s="803">
        <v>151.22</v>
      </c>
    </row>
    <row r="11991" spans="1:4" ht="25.5">
      <c r="A11991" s="801">
        <v>12747</v>
      </c>
      <c r="B11991" s="802" t="s">
        <v>12885</v>
      </c>
      <c r="C11991" s="801" t="s">
        <v>660</v>
      </c>
      <c r="D11991" s="803">
        <v>219.3</v>
      </c>
    </row>
    <row r="11992" spans="1:4" ht="25.5">
      <c r="A11992" s="801">
        <v>12748</v>
      </c>
      <c r="B11992" s="802" t="s">
        <v>12886</v>
      </c>
      <c r="C11992" s="801" t="s">
        <v>660</v>
      </c>
      <c r="D11992" s="803">
        <v>308.95</v>
      </c>
    </row>
    <row r="11993" spans="1:4" ht="25.5">
      <c r="A11993" s="801">
        <v>12749</v>
      </c>
      <c r="B11993" s="802" t="s">
        <v>12887</v>
      </c>
      <c r="C11993" s="801" t="s">
        <v>660</v>
      </c>
      <c r="D11993" s="803">
        <v>451.63</v>
      </c>
    </row>
    <row r="11994" spans="1:4" ht="25.5">
      <c r="A11994" s="801">
        <v>39726</v>
      </c>
      <c r="B11994" s="802" t="s">
        <v>12888</v>
      </c>
      <c r="C11994" s="801" t="s">
        <v>660</v>
      </c>
      <c r="D11994" s="803">
        <v>148.34</v>
      </c>
    </row>
    <row r="11995" spans="1:4" ht="25.5">
      <c r="A11995" s="801">
        <v>39728</v>
      </c>
      <c r="B11995" s="802" t="s">
        <v>12889</v>
      </c>
      <c r="C11995" s="801" t="s">
        <v>660</v>
      </c>
      <c r="D11995" s="803">
        <v>260.72000000000003</v>
      </c>
    </row>
    <row r="11996" spans="1:4" ht="25.5">
      <c r="A11996" s="801">
        <v>39727</v>
      </c>
      <c r="B11996" s="802" t="s">
        <v>12890</v>
      </c>
      <c r="C11996" s="801" t="s">
        <v>660</v>
      </c>
      <c r="D11996" s="803">
        <v>214.55</v>
      </c>
    </row>
    <row r="11997" spans="1:4" ht="25.5">
      <c r="A11997" s="801">
        <v>39724</v>
      </c>
      <c r="B11997" s="802" t="s">
        <v>12891</v>
      </c>
      <c r="C11997" s="801" t="s">
        <v>660</v>
      </c>
      <c r="D11997" s="803">
        <v>65.69</v>
      </c>
    </row>
    <row r="11998" spans="1:4" ht="25.5">
      <c r="A11998" s="801">
        <v>39729</v>
      </c>
      <c r="B11998" s="802" t="s">
        <v>12892</v>
      </c>
      <c r="C11998" s="801" t="s">
        <v>660</v>
      </c>
      <c r="D11998" s="803">
        <v>361.04</v>
      </c>
    </row>
    <row r="11999" spans="1:4" ht="25.5">
      <c r="A11999" s="801">
        <v>39730</v>
      </c>
      <c r="B11999" s="802" t="s">
        <v>12893</v>
      </c>
      <c r="C11999" s="801" t="s">
        <v>660</v>
      </c>
      <c r="D11999" s="803">
        <v>468.44</v>
      </c>
    </row>
    <row r="12000" spans="1:4" ht="25.5">
      <c r="A12000" s="801">
        <v>39731</v>
      </c>
      <c r="B12000" s="802" t="s">
        <v>12894</v>
      </c>
      <c r="C12000" s="801" t="s">
        <v>660</v>
      </c>
      <c r="D12000" s="803">
        <v>693.79</v>
      </c>
    </row>
    <row r="12001" spans="1:4" ht="25.5">
      <c r="A12001" s="801">
        <v>39725</v>
      </c>
      <c r="B12001" s="802" t="s">
        <v>12895</v>
      </c>
      <c r="C12001" s="801" t="s">
        <v>660</v>
      </c>
      <c r="D12001" s="803">
        <v>107.07</v>
      </c>
    </row>
    <row r="12002" spans="1:4" ht="25.5">
      <c r="A12002" s="801">
        <v>39732</v>
      </c>
      <c r="B12002" s="802" t="s">
        <v>12896</v>
      </c>
      <c r="C12002" s="801" t="s">
        <v>660</v>
      </c>
      <c r="D12002" s="803">
        <v>1021.22</v>
      </c>
    </row>
    <row r="12003" spans="1:4" ht="25.5">
      <c r="A12003" s="801">
        <v>39660</v>
      </c>
      <c r="B12003" s="802" t="s">
        <v>12897</v>
      </c>
      <c r="C12003" s="801" t="s">
        <v>660</v>
      </c>
      <c r="D12003" s="803">
        <v>46.53</v>
      </c>
    </row>
    <row r="12004" spans="1:4" ht="25.5">
      <c r="A12004" s="801">
        <v>39662</v>
      </c>
      <c r="B12004" s="802" t="s">
        <v>12898</v>
      </c>
      <c r="C12004" s="801" t="s">
        <v>660</v>
      </c>
      <c r="D12004" s="803">
        <v>22.3</v>
      </c>
    </row>
    <row r="12005" spans="1:4" ht="25.5">
      <c r="A12005" s="801">
        <v>39661</v>
      </c>
      <c r="B12005" s="802" t="s">
        <v>12899</v>
      </c>
      <c r="C12005" s="801" t="s">
        <v>660</v>
      </c>
      <c r="D12005" s="803">
        <v>15.21</v>
      </c>
    </row>
    <row r="12006" spans="1:4" ht="25.5">
      <c r="A12006" s="801">
        <v>39666</v>
      </c>
      <c r="B12006" s="802" t="s">
        <v>12900</v>
      </c>
      <c r="C12006" s="801" t="s">
        <v>660</v>
      </c>
      <c r="D12006" s="803">
        <v>70</v>
      </c>
    </row>
    <row r="12007" spans="1:4" ht="25.5">
      <c r="A12007" s="801">
        <v>39664</v>
      </c>
      <c r="B12007" s="802" t="s">
        <v>12901</v>
      </c>
      <c r="C12007" s="801" t="s">
        <v>660</v>
      </c>
      <c r="D12007" s="803">
        <v>34.31</v>
      </c>
    </row>
    <row r="12008" spans="1:4" ht="25.5">
      <c r="A12008" s="801">
        <v>39663</v>
      </c>
      <c r="B12008" s="802" t="s">
        <v>12902</v>
      </c>
      <c r="C12008" s="801" t="s">
        <v>660</v>
      </c>
      <c r="D12008" s="803">
        <v>27.43</v>
      </c>
    </row>
    <row r="12009" spans="1:4" ht="25.5">
      <c r="A12009" s="801">
        <v>39665</v>
      </c>
      <c r="B12009" s="802" t="s">
        <v>12903</v>
      </c>
      <c r="C12009" s="801" t="s">
        <v>660</v>
      </c>
      <c r="D12009" s="803">
        <v>57.88</v>
      </c>
    </row>
    <row r="12010" spans="1:4" ht="38.25">
      <c r="A12010" s="801">
        <v>39752</v>
      </c>
      <c r="B12010" s="802" t="s">
        <v>12904</v>
      </c>
      <c r="C12010" s="801" t="s">
        <v>660</v>
      </c>
      <c r="D12010" s="803">
        <v>291.04000000000002</v>
      </c>
    </row>
    <row r="12011" spans="1:4" ht="38.25">
      <c r="A12011" s="801">
        <v>7725</v>
      </c>
      <c r="B12011" s="802" t="s">
        <v>12905</v>
      </c>
      <c r="C12011" s="801" t="s">
        <v>660</v>
      </c>
      <c r="D12011" s="803">
        <v>196</v>
      </c>
    </row>
    <row r="12012" spans="1:4" ht="25.5">
      <c r="A12012" s="801">
        <v>7753</v>
      </c>
      <c r="B12012" s="802" t="s">
        <v>12906</v>
      </c>
      <c r="C12012" s="801" t="s">
        <v>660</v>
      </c>
      <c r="D12012" s="803">
        <v>382.11</v>
      </c>
    </row>
    <row r="12013" spans="1:4" ht="25.5">
      <c r="A12013" s="801">
        <v>13256</v>
      </c>
      <c r="B12013" s="802" t="s">
        <v>12907</v>
      </c>
      <c r="C12013" s="801" t="s">
        <v>660</v>
      </c>
      <c r="D12013" s="803">
        <v>535.29</v>
      </c>
    </row>
    <row r="12014" spans="1:4" ht="25.5">
      <c r="A12014" s="801">
        <v>7757</v>
      </c>
      <c r="B12014" s="802" t="s">
        <v>12908</v>
      </c>
      <c r="C12014" s="801" t="s">
        <v>660</v>
      </c>
      <c r="D12014" s="803">
        <v>570.70000000000005</v>
      </c>
    </row>
    <row r="12015" spans="1:4" ht="25.5">
      <c r="A12015" s="801">
        <v>7758</v>
      </c>
      <c r="B12015" s="802" t="s">
        <v>12909</v>
      </c>
      <c r="C12015" s="801" t="s">
        <v>660</v>
      </c>
      <c r="D12015" s="803">
        <v>826.82</v>
      </c>
    </row>
    <row r="12016" spans="1:4" ht="25.5">
      <c r="A12016" s="801">
        <v>7759</v>
      </c>
      <c r="B12016" s="802" t="s">
        <v>12910</v>
      </c>
      <c r="C12016" s="801" t="s">
        <v>660</v>
      </c>
      <c r="D12016" s="803">
        <v>2291.12</v>
      </c>
    </row>
    <row r="12017" spans="1:4" ht="25.5">
      <c r="A12017" s="801">
        <v>40334</v>
      </c>
      <c r="B12017" s="802" t="s">
        <v>12911</v>
      </c>
      <c r="C12017" s="801" t="s">
        <v>660</v>
      </c>
      <c r="D12017" s="803">
        <v>89.76</v>
      </c>
    </row>
    <row r="12018" spans="1:4" ht="25.5">
      <c r="A12018" s="801">
        <v>7745</v>
      </c>
      <c r="B12018" s="802" t="s">
        <v>12912</v>
      </c>
      <c r="C12018" s="801" t="s">
        <v>660</v>
      </c>
      <c r="D12018" s="803">
        <v>101.29</v>
      </c>
    </row>
    <row r="12019" spans="1:4" ht="25.5">
      <c r="A12019" s="801">
        <v>7714</v>
      </c>
      <c r="B12019" s="802" t="s">
        <v>12913</v>
      </c>
      <c r="C12019" s="801" t="s">
        <v>660</v>
      </c>
      <c r="D12019" s="803">
        <v>121.05</v>
      </c>
    </row>
    <row r="12020" spans="1:4" ht="25.5">
      <c r="A12020" s="801">
        <v>7742</v>
      </c>
      <c r="B12020" s="802" t="s">
        <v>12914</v>
      </c>
      <c r="C12020" s="801" t="s">
        <v>660</v>
      </c>
      <c r="D12020" s="803">
        <v>267.14999999999998</v>
      </c>
    </row>
    <row r="12021" spans="1:4" ht="25.5">
      <c r="A12021" s="801">
        <v>7750</v>
      </c>
      <c r="B12021" s="802" t="s">
        <v>12915</v>
      </c>
      <c r="C12021" s="801" t="s">
        <v>660</v>
      </c>
      <c r="D12021" s="803">
        <v>326.11</v>
      </c>
    </row>
    <row r="12022" spans="1:4" ht="25.5">
      <c r="A12022" s="801">
        <v>7756</v>
      </c>
      <c r="B12022" s="802" t="s">
        <v>12916</v>
      </c>
      <c r="C12022" s="801" t="s">
        <v>660</v>
      </c>
      <c r="D12022" s="803">
        <v>374.7</v>
      </c>
    </row>
    <row r="12023" spans="1:4" ht="25.5">
      <c r="A12023" s="801">
        <v>7765</v>
      </c>
      <c r="B12023" s="802" t="s">
        <v>12917</v>
      </c>
      <c r="C12023" s="801" t="s">
        <v>660</v>
      </c>
      <c r="D12023" s="803">
        <v>419.99</v>
      </c>
    </row>
    <row r="12024" spans="1:4" ht="25.5">
      <c r="A12024" s="801">
        <v>12569</v>
      </c>
      <c r="B12024" s="802" t="s">
        <v>12918</v>
      </c>
      <c r="C12024" s="801" t="s">
        <v>660</v>
      </c>
      <c r="D12024" s="803">
        <v>579.76</v>
      </c>
    </row>
    <row r="12025" spans="1:4" ht="25.5">
      <c r="A12025" s="801">
        <v>7766</v>
      </c>
      <c r="B12025" s="802" t="s">
        <v>12919</v>
      </c>
      <c r="C12025" s="801" t="s">
        <v>660</v>
      </c>
      <c r="D12025" s="803">
        <v>615.99</v>
      </c>
    </row>
    <row r="12026" spans="1:4" ht="25.5">
      <c r="A12026" s="801">
        <v>7767</v>
      </c>
      <c r="B12026" s="802" t="s">
        <v>12920</v>
      </c>
      <c r="C12026" s="801" t="s">
        <v>660</v>
      </c>
      <c r="D12026" s="803">
        <v>884.47</v>
      </c>
    </row>
    <row r="12027" spans="1:4" ht="25.5">
      <c r="A12027" s="801">
        <v>7727</v>
      </c>
      <c r="B12027" s="802" t="s">
        <v>12921</v>
      </c>
      <c r="C12027" s="801" t="s">
        <v>660</v>
      </c>
      <c r="D12027" s="803">
        <v>2569.41</v>
      </c>
    </row>
    <row r="12028" spans="1:4" ht="25.5">
      <c r="A12028" s="801">
        <v>7760</v>
      </c>
      <c r="B12028" s="802" t="s">
        <v>12922</v>
      </c>
      <c r="C12028" s="801" t="s">
        <v>660</v>
      </c>
      <c r="D12028" s="803">
        <v>102.11</v>
      </c>
    </row>
    <row r="12029" spans="1:4" ht="25.5">
      <c r="A12029" s="801">
        <v>7761</v>
      </c>
      <c r="B12029" s="802" t="s">
        <v>12923</v>
      </c>
      <c r="C12029" s="801" t="s">
        <v>660</v>
      </c>
      <c r="D12029" s="803">
        <v>107.05</v>
      </c>
    </row>
    <row r="12030" spans="1:4" ht="25.5">
      <c r="A12030" s="801">
        <v>7752</v>
      </c>
      <c r="B12030" s="802" t="s">
        <v>12924</v>
      </c>
      <c r="C12030" s="801" t="s">
        <v>660</v>
      </c>
      <c r="D12030" s="803">
        <v>130.11000000000001</v>
      </c>
    </row>
    <row r="12031" spans="1:4" ht="25.5">
      <c r="A12031" s="801">
        <v>7762</v>
      </c>
      <c r="B12031" s="802" t="s">
        <v>12925</v>
      </c>
      <c r="C12031" s="801" t="s">
        <v>660</v>
      </c>
      <c r="D12031" s="803">
        <v>170.05</v>
      </c>
    </row>
    <row r="12032" spans="1:4" ht="25.5">
      <c r="A12032" s="801">
        <v>7722</v>
      </c>
      <c r="B12032" s="802" t="s">
        <v>12926</v>
      </c>
      <c r="C12032" s="801" t="s">
        <v>660</v>
      </c>
      <c r="D12032" s="803">
        <v>260.23</v>
      </c>
    </row>
    <row r="12033" spans="1:4" ht="25.5">
      <c r="A12033" s="801">
        <v>7763</v>
      </c>
      <c r="B12033" s="802" t="s">
        <v>12927</v>
      </c>
      <c r="C12033" s="801" t="s">
        <v>660</v>
      </c>
      <c r="D12033" s="803">
        <v>317.05</v>
      </c>
    </row>
    <row r="12034" spans="1:4" ht="25.5">
      <c r="A12034" s="801">
        <v>7764</v>
      </c>
      <c r="B12034" s="802" t="s">
        <v>12928</v>
      </c>
      <c r="C12034" s="801" t="s">
        <v>660</v>
      </c>
      <c r="D12034" s="803">
        <v>378.82</v>
      </c>
    </row>
    <row r="12035" spans="1:4" ht="25.5">
      <c r="A12035" s="801">
        <v>12572</v>
      </c>
      <c r="B12035" s="802" t="s">
        <v>12929</v>
      </c>
      <c r="C12035" s="801" t="s">
        <v>660</v>
      </c>
      <c r="D12035" s="803">
        <v>535.29</v>
      </c>
    </row>
    <row r="12036" spans="1:4" ht="25.5">
      <c r="A12036" s="801">
        <v>12573</v>
      </c>
      <c r="B12036" s="802" t="s">
        <v>12930</v>
      </c>
      <c r="C12036" s="801" t="s">
        <v>660</v>
      </c>
      <c r="D12036" s="803">
        <v>704.11</v>
      </c>
    </row>
    <row r="12037" spans="1:4" ht="25.5">
      <c r="A12037" s="801">
        <v>12574</v>
      </c>
      <c r="B12037" s="802" t="s">
        <v>12931</v>
      </c>
      <c r="C12037" s="801" t="s">
        <v>660</v>
      </c>
      <c r="D12037" s="803">
        <v>851.36</v>
      </c>
    </row>
    <row r="12038" spans="1:4" ht="25.5">
      <c r="A12038" s="801">
        <v>12575</v>
      </c>
      <c r="B12038" s="802" t="s">
        <v>12932</v>
      </c>
      <c r="C12038" s="801" t="s">
        <v>660</v>
      </c>
      <c r="D12038" s="803">
        <v>1292.94</v>
      </c>
    </row>
    <row r="12039" spans="1:4" ht="25.5">
      <c r="A12039" s="801">
        <v>12576</v>
      </c>
      <c r="B12039" s="802" t="s">
        <v>12933</v>
      </c>
      <c r="C12039" s="801" t="s">
        <v>660</v>
      </c>
      <c r="D12039" s="803">
        <v>156.47</v>
      </c>
    </row>
    <row r="12040" spans="1:4" ht="25.5">
      <c r="A12040" s="801">
        <v>12577</v>
      </c>
      <c r="B12040" s="802" t="s">
        <v>12934</v>
      </c>
      <c r="C12040" s="801" t="s">
        <v>660</v>
      </c>
      <c r="D12040" s="803">
        <v>210.82</v>
      </c>
    </row>
    <row r="12041" spans="1:4" ht="25.5">
      <c r="A12041" s="801">
        <v>12578</v>
      </c>
      <c r="B12041" s="802" t="s">
        <v>12935</v>
      </c>
      <c r="C12041" s="801" t="s">
        <v>660</v>
      </c>
      <c r="D12041" s="803">
        <v>255.29</v>
      </c>
    </row>
    <row r="12042" spans="1:4" ht="25.5">
      <c r="A12042" s="801">
        <v>12579</v>
      </c>
      <c r="B12042" s="802" t="s">
        <v>12936</v>
      </c>
      <c r="C12042" s="801" t="s">
        <v>660</v>
      </c>
      <c r="D12042" s="803">
        <v>439.76</v>
      </c>
    </row>
    <row r="12043" spans="1:4" ht="25.5">
      <c r="A12043" s="801">
        <v>12580</v>
      </c>
      <c r="B12043" s="802" t="s">
        <v>12937</v>
      </c>
      <c r="C12043" s="801" t="s">
        <v>660</v>
      </c>
      <c r="D12043" s="803">
        <v>458.21</v>
      </c>
    </row>
    <row r="12044" spans="1:4" ht="25.5">
      <c r="A12044" s="801">
        <v>12581</v>
      </c>
      <c r="B12044" s="802" t="s">
        <v>12938</v>
      </c>
      <c r="C12044" s="801" t="s">
        <v>660</v>
      </c>
      <c r="D12044" s="803">
        <v>490.82</v>
      </c>
    </row>
    <row r="12045" spans="1:4" ht="38.25">
      <c r="A12045" s="801">
        <v>7720</v>
      </c>
      <c r="B12045" s="802" t="s">
        <v>12939</v>
      </c>
      <c r="C12045" s="801" t="s">
        <v>660</v>
      </c>
      <c r="D12045" s="803">
        <v>767.52</v>
      </c>
    </row>
    <row r="12046" spans="1:4" ht="38.25">
      <c r="A12046" s="801">
        <v>40335</v>
      </c>
      <c r="B12046" s="802" t="s">
        <v>12940</v>
      </c>
      <c r="C12046" s="801" t="s">
        <v>660</v>
      </c>
      <c r="D12046" s="803">
        <v>160.58000000000001</v>
      </c>
    </row>
    <row r="12047" spans="1:4" ht="38.25">
      <c r="A12047" s="801">
        <v>7740</v>
      </c>
      <c r="B12047" s="802" t="s">
        <v>12941</v>
      </c>
      <c r="C12047" s="801" t="s">
        <v>660</v>
      </c>
      <c r="D12047" s="803">
        <v>164.7</v>
      </c>
    </row>
    <row r="12048" spans="1:4" ht="38.25">
      <c r="A12048" s="801">
        <v>7741</v>
      </c>
      <c r="B12048" s="802" t="s">
        <v>12942</v>
      </c>
      <c r="C12048" s="801" t="s">
        <v>660</v>
      </c>
      <c r="D12048" s="803">
        <v>304.7</v>
      </c>
    </row>
    <row r="12049" spans="1:4" ht="38.25">
      <c r="A12049" s="801">
        <v>7774</v>
      </c>
      <c r="B12049" s="802" t="s">
        <v>12943</v>
      </c>
      <c r="C12049" s="801" t="s">
        <v>660</v>
      </c>
      <c r="D12049" s="803">
        <v>373.88</v>
      </c>
    </row>
    <row r="12050" spans="1:4" ht="38.25">
      <c r="A12050" s="801">
        <v>7744</v>
      </c>
      <c r="B12050" s="802" t="s">
        <v>12944</v>
      </c>
      <c r="C12050" s="801" t="s">
        <v>660</v>
      </c>
      <c r="D12050" s="803">
        <v>488.35</v>
      </c>
    </row>
    <row r="12051" spans="1:4" ht="38.25">
      <c r="A12051" s="801">
        <v>7773</v>
      </c>
      <c r="B12051" s="802" t="s">
        <v>12945</v>
      </c>
      <c r="C12051" s="801" t="s">
        <v>660</v>
      </c>
      <c r="D12051" s="803">
        <v>499.14</v>
      </c>
    </row>
    <row r="12052" spans="1:4" ht="38.25">
      <c r="A12052" s="801">
        <v>7754</v>
      </c>
      <c r="B12052" s="802" t="s">
        <v>12946</v>
      </c>
      <c r="C12052" s="801" t="s">
        <v>660</v>
      </c>
      <c r="D12052" s="803">
        <v>756.82</v>
      </c>
    </row>
    <row r="12053" spans="1:4" ht="38.25">
      <c r="A12053" s="801">
        <v>7735</v>
      </c>
      <c r="B12053" s="802" t="s">
        <v>12947</v>
      </c>
      <c r="C12053" s="801" t="s">
        <v>660</v>
      </c>
      <c r="D12053" s="803">
        <v>980</v>
      </c>
    </row>
    <row r="12054" spans="1:4" ht="38.25">
      <c r="A12054" s="801">
        <v>7755</v>
      </c>
      <c r="B12054" s="802" t="s">
        <v>12948</v>
      </c>
      <c r="C12054" s="801" t="s">
        <v>660</v>
      </c>
      <c r="D12054" s="803">
        <v>194.35</v>
      </c>
    </row>
    <row r="12055" spans="1:4" ht="38.25">
      <c r="A12055" s="801">
        <v>7776</v>
      </c>
      <c r="B12055" s="802" t="s">
        <v>12949</v>
      </c>
      <c r="C12055" s="801" t="s">
        <v>660</v>
      </c>
      <c r="D12055" s="803">
        <v>405.17</v>
      </c>
    </row>
    <row r="12056" spans="1:4" ht="38.25">
      <c r="A12056" s="801">
        <v>7743</v>
      </c>
      <c r="B12056" s="802" t="s">
        <v>12950</v>
      </c>
      <c r="C12056" s="801" t="s">
        <v>660</v>
      </c>
      <c r="D12056" s="803">
        <v>429.05</v>
      </c>
    </row>
    <row r="12057" spans="1:4" ht="38.25">
      <c r="A12057" s="801">
        <v>7733</v>
      </c>
      <c r="B12057" s="802" t="s">
        <v>12951</v>
      </c>
      <c r="C12057" s="801" t="s">
        <v>660</v>
      </c>
      <c r="D12057" s="803">
        <v>560</v>
      </c>
    </row>
    <row r="12058" spans="1:4" ht="38.25">
      <c r="A12058" s="801">
        <v>7775</v>
      </c>
      <c r="B12058" s="802" t="s">
        <v>12952</v>
      </c>
      <c r="C12058" s="801" t="s">
        <v>660</v>
      </c>
      <c r="D12058" s="803">
        <v>613.52</v>
      </c>
    </row>
    <row r="12059" spans="1:4" ht="38.25">
      <c r="A12059" s="801">
        <v>7734</v>
      </c>
      <c r="B12059" s="802" t="s">
        <v>12953</v>
      </c>
      <c r="C12059" s="801" t="s">
        <v>660</v>
      </c>
      <c r="D12059" s="803">
        <v>868.82</v>
      </c>
    </row>
    <row r="12060" spans="1:4" ht="38.25">
      <c r="A12060" s="801">
        <v>37449</v>
      </c>
      <c r="B12060" s="802" t="s">
        <v>12954</v>
      </c>
      <c r="C12060" s="801" t="s">
        <v>660</v>
      </c>
      <c r="D12060" s="803">
        <v>24.96</v>
      </c>
    </row>
    <row r="12061" spans="1:4" ht="38.25">
      <c r="A12061" s="801">
        <v>37450</v>
      </c>
      <c r="B12061" s="802" t="s">
        <v>12955</v>
      </c>
      <c r="C12061" s="801" t="s">
        <v>660</v>
      </c>
      <c r="D12061" s="803">
        <v>34.950000000000003</v>
      </c>
    </row>
    <row r="12062" spans="1:4" ht="38.25">
      <c r="A12062" s="801">
        <v>37451</v>
      </c>
      <c r="B12062" s="802" t="s">
        <v>12956</v>
      </c>
      <c r="C12062" s="801" t="s">
        <v>660</v>
      </c>
      <c r="D12062" s="803">
        <v>48.79</v>
      </c>
    </row>
    <row r="12063" spans="1:4" ht="38.25">
      <c r="A12063" s="801">
        <v>37452</v>
      </c>
      <c r="B12063" s="802" t="s">
        <v>12957</v>
      </c>
      <c r="C12063" s="801" t="s">
        <v>660</v>
      </c>
      <c r="D12063" s="803">
        <v>70.92</v>
      </c>
    </row>
    <row r="12064" spans="1:4" ht="38.25">
      <c r="A12064" s="801">
        <v>37453</v>
      </c>
      <c r="B12064" s="802" t="s">
        <v>12958</v>
      </c>
      <c r="C12064" s="801" t="s">
        <v>660</v>
      </c>
      <c r="D12064" s="803">
        <v>81.680000000000007</v>
      </c>
    </row>
    <row r="12065" spans="1:4" ht="38.25">
      <c r="A12065" s="801">
        <v>7778</v>
      </c>
      <c r="B12065" s="802" t="s">
        <v>12959</v>
      </c>
      <c r="C12065" s="801" t="s">
        <v>660</v>
      </c>
      <c r="D12065" s="803">
        <v>30.64</v>
      </c>
    </row>
    <row r="12066" spans="1:4" ht="38.25">
      <c r="A12066" s="801">
        <v>7796</v>
      </c>
      <c r="B12066" s="802" t="s">
        <v>12960</v>
      </c>
      <c r="C12066" s="801" t="s">
        <v>660</v>
      </c>
      <c r="D12066" s="803">
        <v>41.99</v>
      </c>
    </row>
    <row r="12067" spans="1:4" ht="38.25">
      <c r="A12067" s="801">
        <v>7781</v>
      </c>
      <c r="B12067" s="802" t="s">
        <v>12961</v>
      </c>
      <c r="C12067" s="801" t="s">
        <v>660</v>
      </c>
      <c r="D12067" s="803">
        <v>49.62</v>
      </c>
    </row>
    <row r="12068" spans="1:4" ht="38.25">
      <c r="A12068" s="801">
        <v>7795</v>
      </c>
      <c r="B12068" s="802" t="s">
        <v>12962</v>
      </c>
      <c r="C12068" s="801" t="s">
        <v>660</v>
      </c>
      <c r="D12068" s="803">
        <v>73.849999999999994</v>
      </c>
    </row>
    <row r="12069" spans="1:4" ht="38.25">
      <c r="A12069" s="801">
        <v>7791</v>
      </c>
      <c r="B12069" s="802" t="s">
        <v>12963</v>
      </c>
      <c r="C12069" s="801" t="s">
        <v>660</v>
      </c>
      <c r="D12069" s="803">
        <v>88.4</v>
      </c>
    </row>
    <row r="12070" spans="1:4" ht="38.25">
      <c r="A12070" s="801">
        <v>7783</v>
      </c>
      <c r="B12070" s="802" t="s">
        <v>12964</v>
      </c>
      <c r="C12070" s="801" t="s">
        <v>660</v>
      </c>
      <c r="D12070" s="803">
        <v>31.32</v>
      </c>
    </row>
    <row r="12071" spans="1:4" ht="38.25">
      <c r="A12071" s="801">
        <v>7790</v>
      </c>
      <c r="B12071" s="802" t="s">
        <v>12965</v>
      </c>
      <c r="C12071" s="801" t="s">
        <v>660</v>
      </c>
      <c r="D12071" s="803">
        <v>49.36</v>
      </c>
    </row>
    <row r="12072" spans="1:4" ht="38.25">
      <c r="A12072" s="801">
        <v>7785</v>
      </c>
      <c r="B12072" s="802" t="s">
        <v>12966</v>
      </c>
      <c r="C12072" s="801" t="s">
        <v>660</v>
      </c>
      <c r="D12072" s="803">
        <v>54.47</v>
      </c>
    </row>
    <row r="12073" spans="1:4" ht="38.25">
      <c r="A12073" s="801">
        <v>7792</v>
      </c>
      <c r="B12073" s="802" t="s">
        <v>12967</v>
      </c>
      <c r="C12073" s="801" t="s">
        <v>660</v>
      </c>
      <c r="D12073" s="803">
        <v>77.25</v>
      </c>
    </row>
    <row r="12074" spans="1:4" ht="38.25">
      <c r="A12074" s="801">
        <v>7793</v>
      </c>
      <c r="B12074" s="802" t="s">
        <v>12968</v>
      </c>
      <c r="C12074" s="801" t="s">
        <v>660</v>
      </c>
      <c r="D12074" s="803">
        <v>91.24</v>
      </c>
    </row>
    <row r="12075" spans="1:4" ht="38.25">
      <c r="A12075" s="801">
        <v>13159</v>
      </c>
      <c r="B12075" s="802" t="s">
        <v>12969</v>
      </c>
      <c r="C12075" s="801" t="s">
        <v>660</v>
      </c>
      <c r="D12075" s="803">
        <v>79.44</v>
      </c>
    </row>
    <row r="12076" spans="1:4" ht="38.25">
      <c r="A12076" s="801">
        <v>13168</v>
      </c>
      <c r="B12076" s="802" t="s">
        <v>12970</v>
      </c>
      <c r="C12076" s="801" t="s">
        <v>660</v>
      </c>
      <c r="D12076" s="803">
        <v>96.46</v>
      </c>
    </row>
    <row r="12077" spans="1:4" ht="38.25">
      <c r="A12077" s="801">
        <v>13173</v>
      </c>
      <c r="B12077" s="802" t="s">
        <v>12971</v>
      </c>
      <c r="C12077" s="801" t="s">
        <v>660</v>
      </c>
      <c r="D12077" s="803">
        <v>130.5</v>
      </c>
    </row>
    <row r="12078" spans="1:4" ht="38.25">
      <c r="A12078" s="801">
        <v>12583</v>
      </c>
      <c r="B12078" s="802" t="s">
        <v>12972</v>
      </c>
      <c r="C12078" s="801" t="s">
        <v>660</v>
      </c>
      <c r="D12078" s="803">
        <v>26.1</v>
      </c>
    </row>
    <row r="12079" spans="1:4" ht="38.25">
      <c r="A12079" s="801">
        <v>12584</v>
      </c>
      <c r="B12079" s="802" t="s">
        <v>12973</v>
      </c>
      <c r="C12079" s="801" t="s">
        <v>660</v>
      </c>
      <c r="D12079" s="803">
        <v>34.04</v>
      </c>
    </row>
    <row r="12080" spans="1:4" ht="25.5">
      <c r="A12080" s="801">
        <v>12613</v>
      </c>
      <c r="B12080" s="802" t="s">
        <v>12974</v>
      </c>
      <c r="C12080" s="801" t="s">
        <v>656</v>
      </c>
      <c r="D12080" s="803">
        <v>20.18</v>
      </c>
    </row>
    <row r="12081" spans="1:4" ht="25.5">
      <c r="A12081" s="801">
        <v>1031</v>
      </c>
      <c r="B12081" s="802" t="s">
        <v>12975</v>
      </c>
      <c r="C12081" s="801" t="s">
        <v>656</v>
      </c>
      <c r="D12081" s="803">
        <v>14.55</v>
      </c>
    </row>
    <row r="12082" spans="1:4" ht="38.25">
      <c r="A12082" s="801">
        <v>39707</v>
      </c>
      <c r="B12082" s="802" t="s">
        <v>12976</v>
      </c>
      <c r="C12082" s="801" t="s">
        <v>660</v>
      </c>
      <c r="D12082" s="803">
        <v>4.51</v>
      </c>
    </row>
    <row r="12083" spans="1:4" ht="38.25">
      <c r="A12083" s="801">
        <v>39708</v>
      </c>
      <c r="B12083" s="802" t="s">
        <v>12977</v>
      </c>
      <c r="C12083" s="801" t="s">
        <v>660</v>
      </c>
      <c r="D12083" s="803">
        <v>4.37</v>
      </c>
    </row>
    <row r="12084" spans="1:4" ht="38.25">
      <c r="A12084" s="801">
        <v>39710</v>
      </c>
      <c r="B12084" s="802" t="s">
        <v>12978</v>
      </c>
      <c r="C12084" s="801" t="s">
        <v>660</v>
      </c>
      <c r="D12084" s="803">
        <v>3.07</v>
      </c>
    </row>
    <row r="12085" spans="1:4" ht="38.25">
      <c r="A12085" s="801">
        <v>39709</v>
      </c>
      <c r="B12085" s="802" t="s">
        <v>12979</v>
      </c>
      <c r="C12085" s="801" t="s">
        <v>660</v>
      </c>
      <c r="D12085" s="803">
        <v>4.2699999999999996</v>
      </c>
    </row>
    <row r="12086" spans="1:4" ht="38.25">
      <c r="A12086" s="801">
        <v>39711</v>
      </c>
      <c r="B12086" s="802" t="s">
        <v>12980</v>
      </c>
      <c r="C12086" s="801" t="s">
        <v>660</v>
      </c>
      <c r="D12086" s="803">
        <v>4.79</v>
      </c>
    </row>
    <row r="12087" spans="1:4" ht="38.25">
      <c r="A12087" s="801">
        <v>39712</v>
      </c>
      <c r="B12087" s="802" t="s">
        <v>12981</v>
      </c>
      <c r="C12087" s="801" t="s">
        <v>660</v>
      </c>
      <c r="D12087" s="803">
        <v>1.68</v>
      </c>
    </row>
    <row r="12088" spans="1:4" ht="38.25">
      <c r="A12088" s="801">
        <v>39713</v>
      </c>
      <c r="B12088" s="802" t="s">
        <v>12982</v>
      </c>
      <c r="C12088" s="801" t="s">
        <v>660</v>
      </c>
      <c r="D12088" s="803">
        <v>1.33</v>
      </c>
    </row>
    <row r="12089" spans="1:4" ht="38.25">
      <c r="A12089" s="801">
        <v>39714</v>
      </c>
      <c r="B12089" s="802" t="s">
        <v>12983</v>
      </c>
      <c r="C12089" s="801" t="s">
        <v>660</v>
      </c>
      <c r="D12089" s="803">
        <v>3.04</v>
      </c>
    </row>
    <row r="12090" spans="1:4" ht="38.25">
      <c r="A12090" s="801">
        <v>39715</v>
      </c>
      <c r="B12090" s="802" t="s">
        <v>12984</v>
      </c>
      <c r="C12090" s="801" t="s">
        <v>660</v>
      </c>
      <c r="D12090" s="803">
        <v>2.17</v>
      </c>
    </row>
    <row r="12091" spans="1:4" ht="38.25">
      <c r="A12091" s="801">
        <v>39716</v>
      </c>
      <c r="B12091" s="802" t="s">
        <v>12985</v>
      </c>
      <c r="C12091" s="801" t="s">
        <v>660</v>
      </c>
      <c r="D12091" s="803">
        <v>1.64</v>
      </c>
    </row>
    <row r="12092" spans="1:4" ht="38.25">
      <c r="A12092" s="801">
        <v>39718</v>
      </c>
      <c r="B12092" s="802" t="s">
        <v>12986</v>
      </c>
      <c r="C12092" s="801" t="s">
        <v>660</v>
      </c>
      <c r="D12092" s="803">
        <v>2.8</v>
      </c>
    </row>
    <row r="12093" spans="1:4" ht="38.25">
      <c r="A12093" s="801">
        <v>9813</v>
      </c>
      <c r="B12093" s="802" t="s">
        <v>12987</v>
      </c>
      <c r="C12093" s="801" t="s">
        <v>660</v>
      </c>
      <c r="D12093" s="803">
        <v>5.71</v>
      </c>
    </row>
    <row r="12094" spans="1:4" ht="38.25">
      <c r="A12094" s="801">
        <v>9815</v>
      </c>
      <c r="B12094" s="802" t="s">
        <v>12988</v>
      </c>
      <c r="C12094" s="801" t="s">
        <v>660</v>
      </c>
      <c r="D12094" s="803">
        <v>11.27</v>
      </c>
    </row>
    <row r="12095" spans="1:4" ht="38.25">
      <c r="A12095" s="801">
        <v>44543</v>
      </c>
      <c r="B12095" s="802" t="s">
        <v>12989</v>
      </c>
      <c r="C12095" s="801" t="s">
        <v>660</v>
      </c>
      <c r="D12095" s="803">
        <v>5611.02</v>
      </c>
    </row>
    <row r="12096" spans="1:4" ht="38.25">
      <c r="A12096" s="801">
        <v>44526</v>
      </c>
      <c r="B12096" s="802" t="s">
        <v>12990</v>
      </c>
      <c r="C12096" s="801" t="s">
        <v>660</v>
      </c>
      <c r="D12096" s="803">
        <v>137.52000000000001</v>
      </c>
    </row>
    <row r="12097" spans="1:4" ht="38.25">
      <c r="A12097" s="801">
        <v>44518</v>
      </c>
      <c r="B12097" s="802" t="s">
        <v>12991</v>
      </c>
      <c r="C12097" s="801" t="s">
        <v>660</v>
      </c>
      <c r="D12097" s="803">
        <v>4130.8900000000003</v>
      </c>
    </row>
    <row r="12098" spans="1:4" ht="38.25">
      <c r="A12098" s="801">
        <v>44544</v>
      </c>
      <c r="B12098" s="802" t="s">
        <v>12992</v>
      </c>
      <c r="C12098" s="801" t="s">
        <v>660</v>
      </c>
      <c r="D12098" s="803">
        <v>2008.27</v>
      </c>
    </row>
    <row r="12099" spans="1:4" ht="38.25">
      <c r="A12099" s="801">
        <v>44545</v>
      </c>
      <c r="B12099" s="802" t="s">
        <v>12993</v>
      </c>
      <c r="C12099" s="801" t="s">
        <v>660</v>
      </c>
      <c r="D12099" s="803">
        <v>295.18</v>
      </c>
    </row>
    <row r="12100" spans="1:4" ht="38.25">
      <c r="A12100" s="801">
        <v>44546</v>
      </c>
      <c r="B12100" s="802" t="s">
        <v>12994</v>
      </c>
      <c r="C12100" s="801" t="s">
        <v>660</v>
      </c>
      <c r="D12100" s="803">
        <v>1318.31</v>
      </c>
    </row>
    <row r="12101" spans="1:4" ht="38.25">
      <c r="A12101" s="801">
        <v>44525</v>
      </c>
      <c r="B12101" s="802" t="s">
        <v>12995</v>
      </c>
      <c r="C12101" s="801" t="s">
        <v>660</v>
      </c>
      <c r="D12101" s="803">
        <v>5089.16</v>
      </c>
    </row>
    <row r="12102" spans="1:4" ht="38.25">
      <c r="A12102" s="801">
        <v>44547</v>
      </c>
      <c r="B12102" s="802" t="s">
        <v>12996</v>
      </c>
      <c r="C12102" s="801" t="s">
        <v>660</v>
      </c>
      <c r="D12102" s="803">
        <v>460.15</v>
      </c>
    </row>
    <row r="12103" spans="1:4" ht="38.25">
      <c r="A12103" s="801">
        <v>44519</v>
      </c>
      <c r="B12103" s="802" t="s">
        <v>12997</v>
      </c>
      <c r="C12103" s="801" t="s">
        <v>660</v>
      </c>
      <c r="D12103" s="803">
        <v>1127.5</v>
      </c>
    </row>
    <row r="12104" spans="1:4" ht="38.25">
      <c r="A12104" s="801">
        <v>44520</v>
      </c>
      <c r="B12104" s="802" t="s">
        <v>12998</v>
      </c>
      <c r="C12104" s="801" t="s">
        <v>660</v>
      </c>
      <c r="D12104" s="803">
        <v>1816</v>
      </c>
    </row>
    <row r="12105" spans="1:4" ht="38.25">
      <c r="A12105" s="801">
        <v>44521</v>
      </c>
      <c r="B12105" s="802" t="s">
        <v>12999</v>
      </c>
      <c r="C12105" s="801" t="s">
        <v>660</v>
      </c>
      <c r="D12105" s="803">
        <v>29.29</v>
      </c>
    </row>
    <row r="12106" spans="1:4" ht="38.25">
      <c r="A12106" s="801">
        <v>44522</v>
      </c>
      <c r="B12106" s="802" t="s">
        <v>13000</v>
      </c>
      <c r="C12106" s="801" t="s">
        <v>660</v>
      </c>
      <c r="D12106" s="803">
        <v>3188.22</v>
      </c>
    </row>
    <row r="12107" spans="1:4" ht="38.25">
      <c r="A12107" s="801">
        <v>44523</v>
      </c>
      <c r="B12107" s="802" t="s">
        <v>13001</v>
      </c>
      <c r="C12107" s="801" t="s">
        <v>660</v>
      </c>
      <c r="D12107" s="803">
        <v>4741.78</v>
      </c>
    </row>
    <row r="12108" spans="1:4" ht="38.25">
      <c r="A12108" s="801">
        <v>44527</v>
      </c>
      <c r="B12108" s="802" t="s">
        <v>13002</v>
      </c>
      <c r="C12108" s="801" t="s">
        <v>660</v>
      </c>
      <c r="D12108" s="803">
        <v>2377.88</v>
      </c>
    </row>
    <row r="12109" spans="1:4" ht="38.25">
      <c r="A12109" s="801">
        <v>44524</v>
      </c>
      <c r="B12109" s="802" t="s">
        <v>13003</v>
      </c>
      <c r="C12109" s="801" t="s">
        <v>660</v>
      </c>
      <c r="D12109" s="803">
        <v>65.52</v>
      </c>
    </row>
    <row r="12110" spans="1:4" ht="38.25">
      <c r="A12110" s="801">
        <v>44542</v>
      </c>
      <c r="B12110" s="802" t="s">
        <v>13004</v>
      </c>
      <c r="C12110" s="801" t="s">
        <v>660</v>
      </c>
      <c r="D12110" s="803">
        <v>3102.34</v>
      </c>
    </row>
    <row r="12111" spans="1:4">
      <c r="A12111" s="801">
        <v>9876</v>
      </c>
      <c r="B12111" s="802" t="s">
        <v>13005</v>
      </c>
      <c r="C12111" s="801" t="s">
        <v>660</v>
      </c>
      <c r="D12111" s="803">
        <v>27.86</v>
      </c>
    </row>
    <row r="12112" spans="1:4">
      <c r="A12112" s="801">
        <v>9877</v>
      </c>
      <c r="B12112" s="802" t="s">
        <v>13006</v>
      </c>
      <c r="C12112" s="801" t="s">
        <v>660</v>
      </c>
      <c r="D12112" s="803">
        <v>97.6</v>
      </c>
    </row>
    <row r="12113" spans="1:4">
      <c r="A12113" s="801">
        <v>9878</v>
      </c>
      <c r="B12113" s="802" t="s">
        <v>13007</v>
      </c>
      <c r="C12113" s="801" t="s">
        <v>660</v>
      </c>
      <c r="D12113" s="803">
        <v>127.13</v>
      </c>
    </row>
    <row r="12114" spans="1:4">
      <c r="A12114" s="801">
        <v>9879</v>
      </c>
      <c r="B12114" s="802" t="s">
        <v>13008</v>
      </c>
      <c r="C12114" s="801" t="s">
        <v>660</v>
      </c>
      <c r="D12114" s="803">
        <v>303.45</v>
      </c>
    </row>
    <row r="12115" spans="1:4" ht="38.25">
      <c r="A12115" s="801">
        <v>41986</v>
      </c>
      <c r="B12115" s="802" t="s">
        <v>13009</v>
      </c>
      <c r="C12115" s="801" t="s">
        <v>660</v>
      </c>
      <c r="D12115" s="803">
        <v>2851.31</v>
      </c>
    </row>
    <row r="12116" spans="1:4" ht="38.25">
      <c r="A12116" s="801">
        <v>43422</v>
      </c>
      <c r="B12116" s="802" t="s">
        <v>13010</v>
      </c>
      <c r="C12116" s="801" t="s">
        <v>660</v>
      </c>
      <c r="D12116" s="803">
        <v>3496.86</v>
      </c>
    </row>
    <row r="12117" spans="1:4" ht="38.25">
      <c r="A12117" s="801">
        <v>41987</v>
      </c>
      <c r="B12117" s="802" t="s">
        <v>13011</v>
      </c>
      <c r="C12117" s="801" t="s">
        <v>660</v>
      </c>
      <c r="D12117" s="803">
        <v>4053.15</v>
      </c>
    </row>
    <row r="12118" spans="1:4" ht="38.25">
      <c r="A12118" s="801">
        <v>41988</v>
      </c>
      <c r="B12118" s="802" t="s">
        <v>13012</v>
      </c>
      <c r="C12118" s="801" t="s">
        <v>660</v>
      </c>
      <c r="D12118" s="803">
        <v>5353.63</v>
      </c>
    </row>
    <row r="12119" spans="1:4" ht="38.25">
      <c r="A12119" s="801">
        <v>41697</v>
      </c>
      <c r="B12119" s="802" t="s">
        <v>13013</v>
      </c>
      <c r="C12119" s="801" t="s">
        <v>660</v>
      </c>
      <c r="D12119" s="803">
        <v>948.91</v>
      </c>
    </row>
    <row r="12120" spans="1:4" ht="38.25">
      <c r="A12120" s="801">
        <v>41985</v>
      </c>
      <c r="B12120" s="802" t="s">
        <v>13014</v>
      </c>
      <c r="C12120" s="801" t="s">
        <v>660</v>
      </c>
      <c r="D12120" s="803">
        <v>1321.58</v>
      </c>
    </row>
    <row r="12121" spans="1:4" ht="38.25">
      <c r="A12121" s="801">
        <v>41699</v>
      </c>
      <c r="B12121" s="802" t="s">
        <v>13015</v>
      </c>
      <c r="C12121" s="801" t="s">
        <v>660</v>
      </c>
      <c r="D12121" s="803">
        <v>1881.87</v>
      </c>
    </row>
    <row r="12122" spans="1:4" ht="38.25">
      <c r="A12122" s="801">
        <v>38053</v>
      </c>
      <c r="B12122" s="802" t="s">
        <v>13016</v>
      </c>
      <c r="C12122" s="801" t="s">
        <v>660</v>
      </c>
      <c r="D12122" s="803">
        <v>21.35</v>
      </c>
    </row>
    <row r="12123" spans="1:4" ht="38.25">
      <c r="A12123" s="801">
        <v>38054</v>
      </c>
      <c r="B12123" s="802" t="s">
        <v>13017</v>
      </c>
      <c r="C12123" s="801" t="s">
        <v>660</v>
      </c>
      <c r="D12123" s="803">
        <v>36.71</v>
      </c>
    </row>
    <row r="12124" spans="1:4" ht="38.25">
      <c r="A12124" s="801">
        <v>38052</v>
      </c>
      <c r="B12124" s="802" t="s">
        <v>13018</v>
      </c>
      <c r="C12124" s="801" t="s">
        <v>660</v>
      </c>
      <c r="D12124" s="803">
        <v>10.34</v>
      </c>
    </row>
    <row r="12125" spans="1:4" ht="38.25">
      <c r="A12125" s="801">
        <v>38051</v>
      </c>
      <c r="B12125" s="802" t="s">
        <v>13019</v>
      </c>
      <c r="C12125" s="801" t="s">
        <v>660</v>
      </c>
      <c r="D12125" s="803">
        <v>6.45</v>
      </c>
    </row>
    <row r="12126" spans="1:4">
      <c r="A12126" s="801">
        <v>38787</v>
      </c>
      <c r="B12126" s="802" t="s">
        <v>13020</v>
      </c>
      <c r="C12126" s="801" t="s">
        <v>660</v>
      </c>
      <c r="D12126" s="803">
        <v>6.09</v>
      </c>
    </row>
    <row r="12127" spans="1:4">
      <c r="A12127" s="801">
        <v>38825</v>
      </c>
      <c r="B12127" s="802" t="s">
        <v>13021</v>
      </c>
      <c r="C12127" s="801" t="s">
        <v>660</v>
      </c>
      <c r="D12127" s="803">
        <v>7.98</v>
      </c>
    </row>
    <row r="12128" spans="1:4">
      <c r="A12128" s="801">
        <v>38826</v>
      </c>
      <c r="B12128" s="802" t="s">
        <v>13022</v>
      </c>
      <c r="C12128" s="801" t="s">
        <v>660</v>
      </c>
      <c r="D12128" s="803">
        <v>11.82</v>
      </c>
    </row>
    <row r="12129" spans="1:4">
      <c r="A12129" s="801">
        <v>38827</v>
      </c>
      <c r="B12129" s="802" t="s">
        <v>13023</v>
      </c>
      <c r="C12129" s="801" t="s">
        <v>660</v>
      </c>
      <c r="D12129" s="803">
        <v>18.989999999999998</v>
      </c>
    </row>
    <row r="12130" spans="1:4" ht="25.5">
      <c r="A12130" s="801">
        <v>38830</v>
      </c>
      <c r="B12130" s="802" t="s">
        <v>13024</v>
      </c>
      <c r="C12130" s="801" t="s">
        <v>660</v>
      </c>
      <c r="D12130" s="803">
        <v>26.6</v>
      </c>
    </row>
    <row r="12131" spans="1:4" ht="25.5">
      <c r="A12131" s="801">
        <v>38828</v>
      </c>
      <c r="B12131" s="802" t="s">
        <v>13025</v>
      </c>
      <c r="C12131" s="801" t="s">
        <v>660</v>
      </c>
      <c r="D12131" s="803">
        <v>11.73</v>
      </c>
    </row>
    <row r="12132" spans="1:4" ht="25.5">
      <c r="A12132" s="801">
        <v>38829</v>
      </c>
      <c r="B12132" s="802" t="s">
        <v>13026</v>
      </c>
      <c r="C12132" s="801" t="s">
        <v>660</v>
      </c>
      <c r="D12132" s="803">
        <v>19.21</v>
      </c>
    </row>
    <row r="12133" spans="1:4" ht="25.5">
      <c r="A12133" s="801">
        <v>38831</v>
      </c>
      <c r="B12133" s="802" t="s">
        <v>13027</v>
      </c>
      <c r="C12133" s="801" t="s">
        <v>660</v>
      </c>
      <c r="D12133" s="803">
        <v>37.1</v>
      </c>
    </row>
    <row r="12134" spans="1:4">
      <c r="A12134" s="801">
        <v>36274</v>
      </c>
      <c r="B12134" s="802" t="s">
        <v>13028</v>
      </c>
      <c r="C12134" s="801" t="s">
        <v>660</v>
      </c>
      <c r="D12134" s="803">
        <v>9.56</v>
      </c>
    </row>
    <row r="12135" spans="1:4">
      <c r="A12135" s="801">
        <v>36278</v>
      </c>
      <c r="B12135" s="802" t="s">
        <v>13029</v>
      </c>
      <c r="C12135" s="801" t="s">
        <v>660</v>
      </c>
      <c r="D12135" s="803">
        <v>12.97</v>
      </c>
    </row>
    <row r="12136" spans="1:4">
      <c r="A12136" s="801">
        <v>38977</v>
      </c>
      <c r="B12136" s="802" t="s">
        <v>13030</v>
      </c>
      <c r="C12136" s="801" t="s">
        <v>660</v>
      </c>
      <c r="D12136" s="803">
        <v>197.35</v>
      </c>
    </row>
    <row r="12137" spans="1:4">
      <c r="A12137" s="801">
        <v>38971</v>
      </c>
      <c r="B12137" s="802" t="s">
        <v>13031</v>
      </c>
      <c r="C12137" s="801" t="s">
        <v>660</v>
      </c>
      <c r="D12137" s="803">
        <v>16.260000000000002</v>
      </c>
    </row>
    <row r="12138" spans="1:4">
      <c r="A12138" s="801">
        <v>38972</v>
      </c>
      <c r="B12138" s="802" t="s">
        <v>13032</v>
      </c>
      <c r="C12138" s="801" t="s">
        <v>660</v>
      </c>
      <c r="D12138" s="803">
        <v>24.76</v>
      </c>
    </row>
    <row r="12139" spans="1:4">
      <c r="A12139" s="801">
        <v>38973</v>
      </c>
      <c r="B12139" s="802" t="s">
        <v>13033</v>
      </c>
      <c r="C12139" s="801" t="s">
        <v>660</v>
      </c>
      <c r="D12139" s="803">
        <v>32.75</v>
      </c>
    </row>
    <row r="12140" spans="1:4">
      <c r="A12140" s="801">
        <v>38974</v>
      </c>
      <c r="B12140" s="802" t="s">
        <v>13034</v>
      </c>
      <c r="C12140" s="801" t="s">
        <v>660</v>
      </c>
      <c r="D12140" s="803">
        <v>47.77</v>
      </c>
    </row>
    <row r="12141" spans="1:4">
      <c r="A12141" s="801">
        <v>38975</v>
      </c>
      <c r="B12141" s="802" t="s">
        <v>13035</v>
      </c>
      <c r="C12141" s="801" t="s">
        <v>660</v>
      </c>
      <c r="D12141" s="803">
        <v>79.599999999999994</v>
      </c>
    </row>
    <row r="12142" spans="1:4">
      <c r="A12142" s="801">
        <v>38976</v>
      </c>
      <c r="B12142" s="802" t="s">
        <v>13036</v>
      </c>
      <c r="C12142" s="801" t="s">
        <v>660</v>
      </c>
      <c r="D12142" s="803">
        <v>111.64</v>
      </c>
    </row>
    <row r="12143" spans="1:4" ht="25.5">
      <c r="A12143" s="801">
        <v>38986</v>
      </c>
      <c r="B12143" s="802" t="s">
        <v>13037</v>
      </c>
      <c r="C12143" s="801" t="s">
        <v>660</v>
      </c>
      <c r="D12143" s="803">
        <v>224.67</v>
      </c>
    </row>
    <row r="12144" spans="1:4" ht="25.5">
      <c r="A12144" s="801">
        <v>38978</v>
      </c>
      <c r="B12144" s="802" t="s">
        <v>13038</v>
      </c>
      <c r="C12144" s="801" t="s">
        <v>660</v>
      </c>
      <c r="D12144" s="803">
        <v>9.56</v>
      </c>
    </row>
    <row r="12145" spans="1:4" ht="25.5">
      <c r="A12145" s="801">
        <v>38979</v>
      </c>
      <c r="B12145" s="802" t="s">
        <v>13039</v>
      </c>
      <c r="C12145" s="801" t="s">
        <v>660</v>
      </c>
      <c r="D12145" s="803">
        <v>12.97</v>
      </c>
    </row>
    <row r="12146" spans="1:4" ht="25.5">
      <c r="A12146" s="801">
        <v>38980</v>
      </c>
      <c r="B12146" s="802" t="s">
        <v>13040</v>
      </c>
      <c r="C12146" s="801" t="s">
        <v>660</v>
      </c>
      <c r="D12146" s="803">
        <v>21.68</v>
      </c>
    </row>
    <row r="12147" spans="1:4" ht="25.5">
      <c r="A12147" s="801">
        <v>38981</v>
      </c>
      <c r="B12147" s="802" t="s">
        <v>13041</v>
      </c>
      <c r="C12147" s="801" t="s">
        <v>660</v>
      </c>
      <c r="D12147" s="803">
        <v>30.02</v>
      </c>
    </row>
    <row r="12148" spans="1:4" ht="25.5">
      <c r="A12148" s="801">
        <v>38982</v>
      </c>
      <c r="B12148" s="802" t="s">
        <v>13042</v>
      </c>
      <c r="C12148" s="801" t="s">
        <v>660</v>
      </c>
      <c r="D12148" s="803">
        <v>43.69</v>
      </c>
    </row>
    <row r="12149" spans="1:4" ht="25.5">
      <c r="A12149" s="801">
        <v>38983</v>
      </c>
      <c r="B12149" s="802" t="s">
        <v>13043</v>
      </c>
      <c r="C12149" s="801" t="s">
        <v>660</v>
      </c>
      <c r="D12149" s="803">
        <v>57.92</v>
      </c>
    </row>
    <row r="12150" spans="1:4" ht="25.5">
      <c r="A12150" s="801">
        <v>38984</v>
      </c>
      <c r="B12150" s="802" t="s">
        <v>13044</v>
      </c>
      <c r="C12150" s="801" t="s">
        <v>660</v>
      </c>
      <c r="D12150" s="803">
        <v>111.71</v>
      </c>
    </row>
    <row r="12151" spans="1:4" ht="25.5">
      <c r="A12151" s="801">
        <v>38985</v>
      </c>
      <c r="B12151" s="802" t="s">
        <v>13045</v>
      </c>
      <c r="C12151" s="801" t="s">
        <v>660</v>
      </c>
      <c r="D12151" s="803">
        <v>165.38</v>
      </c>
    </row>
    <row r="12152" spans="1:4" ht="25.5">
      <c r="A12152" s="801">
        <v>9836</v>
      </c>
      <c r="B12152" s="802" t="s">
        <v>4811</v>
      </c>
      <c r="C12152" s="801" t="s">
        <v>660</v>
      </c>
      <c r="D12152" s="803">
        <v>18.170000000000002</v>
      </c>
    </row>
    <row r="12153" spans="1:4" ht="25.5">
      <c r="A12153" s="801">
        <v>20065</v>
      </c>
      <c r="B12153" s="802" t="s">
        <v>13046</v>
      </c>
      <c r="C12153" s="801" t="s">
        <v>660</v>
      </c>
      <c r="D12153" s="803">
        <v>46.48</v>
      </c>
    </row>
    <row r="12154" spans="1:4" ht="25.5">
      <c r="A12154" s="801">
        <v>9835</v>
      </c>
      <c r="B12154" s="802" t="s">
        <v>4812</v>
      </c>
      <c r="C12154" s="801" t="s">
        <v>660</v>
      </c>
      <c r="D12154" s="803">
        <v>6.55</v>
      </c>
    </row>
    <row r="12155" spans="1:4" ht="25.5">
      <c r="A12155" s="801">
        <v>38032</v>
      </c>
      <c r="B12155" s="802" t="s">
        <v>13047</v>
      </c>
      <c r="C12155" s="801" t="s">
        <v>660</v>
      </c>
      <c r="D12155" s="803">
        <v>65.94</v>
      </c>
    </row>
    <row r="12156" spans="1:4" ht="25.5">
      <c r="A12156" s="801">
        <v>38033</v>
      </c>
      <c r="B12156" s="802" t="s">
        <v>13048</v>
      </c>
      <c r="C12156" s="801" t="s">
        <v>660</v>
      </c>
      <c r="D12156" s="803">
        <v>107.91</v>
      </c>
    </row>
    <row r="12157" spans="1:4" ht="25.5">
      <c r="A12157" s="801">
        <v>38034</v>
      </c>
      <c r="B12157" s="802" t="s">
        <v>13049</v>
      </c>
      <c r="C12157" s="801" t="s">
        <v>660</v>
      </c>
      <c r="D12157" s="803">
        <v>178.51</v>
      </c>
    </row>
    <row r="12158" spans="1:4" ht="25.5">
      <c r="A12158" s="801">
        <v>38035</v>
      </c>
      <c r="B12158" s="802" t="s">
        <v>13050</v>
      </c>
      <c r="C12158" s="801" t="s">
        <v>660</v>
      </c>
      <c r="D12158" s="803">
        <v>248.75</v>
      </c>
    </row>
    <row r="12159" spans="1:4" ht="25.5">
      <c r="A12159" s="801">
        <v>38036</v>
      </c>
      <c r="B12159" s="802" t="s">
        <v>13051</v>
      </c>
      <c r="C12159" s="801" t="s">
        <v>660</v>
      </c>
      <c r="D12159" s="803">
        <v>350.99</v>
      </c>
    </row>
    <row r="12160" spans="1:4" ht="25.5">
      <c r="A12160" s="801">
        <v>38037</v>
      </c>
      <c r="B12160" s="802" t="s">
        <v>13052</v>
      </c>
      <c r="C12160" s="801" t="s">
        <v>660</v>
      </c>
      <c r="D12160" s="803">
        <v>406.98</v>
      </c>
    </row>
    <row r="12161" spans="1:4" ht="25.5">
      <c r="A12161" s="801">
        <v>9850</v>
      </c>
      <c r="B12161" s="802" t="s">
        <v>13053</v>
      </c>
      <c r="C12161" s="801" t="s">
        <v>660</v>
      </c>
      <c r="D12161" s="803">
        <v>150.88</v>
      </c>
    </row>
    <row r="12162" spans="1:4" ht="25.5">
      <c r="A12162" s="801">
        <v>9853</v>
      </c>
      <c r="B12162" s="802" t="s">
        <v>13054</v>
      </c>
      <c r="C12162" s="801" t="s">
        <v>660</v>
      </c>
      <c r="D12162" s="803">
        <v>268.31</v>
      </c>
    </row>
    <row r="12163" spans="1:4" ht="25.5">
      <c r="A12163" s="801">
        <v>9854</v>
      </c>
      <c r="B12163" s="802" t="s">
        <v>13055</v>
      </c>
      <c r="C12163" s="801" t="s">
        <v>660</v>
      </c>
      <c r="D12163" s="803">
        <v>117.56</v>
      </c>
    </row>
    <row r="12164" spans="1:4" ht="25.5">
      <c r="A12164" s="801">
        <v>9851</v>
      </c>
      <c r="B12164" s="802" t="s">
        <v>13056</v>
      </c>
      <c r="C12164" s="801" t="s">
        <v>660</v>
      </c>
      <c r="D12164" s="803">
        <v>203.85</v>
      </c>
    </row>
    <row r="12165" spans="1:4" ht="25.5">
      <c r="A12165" s="801">
        <v>9855</v>
      </c>
      <c r="B12165" s="802" t="s">
        <v>13057</v>
      </c>
      <c r="C12165" s="801" t="s">
        <v>660</v>
      </c>
      <c r="D12165" s="803">
        <v>340.96</v>
      </c>
    </row>
    <row r="12166" spans="1:4" ht="25.5">
      <c r="A12166" s="801">
        <v>9825</v>
      </c>
      <c r="B12166" s="802" t="s">
        <v>13058</v>
      </c>
      <c r="C12166" s="801" t="s">
        <v>660</v>
      </c>
      <c r="D12166" s="803">
        <v>59</v>
      </c>
    </row>
    <row r="12167" spans="1:4" ht="25.5">
      <c r="A12167" s="801">
        <v>9828</v>
      </c>
      <c r="B12167" s="802" t="s">
        <v>13059</v>
      </c>
      <c r="C12167" s="801" t="s">
        <v>660</v>
      </c>
      <c r="D12167" s="803">
        <v>158.79</v>
      </c>
    </row>
    <row r="12168" spans="1:4" ht="25.5">
      <c r="A12168" s="801">
        <v>9829</v>
      </c>
      <c r="B12168" s="802" t="s">
        <v>13060</v>
      </c>
      <c r="C12168" s="801" t="s">
        <v>660</v>
      </c>
      <c r="D12168" s="803">
        <v>269.10000000000002</v>
      </c>
    </row>
    <row r="12169" spans="1:4" ht="25.5">
      <c r="A12169" s="801">
        <v>9826</v>
      </c>
      <c r="B12169" s="802" t="s">
        <v>13061</v>
      </c>
      <c r="C12169" s="801" t="s">
        <v>660</v>
      </c>
      <c r="D12169" s="803">
        <v>409.67</v>
      </c>
    </row>
    <row r="12170" spans="1:4" ht="25.5">
      <c r="A12170" s="801">
        <v>9827</v>
      </c>
      <c r="B12170" s="802" t="s">
        <v>13062</v>
      </c>
      <c r="C12170" s="801" t="s">
        <v>660</v>
      </c>
      <c r="D12170" s="803">
        <v>581.73</v>
      </c>
    </row>
    <row r="12171" spans="1:4" ht="25.5">
      <c r="A12171" s="801">
        <v>36374</v>
      </c>
      <c r="B12171" s="802" t="s">
        <v>13063</v>
      </c>
      <c r="C12171" s="801" t="s">
        <v>660</v>
      </c>
      <c r="D12171" s="803">
        <v>70.72</v>
      </c>
    </row>
    <row r="12172" spans="1:4" ht="25.5">
      <c r="A12172" s="801">
        <v>36084</v>
      </c>
      <c r="B12172" s="802" t="s">
        <v>13064</v>
      </c>
      <c r="C12172" s="801" t="s">
        <v>660</v>
      </c>
      <c r="D12172" s="803">
        <v>20.95</v>
      </c>
    </row>
    <row r="12173" spans="1:4" ht="25.5">
      <c r="A12173" s="801">
        <v>36373</v>
      </c>
      <c r="B12173" s="802" t="s">
        <v>13065</v>
      </c>
      <c r="C12173" s="801" t="s">
        <v>660</v>
      </c>
      <c r="D12173" s="803">
        <v>43.51</v>
      </c>
    </row>
    <row r="12174" spans="1:4" ht="25.5">
      <c r="A12174" s="801">
        <v>36377</v>
      </c>
      <c r="B12174" s="802" t="s">
        <v>13066</v>
      </c>
      <c r="C12174" s="801" t="s">
        <v>660</v>
      </c>
      <c r="D12174" s="803">
        <v>84.83</v>
      </c>
    </row>
    <row r="12175" spans="1:4" ht="25.5">
      <c r="A12175" s="801">
        <v>36375</v>
      </c>
      <c r="B12175" s="802" t="s">
        <v>13067</v>
      </c>
      <c r="C12175" s="801" t="s">
        <v>660</v>
      </c>
      <c r="D12175" s="803">
        <v>25.85</v>
      </c>
    </row>
    <row r="12176" spans="1:4" ht="25.5">
      <c r="A12176" s="801">
        <v>36376</v>
      </c>
      <c r="B12176" s="802" t="s">
        <v>13068</v>
      </c>
      <c r="C12176" s="801" t="s">
        <v>660</v>
      </c>
      <c r="D12176" s="803">
        <v>50.77</v>
      </c>
    </row>
    <row r="12177" spans="1:4" ht="25.5">
      <c r="A12177" s="801">
        <v>36380</v>
      </c>
      <c r="B12177" s="802" t="s">
        <v>13069</v>
      </c>
      <c r="C12177" s="801" t="s">
        <v>660</v>
      </c>
      <c r="D12177" s="803">
        <v>106.07</v>
      </c>
    </row>
    <row r="12178" spans="1:4" ht="25.5">
      <c r="A12178" s="801">
        <v>36378</v>
      </c>
      <c r="B12178" s="802" t="s">
        <v>13070</v>
      </c>
      <c r="C12178" s="801" t="s">
        <v>660</v>
      </c>
      <c r="D12178" s="803">
        <v>31.78</v>
      </c>
    </row>
    <row r="12179" spans="1:4" ht="25.5">
      <c r="A12179" s="801">
        <v>36379</v>
      </c>
      <c r="B12179" s="802" t="s">
        <v>13071</v>
      </c>
      <c r="C12179" s="801" t="s">
        <v>660</v>
      </c>
      <c r="D12179" s="803">
        <v>64.069999999999993</v>
      </c>
    </row>
    <row r="12180" spans="1:4">
      <c r="A12180" s="801">
        <v>9859</v>
      </c>
      <c r="B12180" s="802" t="s">
        <v>13072</v>
      </c>
      <c r="C12180" s="801" t="s">
        <v>660</v>
      </c>
      <c r="D12180" s="803">
        <v>10.78</v>
      </c>
    </row>
    <row r="12181" spans="1:4" ht="25.5">
      <c r="A12181" s="801">
        <v>9838</v>
      </c>
      <c r="B12181" s="802" t="s">
        <v>4813</v>
      </c>
      <c r="C12181" s="801" t="s">
        <v>660</v>
      </c>
      <c r="D12181" s="803">
        <v>11.15</v>
      </c>
    </row>
    <row r="12182" spans="1:4" ht="25.5">
      <c r="A12182" s="801">
        <v>9837</v>
      </c>
      <c r="B12182" s="802" t="s">
        <v>4814</v>
      </c>
      <c r="C12182" s="801" t="s">
        <v>660</v>
      </c>
      <c r="D12182" s="803">
        <v>16.100000000000001</v>
      </c>
    </row>
    <row r="12183" spans="1:4" ht="25.5">
      <c r="A12183" s="801">
        <v>9833</v>
      </c>
      <c r="B12183" s="802" t="s">
        <v>13073</v>
      </c>
      <c r="C12183" s="801" t="s">
        <v>660</v>
      </c>
      <c r="D12183" s="803">
        <v>12</v>
      </c>
    </row>
    <row r="12184" spans="1:4" ht="25.5">
      <c r="A12184" s="801">
        <v>9830</v>
      </c>
      <c r="B12184" s="802" t="s">
        <v>13074</v>
      </c>
      <c r="C12184" s="801" t="s">
        <v>660</v>
      </c>
      <c r="D12184" s="803">
        <v>6.42</v>
      </c>
    </row>
    <row r="12185" spans="1:4" ht="25.5">
      <c r="A12185" s="801">
        <v>9834</v>
      </c>
      <c r="B12185" s="802" t="s">
        <v>13075</v>
      </c>
      <c r="C12185" s="801" t="s">
        <v>660</v>
      </c>
      <c r="D12185" s="803">
        <v>33.39</v>
      </c>
    </row>
    <row r="12186" spans="1:4">
      <c r="A12186" s="801">
        <v>9863</v>
      </c>
      <c r="B12186" s="802" t="s">
        <v>13076</v>
      </c>
      <c r="C12186" s="801" t="s">
        <v>660</v>
      </c>
      <c r="D12186" s="803">
        <v>77.819999999999993</v>
      </c>
    </row>
    <row r="12187" spans="1:4">
      <c r="A12187" s="801">
        <v>9860</v>
      </c>
      <c r="B12187" s="802" t="s">
        <v>13077</v>
      </c>
      <c r="C12187" s="801" t="s">
        <v>660</v>
      </c>
      <c r="D12187" s="803">
        <v>49.96</v>
      </c>
    </row>
    <row r="12188" spans="1:4">
      <c r="A12188" s="801">
        <v>9862</v>
      </c>
      <c r="B12188" s="802" t="s">
        <v>13078</v>
      </c>
      <c r="C12188" s="801" t="s">
        <v>660</v>
      </c>
      <c r="D12188" s="803">
        <v>35.25</v>
      </c>
    </row>
    <row r="12189" spans="1:4">
      <c r="A12189" s="801">
        <v>9861</v>
      </c>
      <c r="B12189" s="802" t="s">
        <v>13079</v>
      </c>
      <c r="C12189" s="801" t="s">
        <v>660</v>
      </c>
      <c r="D12189" s="803">
        <v>28.33</v>
      </c>
    </row>
    <row r="12190" spans="1:4">
      <c r="A12190" s="801">
        <v>9856</v>
      </c>
      <c r="B12190" s="802" t="s">
        <v>13080</v>
      </c>
      <c r="C12190" s="801" t="s">
        <v>660</v>
      </c>
      <c r="D12190" s="803">
        <v>7.61</v>
      </c>
    </row>
    <row r="12191" spans="1:4">
      <c r="A12191" s="801">
        <v>9866</v>
      </c>
      <c r="B12191" s="802" t="s">
        <v>13081</v>
      </c>
      <c r="C12191" s="801" t="s">
        <v>660</v>
      </c>
      <c r="D12191" s="803">
        <v>20.93</v>
      </c>
    </row>
    <row r="12192" spans="1:4">
      <c r="A12192" s="801">
        <v>9857</v>
      </c>
      <c r="B12192" s="802" t="s">
        <v>13082</v>
      </c>
      <c r="C12192" s="801" t="s">
        <v>660</v>
      </c>
      <c r="D12192" s="803">
        <v>100.65</v>
      </c>
    </row>
    <row r="12193" spans="1:4">
      <c r="A12193" s="801">
        <v>9864</v>
      </c>
      <c r="B12193" s="802" t="s">
        <v>13083</v>
      </c>
      <c r="C12193" s="801" t="s">
        <v>660</v>
      </c>
      <c r="D12193" s="803">
        <v>121.51</v>
      </c>
    </row>
    <row r="12194" spans="1:4">
      <c r="A12194" s="801">
        <v>9865</v>
      </c>
      <c r="B12194" s="802" t="s">
        <v>13084</v>
      </c>
      <c r="C12194" s="801" t="s">
        <v>660</v>
      </c>
      <c r="D12194" s="803">
        <v>174.74</v>
      </c>
    </row>
    <row r="12195" spans="1:4">
      <c r="A12195" s="801">
        <v>9858</v>
      </c>
      <c r="B12195" s="802" t="s">
        <v>13085</v>
      </c>
      <c r="C12195" s="801" t="s">
        <v>660</v>
      </c>
      <c r="D12195" s="803">
        <v>183.2</v>
      </c>
    </row>
    <row r="12196" spans="1:4" ht="25.5">
      <c r="A12196" s="801">
        <v>9841</v>
      </c>
      <c r="B12196" s="802" t="s">
        <v>13086</v>
      </c>
      <c r="C12196" s="801" t="s">
        <v>660</v>
      </c>
      <c r="D12196" s="803">
        <v>44.84</v>
      </c>
    </row>
    <row r="12197" spans="1:4" ht="25.5">
      <c r="A12197" s="801">
        <v>9840</v>
      </c>
      <c r="B12197" s="802" t="s">
        <v>13087</v>
      </c>
      <c r="C12197" s="801" t="s">
        <v>660</v>
      </c>
      <c r="D12197" s="803">
        <v>91.14</v>
      </c>
    </row>
    <row r="12198" spans="1:4" ht="25.5">
      <c r="A12198" s="801">
        <v>20067</v>
      </c>
      <c r="B12198" s="802" t="s">
        <v>13088</v>
      </c>
      <c r="C12198" s="801" t="s">
        <v>660</v>
      </c>
      <c r="D12198" s="803">
        <v>15.66</v>
      </c>
    </row>
    <row r="12199" spans="1:4" ht="25.5">
      <c r="A12199" s="801">
        <v>20068</v>
      </c>
      <c r="B12199" s="802" t="s">
        <v>13089</v>
      </c>
      <c r="C12199" s="801" t="s">
        <v>660</v>
      </c>
      <c r="D12199" s="803">
        <v>19.53</v>
      </c>
    </row>
    <row r="12200" spans="1:4" ht="25.5">
      <c r="A12200" s="801">
        <v>9839</v>
      </c>
      <c r="B12200" s="802" t="s">
        <v>13090</v>
      </c>
      <c r="C12200" s="801" t="s">
        <v>660</v>
      </c>
      <c r="D12200" s="803">
        <v>25.6</v>
      </c>
    </row>
    <row r="12201" spans="1:4">
      <c r="A12201" s="801">
        <v>9870</v>
      </c>
      <c r="B12201" s="802" t="s">
        <v>13091</v>
      </c>
      <c r="C12201" s="801" t="s">
        <v>660</v>
      </c>
      <c r="D12201" s="803">
        <v>84.86</v>
      </c>
    </row>
    <row r="12202" spans="1:4">
      <c r="A12202" s="801">
        <v>9867</v>
      </c>
      <c r="B12202" s="802" t="s">
        <v>13092</v>
      </c>
      <c r="C12202" s="801" t="s">
        <v>660</v>
      </c>
      <c r="D12202" s="803">
        <v>3.12</v>
      </c>
    </row>
    <row r="12203" spans="1:4">
      <c r="A12203" s="801">
        <v>9868</v>
      </c>
      <c r="B12203" s="802" t="s">
        <v>4815</v>
      </c>
      <c r="C12203" s="801" t="s">
        <v>660</v>
      </c>
      <c r="D12203" s="803">
        <v>4</v>
      </c>
    </row>
    <row r="12204" spans="1:4">
      <c r="A12204" s="801">
        <v>9869</v>
      </c>
      <c r="B12204" s="802" t="s">
        <v>13093</v>
      </c>
      <c r="C12204" s="801" t="s">
        <v>660</v>
      </c>
      <c r="D12204" s="803">
        <v>8.98</v>
      </c>
    </row>
    <row r="12205" spans="1:4">
      <c r="A12205" s="801">
        <v>9874</v>
      </c>
      <c r="B12205" s="802" t="s">
        <v>13094</v>
      </c>
      <c r="C12205" s="801" t="s">
        <v>660</v>
      </c>
      <c r="D12205" s="803">
        <v>13.07</v>
      </c>
    </row>
    <row r="12206" spans="1:4">
      <c r="A12206" s="801">
        <v>9875</v>
      </c>
      <c r="B12206" s="802" t="s">
        <v>13095</v>
      </c>
      <c r="C12206" s="801" t="s">
        <v>660</v>
      </c>
      <c r="D12206" s="803">
        <v>14.98</v>
      </c>
    </row>
    <row r="12207" spans="1:4">
      <c r="A12207" s="801">
        <v>9873</v>
      </c>
      <c r="B12207" s="802" t="s">
        <v>13096</v>
      </c>
      <c r="C12207" s="801" t="s">
        <v>660</v>
      </c>
      <c r="D12207" s="803">
        <v>25.27</v>
      </c>
    </row>
    <row r="12208" spans="1:4">
      <c r="A12208" s="801">
        <v>9871</v>
      </c>
      <c r="B12208" s="802" t="s">
        <v>13097</v>
      </c>
      <c r="C12208" s="801" t="s">
        <v>660</v>
      </c>
      <c r="D12208" s="803">
        <v>42.33</v>
      </c>
    </row>
    <row r="12209" spans="1:4">
      <c r="A12209" s="801">
        <v>9872</v>
      </c>
      <c r="B12209" s="802" t="s">
        <v>13098</v>
      </c>
      <c r="C12209" s="801" t="s">
        <v>660</v>
      </c>
      <c r="D12209" s="803">
        <v>52.89</v>
      </c>
    </row>
    <row r="12210" spans="1:4">
      <c r="A12210" s="801">
        <v>7667</v>
      </c>
      <c r="B12210" s="802" t="s">
        <v>13099</v>
      </c>
      <c r="C12210" s="801" t="s">
        <v>660</v>
      </c>
      <c r="D12210" s="803">
        <v>2691.1</v>
      </c>
    </row>
    <row r="12211" spans="1:4">
      <c r="A12211" s="801">
        <v>7660</v>
      </c>
      <c r="B12211" s="802" t="s">
        <v>13100</v>
      </c>
      <c r="C12211" s="801" t="s">
        <v>660</v>
      </c>
      <c r="D12211" s="803">
        <v>3430.51</v>
      </c>
    </row>
    <row r="12212" spans="1:4">
      <c r="A12212" s="801">
        <v>7676</v>
      </c>
      <c r="B12212" s="802" t="s">
        <v>13101</v>
      </c>
      <c r="C12212" s="801" t="s">
        <v>660</v>
      </c>
      <c r="D12212" s="803">
        <v>3469.72</v>
      </c>
    </row>
    <row r="12213" spans="1:4">
      <c r="A12213" s="801">
        <v>12426</v>
      </c>
      <c r="B12213" s="802" t="s">
        <v>13102</v>
      </c>
      <c r="C12213" s="801" t="s">
        <v>656</v>
      </c>
      <c r="D12213" s="803">
        <v>35.81</v>
      </c>
    </row>
    <row r="12214" spans="1:4">
      <c r="A12214" s="801">
        <v>12425</v>
      </c>
      <c r="B12214" s="802" t="s">
        <v>13103</v>
      </c>
      <c r="C12214" s="801" t="s">
        <v>656</v>
      </c>
      <c r="D12214" s="803">
        <v>49.2</v>
      </c>
    </row>
    <row r="12215" spans="1:4">
      <c r="A12215" s="801">
        <v>12427</v>
      </c>
      <c r="B12215" s="802" t="s">
        <v>13104</v>
      </c>
      <c r="C12215" s="801" t="s">
        <v>656</v>
      </c>
      <c r="D12215" s="803">
        <v>204.21</v>
      </c>
    </row>
    <row r="12216" spans="1:4">
      <c r="A12216" s="801">
        <v>12428</v>
      </c>
      <c r="B12216" s="802" t="s">
        <v>13105</v>
      </c>
      <c r="C12216" s="801" t="s">
        <v>656</v>
      </c>
      <c r="D12216" s="803">
        <v>131.08000000000001</v>
      </c>
    </row>
    <row r="12217" spans="1:4">
      <c r="A12217" s="801">
        <v>12430</v>
      </c>
      <c r="B12217" s="802" t="s">
        <v>13106</v>
      </c>
      <c r="C12217" s="801" t="s">
        <v>656</v>
      </c>
      <c r="D12217" s="803">
        <v>43.9</v>
      </c>
    </row>
    <row r="12218" spans="1:4">
      <c r="A12218" s="801">
        <v>12429</v>
      </c>
      <c r="B12218" s="802" t="s">
        <v>13107</v>
      </c>
      <c r="C12218" s="801" t="s">
        <v>656</v>
      </c>
      <c r="D12218" s="803">
        <v>330.22</v>
      </c>
    </row>
    <row r="12219" spans="1:4">
      <c r="A12219" s="801">
        <v>12431</v>
      </c>
      <c r="B12219" s="802" t="s">
        <v>13108</v>
      </c>
      <c r="C12219" s="801" t="s">
        <v>656</v>
      </c>
      <c r="D12219" s="803">
        <v>561.98</v>
      </c>
    </row>
    <row r="12220" spans="1:4" ht="25.5">
      <c r="A12220" s="801">
        <v>12432</v>
      </c>
      <c r="B12220" s="802" t="s">
        <v>13109</v>
      </c>
      <c r="C12220" s="801" t="s">
        <v>656</v>
      </c>
      <c r="D12220" s="803">
        <v>115.58</v>
      </c>
    </row>
    <row r="12221" spans="1:4" ht="25.5">
      <c r="A12221" s="801">
        <v>12434</v>
      </c>
      <c r="B12221" s="802" t="s">
        <v>13110</v>
      </c>
      <c r="C12221" s="801" t="s">
        <v>656</v>
      </c>
      <c r="D12221" s="803">
        <v>37.659999999999997</v>
      </c>
    </row>
    <row r="12222" spans="1:4" ht="25.5">
      <c r="A12222" s="801">
        <v>12433</v>
      </c>
      <c r="B12222" s="802" t="s">
        <v>13111</v>
      </c>
      <c r="C12222" s="801" t="s">
        <v>656</v>
      </c>
      <c r="D12222" s="803">
        <v>73.58</v>
      </c>
    </row>
    <row r="12223" spans="1:4" ht="25.5">
      <c r="A12223" s="801">
        <v>12435</v>
      </c>
      <c r="B12223" s="802" t="s">
        <v>13112</v>
      </c>
      <c r="C12223" s="801" t="s">
        <v>656</v>
      </c>
      <c r="D12223" s="803">
        <v>227.71</v>
      </c>
    </row>
    <row r="12224" spans="1:4" ht="25.5">
      <c r="A12224" s="801">
        <v>12437</v>
      </c>
      <c r="B12224" s="802" t="s">
        <v>13113</v>
      </c>
      <c r="C12224" s="801" t="s">
        <v>656</v>
      </c>
      <c r="D12224" s="803">
        <v>183.91</v>
      </c>
    </row>
    <row r="12225" spans="1:4" ht="25.5">
      <c r="A12225" s="801">
        <v>12439</v>
      </c>
      <c r="B12225" s="802" t="s">
        <v>13114</v>
      </c>
      <c r="C12225" s="801" t="s">
        <v>656</v>
      </c>
      <c r="D12225" s="803">
        <v>59.02</v>
      </c>
    </row>
    <row r="12226" spans="1:4" ht="25.5">
      <c r="A12226" s="801">
        <v>12438</v>
      </c>
      <c r="B12226" s="802" t="s">
        <v>13115</v>
      </c>
      <c r="C12226" s="801" t="s">
        <v>656</v>
      </c>
      <c r="D12226" s="803">
        <v>332.81</v>
      </c>
    </row>
    <row r="12227" spans="1:4" ht="25.5">
      <c r="A12227" s="801">
        <v>12436</v>
      </c>
      <c r="B12227" s="802" t="s">
        <v>13116</v>
      </c>
      <c r="C12227" s="801" t="s">
        <v>656</v>
      </c>
      <c r="D12227" s="803">
        <v>420.41</v>
      </c>
    </row>
    <row r="12228" spans="1:4" ht="25.5">
      <c r="A12228" s="801">
        <v>36357</v>
      </c>
      <c r="B12228" s="802" t="s">
        <v>13117</v>
      </c>
      <c r="C12228" s="801" t="s">
        <v>656</v>
      </c>
      <c r="D12228" s="803">
        <v>170.07</v>
      </c>
    </row>
    <row r="12229" spans="1:4" ht="25.5">
      <c r="A12229" s="801">
        <v>12424</v>
      </c>
      <c r="B12229" s="802" t="s">
        <v>13118</v>
      </c>
      <c r="C12229" s="801" t="s">
        <v>656</v>
      </c>
      <c r="D12229" s="803">
        <v>75.760000000000005</v>
      </c>
    </row>
    <row r="12230" spans="1:4" ht="25.5">
      <c r="A12230" s="801">
        <v>12440</v>
      </c>
      <c r="B12230" s="802" t="s">
        <v>13119</v>
      </c>
      <c r="C12230" s="801" t="s">
        <v>656</v>
      </c>
      <c r="D12230" s="803">
        <v>73.22</v>
      </c>
    </row>
    <row r="12231" spans="1:4" ht="25.5">
      <c r="A12231" s="801">
        <v>9884</v>
      </c>
      <c r="B12231" s="802" t="s">
        <v>13120</v>
      </c>
      <c r="C12231" s="801" t="s">
        <v>656</v>
      </c>
      <c r="D12231" s="803">
        <v>54.62</v>
      </c>
    </row>
    <row r="12232" spans="1:4" ht="25.5">
      <c r="A12232" s="801">
        <v>9888</v>
      </c>
      <c r="B12232" s="802" t="s">
        <v>13121</v>
      </c>
      <c r="C12232" s="801" t="s">
        <v>656</v>
      </c>
      <c r="D12232" s="803">
        <v>43.88</v>
      </c>
    </row>
    <row r="12233" spans="1:4" ht="25.5">
      <c r="A12233" s="801">
        <v>9883</v>
      </c>
      <c r="B12233" s="802" t="s">
        <v>13122</v>
      </c>
      <c r="C12233" s="801" t="s">
        <v>656</v>
      </c>
      <c r="D12233" s="803">
        <v>19.149999999999999</v>
      </c>
    </row>
    <row r="12234" spans="1:4" ht="25.5">
      <c r="A12234" s="801">
        <v>9886</v>
      </c>
      <c r="B12234" s="802" t="s">
        <v>13123</v>
      </c>
      <c r="C12234" s="801" t="s">
        <v>656</v>
      </c>
      <c r="D12234" s="803">
        <v>26.23</v>
      </c>
    </row>
    <row r="12235" spans="1:4" ht="25.5">
      <c r="A12235" s="801">
        <v>9889</v>
      </c>
      <c r="B12235" s="802" t="s">
        <v>13124</v>
      </c>
      <c r="C12235" s="801" t="s">
        <v>656</v>
      </c>
      <c r="D12235" s="803">
        <v>132.88</v>
      </c>
    </row>
    <row r="12236" spans="1:4" ht="25.5">
      <c r="A12236" s="801">
        <v>9887</v>
      </c>
      <c r="B12236" s="802" t="s">
        <v>13125</v>
      </c>
      <c r="C12236" s="801" t="s">
        <v>656</v>
      </c>
      <c r="D12236" s="803">
        <v>80.31</v>
      </c>
    </row>
    <row r="12237" spans="1:4" ht="25.5">
      <c r="A12237" s="801">
        <v>9885</v>
      </c>
      <c r="B12237" s="802" t="s">
        <v>4816</v>
      </c>
      <c r="C12237" s="801" t="s">
        <v>656</v>
      </c>
      <c r="D12237" s="803">
        <v>25.36</v>
      </c>
    </row>
    <row r="12238" spans="1:4" ht="25.5">
      <c r="A12238" s="801">
        <v>9890</v>
      </c>
      <c r="B12238" s="802" t="s">
        <v>13126</v>
      </c>
      <c r="C12238" s="801" t="s">
        <v>656</v>
      </c>
      <c r="D12238" s="803">
        <v>205.86</v>
      </c>
    </row>
    <row r="12239" spans="1:4" ht="25.5">
      <c r="A12239" s="801">
        <v>9891</v>
      </c>
      <c r="B12239" s="802" t="s">
        <v>13127</v>
      </c>
      <c r="C12239" s="801" t="s">
        <v>656</v>
      </c>
      <c r="D12239" s="803">
        <v>289</v>
      </c>
    </row>
    <row r="12240" spans="1:4" ht="25.5">
      <c r="A12240" s="801">
        <v>39292</v>
      </c>
      <c r="B12240" s="802" t="s">
        <v>13128</v>
      </c>
      <c r="C12240" s="801" t="s">
        <v>656</v>
      </c>
      <c r="D12240" s="803">
        <v>12.03</v>
      </c>
    </row>
    <row r="12241" spans="1:4" ht="25.5">
      <c r="A12241" s="801">
        <v>39293</v>
      </c>
      <c r="B12241" s="802" t="s">
        <v>13129</v>
      </c>
      <c r="C12241" s="801" t="s">
        <v>656</v>
      </c>
      <c r="D12241" s="803">
        <v>19.420000000000002</v>
      </c>
    </row>
    <row r="12242" spans="1:4" ht="25.5">
      <c r="A12242" s="801">
        <v>39294</v>
      </c>
      <c r="B12242" s="802" t="s">
        <v>13130</v>
      </c>
      <c r="C12242" s="801" t="s">
        <v>656</v>
      </c>
      <c r="D12242" s="803">
        <v>19.420000000000002</v>
      </c>
    </row>
    <row r="12243" spans="1:4" ht="25.5">
      <c r="A12243" s="801">
        <v>39295</v>
      </c>
      <c r="B12243" s="802" t="s">
        <v>13131</v>
      </c>
      <c r="C12243" s="801" t="s">
        <v>656</v>
      </c>
      <c r="D12243" s="803">
        <v>33.119999999999997</v>
      </c>
    </row>
    <row r="12244" spans="1:4">
      <c r="A12244" s="801">
        <v>36313</v>
      </c>
      <c r="B12244" s="802" t="s">
        <v>13132</v>
      </c>
      <c r="C12244" s="801" t="s">
        <v>656</v>
      </c>
      <c r="D12244" s="803">
        <v>40.32</v>
      </c>
    </row>
    <row r="12245" spans="1:4">
      <c r="A12245" s="801">
        <v>36316</v>
      </c>
      <c r="B12245" s="802" t="s">
        <v>13133</v>
      </c>
      <c r="C12245" s="801" t="s">
        <v>656</v>
      </c>
      <c r="D12245" s="803">
        <v>48.9</v>
      </c>
    </row>
    <row r="12246" spans="1:4" ht="25.5">
      <c r="A12246" s="801">
        <v>64</v>
      </c>
      <c r="B12246" s="802" t="s">
        <v>13134</v>
      </c>
      <c r="C12246" s="801" t="s">
        <v>656</v>
      </c>
      <c r="D12246" s="803">
        <v>5.71</v>
      </c>
    </row>
    <row r="12247" spans="1:4" ht="25.5">
      <c r="A12247" s="801">
        <v>37423</v>
      </c>
      <c r="B12247" s="802" t="s">
        <v>13135</v>
      </c>
      <c r="C12247" s="801" t="s">
        <v>656</v>
      </c>
      <c r="D12247" s="803">
        <v>14.1</v>
      </c>
    </row>
    <row r="12248" spans="1:4" ht="25.5">
      <c r="A12248" s="801">
        <v>39296</v>
      </c>
      <c r="B12248" s="802" t="s">
        <v>13136</v>
      </c>
      <c r="C12248" s="801" t="s">
        <v>656</v>
      </c>
      <c r="D12248" s="803">
        <v>9.3000000000000007</v>
      </c>
    </row>
    <row r="12249" spans="1:4" ht="25.5">
      <c r="A12249" s="801">
        <v>39297</v>
      </c>
      <c r="B12249" s="802" t="s">
        <v>13137</v>
      </c>
      <c r="C12249" s="801" t="s">
        <v>656</v>
      </c>
      <c r="D12249" s="803">
        <v>13.29</v>
      </c>
    </row>
    <row r="12250" spans="1:4" ht="25.5">
      <c r="A12250" s="801">
        <v>39298</v>
      </c>
      <c r="B12250" s="802" t="s">
        <v>13138</v>
      </c>
      <c r="C12250" s="801" t="s">
        <v>656</v>
      </c>
      <c r="D12250" s="803">
        <v>23.41</v>
      </c>
    </row>
    <row r="12251" spans="1:4" ht="25.5">
      <c r="A12251" s="801">
        <v>39299</v>
      </c>
      <c r="B12251" s="802" t="s">
        <v>13139</v>
      </c>
      <c r="C12251" s="801" t="s">
        <v>656</v>
      </c>
      <c r="D12251" s="803">
        <v>39.85</v>
      </c>
    </row>
    <row r="12252" spans="1:4">
      <c r="A12252" s="801">
        <v>9892</v>
      </c>
      <c r="B12252" s="802" t="s">
        <v>13140</v>
      </c>
      <c r="C12252" s="801" t="s">
        <v>656</v>
      </c>
      <c r="D12252" s="803">
        <v>6.8</v>
      </c>
    </row>
    <row r="12253" spans="1:4">
      <c r="A12253" s="801">
        <v>9893</v>
      </c>
      <c r="B12253" s="802" t="s">
        <v>13141</v>
      </c>
      <c r="C12253" s="801" t="s">
        <v>656</v>
      </c>
      <c r="D12253" s="803">
        <v>92.3</v>
      </c>
    </row>
    <row r="12254" spans="1:4">
      <c r="A12254" s="801">
        <v>9901</v>
      </c>
      <c r="B12254" s="802" t="s">
        <v>13142</v>
      </c>
      <c r="C12254" s="801" t="s">
        <v>656</v>
      </c>
      <c r="D12254" s="803">
        <v>40.96</v>
      </c>
    </row>
    <row r="12255" spans="1:4">
      <c r="A12255" s="801">
        <v>9896</v>
      </c>
      <c r="B12255" s="802" t="s">
        <v>13143</v>
      </c>
      <c r="C12255" s="801" t="s">
        <v>656</v>
      </c>
      <c r="D12255" s="803">
        <v>36.92</v>
      </c>
    </row>
    <row r="12256" spans="1:4">
      <c r="A12256" s="801">
        <v>9900</v>
      </c>
      <c r="B12256" s="802" t="s">
        <v>13144</v>
      </c>
      <c r="C12256" s="801" t="s">
        <v>656</v>
      </c>
      <c r="D12256" s="803">
        <v>22.4</v>
      </c>
    </row>
    <row r="12257" spans="1:4">
      <c r="A12257" s="801">
        <v>9898</v>
      </c>
      <c r="B12257" s="802" t="s">
        <v>13145</v>
      </c>
      <c r="C12257" s="801" t="s">
        <v>656</v>
      </c>
      <c r="D12257" s="803">
        <v>189.8</v>
      </c>
    </row>
    <row r="12258" spans="1:4">
      <c r="A12258" s="801">
        <v>9899</v>
      </c>
      <c r="B12258" s="802" t="s">
        <v>13146</v>
      </c>
      <c r="C12258" s="801" t="s">
        <v>656</v>
      </c>
      <c r="D12258" s="803">
        <v>12.23</v>
      </c>
    </row>
    <row r="12259" spans="1:4">
      <c r="A12259" s="801">
        <v>9902</v>
      </c>
      <c r="B12259" s="802" t="s">
        <v>13147</v>
      </c>
      <c r="C12259" s="801" t="s">
        <v>656</v>
      </c>
      <c r="D12259" s="803">
        <v>240.35</v>
      </c>
    </row>
    <row r="12260" spans="1:4">
      <c r="A12260" s="801">
        <v>9908</v>
      </c>
      <c r="B12260" s="802" t="s">
        <v>13148</v>
      </c>
      <c r="C12260" s="801" t="s">
        <v>656</v>
      </c>
      <c r="D12260" s="803">
        <v>479.23</v>
      </c>
    </row>
    <row r="12261" spans="1:4">
      <c r="A12261" s="801">
        <v>9905</v>
      </c>
      <c r="B12261" s="802" t="s">
        <v>13149</v>
      </c>
      <c r="C12261" s="801" t="s">
        <v>656</v>
      </c>
      <c r="D12261" s="803">
        <v>8.01</v>
      </c>
    </row>
    <row r="12262" spans="1:4">
      <c r="A12262" s="801">
        <v>9906</v>
      </c>
      <c r="B12262" s="802" t="s">
        <v>13150</v>
      </c>
      <c r="C12262" s="801" t="s">
        <v>656</v>
      </c>
      <c r="D12262" s="803">
        <v>9.59</v>
      </c>
    </row>
    <row r="12263" spans="1:4">
      <c r="A12263" s="801">
        <v>9895</v>
      </c>
      <c r="B12263" s="802" t="s">
        <v>13151</v>
      </c>
      <c r="C12263" s="801" t="s">
        <v>656</v>
      </c>
      <c r="D12263" s="803">
        <v>15.74</v>
      </c>
    </row>
    <row r="12264" spans="1:4">
      <c r="A12264" s="801">
        <v>9894</v>
      </c>
      <c r="B12264" s="802" t="s">
        <v>13152</v>
      </c>
      <c r="C12264" s="801" t="s">
        <v>656</v>
      </c>
      <c r="D12264" s="803">
        <v>30.67</v>
      </c>
    </row>
    <row r="12265" spans="1:4">
      <c r="A12265" s="801">
        <v>9897</v>
      </c>
      <c r="B12265" s="802" t="s">
        <v>13153</v>
      </c>
      <c r="C12265" s="801" t="s">
        <v>656</v>
      </c>
      <c r="D12265" s="803">
        <v>33.200000000000003</v>
      </c>
    </row>
    <row r="12266" spans="1:4">
      <c r="A12266" s="801">
        <v>9910</v>
      </c>
      <c r="B12266" s="802" t="s">
        <v>13154</v>
      </c>
      <c r="C12266" s="801" t="s">
        <v>656</v>
      </c>
      <c r="D12266" s="803">
        <v>83.57</v>
      </c>
    </row>
    <row r="12267" spans="1:4">
      <c r="A12267" s="801">
        <v>9909</v>
      </c>
      <c r="B12267" s="802" t="s">
        <v>13155</v>
      </c>
      <c r="C12267" s="801" t="s">
        <v>656</v>
      </c>
      <c r="D12267" s="803">
        <v>168.64</v>
      </c>
    </row>
    <row r="12268" spans="1:4">
      <c r="A12268" s="801">
        <v>9907</v>
      </c>
      <c r="B12268" s="802" t="s">
        <v>13156</v>
      </c>
      <c r="C12268" s="801" t="s">
        <v>656</v>
      </c>
      <c r="D12268" s="803">
        <v>259.3</v>
      </c>
    </row>
    <row r="12269" spans="1:4" ht="38.25">
      <c r="A12269" s="801">
        <v>20973</v>
      </c>
      <c r="B12269" s="802" t="s">
        <v>13157</v>
      </c>
      <c r="C12269" s="801" t="s">
        <v>656</v>
      </c>
      <c r="D12269" s="803">
        <v>95.23</v>
      </c>
    </row>
    <row r="12270" spans="1:4" ht="38.25">
      <c r="A12270" s="801">
        <v>20974</v>
      </c>
      <c r="B12270" s="802" t="s">
        <v>13158</v>
      </c>
      <c r="C12270" s="801" t="s">
        <v>656</v>
      </c>
      <c r="D12270" s="803">
        <v>136.24</v>
      </c>
    </row>
    <row r="12271" spans="1:4">
      <c r="A12271" s="801">
        <v>37989</v>
      </c>
      <c r="B12271" s="802" t="s">
        <v>13159</v>
      </c>
      <c r="C12271" s="801" t="s">
        <v>656</v>
      </c>
      <c r="D12271" s="803">
        <v>16.21</v>
      </c>
    </row>
    <row r="12272" spans="1:4">
      <c r="A12272" s="801">
        <v>37990</v>
      </c>
      <c r="B12272" s="802" t="s">
        <v>13160</v>
      </c>
      <c r="C12272" s="801" t="s">
        <v>656</v>
      </c>
      <c r="D12272" s="803">
        <v>18.829999999999998</v>
      </c>
    </row>
    <row r="12273" spans="1:4">
      <c r="A12273" s="801">
        <v>37991</v>
      </c>
      <c r="B12273" s="802" t="s">
        <v>13161</v>
      </c>
      <c r="C12273" s="801" t="s">
        <v>656</v>
      </c>
      <c r="D12273" s="803">
        <v>29.79</v>
      </c>
    </row>
    <row r="12274" spans="1:4">
      <c r="A12274" s="801">
        <v>37992</v>
      </c>
      <c r="B12274" s="802" t="s">
        <v>13162</v>
      </c>
      <c r="C12274" s="801" t="s">
        <v>656</v>
      </c>
      <c r="D12274" s="803">
        <v>45.5</v>
      </c>
    </row>
    <row r="12275" spans="1:4">
      <c r="A12275" s="801">
        <v>37993</v>
      </c>
      <c r="B12275" s="802" t="s">
        <v>13163</v>
      </c>
      <c r="C12275" s="801" t="s">
        <v>656</v>
      </c>
      <c r="D12275" s="803">
        <v>67.540000000000006</v>
      </c>
    </row>
    <row r="12276" spans="1:4">
      <c r="A12276" s="801">
        <v>37994</v>
      </c>
      <c r="B12276" s="802" t="s">
        <v>13164</v>
      </c>
      <c r="C12276" s="801" t="s">
        <v>656</v>
      </c>
      <c r="D12276" s="803">
        <v>162.29</v>
      </c>
    </row>
    <row r="12277" spans="1:4">
      <c r="A12277" s="801">
        <v>37995</v>
      </c>
      <c r="B12277" s="802" t="s">
        <v>13165</v>
      </c>
      <c r="C12277" s="801" t="s">
        <v>656</v>
      </c>
      <c r="D12277" s="803">
        <v>235.55</v>
      </c>
    </row>
    <row r="12278" spans="1:4">
      <c r="A12278" s="801">
        <v>37996</v>
      </c>
      <c r="B12278" s="802" t="s">
        <v>13166</v>
      </c>
      <c r="C12278" s="801" t="s">
        <v>656</v>
      </c>
      <c r="D12278" s="803">
        <v>347.3</v>
      </c>
    </row>
    <row r="12279" spans="1:4" ht="25.5">
      <c r="A12279" s="801">
        <v>13883</v>
      </c>
      <c r="B12279" s="802" t="s">
        <v>13167</v>
      </c>
      <c r="C12279" s="801" t="s">
        <v>656</v>
      </c>
      <c r="D12279" s="803">
        <v>133972.06</v>
      </c>
    </row>
    <row r="12280" spans="1:4" ht="25.5">
      <c r="A12280" s="801">
        <v>38604</v>
      </c>
      <c r="B12280" s="802" t="s">
        <v>13168</v>
      </c>
      <c r="C12280" s="801" t="s">
        <v>656</v>
      </c>
      <c r="D12280" s="803">
        <v>166860.43</v>
      </c>
    </row>
    <row r="12281" spans="1:4" ht="38.25">
      <c r="A12281" s="801">
        <v>10601</v>
      </c>
      <c r="B12281" s="802" t="s">
        <v>13169</v>
      </c>
      <c r="C12281" s="801" t="s">
        <v>656</v>
      </c>
      <c r="D12281" s="803">
        <v>3245768.15</v>
      </c>
    </row>
    <row r="12282" spans="1:4" ht="25.5">
      <c r="A12282" s="801">
        <v>44469</v>
      </c>
      <c r="B12282" s="802" t="s">
        <v>13170</v>
      </c>
      <c r="C12282" s="801" t="s">
        <v>656</v>
      </c>
      <c r="D12282" s="803">
        <v>8545993.0099999998</v>
      </c>
    </row>
    <row r="12283" spans="1:4" ht="25.5">
      <c r="A12283" s="801">
        <v>13894</v>
      </c>
      <c r="B12283" s="802" t="s">
        <v>13171</v>
      </c>
      <c r="C12283" s="801" t="s">
        <v>656</v>
      </c>
      <c r="D12283" s="803">
        <v>392649.25</v>
      </c>
    </row>
    <row r="12284" spans="1:4" ht="25.5">
      <c r="A12284" s="801">
        <v>13895</v>
      </c>
      <c r="B12284" s="802" t="s">
        <v>13172</v>
      </c>
      <c r="C12284" s="801" t="s">
        <v>656</v>
      </c>
      <c r="D12284" s="803">
        <v>527982.35</v>
      </c>
    </row>
    <row r="12285" spans="1:4" ht="25.5">
      <c r="A12285" s="801">
        <v>13892</v>
      </c>
      <c r="B12285" s="802" t="s">
        <v>13173</v>
      </c>
      <c r="C12285" s="801" t="s">
        <v>656</v>
      </c>
      <c r="D12285" s="803">
        <v>647029.46</v>
      </c>
    </row>
    <row r="12286" spans="1:4" ht="25.5">
      <c r="A12286" s="801">
        <v>9914</v>
      </c>
      <c r="B12286" s="802" t="s">
        <v>13174</v>
      </c>
      <c r="C12286" s="801" t="s">
        <v>656</v>
      </c>
      <c r="D12286" s="803">
        <v>700000</v>
      </c>
    </row>
    <row r="12287" spans="1:4" ht="51">
      <c r="A12287" s="801">
        <v>36485</v>
      </c>
      <c r="B12287" s="802" t="s">
        <v>13175</v>
      </c>
      <c r="C12287" s="801" t="s">
        <v>656</v>
      </c>
      <c r="D12287" s="803">
        <v>606832.91</v>
      </c>
    </row>
    <row r="12288" spans="1:4" ht="25.5">
      <c r="A12288" s="801">
        <v>9912</v>
      </c>
      <c r="B12288" s="802" t="s">
        <v>13176</v>
      </c>
      <c r="C12288" s="801" t="s">
        <v>656</v>
      </c>
      <c r="D12288" s="803">
        <v>2642421</v>
      </c>
    </row>
    <row r="12289" spans="1:4" ht="25.5">
      <c r="A12289" s="801">
        <v>9921</v>
      </c>
      <c r="B12289" s="802" t="s">
        <v>13177</v>
      </c>
      <c r="C12289" s="801" t="s">
        <v>656</v>
      </c>
      <c r="D12289" s="803">
        <v>1363085.73</v>
      </c>
    </row>
    <row r="12290" spans="1:4" ht="25.5">
      <c r="A12290" s="801">
        <v>21112</v>
      </c>
      <c r="B12290" s="802" t="s">
        <v>13178</v>
      </c>
      <c r="C12290" s="801" t="s">
        <v>656</v>
      </c>
      <c r="D12290" s="803">
        <v>133.84</v>
      </c>
    </row>
    <row r="12291" spans="1:4" ht="25.5">
      <c r="A12291" s="801">
        <v>10228</v>
      </c>
      <c r="B12291" s="802" t="s">
        <v>4817</v>
      </c>
      <c r="C12291" s="801" t="s">
        <v>656</v>
      </c>
      <c r="D12291" s="803">
        <v>155.49</v>
      </c>
    </row>
    <row r="12292" spans="1:4" ht="25.5">
      <c r="A12292" s="801">
        <v>11781</v>
      </c>
      <c r="B12292" s="802" t="s">
        <v>13179</v>
      </c>
      <c r="C12292" s="801" t="s">
        <v>656</v>
      </c>
      <c r="D12292" s="803">
        <v>125.96</v>
      </c>
    </row>
    <row r="12293" spans="1:4" ht="25.5">
      <c r="A12293" s="801">
        <v>37588</v>
      </c>
      <c r="B12293" s="802" t="s">
        <v>13180</v>
      </c>
      <c r="C12293" s="801" t="s">
        <v>656</v>
      </c>
      <c r="D12293" s="803">
        <v>46.78</v>
      </c>
    </row>
    <row r="12294" spans="1:4">
      <c r="A12294" s="801">
        <v>11746</v>
      </c>
      <c r="B12294" s="802" t="s">
        <v>13181</v>
      </c>
      <c r="C12294" s="801" t="s">
        <v>656</v>
      </c>
      <c r="D12294" s="803">
        <v>60.27</v>
      </c>
    </row>
    <row r="12295" spans="1:4" ht="25.5">
      <c r="A12295" s="801">
        <v>11751</v>
      </c>
      <c r="B12295" s="802" t="s">
        <v>13182</v>
      </c>
      <c r="C12295" s="801" t="s">
        <v>656</v>
      </c>
      <c r="D12295" s="803">
        <v>108.26</v>
      </c>
    </row>
    <row r="12296" spans="1:4" ht="25.5">
      <c r="A12296" s="801">
        <v>11750</v>
      </c>
      <c r="B12296" s="802" t="s">
        <v>13183</v>
      </c>
      <c r="C12296" s="801" t="s">
        <v>656</v>
      </c>
      <c r="D12296" s="803">
        <v>89.84</v>
      </c>
    </row>
    <row r="12297" spans="1:4" ht="25.5">
      <c r="A12297" s="801">
        <v>11748</v>
      </c>
      <c r="B12297" s="802" t="s">
        <v>13184</v>
      </c>
      <c r="C12297" s="801" t="s">
        <v>656</v>
      </c>
      <c r="D12297" s="803">
        <v>38.68</v>
      </c>
    </row>
    <row r="12298" spans="1:4">
      <c r="A12298" s="801">
        <v>11747</v>
      </c>
      <c r="B12298" s="802" t="s">
        <v>13185</v>
      </c>
      <c r="C12298" s="801" t="s">
        <v>656</v>
      </c>
      <c r="D12298" s="803">
        <v>166.93</v>
      </c>
    </row>
    <row r="12299" spans="1:4" ht="25.5">
      <c r="A12299" s="801">
        <v>11749</v>
      </c>
      <c r="B12299" s="802" t="s">
        <v>13186</v>
      </c>
      <c r="C12299" s="801" t="s">
        <v>656</v>
      </c>
      <c r="D12299" s="803">
        <v>44.64</v>
      </c>
    </row>
    <row r="12300" spans="1:4" ht="25.5">
      <c r="A12300" s="801">
        <v>10236</v>
      </c>
      <c r="B12300" s="802" t="s">
        <v>13187</v>
      </c>
      <c r="C12300" s="801" t="s">
        <v>656</v>
      </c>
      <c r="D12300" s="803">
        <v>104.95</v>
      </c>
    </row>
    <row r="12301" spans="1:4" ht="25.5">
      <c r="A12301" s="801">
        <v>10233</v>
      </c>
      <c r="B12301" s="802" t="s">
        <v>13188</v>
      </c>
      <c r="C12301" s="801" t="s">
        <v>656</v>
      </c>
      <c r="D12301" s="803">
        <v>98.35</v>
      </c>
    </row>
    <row r="12302" spans="1:4" ht="25.5">
      <c r="A12302" s="801">
        <v>10234</v>
      </c>
      <c r="B12302" s="802" t="s">
        <v>13189</v>
      </c>
      <c r="C12302" s="801" t="s">
        <v>656</v>
      </c>
      <c r="D12302" s="803">
        <v>61.95</v>
      </c>
    </row>
    <row r="12303" spans="1:4" ht="25.5">
      <c r="A12303" s="801">
        <v>10231</v>
      </c>
      <c r="B12303" s="802" t="s">
        <v>13190</v>
      </c>
      <c r="C12303" s="801" t="s">
        <v>656</v>
      </c>
      <c r="D12303" s="803">
        <v>284.10000000000002</v>
      </c>
    </row>
    <row r="12304" spans="1:4" ht="25.5">
      <c r="A12304" s="801">
        <v>10232</v>
      </c>
      <c r="B12304" s="802" t="s">
        <v>13191</v>
      </c>
      <c r="C12304" s="801" t="s">
        <v>656</v>
      </c>
      <c r="D12304" s="803">
        <v>158.97999999999999</v>
      </c>
    </row>
    <row r="12305" spans="1:4" ht="25.5">
      <c r="A12305" s="801">
        <v>10229</v>
      </c>
      <c r="B12305" s="802" t="s">
        <v>13192</v>
      </c>
      <c r="C12305" s="801" t="s">
        <v>656</v>
      </c>
      <c r="D12305" s="803">
        <v>56.03</v>
      </c>
    </row>
    <row r="12306" spans="1:4" ht="25.5">
      <c r="A12306" s="801">
        <v>10235</v>
      </c>
      <c r="B12306" s="802" t="s">
        <v>13193</v>
      </c>
      <c r="C12306" s="801" t="s">
        <v>656</v>
      </c>
      <c r="D12306" s="803">
        <v>389.47</v>
      </c>
    </row>
    <row r="12307" spans="1:4" ht="25.5">
      <c r="A12307" s="801">
        <v>10230</v>
      </c>
      <c r="B12307" s="802" t="s">
        <v>13194</v>
      </c>
      <c r="C12307" s="801" t="s">
        <v>656</v>
      </c>
      <c r="D12307" s="803">
        <v>685.44</v>
      </c>
    </row>
    <row r="12308" spans="1:4" ht="25.5">
      <c r="A12308" s="801">
        <v>10409</v>
      </c>
      <c r="B12308" s="802" t="s">
        <v>13195</v>
      </c>
      <c r="C12308" s="801" t="s">
        <v>656</v>
      </c>
      <c r="D12308" s="803">
        <v>203.64</v>
      </c>
    </row>
    <row r="12309" spans="1:4" ht="25.5">
      <c r="A12309" s="801">
        <v>10411</v>
      </c>
      <c r="B12309" s="802" t="s">
        <v>13196</v>
      </c>
      <c r="C12309" s="801" t="s">
        <v>656</v>
      </c>
      <c r="D12309" s="803">
        <v>182.21</v>
      </c>
    </row>
    <row r="12310" spans="1:4" ht="25.5">
      <c r="A12310" s="801">
        <v>10404</v>
      </c>
      <c r="B12310" s="802" t="s">
        <v>13197</v>
      </c>
      <c r="C12310" s="801" t="s">
        <v>656</v>
      </c>
      <c r="D12310" s="803">
        <v>73.900000000000006</v>
      </c>
    </row>
    <row r="12311" spans="1:4" ht="25.5">
      <c r="A12311" s="801">
        <v>10410</v>
      </c>
      <c r="B12311" s="802" t="s">
        <v>13198</v>
      </c>
      <c r="C12311" s="801" t="s">
        <v>656</v>
      </c>
      <c r="D12311" s="803">
        <v>121.72</v>
      </c>
    </row>
    <row r="12312" spans="1:4" ht="25.5">
      <c r="A12312" s="801">
        <v>10405</v>
      </c>
      <c r="B12312" s="802" t="s">
        <v>13199</v>
      </c>
      <c r="C12312" s="801" t="s">
        <v>656</v>
      </c>
      <c r="D12312" s="803">
        <v>407.98</v>
      </c>
    </row>
    <row r="12313" spans="1:4" ht="25.5">
      <c r="A12313" s="801">
        <v>10408</v>
      </c>
      <c r="B12313" s="802" t="s">
        <v>13200</v>
      </c>
      <c r="C12313" s="801" t="s">
        <v>656</v>
      </c>
      <c r="D12313" s="803">
        <v>285.3</v>
      </c>
    </row>
    <row r="12314" spans="1:4" ht="25.5">
      <c r="A12314" s="801">
        <v>10412</v>
      </c>
      <c r="B12314" s="802" t="s">
        <v>13201</v>
      </c>
      <c r="C12314" s="801" t="s">
        <v>656</v>
      </c>
      <c r="D12314" s="803">
        <v>89.55</v>
      </c>
    </row>
    <row r="12315" spans="1:4" ht="25.5">
      <c r="A12315" s="801">
        <v>10406</v>
      </c>
      <c r="B12315" s="802" t="s">
        <v>13202</v>
      </c>
      <c r="C12315" s="801" t="s">
        <v>656</v>
      </c>
      <c r="D12315" s="803">
        <v>563.51</v>
      </c>
    </row>
    <row r="12316" spans="1:4" ht="25.5">
      <c r="A12316" s="801">
        <v>10407</v>
      </c>
      <c r="B12316" s="802" t="s">
        <v>13203</v>
      </c>
      <c r="C12316" s="801" t="s">
        <v>656</v>
      </c>
      <c r="D12316" s="803">
        <v>874.01</v>
      </c>
    </row>
    <row r="12317" spans="1:4" ht="25.5">
      <c r="A12317" s="801">
        <v>10416</v>
      </c>
      <c r="B12317" s="802" t="s">
        <v>13204</v>
      </c>
      <c r="C12317" s="801" t="s">
        <v>656</v>
      </c>
      <c r="D12317" s="803">
        <v>108.41</v>
      </c>
    </row>
    <row r="12318" spans="1:4" ht="25.5">
      <c r="A12318" s="801">
        <v>10419</v>
      </c>
      <c r="B12318" s="802" t="s">
        <v>13205</v>
      </c>
      <c r="C12318" s="801" t="s">
        <v>656</v>
      </c>
      <c r="D12318" s="803">
        <v>94.1</v>
      </c>
    </row>
    <row r="12319" spans="1:4" ht="25.5">
      <c r="A12319" s="801">
        <v>21092</v>
      </c>
      <c r="B12319" s="802" t="s">
        <v>13206</v>
      </c>
      <c r="C12319" s="801" t="s">
        <v>656</v>
      </c>
      <c r="D12319" s="803">
        <v>53.8</v>
      </c>
    </row>
    <row r="12320" spans="1:4" ht="25.5">
      <c r="A12320" s="801">
        <v>10418</v>
      </c>
      <c r="B12320" s="802" t="s">
        <v>13207</v>
      </c>
      <c r="C12320" s="801" t="s">
        <v>656</v>
      </c>
      <c r="D12320" s="803">
        <v>62.72</v>
      </c>
    </row>
    <row r="12321" spans="1:4" ht="25.5">
      <c r="A12321" s="801">
        <v>12657</v>
      </c>
      <c r="B12321" s="802" t="s">
        <v>13208</v>
      </c>
      <c r="C12321" s="801" t="s">
        <v>656</v>
      </c>
      <c r="D12321" s="803">
        <v>253.12</v>
      </c>
    </row>
    <row r="12322" spans="1:4" ht="25.5">
      <c r="A12322" s="801">
        <v>10417</v>
      </c>
      <c r="B12322" s="802" t="s">
        <v>13209</v>
      </c>
      <c r="C12322" s="801" t="s">
        <v>656</v>
      </c>
      <c r="D12322" s="803">
        <v>157.96</v>
      </c>
    </row>
    <row r="12323" spans="1:4" ht="25.5">
      <c r="A12323" s="801">
        <v>10413</v>
      </c>
      <c r="B12323" s="802" t="s">
        <v>13210</v>
      </c>
      <c r="C12323" s="801" t="s">
        <v>656</v>
      </c>
      <c r="D12323" s="803">
        <v>57.41</v>
      </c>
    </row>
    <row r="12324" spans="1:4" ht="25.5">
      <c r="A12324" s="801">
        <v>10414</v>
      </c>
      <c r="B12324" s="802" t="s">
        <v>13211</v>
      </c>
      <c r="C12324" s="801" t="s">
        <v>656</v>
      </c>
      <c r="D12324" s="803">
        <v>345.65</v>
      </c>
    </row>
    <row r="12325" spans="1:4" ht="25.5">
      <c r="A12325" s="801">
        <v>10415</v>
      </c>
      <c r="B12325" s="802" t="s">
        <v>13212</v>
      </c>
      <c r="C12325" s="801" t="s">
        <v>656</v>
      </c>
      <c r="D12325" s="803">
        <v>599.89</v>
      </c>
    </row>
    <row r="12326" spans="1:4" ht="25.5">
      <c r="A12326" s="801">
        <v>38643</v>
      </c>
      <c r="B12326" s="802" t="s">
        <v>13213</v>
      </c>
      <c r="C12326" s="801" t="s">
        <v>656</v>
      </c>
      <c r="D12326" s="803">
        <v>37.17</v>
      </c>
    </row>
    <row r="12327" spans="1:4" ht="25.5">
      <c r="A12327" s="801">
        <v>6157</v>
      </c>
      <c r="B12327" s="802" t="s">
        <v>13214</v>
      </c>
      <c r="C12327" s="801" t="s">
        <v>656</v>
      </c>
      <c r="D12327" s="803">
        <v>50.78</v>
      </c>
    </row>
    <row r="12328" spans="1:4" ht="25.5">
      <c r="A12328" s="801">
        <v>6152</v>
      </c>
      <c r="B12328" s="802" t="s">
        <v>13215</v>
      </c>
      <c r="C12328" s="801" t="s">
        <v>656</v>
      </c>
      <c r="D12328" s="803">
        <v>4.21</v>
      </c>
    </row>
    <row r="12329" spans="1:4" ht="25.5">
      <c r="A12329" s="801">
        <v>6158</v>
      </c>
      <c r="B12329" s="802" t="s">
        <v>13216</v>
      </c>
      <c r="C12329" s="801" t="s">
        <v>656</v>
      </c>
      <c r="D12329" s="803">
        <v>5.09</v>
      </c>
    </row>
    <row r="12330" spans="1:4" ht="25.5">
      <c r="A12330" s="801">
        <v>6153</v>
      </c>
      <c r="B12330" s="802" t="s">
        <v>4818</v>
      </c>
      <c r="C12330" s="801" t="s">
        <v>656</v>
      </c>
      <c r="D12330" s="803">
        <v>3.96</v>
      </c>
    </row>
    <row r="12331" spans="1:4" ht="25.5">
      <c r="A12331" s="801">
        <v>6156</v>
      </c>
      <c r="B12331" s="802" t="s">
        <v>13217</v>
      </c>
      <c r="C12331" s="801" t="s">
        <v>656</v>
      </c>
      <c r="D12331" s="803">
        <v>5.0199999999999996</v>
      </c>
    </row>
    <row r="12332" spans="1:4" ht="25.5">
      <c r="A12332" s="801">
        <v>6154</v>
      </c>
      <c r="B12332" s="802" t="s">
        <v>13218</v>
      </c>
      <c r="C12332" s="801" t="s">
        <v>656</v>
      </c>
      <c r="D12332" s="803">
        <v>9.4499999999999993</v>
      </c>
    </row>
    <row r="12333" spans="1:4" ht="25.5">
      <c r="A12333" s="801">
        <v>6155</v>
      </c>
      <c r="B12333" s="802" t="s">
        <v>4819</v>
      </c>
      <c r="C12333" s="801" t="s">
        <v>656</v>
      </c>
      <c r="D12333" s="803">
        <v>19.53</v>
      </c>
    </row>
    <row r="12334" spans="1:4" ht="25.5">
      <c r="A12334" s="801">
        <v>43595</v>
      </c>
      <c r="B12334" s="802" t="s">
        <v>13219</v>
      </c>
      <c r="C12334" s="801" t="s">
        <v>656</v>
      </c>
      <c r="D12334" s="803">
        <v>20</v>
      </c>
    </row>
    <row r="12335" spans="1:4" ht="25.5">
      <c r="A12335" s="801">
        <v>43596</v>
      </c>
      <c r="B12335" s="802" t="s">
        <v>13220</v>
      </c>
      <c r="C12335" s="801" t="s">
        <v>656</v>
      </c>
      <c r="D12335" s="803">
        <v>23.12</v>
      </c>
    </row>
    <row r="12336" spans="1:4" ht="25.5">
      <c r="A12336" s="801">
        <v>38108</v>
      </c>
      <c r="B12336" s="802" t="s">
        <v>13221</v>
      </c>
      <c r="C12336" s="801" t="s">
        <v>656</v>
      </c>
      <c r="D12336" s="803">
        <v>41.09</v>
      </c>
    </row>
    <row r="12337" spans="1:4" ht="38.25">
      <c r="A12337" s="801">
        <v>38087</v>
      </c>
      <c r="B12337" s="802" t="s">
        <v>13222</v>
      </c>
      <c r="C12337" s="801" t="s">
        <v>656</v>
      </c>
      <c r="D12337" s="803">
        <v>52.85</v>
      </c>
    </row>
    <row r="12338" spans="1:4" ht="25.5">
      <c r="A12338" s="801">
        <v>38109</v>
      </c>
      <c r="B12338" s="802" t="s">
        <v>13223</v>
      </c>
      <c r="C12338" s="801" t="s">
        <v>656</v>
      </c>
      <c r="D12338" s="803">
        <v>65.67</v>
      </c>
    </row>
    <row r="12339" spans="1:4" ht="38.25">
      <c r="A12339" s="801">
        <v>38088</v>
      </c>
      <c r="B12339" s="802" t="s">
        <v>13224</v>
      </c>
      <c r="C12339" s="801" t="s">
        <v>656</v>
      </c>
      <c r="D12339" s="803">
        <v>69.05</v>
      </c>
    </row>
    <row r="12340" spans="1:4" ht="25.5">
      <c r="A12340" s="801">
        <v>38110</v>
      </c>
      <c r="B12340" s="802" t="s">
        <v>13225</v>
      </c>
      <c r="C12340" s="801" t="s">
        <v>656</v>
      </c>
      <c r="D12340" s="803">
        <v>25.26</v>
      </c>
    </row>
    <row r="12341" spans="1:4" ht="51">
      <c r="A12341" s="801">
        <v>38089</v>
      </c>
      <c r="B12341" s="802" t="s">
        <v>13226</v>
      </c>
      <c r="C12341" s="801" t="s">
        <v>656</v>
      </c>
      <c r="D12341" s="803">
        <v>44.02</v>
      </c>
    </row>
    <row r="12342" spans="1:4" ht="25.5">
      <c r="A12342" s="801">
        <v>38111</v>
      </c>
      <c r="B12342" s="802" t="s">
        <v>13227</v>
      </c>
      <c r="C12342" s="801" t="s">
        <v>656</v>
      </c>
      <c r="D12342" s="803">
        <v>28.25</v>
      </c>
    </row>
    <row r="12343" spans="1:4" ht="51">
      <c r="A12343" s="801">
        <v>38090</v>
      </c>
      <c r="B12343" s="802" t="s">
        <v>13228</v>
      </c>
      <c r="C12343" s="801" t="s">
        <v>656</v>
      </c>
      <c r="D12343" s="803">
        <v>45.5</v>
      </c>
    </row>
    <row r="12344" spans="1:4" ht="25.5">
      <c r="A12344" s="801">
        <v>13726</v>
      </c>
      <c r="B12344" s="802" t="s">
        <v>13229</v>
      </c>
      <c r="C12344" s="801" t="s">
        <v>656</v>
      </c>
      <c r="D12344" s="803">
        <v>83150.5</v>
      </c>
    </row>
    <row r="12345" spans="1:4">
      <c r="A12345" s="801">
        <v>38400</v>
      </c>
      <c r="B12345" s="802" t="s">
        <v>13230</v>
      </c>
      <c r="C12345" s="801" t="s">
        <v>656</v>
      </c>
      <c r="D12345" s="803">
        <v>29</v>
      </c>
    </row>
    <row r="12346" spans="1:4" ht="25.5">
      <c r="A12346" s="801">
        <v>12627</v>
      </c>
      <c r="B12346" s="802" t="s">
        <v>13231</v>
      </c>
      <c r="C12346" s="801" t="s">
        <v>656</v>
      </c>
      <c r="D12346" s="803">
        <v>0.49</v>
      </c>
    </row>
    <row r="12347" spans="1:4">
      <c r="A12347" s="801">
        <v>39996</v>
      </c>
      <c r="B12347" s="802" t="s">
        <v>13232</v>
      </c>
      <c r="C12347" s="801" t="s">
        <v>660</v>
      </c>
      <c r="D12347" s="803">
        <v>5.01</v>
      </c>
    </row>
    <row r="12348" spans="1:4" ht="38.25">
      <c r="A12348" s="801">
        <v>10478</v>
      </c>
      <c r="B12348" s="802" t="s">
        <v>13233</v>
      </c>
      <c r="C12348" s="801" t="s">
        <v>655</v>
      </c>
      <c r="D12348" s="803">
        <v>27.99</v>
      </c>
    </row>
    <row r="12349" spans="1:4" ht="25.5">
      <c r="A12349" s="801">
        <v>10481</v>
      </c>
      <c r="B12349" s="802" t="s">
        <v>13234</v>
      </c>
      <c r="C12349" s="801" t="s">
        <v>655</v>
      </c>
      <c r="D12349" s="803">
        <v>24.89</v>
      </c>
    </row>
    <row r="12350" spans="1:4">
      <c r="A12350" s="801">
        <v>10475</v>
      </c>
      <c r="B12350" s="802" t="s">
        <v>13235</v>
      </c>
      <c r="C12350" s="801" t="s">
        <v>655</v>
      </c>
      <c r="D12350" s="803">
        <v>24.08</v>
      </c>
    </row>
    <row r="12351" spans="1:4">
      <c r="A12351" s="801">
        <v>4031</v>
      </c>
      <c r="B12351" s="802" t="s">
        <v>13236</v>
      </c>
      <c r="C12351" s="801" t="s">
        <v>661</v>
      </c>
      <c r="D12351" s="803">
        <v>31.68</v>
      </c>
    </row>
    <row r="12352" spans="1:4">
      <c r="A12352" s="801">
        <v>4030</v>
      </c>
      <c r="B12352" s="802" t="s">
        <v>13237</v>
      </c>
      <c r="C12352" s="801" t="s">
        <v>661</v>
      </c>
      <c r="D12352" s="803">
        <v>6.74</v>
      </c>
    </row>
    <row r="12353" spans="1:4" ht="25.5">
      <c r="A12353" s="801">
        <v>39399</v>
      </c>
      <c r="B12353" s="802" t="s">
        <v>13238</v>
      </c>
      <c r="C12353" s="801" t="s">
        <v>656</v>
      </c>
      <c r="D12353" s="803">
        <v>1334.25</v>
      </c>
    </row>
    <row r="12354" spans="1:4" ht="25.5">
      <c r="A12354" s="801">
        <v>39400</v>
      </c>
      <c r="B12354" s="802" t="s">
        <v>13239</v>
      </c>
      <c r="C12354" s="801" t="s">
        <v>656</v>
      </c>
      <c r="D12354" s="803">
        <v>1450.27</v>
      </c>
    </row>
    <row r="12355" spans="1:4" ht="25.5">
      <c r="A12355" s="801">
        <v>39401</v>
      </c>
      <c r="B12355" s="802" t="s">
        <v>13240</v>
      </c>
      <c r="C12355" s="801" t="s">
        <v>656</v>
      </c>
      <c r="D12355" s="803">
        <v>1626.86</v>
      </c>
    </row>
    <row r="12356" spans="1:4" ht="25.5">
      <c r="A12356" s="801">
        <v>11652</v>
      </c>
      <c r="B12356" s="802" t="s">
        <v>13241</v>
      </c>
      <c r="C12356" s="801" t="s">
        <v>656</v>
      </c>
      <c r="D12356" s="803">
        <v>3500</v>
      </c>
    </row>
    <row r="12357" spans="1:4" ht="25.5">
      <c r="A12357" s="801">
        <v>13896</v>
      </c>
      <c r="B12357" s="802" t="s">
        <v>4820</v>
      </c>
      <c r="C12357" s="801" t="s">
        <v>656</v>
      </c>
      <c r="D12357" s="803">
        <v>3139.8</v>
      </c>
    </row>
    <row r="12358" spans="1:4" ht="25.5">
      <c r="A12358" s="801">
        <v>13475</v>
      </c>
      <c r="B12358" s="802" t="s">
        <v>13242</v>
      </c>
      <c r="C12358" s="801" t="s">
        <v>656</v>
      </c>
      <c r="D12358" s="803">
        <v>3824.66</v>
      </c>
    </row>
    <row r="12359" spans="1:4" ht="25.5">
      <c r="A12359" s="801">
        <v>44491</v>
      </c>
      <c r="B12359" s="802" t="s">
        <v>13243</v>
      </c>
      <c r="C12359" s="801" t="s">
        <v>656</v>
      </c>
      <c r="D12359" s="803">
        <v>4282422.76</v>
      </c>
    </row>
    <row r="12360" spans="1:4" ht="25.5">
      <c r="A12360" s="801">
        <v>44470</v>
      </c>
      <c r="B12360" s="802" t="s">
        <v>13244</v>
      </c>
      <c r="C12360" s="801" t="s">
        <v>656</v>
      </c>
      <c r="D12360" s="803">
        <v>1802850.28</v>
      </c>
    </row>
    <row r="12361" spans="1:4" ht="25.5">
      <c r="A12361" s="801">
        <v>13476</v>
      </c>
      <c r="B12361" s="802" t="s">
        <v>13245</v>
      </c>
      <c r="C12361" s="801" t="s">
        <v>656</v>
      </c>
      <c r="D12361" s="803">
        <v>1815914.54</v>
      </c>
    </row>
    <row r="12362" spans="1:4" ht="25.5">
      <c r="A12362" s="801">
        <v>10488</v>
      </c>
      <c r="B12362" s="802" t="s">
        <v>13246</v>
      </c>
      <c r="C12362" s="801" t="s">
        <v>656</v>
      </c>
      <c r="D12362" s="803">
        <v>2200000</v>
      </c>
    </row>
    <row r="12363" spans="1:4" ht="38.25">
      <c r="A12363" s="801">
        <v>13606</v>
      </c>
      <c r="B12363" s="802" t="s">
        <v>13247</v>
      </c>
      <c r="C12363" s="801" t="s">
        <v>656</v>
      </c>
      <c r="D12363" s="803">
        <v>1949168.54</v>
      </c>
    </row>
    <row r="12364" spans="1:4">
      <c r="A12364" s="801">
        <v>10489</v>
      </c>
      <c r="B12364" s="802" t="s">
        <v>13248</v>
      </c>
      <c r="C12364" s="801" t="s">
        <v>659</v>
      </c>
      <c r="D12364" s="803">
        <v>11.82</v>
      </c>
    </row>
    <row r="12365" spans="1:4">
      <c r="A12365" s="801">
        <v>41073</v>
      </c>
      <c r="B12365" s="802" t="s">
        <v>13249</v>
      </c>
      <c r="C12365" s="801" t="s">
        <v>772</v>
      </c>
      <c r="D12365" s="803">
        <v>2090.54</v>
      </c>
    </row>
    <row r="12366" spans="1:4" ht="25.5">
      <c r="A12366" s="801">
        <v>34391</v>
      </c>
      <c r="B12366" s="802" t="s">
        <v>13250</v>
      </c>
      <c r="C12366" s="801" t="s">
        <v>661</v>
      </c>
      <c r="D12366" s="803">
        <v>1131.42</v>
      </c>
    </row>
    <row r="12367" spans="1:4" ht="25.5">
      <c r="A12367" s="801">
        <v>10496</v>
      </c>
      <c r="B12367" s="802" t="s">
        <v>13251</v>
      </c>
      <c r="C12367" s="801" t="s">
        <v>661</v>
      </c>
      <c r="D12367" s="803">
        <v>984.88</v>
      </c>
    </row>
    <row r="12368" spans="1:4" ht="25.5">
      <c r="A12368" s="801">
        <v>10497</v>
      </c>
      <c r="B12368" s="802" t="s">
        <v>13252</v>
      </c>
      <c r="C12368" s="801" t="s">
        <v>661</v>
      </c>
      <c r="D12368" s="803">
        <v>2560.71</v>
      </c>
    </row>
    <row r="12369" spans="1:4" ht="25.5">
      <c r="A12369" s="801">
        <v>10504</v>
      </c>
      <c r="B12369" s="802" t="s">
        <v>13253</v>
      </c>
      <c r="C12369" s="801" t="s">
        <v>661</v>
      </c>
      <c r="D12369" s="803">
        <v>2994.06</v>
      </c>
    </row>
    <row r="12370" spans="1:4">
      <c r="A12370" s="801">
        <v>34390</v>
      </c>
      <c r="B12370" s="802" t="s">
        <v>13254</v>
      </c>
      <c r="C12370" s="801" t="s">
        <v>661</v>
      </c>
      <c r="D12370" s="803">
        <v>882.46</v>
      </c>
    </row>
    <row r="12371" spans="1:4">
      <c r="A12371" s="801">
        <v>34389</v>
      </c>
      <c r="B12371" s="802" t="s">
        <v>13255</v>
      </c>
      <c r="C12371" s="801" t="s">
        <v>661</v>
      </c>
      <c r="D12371" s="803">
        <v>275.76</v>
      </c>
    </row>
    <row r="12372" spans="1:4">
      <c r="A12372" s="801">
        <v>34388</v>
      </c>
      <c r="B12372" s="802" t="s">
        <v>13256</v>
      </c>
      <c r="C12372" s="801" t="s">
        <v>661</v>
      </c>
      <c r="D12372" s="803">
        <v>391.92</v>
      </c>
    </row>
    <row r="12373" spans="1:4">
      <c r="A12373" s="801">
        <v>34387</v>
      </c>
      <c r="B12373" s="802" t="s">
        <v>13257</v>
      </c>
      <c r="C12373" s="801" t="s">
        <v>661</v>
      </c>
      <c r="D12373" s="803">
        <v>636.23</v>
      </c>
    </row>
    <row r="12374" spans="1:4">
      <c r="A12374" s="801">
        <v>11188</v>
      </c>
      <c r="B12374" s="802" t="s">
        <v>13258</v>
      </c>
      <c r="C12374" s="801" t="s">
        <v>661</v>
      </c>
      <c r="D12374" s="803">
        <v>315.16000000000003</v>
      </c>
    </row>
    <row r="12375" spans="1:4">
      <c r="A12375" s="801">
        <v>11189</v>
      </c>
      <c r="B12375" s="802" t="s">
        <v>13259</v>
      </c>
      <c r="C12375" s="801" t="s">
        <v>661</v>
      </c>
      <c r="D12375" s="803">
        <v>472.74</v>
      </c>
    </row>
    <row r="12376" spans="1:4">
      <c r="A12376" s="801">
        <v>21107</v>
      </c>
      <c r="B12376" s="802" t="s">
        <v>13260</v>
      </c>
      <c r="C12376" s="801" t="s">
        <v>661</v>
      </c>
      <c r="D12376" s="803">
        <v>340.2</v>
      </c>
    </row>
    <row r="12377" spans="1:4">
      <c r="A12377" s="801">
        <v>34386</v>
      </c>
      <c r="B12377" s="802" t="s">
        <v>13261</v>
      </c>
      <c r="C12377" s="801" t="s">
        <v>661</v>
      </c>
      <c r="D12377" s="803">
        <v>590.92999999999995</v>
      </c>
    </row>
    <row r="12378" spans="1:4">
      <c r="A12378" s="801">
        <v>10490</v>
      </c>
      <c r="B12378" s="802" t="s">
        <v>13262</v>
      </c>
      <c r="C12378" s="801" t="s">
        <v>661</v>
      </c>
      <c r="D12378" s="803">
        <v>177.28</v>
      </c>
    </row>
    <row r="12379" spans="1:4">
      <c r="A12379" s="801">
        <v>10492</v>
      </c>
      <c r="B12379" s="802" t="s">
        <v>13263</v>
      </c>
      <c r="C12379" s="801" t="s">
        <v>661</v>
      </c>
      <c r="D12379" s="803">
        <v>236.37</v>
      </c>
    </row>
    <row r="12380" spans="1:4">
      <c r="A12380" s="801">
        <v>10493</v>
      </c>
      <c r="B12380" s="802" t="s">
        <v>13264</v>
      </c>
      <c r="C12380" s="801" t="s">
        <v>661</v>
      </c>
      <c r="D12380" s="803">
        <v>275.76</v>
      </c>
    </row>
    <row r="12381" spans="1:4">
      <c r="A12381" s="801">
        <v>10491</v>
      </c>
      <c r="B12381" s="802" t="s">
        <v>13265</v>
      </c>
      <c r="C12381" s="801" t="s">
        <v>661</v>
      </c>
      <c r="D12381" s="803">
        <v>334.86</v>
      </c>
    </row>
    <row r="12382" spans="1:4">
      <c r="A12382" s="801">
        <v>34385</v>
      </c>
      <c r="B12382" s="802" t="s">
        <v>13266</v>
      </c>
      <c r="C12382" s="801" t="s">
        <v>661</v>
      </c>
      <c r="D12382" s="803">
        <v>488.5</v>
      </c>
    </row>
    <row r="12383" spans="1:4">
      <c r="A12383" s="801">
        <v>10499</v>
      </c>
      <c r="B12383" s="802" t="s">
        <v>13267</v>
      </c>
      <c r="C12383" s="801" t="s">
        <v>661</v>
      </c>
      <c r="D12383" s="803">
        <v>196.97</v>
      </c>
    </row>
    <row r="12384" spans="1:4">
      <c r="A12384" s="801">
        <v>34384</v>
      </c>
      <c r="B12384" s="802" t="s">
        <v>13268</v>
      </c>
      <c r="C12384" s="801" t="s">
        <v>661</v>
      </c>
      <c r="D12384" s="803">
        <v>590.92999999999995</v>
      </c>
    </row>
    <row r="12385" spans="1:4">
      <c r="A12385" s="801">
        <v>11185</v>
      </c>
      <c r="B12385" s="802" t="s">
        <v>13269</v>
      </c>
      <c r="C12385" s="801" t="s">
        <v>661</v>
      </c>
      <c r="D12385" s="803">
        <v>610.63</v>
      </c>
    </row>
    <row r="12386" spans="1:4">
      <c r="A12386" s="801">
        <v>10507</v>
      </c>
      <c r="B12386" s="802" t="s">
        <v>13270</v>
      </c>
      <c r="C12386" s="801" t="s">
        <v>661</v>
      </c>
      <c r="D12386" s="803">
        <v>462.27</v>
      </c>
    </row>
    <row r="12387" spans="1:4">
      <c r="A12387" s="801">
        <v>10505</v>
      </c>
      <c r="B12387" s="802" t="s">
        <v>13271</v>
      </c>
      <c r="C12387" s="801" t="s">
        <v>661</v>
      </c>
      <c r="D12387" s="803">
        <v>272.77</v>
      </c>
    </row>
    <row r="12388" spans="1:4">
      <c r="A12388" s="801">
        <v>10506</v>
      </c>
      <c r="B12388" s="802" t="s">
        <v>13272</v>
      </c>
      <c r="C12388" s="801" t="s">
        <v>661</v>
      </c>
      <c r="D12388" s="803">
        <v>356.08</v>
      </c>
    </row>
    <row r="12389" spans="1:4" ht="25.5">
      <c r="A12389" s="801">
        <v>5031</v>
      </c>
      <c r="B12389" s="802" t="s">
        <v>13273</v>
      </c>
      <c r="C12389" s="801" t="s">
        <v>661</v>
      </c>
      <c r="D12389" s="803">
        <v>500</v>
      </c>
    </row>
    <row r="12390" spans="1:4">
      <c r="A12390" s="801">
        <v>10502</v>
      </c>
      <c r="B12390" s="802" t="s">
        <v>13274</v>
      </c>
      <c r="C12390" s="801" t="s">
        <v>661</v>
      </c>
      <c r="D12390" s="803">
        <v>582.62</v>
      </c>
    </row>
    <row r="12391" spans="1:4">
      <c r="A12391" s="801">
        <v>10501</v>
      </c>
      <c r="B12391" s="802" t="s">
        <v>13275</v>
      </c>
      <c r="C12391" s="801" t="s">
        <v>661</v>
      </c>
      <c r="D12391" s="803">
        <v>329.16</v>
      </c>
    </row>
    <row r="12392" spans="1:4">
      <c r="A12392" s="801">
        <v>10503</v>
      </c>
      <c r="B12392" s="802" t="s">
        <v>13276</v>
      </c>
      <c r="C12392" s="801" t="s">
        <v>661</v>
      </c>
      <c r="D12392" s="803">
        <v>444.7</v>
      </c>
    </row>
    <row r="12393" spans="1:4" ht="25.5">
      <c r="A12393" s="801">
        <v>4500</v>
      </c>
      <c r="B12393" s="802" t="s">
        <v>13277</v>
      </c>
      <c r="C12393" s="801" t="s">
        <v>660</v>
      </c>
      <c r="D12393" s="803">
        <v>17.309999999999999</v>
      </c>
    </row>
    <row r="12394" spans="1:4" ht="25.5">
      <c r="A12394" s="801">
        <v>4448</v>
      </c>
      <c r="B12394" s="802" t="s">
        <v>13278</v>
      </c>
      <c r="C12394" s="801" t="s">
        <v>660</v>
      </c>
      <c r="D12394" s="803">
        <v>23.78</v>
      </c>
    </row>
    <row r="12395" spans="1:4" ht="25.5">
      <c r="A12395" s="801">
        <v>20213</v>
      </c>
      <c r="B12395" s="802" t="s">
        <v>13279</v>
      </c>
      <c r="C12395" s="801" t="s">
        <v>660</v>
      </c>
      <c r="D12395" s="803">
        <v>20.100000000000001</v>
      </c>
    </row>
    <row r="12396" spans="1:4" ht="25.5">
      <c r="A12396" s="801">
        <v>20211</v>
      </c>
      <c r="B12396" s="802" t="s">
        <v>13280</v>
      </c>
      <c r="C12396" s="801" t="s">
        <v>660</v>
      </c>
      <c r="D12396" s="803">
        <v>26.61</v>
      </c>
    </row>
    <row r="12397" spans="1:4" ht="25.5">
      <c r="A12397" s="801">
        <v>40270</v>
      </c>
      <c r="B12397" s="802" t="s">
        <v>13281</v>
      </c>
      <c r="C12397" s="801" t="s">
        <v>660</v>
      </c>
      <c r="D12397" s="803">
        <v>111.97</v>
      </c>
    </row>
    <row r="12398" spans="1:4" ht="25.5">
      <c r="A12398" s="801">
        <v>4425</v>
      </c>
      <c r="B12398" s="802" t="s">
        <v>13282</v>
      </c>
      <c r="C12398" s="801" t="s">
        <v>660</v>
      </c>
      <c r="D12398" s="803">
        <v>21.99</v>
      </c>
    </row>
    <row r="12399" spans="1:4" ht="25.5">
      <c r="A12399" s="801">
        <v>4472</v>
      </c>
      <c r="B12399" s="802" t="s">
        <v>13283</v>
      </c>
      <c r="C12399" s="801" t="s">
        <v>660</v>
      </c>
      <c r="D12399" s="803">
        <v>27.48</v>
      </c>
    </row>
    <row r="12400" spans="1:4" ht="25.5">
      <c r="A12400" s="801">
        <v>35272</v>
      </c>
      <c r="B12400" s="802" t="s">
        <v>13284</v>
      </c>
      <c r="C12400" s="801" t="s">
        <v>660</v>
      </c>
      <c r="D12400" s="803">
        <v>39.72</v>
      </c>
    </row>
    <row r="12401" spans="1:4" ht="25.5">
      <c r="A12401" s="801">
        <v>4481</v>
      </c>
      <c r="B12401" s="802" t="s">
        <v>13285</v>
      </c>
      <c r="C12401" s="801" t="s">
        <v>660</v>
      </c>
      <c r="D12401" s="803">
        <v>42.52</v>
      </c>
    </row>
    <row r="12402" spans="1:4">
      <c r="A12402" s="801">
        <v>34345</v>
      </c>
      <c r="B12402" s="802" t="s">
        <v>13286</v>
      </c>
      <c r="C12402" s="801" t="s">
        <v>659</v>
      </c>
      <c r="D12402" s="803">
        <v>10.210000000000001</v>
      </c>
    </row>
    <row r="12403" spans="1:4">
      <c r="A12403" s="801">
        <v>41096</v>
      </c>
      <c r="B12403" s="802" t="s">
        <v>13287</v>
      </c>
      <c r="C12403" s="801" t="s">
        <v>772</v>
      </c>
      <c r="D12403" s="803">
        <v>1804.46</v>
      </c>
    </row>
    <row r="12404" spans="1:4" ht="25.5">
      <c r="A12404" s="801">
        <v>41776</v>
      </c>
      <c r="B12404" s="802" t="s">
        <v>4821</v>
      </c>
      <c r="C12404" s="801" t="s">
        <v>659</v>
      </c>
      <c r="D12404" s="803">
        <v>14</v>
      </c>
    </row>
    <row r="12405" spans="1:4">
      <c r="A12405" s="801" t="s">
        <v>3585</v>
      </c>
      <c r="B12405" s="802"/>
      <c r="C12405" s="801"/>
      <c r="D12405" s="803"/>
    </row>
  </sheetData>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91"/>
  <sheetViews>
    <sheetView view="pageBreakPreview" zoomScale="90" zoomScaleSheetLayoutView="90" workbookViewId="0">
      <pane ySplit="4" topLeftCell="A876" activePane="bottomLeft" state="frozen"/>
      <selection activeCell="B1" sqref="B1"/>
      <selection pane="bottomLeft" activeCell="B887" sqref="B887"/>
    </sheetView>
  </sheetViews>
  <sheetFormatPr defaultColWidth="13.85546875" defaultRowHeight="17.25" customHeight="1"/>
  <cols>
    <col min="1" max="1" width="6.85546875" style="5" customWidth="1"/>
    <col min="2" max="2" width="45.5703125" style="468" customWidth="1"/>
    <col min="3" max="3" width="19.85546875" style="237" customWidth="1"/>
    <col min="4" max="4" width="16.42578125" style="237" bestFit="1" customWidth="1"/>
    <col min="5" max="5" width="20.85546875" style="64" customWidth="1"/>
    <col min="6" max="6" width="20.28515625" style="36" customWidth="1"/>
    <col min="7" max="7" width="14" style="36" customWidth="1"/>
    <col min="8" max="8" width="16.85546875" style="36" customWidth="1"/>
    <col min="9" max="9" width="15.28515625" style="36" customWidth="1"/>
    <col min="10" max="10" width="17" style="36" customWidth="1"/>
    <col min="11" max="11" width="12.85546875" style="122" bestFit="1" customWidth="1"/>
    <col min="12" max="12" width="11.5703125" style="36" bestFit="1" customWidth="1"/>
    <col min="13" max="13" width="12.85546875" style="69" customWidth="1"/>
    <col min="14" max="14" width="9" style="274" customWidth="1"/>
    <col min="15" max="15" width="6.7109375" style="5" hidden="1" customWidth="1"/>
    <col min="16" max="16" width="14.28515625" style="5" bestFit="1" customWidth="1"/>
    <col min="17" max="16384" width="13.85546875" style="5"/>
  </cols>
  <sheetData>
    <row r="1" spans="2:16" ht="17.25" customHeight="1" thickBot="1"/>
    <row r="2" spans="2:16" ht="17.25" customHeight="1" thickBot="1">
      <c r="B2" s="863" t="str">
        <f>'2-ORÇAMENTO'!B3:K3</f>
        <v xml:space="preserve">OBRA: REFORMA E AMPLIAÇÃO DA ESCOLA MUNICIPAL DE EDUCAÇÃO BASICA </v>
      </c>
      <c r="C2" s="864"/>
      <c r="D2" s="864"/>
      <c r="E2" s="864"/>
      <c r="F2" s="864"/>
      <c r="G2" s="864"/>
      <c r="H2" s="864"/>
      <c r="I2" s="864"/>
      <c r="J2" s="864"/>
      <c r="K2" s="864"/>
      <c r="L2" s="864"/>
      <c r="M2" s="864"/>
      <c r="N2" s="865"/>
    </row>
    <row r="3" spans="2:16" ht="17.25" customHeight="1" thickBot="1">
      <c r="B3" s="866" t="str">
        <f>'2-ORÇAMENTO'!B4:K4</f>
        <v>LOCAL: EMEB PROFESSORA LIBIA COSTA RONDON</v>
      </c>
      <c r="C3" s="867"/>
      <c r="D3" s="867"/>
      <c r="E3" s="867"/>
      <c r="F3" s="867"/>
      <c r="G3" s="867"/>
      <c r="H3" s="867"/>
      <c r="I3" s="867"/>
      <c r="J3" s="867"/>
      <c r="K3" s="867"/>
      <c r="L3" s="867"/>
      <c r="M3" s="867"/>
      <c r="N3" s="868"/>
    </row>
    <row r="4" spans="2:16" ht="30" customHeight="1" thickBot="1">
      <c r="B4" s="253" t="s">
        <v>604</v>
      </c>
      <c r="C4" s="45" t="s">
        <v>626</v>
      </c>
      <c r="D4" s="51" t="s">
        <v>601</v>
      </c>
      <c r="E4" s="869" t="s">
        <v>603</v>
      </c>
      <c r="F4" s="870"/>
      <c r="G4" s="870"/>
      <c r="H4" s="870"/>
      <c r="I4" s="870"/>
      <c r="J4" s="871"/>
      <c r="K4" s="123" t="s">
        <v>643</v>
      </c>
      <c r="L4" s="63" t="s">
        <v>531</v>
      </c>
      <c r="M4" s="171" t="s">
        <v>642</v>
      </c>
      <c r="N4" s="443" t="s">
        <v>531</v>
      </c>
    </row>
    <row r="5" spans="2:16" ht="17.25" customHeight="1" thickBot="1">
      <c r="B5" s="469"/>
      <c r="C5" s="100"/>
      <c r="D5" s="100"/>
      <c r="E5" s="101"/>
      <c r="F5" s="102"/>
      <c r="G5" s="102"/>
      <c r="H5" s="102"/>
      <c r="I5" s="102"/>
      <c r="J5" s="103"/>
      <c r="K5" s="124"/>
      <c r="L5" s="102"/>
      <c r="M5" s="104"/>
      <c r="N5" s="103"/>
    </row>
    <row r="6" spans="2:16" ht="17.25" customHeight="1" thickBot="1">
      <c r="B6" s="470"/>
      <c r="C6" s="276"/>
      <c r="D6" s="161"/>
      <c r="E6" s="836" t="s">
        <v>4565</v>
      </c>
      <c r="F6" s="837"/>
      <c r="G6" s="837"/>
      <c r="H6" s="837"/>
      <c r="I6" s="837"/>
      <c r="J6" s="838"/>
      <c r="K6" s="125"/>
      <c r="L6" s="425"/>
      <c r="M6" s="80"/>
      <c r="N6" s="70"/>
    </row>
    <row r="7" spans="2:16" ht="17.25" customHeight="1">
      <c r="B7" s="441"/>
      <c r="C7" s="276"/>
      <c r="D7" s="161"/>
      <c r="E7" s="83"/>
      <c r="F7" s="41"/>
      <c r="G7" s="41"/>
      <c r="H7" s="41"/>
      <c r="I7" s="41"/>
      <c r="J7" s="76"/>
      <c r="K7" s="174"/>
      <c r="L7" s="43"/>
      <c r="M7" s="92"/>
      <c r="N7" s="478"/>
    </row>
    <row r="8" spans="2:16" ht="17.25" customHeight="1">
      <c r="B8" s="434"/>
      <c r="C8" s="274">
        <v>90777</v>
      </c>
      <c r="D8" s="161" t="s">
        <v>6</v>
      </c>
      <c r="E8" s="860" t="str">
        <f>IFERROR(VLOOKUP($C8,'SINAPI FEVEREIRO 2022'!$1:$1048576,2,0),IFERROR(VLOOKUP($C8,'5-COMP. PROPRIA'!$B$1:$I$647,4,0),""))</f>
        <v>ENGENHEIRO CIVIL DE OBRA JUNIOR COM ENCARGOS COMPLEMENTARES</v>
      </c>
      <c r="F8" s="861"/>
      <c r="G8" s="861"/>
      <c r="H8" s="861"/>
      <c r="I8" s="861"/>
      <c r="J8" s="862"/>
      <c r="K8" s="38">
        <f>K10</f>
        <v>270</v>
      </c>
      <c r="L8" s="39" t="str">
        <f>IFERROR(VLOOKUP($C8,'SINAPI FEVEREIRO 2022'!$1:$1048576,3,0),IFERROR(VLOOKUP($C8,'5-COMP. PROPRIA'!$B$1:$I$647,5,0),""))</f>
        <v>H</v>
      </c>
      <c r="M8" s="38"/>
      <c r="N8" s="479"/>
      <c r="P8" s="91"/>
    </row>
    <row r="9" spans="2:16" ht="30.75" customHeight="1">
      <c r="B9" s="278" t="s">
        <v>6141</v>
      </c>
      <c r="C9" s="274"/>
      <c r="D9" s="161"/>
      <c r="E9" s="54" t="s">
        <v>606</v>
      </c>
      <c r="F9" s="165"/>
      <c r="G9" s="164" t="s">
        <v>607</v>
      </c>
      <c r="H9" s="163" t="s">
        <v>651</v>
      </c>
      <c r="I9" s="165"/>
      <c r="J9" s="66"/>
      <c r="K9" s="126"/>
      <c r="L9" s="149"/>
      <c r="M9" s="67"/>
      <c r="N9" s="478"/>
    </row>
    <row r="10" spans="2:16" ht="12.75">
      <c r="B10" s="278"/>
      <c r="C10" s="274"/>
      <c r="D10" s="161"/>
      <c r="E10" s="240">
        <v>6</v>
      </c>
      <c r="F10" s="165"/>
      <c r="G10" s="99">
        <v>1</v>
      </c>
      <c r="H10" s="99">
        <v>45</v>
      </c>
      <c r="I10" s="165"/>
      <c r="J10" s="66"/>
      <c r="K10" s="427">
        <f>E10*G10*H10</f>
        <v>270</v>
      </c>
      <c r="L10" s="149"/>
      <c r="M10" s="67"/>
      <c r="N10" s="478"/>
    </row>
    <row r="11" spans="2:16" ht="16.5" customHeight="1">
      <c r="B11" s="278"/>
      <c r="C11" s="274"/>
      <c r="D11" s="161"/>
      <c r="E11" s="72"/>
      <c r="F11" s="165"/>
      <c r="G11" s="165"/>
      <c r="H11" s="165"/>
      <c r="I11" s="165"/>
      <c r="J11" s="66"/>
      <c r="K11" s="126"/>
      <c r="L11" s="149"/>
      <c r="M11" s="67"/>
      <c r="N11" s="478"/>
      <c r="P11" s="91"/>
    </row>
    <row r="12" spans="2:16" ht="17.25" customHeight="1">
      <c r="B12" s="278"/>
      <c r="C12" s="274">
        <v>93572</v>
      </c>
      <c r="D12" s="161" t="s">
        <v>6</v>
      </c>
      <c r="E12" s="860" t="str">
        <f>IFERROR(VLOOKUP($C12,'SINAPI FEVEREIRO 2022'!$1:$1048576,2,0),IFERROR(VLOOKUP($C12,'5-COMP. PROPRIA'!$B$1:$I$647,4,0),""))</f>
        <v>ENCARREGADO GERAL DE OBRAS COM ENCARGOS COMPLEMENTARES</v>
      </c>
      <c r="F12" s="861"/>
      <c r="G12" s="861"/>
      <c r="H12" s="861"/>
      <c r="I12" s="861"/>
      <c r="J12" s="862"/>
      <c r="K12" s="127">
        <v>6</v>
      </c>
      <c r="L12" s="39" t="str">
        <f>IFERROR(VLOOKUP($C12,'SINAPI FEVEREIRO 2022'!$1:$1048576,3,0),IFERROR(VLOOKUP($C12,'5-COMP. PROPRIA'!$B$1:$I$647,5,0),""))</f>
        <v>MES</v>
      </c>
      <c r="M12" s="67"/>
      <c r="N12" s="478"/>
    </row>
    <row r="13" spans="2:16" ht="17.25" customHeight="1">
      <c r="B13" s="278"/>
      <c r="C13" s="274"/>
      <c r="D13" s="161"/>
      <c r="E13" s="72"/>
      <c r="F13" s="165"/>
      <c r="G13" s="165"/>
      <c r="H13" s="165"/>
      <c r="I13" s="165"/>
      <c r="J13" s="66"/>
      <c r="K13" s="126"/>
      <c r="L13" s="149"/>
      <c r="M13" s="67"/>
      <c r="N13" s="478"/>
    </row>
    <row r="14" spans="2:16" ht="17.25" customHeight="1">
      <c r="B14" s="278"/>
      <c r="C14" s="274">
        <v>101460</v>
      </c>
      <c r="D14" s="161" t="s">
        <v>6</v>
      </c>
      <c r="E14" s="860" t="str">
        <f>IFERROR(VLOOKUP($C14,'SINAPI FEVEREIRO 2022'!$1:$1048576,2,0),IFERROR(VLOOKUP($C14,'5-COMP. PROPRIA'!$B$1:$I$647,4,0),""))</f>
        <v>VIGIA DIURNO COM ENCARGOS COMPLEMENTARES</v>
      </c>
      <c r="F14" s="861"/>
      <c r="G14" s="861"/>
      <c r="H14" s="861"/>
      <c r="I14" s="861"/>
      <c r="J14" s="862"/>
      <c r="K14" s="127">
        <v>6</v>
      </c>
      <c r="L14" s="39" t="str">
        <f>IFERROR(VLOOKUP($C14,'SINAPI FEVEREIRO 2022'!$1:$1048576,3,0),IFERROR(VLOOKUP($C14,'5-COMP. PROPRIA'!$B$1:$I$647,5,0),""))</f>
        <v>MES</v>
      </c>
      <c r="M14" s="67"/>
      <c r="N14" s="478"/>
      <c r="P14" s="91"/>
    </row>
    <row r="15" spans="2:16" s="353" customFormat="1" ht="17.25" customHeight="1">
      <c r="B15" s="278"/>
      <c r="C15" s="274"/>
      <c r="D15" s="161"/>
      <c r="E15" s="424"/>
      <c r="F15" s="425"/>
      <c r="G15" s="425"/>
      <c r="H15" s="425"/>
      <c r="I15" s="425"/>
      <c r="J15" s="426"/>
      <c r="K15" s="127"/>
      <c r="L15" s="39"/>
      <c r="M15" s="67"/>
      <c r="N15" s="478"/>
    </row>
    <row r="16" spans="2:16" ht="27.75" customHeight="1">
      <c r="B16" s="278"/>
      <c r="C16" s="274">
        <v>88326</v>
      </c>
      <c r="D16" s="161" t="s">
        <v>6</v>
      </c>
      <c r="E16" s="860" t="str">
        <f>IFERROR(VLOOKUP($C16,'SINAPI FEVEREIRO 2022'!$1:$1048576,2,0),IFERROR(VLOOKUP($C16,'5-COMP. PROPRIA'!$B$1:$I$647,4,0),""))</f>
        <v>VIGIA NOTURNO COM ENCARGOS COMPLEMENTARES</v>
      </c>
      <c r="F16" s="861"/>
      <c r="G16" s="861"/>
      <c r="H16" s="861"/>
      <c r="I16" s="861"/>
      <c r="J16" s="862"/>
      <c r="K16" s="127">
        <f>SUM(K18:K19)</f>
        <v>1080</v>
      </c>
      <c r="L16" s="39" t="str">
        <f>IFERROR(VLOOKUP($C16,'SINAPI FEVEREIRO 2022'!$1:$1048576,3,0),IFERROR(VLOOKUP($C16,'5-COMP. PROPRIA'!$B$1:$I$647,5,0),""))</f>
        <v>H</v>
      </c>
      <c r="M16" s="67"/>
      <c r="N16" s="478"/>
      <c r="P16" s="91"/>
    </row>
    <row r="17" spans="2:16" ht="41.25" customHeight="1">
      <c r="B17" s="278" t="s">
        <v>6142</v>
      </c>
      <c r="C17" s="274"/>
      <c r="D17" s="161"/>
      <c r="E17" s="54" t="s">
        <v>606</v>
      </c>
      <c r="F17" s="418" t="s">
        <v>609</v>
      </c>
      <c r="G17" s="418" t="s">
        <v>610</v>
      </c>
      <c r="H17" s="418" t="s">
        <v>608</v>
      </c>
      <c r="I17" s="427" t="s">
        <v>607</v>
      </c>
      <c r="J17" s="66"/>
      <c r="K17" s="126"/>
      <c r="L17" s="149"/>
      <c r="M17" s="67"/>
      <c r="N17" s="478"/>
    </row>
    <row r="18" spans="2:16" ht="17.25" customHeight="1">
      <c r="B18" s="278" t="s">
        <v>6143</v>
      </c>
      <c r="C18" s="274"/>
      <c r="D18" s="161"/>
      <c r="E18" s="240">
        <v>6</v>
      </c>
      <c r="F18" s="41">
        <v>6</v>
      </c>
      <c r="G18" s="99">
        <v>22</v>
      </c>
      <c r="H18" s="428">
        <f>F18*G18</f>
        <v>132</v>
      </c>
      <c r="I18" s="99">
        <v>1</v>
      </c>
      <c r="J18" s="66"/>
      <c r="K18" s="126">
        <f>E18*I18*H18</f>
        <v>792</v>
      </c>
      <c r="L18" s="149"/>
      <c r="M18" s="67"/>
      <c r="N18" s="478"/>
    </row>
    <row r="19" spans="2:16" ht="17.25" customHeight="1">
      <c r="B19" s="278" t="s">
        <v>6144</v>
      </c>
      <c r="C19" s="274"/>
      <c r="D19" s="161"/>
      <c r="E19" s="240">
        <v>6</v>
      </c>
      <c r="F19" s="428">
        <v>6</v>
      </c>
      <c r="G19" s="99">
        <v>8</v>
      </c>
      <c r="H19" s="428">
        <f>F19*G19</f>
        <v>48</v>
      </c>
      <c r="I19" s="99">
        <v>1</v>
      </c>
      <c r="J19" s="66"/>
      <c r="K19" s="126">
        <f>E19*I19*H19</f>
        <v>288</v>
      </c>
      <c r="L19" s="149"/>
      <c r="M19" s="67"/>
      <c r="N19" s="478"/>
    </row>
    <row r="20" spans="2:16" ht="17.25" customHeight="1" thickBot="1">
      <c r="B20" s="434"/>
      <c r="C20" s="274"/>
      <c r="D20" s="161"/>
      <c r="E20" s="72"/>
      <c r="F20" s="428"/>
      <c r="G20" s="428"/>
      <c r="H20" s="428"/>
      <c r="I20" s="428"/>
      <c r="J20" s="66"/>
      <c r="K20" s="126"/>
      <c r="L20" s="149"/>
      <c r="M20" s="67"/>
      <c r="N20" s="478"/>
    </row>
    <row r="21" spans="2:16" ht="17.25" customHeight="1" thickBot="1">
      <c r="B21" s="471"/>
      <c r="C21" s="274"/>
      <c r="D21" s="161"/>
      <c r="E21" s="836" t="s">
        <v>623</v>
      </c>
      <c r="F21" s="837"/>
      <c r="G21" s="837"/>
      <c r="H21" s="837"/>
      <c r="I21" s="837"/>
      <c r="J21" s="838"/>
      <c r="K21" s="125"/>
      <c r="L21" s="149"/>
      <c r="M21" s="61"/>
      <c r="N21" s="70"/>
    </row>
    <row r="22" spans="2:16" ht="17.25" customHeight="1">
      <c r="B22" s="434"/>
      <c r="C22" s="274"/>
      <c r="D22" s="161"/>
      <c r="E22" s="148"/>
      <c r="F22" s="428"/>
      <c r="G22" s="428"/>
      <c r="H22" s="428"/>
      <c r="I22" s="428"/>
      <c r="J22" s="66"/>
      <c r="K22" s="126"/>
      <c r="L22" s="149"/>
      <c r="M22" s="67"/>
      <c r="N22" s="478"/>
    </row>
    <row r="23" spans="2:16" ht="14.25">
      <c r="B23" s="434"/>
      <c r="C23" s="275" t="str">
        <f>'5-COMP. PROPRIA'!B12</f>
        <v>CP-IP-01</v>
      </c>
      <c r="D23" s="161" t="s">
        <v>641</v>
      </c>
      <c r="E23" s="833" t="str">
        <f>IFERROR(VLOOKUP($C23,'SINAPI FEVEREIRO 2022'!$1:$1048576,2,0),IFERROR(VLOOKUP($C23,'5-COMP. PROPRIA'!$B$1:$I$647,4,0),""))</f>
        <v>PLACA DE OBRA EM CHAPA DE AÇO GALVANIZADO</v>
      </c>
      <c r="F23" s="834"/>
      <c r="G23" s="834"/>
      <c r="H23" s="834"/>
      <c r="I23" s="834"/>
      <c r="J23" s="835"/>
      <c r="K23" s="128">
        <v>6</v>
      </c>
      <c r="L23" s="39" t="str">
        <f>IFERROR(VLOOKUP($C23,'SINAPI FEVEREIRO 2022'!$1:$1048576,3,0),IFERROR(VLOOKUP($C23,'5-COMP. PROPRIA'!$B$1:$I$647,5,0),""))</f>
        <v xml:space="preserve">M2    </v>
      </c>
      <c r="M23" s="67"/>
      <c r="N23" s="478"/>
      <c r="O23" s="71"/>
      <c r="P23" s="91"/>
    </row>
    <row r="24" spans="2:16" ht="17.25" customHeight="1">
      <c r="B24" s="434"/>
      <c r="C24" s="274"/>
      <c r="D24" s="161"/>
      <c r="E24" s="53"/>
      <c r="F24" s="428"/>
      <c r="G24" s="428"/>
      <c r="H24" s="428"/>
      <c r="I24" s="428"/>
      <c r="J24" s="66"/>
      <c r="K24" s="126"/>
      <c r="L24" s="149"/>
      <c r="M24" s="67"/>
      <c r="N24" s="478"/>
      <c r="O24" s="71"/>
    </row>
    <row r="25" spans="2:16" ht="17.25" customHeight="1">
      <c r="B25" s="434"/>
      <c r="C25" s="274">
        <v>98459</v>
      </c>
      <c r="D25" s="161" t="s">
        <v>6</v>
      </c>
      <c r="E25" s="860" t="str">
        <f>IFERROR(VLOOKUP($C25,'SINAPI FEVEREIRO 2022'!$1:$1048576,2,0),IFERROR(VLOOKUP($C25,'5-COMP. PROPRIA'!$B$1:$I$647,4,0),""))</f>
        <v>TAPUME COM TELHA METÁLICA. AF_05/2018</v>
      </c>
      <c r="F25" s="861"/>
      <c r="G25" s="861"/>
      <c r="H25" s="861"/>
      <c r="I25" s="861"/>
      <c r="J25" s="862"/>
      <c r="K25" s="127">
        <f>SUM(K27:K30)</f>
        <v>430.75200000000007</v>
      </c>
      <c r="L25" s="39" t="str">
        <f>IFERROR(VLOOKUP($C25,'SINAPI FEVEREIRO 2022'!$1:$1048576,3,0),IFERROR(VLOOKUP($C25,'5-COMP. PROPRIA'!$B$1:$I$647,5,0),""))</f>
        <v>M2</v>
      </c>
      <c r="M25" s="67"/>
      <c r="N25" s="478"/>
      <c r="O25" s="71"/>
      <c r="P25" s="91"/>
    </row>
    <row r="26" spans="2:16" ht="17.25" customHeight="1">
      <c r="B26" s="472"/>
      <c r="C26" s="274"/>
      <c r="D26" s="161"/>
      <c r="E26" s="262" t="s">
        <v>600</v>
      </c>
      <c r="F26" s="427" t="s">
        <v>621</v>
      </c>
      <c r="G26" s="427"/>
      <c r="H26" s="418"/>
      <c r="I26" s="428"/>
      <c r="J26" s="66"/>
      <c r="K26" s="126"/>
      <c r="L26" s="149"/>
      <c r="M26" s="67"/>
      <c r="N26" s="478"/>
      <c r="O26" s="71"/>
    </row>
    <row r="27" spans="2:16" ht="17.25" customHeight="1">
      <c r="B27" s="434" t="s">
        <v>5459</v>
      </c>
      <c r="C27" s="274"/>
      <c r="D27" s="161"/>
      <c r="E27" s="241">
        <v>62.47</v>
      </c>
      <c r="F27" s="99">
        <v>2.1</v>
      </c>
      <c r="G27" s="41"/>
      <c r="H27" s="41"/>
      <c r="I27" s="428"/>
      <c r="J27" s="66"/>
      <c r="K27" s="126">
        <f>E27*F27</f>
        <v>131.18700000000001</v>
      </c>
      <c r="L27" s="149"/>
      <c r="M27" s="67"/>
      <c r="N27" s="478"/>
      <c r="O27" s="71"/>
    </row>
    <row r="28" spans="2:16" ht="17.25" customHeight="1">
      <c r="B28" s="434" t="s">
        <v>5460</v>
      </c>
      <c r="C28" s="274"/>
      <c r="D28" s="161"/>
      <c r="E28" s="241">
        <v>40.090000000000003</v>
      </c>
      <c r="F28" s="99">
        <v>2.1</v>
      </c>
      <c r="G28" s="41"/>
      <c r="H28" s="428"/>
      <c r="I28" s="428"/>
      <c r="J28" s="66"/>
      <c r="K28" s="126">
        <f>E28*F28</f>
        <v>84.189000000000007</v>
      </c>
      <c r="L28" s="149"/>
      <c r="M28" s="67"/>
      <c r="N28" s="478"/>
      <c r="O28" s="71"/>
    </row>
    <row r="29" spans="2:16" s="353" customFormat="1" ht="17.25" customHeight="1">
      <c r="B29" s="626" t="s">
        <v>7403</v>
      </c>
      <c r="C29" s="274"/>
      <c r="D29" s="161"/>
      <c r="E29" s="241">
        <v>62.47</v>
      </c>
      <c r="F29" s="99">
        <v>2.1</v>
      </c>
      <c r="G29" s="41"/>
      <c r="H29" s="428"/>
      <c r="I29" s="428"/>
      <c r="J29" s="66"/>
      <c r="K29" s="126">
        <f t="shared" ref="K29:K30" si="0">E29*F29</f>
        <v>131.18700000000001</v>
      </c>
      <c r="L29" s="149"/>
      <c r="M29" s="67"/>
      <c r="N29" s="478"/>
      <c r="O29" s="71"/>
    </row>
    <row r="30" spans="2:16" s="353" customFormat="1" ht="17.25" customHeight="1">
      <c r="B30" s="626" t="s">
        <v>7404</v>
      </c>
      <c r="C30" s="274"/>
      <c r="D30" s="161"/>
      <c r="E30" s="241">
        <v>40.090000000000003</v>
      </c>
      <c r="F30" s="99">
        <v>2.1</v>
      </c>
      <c r="G30" s="41"/>
      <c r="H30" s="428"/>
      <c r="I30" s="428"/>
      <c r="J30" s="66"/>
      <c r="K30" s="126">
        <f t="shared" si="0"/>
        <v>84.189000000000007</v>
      </c>
      <c r="L30" s="149"/>
      <c r="M30" s="67"/>
      <c r="N30" s="478"/>
      <c r="O30" s="71"/>
    </row>
    <row r="31" spans="2:16" ht="17.25" customHeight="1">
      <c r="B31" s="434"/>
      <c r="C31" s="274"/>
      <c r="D31" s="161"/>
      <c r="E31" s="148"/>
      <c r="F31" s="39"/>
      <c r="G31" s="39"/>
      <c r="H31" s="39"/>
      <c r="I31" s="39"/>
      <c r="J31" s="77"/>
      <c r="K31" s="129"/>
      <c r="L31" s="149"/>
      <c r="M31" s="61"/>
      <c r="N31" s="442"/>
    </row>
    <row r="32" spans="2:16" s="353" customFormat="1" ht="28.5" customHeight="1">
      <c r="B32" s="744"/>
      <c r="C32" s="275" t="str">
        <f>'5-COMP. PROPRIA'!B21</f>
        <v>CP-IP-02</v>
      </c>
      <c r="D32" s="161" t="s">
        <v>641</v>
      </c>
      <c r="E32" s="833" t="str">
        <f>IFERROR(VLOOKUP($C32,'SINAPI FEVEREIRO 2022'!$1:$1048576,2,0),IFERROR(VLOOKUP($C32,'5-COMP. PROPRIA'!$B$1:$I$647,4,0),""))</f>
        <v>LOCACAO DE CONTAINER 2,30  X  6,00 M, ALT. 2,50 M, COM 1 SANITARIO, PARA ESCRITORIO, COMPLETO, SEM DIVISORIAS INTERNAS</v>
      </c>
      <c r="F32" s="834"/>
      <c r="G32" s="834"/>
      <c r="H32" s="834"/>
      <c r="I32" s="834"/>
      <c r="J32" s="835"/>
      <c r="K32" s="128">
        <v>6</v>
      </c>
      <c r="L32" s="39" t="str">
        <f>IFERROR(VLOOKUP($C32,'SINAPI FEVEREIRO 2022'!$1:$1048576,3,0),IFERROR(VLOOKUP($C32,'5-COMP. PROPRIA'!$B$1:$I$647,5,0),""))</f>
        <v>MÊS</v>
      </c>
      <c r="M32" s="61"/>
      <c r="N32" s="652"/>
    </row>
    <row r="33" spans="2:16" s="353" customFormat="1" ht="17.25" customHeight="1" thickBot="1">
      <c r="B33" s="744"/>
      <c r="C33" s="274"/>
      <c r="D33" s="161"/>
      <c r="E33" s="148"/>
      <c r="F33" s="39"/>
      <c r="G33" s="39"/>
      <c r="H33" s="39"/>
      <c r="I33" s="39"/>
      <c r="J33" s="77"/>
      <c r="K33" s="129"/>
      <c r="L33" s="149"/>
      <c r="M33" s="61"/>
      <c r="N33" s="652"/>
    </row>
    <row r="34" spans="2:16" ht="17.25" customHeight="1" thickBot="1">
      <c r="B34" s="254"/>
      <c r="C34" s="274"/>
      <c r="D34" s="170"/>
      <c r="E34" s="836" t="s">
        <v>652</v>
      </c>
      <c r="F34" s="837"/>
      <c r="G34" s="837"/>
      <c r="H34" s="837"/>
      <c r="I34" s="837"/>
      <c r="J34" s="838"/>
      <c r="K34" s="125"/>
      <c r="L34" s="149"/>
      <c r="M34" s="61"/>
      <c r="N34" s="70"/>
    </row>
    <row r="35" spans="2:16" ht="17.25" customHeight="1">
      <c r="B35" s="434"/>
      <c r="C35" s="274"/>
      <c r="D35" s="161"/>
      <c r="E35" s="55"/>
      <c r="F35" s="44"/>
      <c r="G35" s="44"/>
      <c r="H35" s="44"/>
      <c r="I35" s="44"/>
      <c r="J35" s="56"/>
      <c r="K35" s="126"/>
      <c r="L35" s="149"/>
      <c r="M35" s="67"/>
      <c r="N35" s="478"/>
    </row>
    <row r="36" spans="2:16" ht="32.25" customHeight="1">
      <c r="B36" s="434"/>
      <c r="C36" s="275">
        <v>97647</v>
      </c>
      <c r="D36" s="161" t="s">
        <v>6</v>
      </c>
      <c r="E36" s="833" t="str">
        <f>IFERROR(VLOOKUP($C36,'SINAPI FEVEREIRO 2022'!$1:$1048576,2,0),IFERROR(VLOOKUP($C36,'5-COMP. PROPRIA'!$B$1:$I$647,4,0),""))</f>
        <v>REMOÇÃO DE TELHAS, DE FIBROCIMENTO, METÁLICA E CERÂMICA, DE FORMA MANUAL, SEM REAPROVEITAMENTO. AF_12/2017</v>
      </c>
      <c r="F36" s="834"/>
      <c r="G36" s="834"/>
      <c r="H36" s="834"/>
      <c r="I36" s="834"/>
      <c r="J36" s="835"/>
      <c r="K36" s="127">
        <f>SUM(K39:K41)</f>
        <v>1221.5991599999998</v>
      </c>
      <c r="L36" s="39" t="str">
        <f>IFERROR(VLOOKUP($C36,'SINAPI FEVEREIRO 2022'!$1:$1048576,3,0),IFERROR(VLOOKUP($C36,'5-COMP. PROPRIA'!$B$1:$I$647,5,0),""))</f>
        <v>M2</v>
      </c>
      <c r="M36" s="37">
        <f>K36*0.1</f>
        <v>122.15991599999998</v>
      </c>
      <c r="N36" s="432" t="s">
        <v>22</v>
      </c>
      <c r="P36" s="724"/>
    </row>
    <row r="37" spans="2:16" ht="17.25" customHeight="1">
      <c r="B37" s="434"/>
      <c r="C37" s="274"/>
      <c r="D37" s="161"/>
      <c r="E37" s="54"/>
      <c r="F37" s="418"/>
      <c r="G37" s="418"/>
      <c r="H37" s="418"/>
      <c r="I37" s="428"/>
      <c r="J37" s="66"/>
      <c r="K37" s="129"/>
      <c r="L37" s="149"/>
      <c r="M37" s="75"/>
      <c r="N37" s="442"/>
    </row>
    <row r="38" spans="2:16" ht="17.25" customHeight="1">
      <c r="B38" s="434"/>
      <c r="C38" s="274"/>
      <c r="D38" s="161"/>
      <c r="E38" s="262" t="s">
        <v>7293</v>
      </c>
      <c r="F38" s="427"/>
      <c r="G38" s="419" t="s">
        <v>5523</v>
      </c>
      <c r="H38" s="428"/>
      <c r="I38" s="428"/>
      <c r="J38" s="66"/>
      <c r="K38" s="129"/>
      <c r="L38" s="149"/>
      <c r="M38" s="75"/>
      <c r="N38" s="442"/>
    </row>
    <row r="39" spans="2:16" ht="17.25" customHeight="1">
      <c r="B39" s="434" t="s">
        <v>7346</v>
      </c>
      <c r="C39" s="274"/>
      <c r="D39" s="321"/>
      <c r="E39" s="577">
        <v>234.17</v>
      </c>
      <c r="F39" s="431"/>
      <c r="G39" s="577">
        <v>1.044</v>
      </c>
      <c r="H39" s="428"/>
      <c r="I39" s="428"/>
      <c r="J39" s="66"/>
      <c r="K39" s="126">
        <f>E39*G39</f>
        <v>244.47348</v>
      </c>
      <c r="L39" s="149"/>
      <c r="M39" s="75"/>
      <c r="N39" s="442"/>
    </row>
    <row r="40" spans="2:16" ht="17.25" customHeight="1">
      <c r="B40" s="434" t="s">
        <v>7347</v>
      </c>
      <c r="C40" s="274"/>
      <c r="D40" s="321"/>
      <c r="E40" s="577">
        <v>164.52</v>
      </c>
      <c r="F40" s="431"/>
      <c r="G40" s="577">
        <v>1.044</v>
      </c>
      <c r="H40" s="428"/>
      <c r="I40" s="428"/>
      <c r="J40" s="66"/>
      <c r="K40" s="126">
        <f t="shared" ref="K40:K41" si="1">E40*G40</f>
        <v>171.75888</v>
      </c>
      <c r="L40" s="149"/>
      <c r="M40" s="75"/>
      <c r="N40" s="442"/>
    </row>
    <row r="41" spans="2:16" ht="14.25">
      <c r="B41" s="434" t="s">
        <v>7348</v>
      </c>
      <c r="C41" s="274"/>
      <c r="D41" s="321"/>
      <c r="E41" s="577">
        <v>801.36</v>
      </c>
      <c r="F41" s="41"/>
      <c r="G41" s="577">
        <v>1.0049999999999999</v>
      </c>
      <c r="H41" s="41"/>
      <c r="I41" s="41"/>
      <c r="J41" s="76"/>
      <c r="K41" s="126">
        <f t="shared" si="1"/>
        <v>805.3667999999999</v>
      </c>
      <c r="L41" s="149"/>
      <c r="M41" s="61"/>
      <c r="N41" s="478"/>
    </row>
    <row r="42" spans="2:16" ht="19.5" customHeight="1">
      <c r="B42" s="434"/>
      <c r="C42" s="274"/>
      <c r="D42" s="161"/>
      <c r="E42" s="73"/>
      <c r="F42" s="39"/>
      <c r="G42" s="39"/>
      <c r="H42" s="39"/>
      <c r="I42" s="39"/>
      <c r="J42" s="77"/>
      <c r="K42" s="129"/>
      <c r="L42" s="149"/>
      <c r="M42" s="61"/>
      <c r="N42" s="478"/>
    </row>
    <row r="43" spans="2:16" ht="32.25" customHeight="1">
      <c r="B43" s="434"/>
      <c r="C43" s="275">
        <v>97652</v>
      </c>
      <c r="D43" s="161" t="s">
        <v>6</v>
      </c>
      <c r="E43" s="833" t="str">
        <f>IFERROR(VLOOKUP($C43,'SINAPI FEVEREIRO 2022'!$1:$1048576,2,0),IFERROR(VLOOKUP($C43,'5-COMP. PROPRIA'!$B$1:$I$647,4,0),""))</f>
        <v>REMOÇÃO DE TESOURAS DE MADEIRA, COM VÃO MAIOR OU IGUAL A 8M, DE FORMA MANUAL, SEM REAPROVEITAMENTO. AF_12/2017</v>
      </c>
      <c r="F43" s="834"/>
      <c r="G43" s="834"/>
      <c r="H43" s="834"/>
      <c r="I43" s="834"/>
      <c r="J43" s="835"/>
      <c r="K43" s="127">
        <f>SUM(K46:K46)</f>
        <v>38</v>
      </c>
      <c r="L43" s="39" t="str">
        <f>IFERROR(VLOOKUP($C43,'SINAPI FEVEREIRO 2022'!$1:$1048576,3,0),IFERROR(VLOOKUP($C43,'5-COMP. PROPRIA'!$B$1:$I$647,5,0),""))</f>
        <v>UN</v>
      </c>
      <c r="M43" s="37">
        <f>K43*0.1</f>
        <v>3.8000000000000003</v>
      </c>
      <c r="N43" s="432" t="s">
        <v>22</v>
      </c>
      <c r="P43" s="91"/>
    </row>
    <row r="44" spans="2:16" ht="17.25" customHeight="1">
      <c r="B44" s="434"/>
      <c r="C44" s="274"/>
      <c r="D44" s="161"/>
      <c r="E44" s="54"/>
      <c r="F44" s="418"/>
      <c r="G44" s="418"/>
      <c r="H44" s="418"/>
      <c r="I44" s="428"/>
      <c r="J44" s="66"/>
      <c r="K44" s="129"/>
      <c r="L44" s="149"/>
      <c r="M44" s="75"/>
      <c r="N44" s="442"/>
    </row>
    <row r="45" spans="2:16" ht="17.25" customHeight="1">
      <c r="B45" s="434"/>
      <c r="C45" s="274"/>
      <c r="D45" s="161"/>
      <c r="E45" s="54" t="s">
        <v>614</v>
      </c>
      <c r="F45" s="418"/>
      <c r="G45" s="418"/>
      <c r="H45" s="418"/>
      <c r="I45" s="428"/>
      <c r="J45" s="66"/>
      <c r="K45" s="129"/>
      <c r="L45" s="149"/>
      <c r="M45" s="75"/>
      <c r="N45" s="442"/>
    </row>
    <row r="46" spans="2:16" ht="17.25" customHeight="1">
      <c r="B46" s="254"/>
      <c r="C46" s="274"/>
      <c r="D46" s="161"/>
      <c r="E46" s="242">
        <v>38</v>
      </c>
      <c r="F46" s="41"/>
      <c r="G46" s="418"/>
      <c r="H46" s="41"/>
      <c r="I46" s="41"/>
      <c r="J46" s="76"/>
      <c r="K46" s="130">
        <f>E46</f>
        <v>38</v>
      </c>
      <c r="L46" s="149"/>
      <c r="M46" s="75"/>
      <c r="N46" s="478"/>
    </row>
    <row r="47" spans="2:16" ht="17.25" customHeight="1">
      <c r="B47" s="254"/>
      <c r="C47" s="274"/>
      <c r="D47" s="161"/>
      <c r="E47" s="148"/>
      <c r="F47" s="39"/>
      <c r="G47" s="39"/>
      <c r="H47" s="39"/>
      <c r="I47" s="39"/>
      <c r="J47" s="77"/>
      <c r="K47" s="129"/>
      <c r="L47" s="149"/>
      <c r="M47" s="61"/>
      <c r="N47" s="442"/>
    </row>
    <row r="48" spans="2:16" ht="15">
      <c r="B48" s="434"/>
      <c r="C48" s="275">
        <v>97650</v>
      </c>
      <c r="D48" s="161" t="s">
        <v>6</v>
      </c>
      <c r="E48" s="833" t="str">
        <f>IFERROR(VLOOKUP($C48,'SINAPI FEVEREIRO 2022'!$1:$1048576,2,0),IFERROR(VLOOKUP($C48,'5-COMP. PROPRIA'!$B$1:$I$647,4,0),""))</f>
        <v>REMOÇÃO DE TRAMA DE MADEIRA PARA COBERTURA, DE FORMA MANUAL, SEM REAPROVEITAMENTO. AF_12/2017</v>
      </c>
      <c r="F48" s="834"/>
      <c r="G48" s="834"/>
      <c r="H48" s="834"/>
      <c r="I48" s="834"/>
      <c r="J48" s="835"/>
      <c r="K48" s="127">
        <f>SUM(K50:K52)</f>
        <v>1252.8522</v>
      </c>
      <c r="L48" s="39" t="str">
        <f>IFERROR(VLOOKUP($C48,'SINAPI FEVEREIRO 2022'!$1:$1048576,3,0),IFERROR(VLOOKUP($C48,'5-COMP. PROPRIA'!$B$1:$I$647,5,0),""))</f>
        <v>M2</v>
      </c>
      <c r="M48" s="37">
        <f>K48*0.1</f>
        <v>125.28522000000001</v>
      </c>
      <c r="N48" s="432" t="s">
        <v>22</v>
      </c>
      <c r="P48" s="724"/>
    </row>
    <row r="49" spans="2:16" ht="25.5" customHeight="1">
      <c r="B49" s="434"/>
      <c r="C49" s="274"/>
      <c r="D49" s="161"/>
      <c r="E49" s="262" t="s">
        <v>7293</v>
      </c>
      <c r="F49" s="576"/>
      <c r="G49" s="572" t="s">
        <v>5523</v>
      </c>
      <c r="H49" s="418"/>
      <c r="I49" s="428"/>
      <c r="J49" s="66"/>
      <c r="K49" s="129"/>
      <c r="L49" s="149"/>
      <c r="M49" s="75"/>
      <c r="N49" s="442"/>
    </row>
    <row r="50" spans="2:16" ht="14.25">
      <c r="B50" s="570" t="s">
        <v>7346</v>
      </c>
      <c r="C50" s="274"/>
      <c r="D50" s="321"/>
      <c r="E50" s="577">
        <v>234.17</v>
      </c>
      <c r="F50" s="431"/>
      <c r="G50" s="577">
        <v>1.044</v>
      </c>
      <c r="H50" s="41"/>
      <c r="I50" s="41"/>
      <c r="J50" s="76"/>
      <c r="K50" s="126">
        <f>E50*G50</f>
        <v>244.47348</v>
      </c>
      <c r="L50" s="149"/>
      <c r="M50" s="61"/>
      <c r="N50" s="442"/>
    </row>
    <row r="51" spans="2:16" ht="14.25">
      <c r="B51" s="570" t="s">
        <v>7347</v>
      </c>
      <c r="C51" s="274"/>
      <c r="D51" s="321"/>
      <c r="E51" s="577">
        <v>164.52</v>
      </c>
      <c r="F51" s="431"/>
      <c r="G51" s="577">
        <v>1.044</v>
      </c>
      <c r="H51" s="428"/>
      <c r="I51" s="428"/>
      <c r="J51" s="66"/>
      <c r="K51" s="126">
        <f t="shared" ref="K51" si="2">E51*G51</f>
        <v>171.75888</v>
      </c>
      <c r="L51" s="149"/>
      <c r="M51" s="61"/>
      <c r="N51" s="442"/>
    </row>
    <row r="52" spans="2:16" ht="14.25">
      <c r="B52" s="570" t="s">
        <v>7348</v>
      </c>
      <c r="C52" s="274"/>
      <c r="D52" s="321"/>
      <c r="E52" s="577">
        <v>801.36</v>
      </c>
      <c r="F52" s="41"/>
      <c r="G52" s="577">
        <v>1.044</v>
      </c>
      <c r="H52" s="428"/>
      <c r="I52" s="428"/>
      <c r="J52" s="66"/>
      <c r="K52" s="126">
        <f>E52*G52</f>
        <v>836.61984000000007</v>
      </c>
      <c r="L52" s="149"/>
      <c r="M52" s="61"/>
      <c r="N52" s="442"/>
    </row>
    <row r="53" spans="2:16" ht="17.25" customHeight="1">
      <c r="B53" s="434"/>
      <c r="C53" s="274"/>
      <c r="D53" s="161"/>
      <c r="E53" s="81"/>
      <c r="F53" s="41"/>
      <c r="G53" s="41"/>
      <c r="H53" s="41"/>
      <c r="I53" s="428"/>
      <c r="J53" s="66"/>
      <c r="K53" s="130"/>
      <c r="L53" s="149"/>
      <c r="M53" s="61"/>
      <c r="N53" s="442"/>
    </row>
    <row r="54" spans="2:16" ht="30" customHeight="1">
      <c r="B54" s="434" t="s">
        <v>7070</v>
      </c>
      <c r="C54" s="275">
        <v>97640</v>
      </c>
      <c r="D54" s="161" t="s">
        <v>6</v>
      </c>
      <c r="E54" s="833" t="str">
        <f>IFERROR(VLOOKUP($C54,'SINAPI FEVEREIRO 2022'!$1:$1048576,2,0),IFERROR(VLOOKUP($C54,'5-COMP. PROPRIA'!$B$1:$I$647,4,0),""))</f>
        <v>REMOÇÃO DE FORROS DE DRYWALL, PVC E FIBROMINERAL, DE FORMA MANUAL, SEM REAPROVEITAMENTO. AF_12/2017</v>
      </c>
      <c r="F54" s="834"/>
      <c r="G54" s="834"/>
      <c r="H54" s="834"/>
      <c r="I54" s="834"/>
      <c r="J54" s="835"/>
      <c r="K54" s="127">
        <f>SUM(K56:K69)</f>
        <v>574.82339999999999</v>
      </c>
      <c r="L54" s="39" t="str">
        <f>IFERROR(VLOOKUP($C54,'SINAPI FEVEREIRO 2022'!$1:$1048576,3,0),IFERROR(VLOOKUP($C54,'5-COMP. PROPRIA'!$B$1:$I$647,5,0),""))</f>
        <v>M2</v>
      </c>
      <c r="M54" s="75">
        <f>K54*0.01</f>
        <v>5.7482340000000001</v>
      </c>
      <c r="N54" s="432" t="s">
        <v>22</v>
      </c>
      <c r="P54" s="724"/>
    </row>
    <row r="55" spans="2:16" ht="17.25" customHeight="1">
      <c r="B55" s="434"/>
      <c r="C55" s="274"/>
      <c r="D55" s="161"/>
      <c r="E55" s="262" t="s">
        <v>600</v>
      </c>
      <c r="F55" s="427" t="s">
        <v>599</v>
      </c>
      <c r="G55" s="418"/>
      <c r="H55" s="418"/>
      <c r="I55" s="428"/>
      <c r="J55" s="66"/>
      <c r="K55" s="129"/>
      <c r="L55" s="149"/>
      <c r="M55" s="75"/>
      <c r="N55" s="442"/>
    </row>
    <row r="56" spans="2:16" ht="17.25" customHeight="1">
      <c r="B56" s="434" t="s">
        <v>5461</v>
      </c>
      <c r="C56" s="274"/>
      <c r="D56" s="161"/>
      <c r="E56" s="242">
        <v>8</v>
      </c>
      <c r="F56" s="99">
        <v>6</v>
      </c>
      <c r="G56" s="41"/>
      <c r="H56" s="41"/>
      <c r="I56" s="41"/>
      <c r="J56" s="76"/>
      <c r="K56" s="130">
        <f>E56*F56</f>
        <v>48</v>
      </c>
      <c r="L56" s="149"/>
      <c r="M56" s="61"/>
      <c r="N56" s="442"/>
    </row>
    <row r="57" spans="2:16" ht="17.25" customHeight="1">
      <c r="B57" s="434" t="s">
        <v>5462</v>
      </c>
      <c r="C57" s="274"/>
      <c r="D57" s="161"/>
      <c r="E57" s="242">
        <v>8</v>
      </c>
      <c r="F57" s="99">
        <v>6</v>
      </c>
      <c r="G57" s="41"/>
      <c r="H57" s="41"/>
      <c r="I57" s="41"/>
      <c r="J57" s="76"/>
      <c r="K57" s="130">
        <f t="shared" ref="K57:K68" si="3">E57*F57</f>
        <v>48</v>
      </c>
      <c r="L57" s="149"/>
      <c r="M57" s="61"/>
      <c r="N57" s="442"/>
    </row>
    <row r="58" spans="2:16" ht="17.25" customHeight="1">
      <c r="B58" s="434" t="s">
        <v>5463</v>
      </c>
      <c r="C58" s="274"/>
      <c r="D58" s="161"/>
      <c r="E58" s="242">
        <v>8</v>
      </c>
      <c r="F58" s="99">
        <v>6</v>
      </c>
      <c r="G58" s="41"/>
      <c r="H58" s="41"/>
      <c r="I58" s="41"/>
      <c r="J58" s="76"/>
      <c r="K58" s="130">
        <f>E58*F58</f>
        <v>48</v>
      </c>
      <c r="L58" s="149"/>
      <c r="M58" s="61"/>
      <c r="N58" s="442"/>
    </row>
    <row r="59" spans="2:16" ht="17.25" customHeight="1">
      <c r="B59" s="434" t="s">
        <v>5464</v>
      </c>
      <c r="C59" s="274"/>
      <c r="D59" s="161"/>
      <c r="E59" s="242">
        <v>33.79</v>
      </c>
      <c r="F59" s="99">
        <f>2.03</f>
        <v>2.0299999999999998</v>
      </c>
      <c r="G59" s="41"/>
      <c r="H59" s="41"/>
      <c r="I59" s="41"/>
      <c r="J59" s="76"/>
      <c r="K59" s="130">
        <f>E59*F59</f>
        <v>68.593699999999998</v>
      </c>
      <c r="L59" s="149"/>
      <c r="M59" s="61"/>
      <c r="N59" s="442"/>
    </row>
    <row r="60" spans="2:16" ht="17.25" customHeight="1">
      <c r="B60" s="434" t="s">
        <v>5465</v>
      </c>
      <c r="C60" s="274"/>
      <c r="D60" s="161"/>
      <c r="E60" s="242">
        <v>48.02</v>
      </c>
      <c r="F60" s="99">
        <v>2.2000000000000002</v>
      </c>
      <c r="G60" s="41"/>
      <c r="H60" s="41"/>
      <c r="I60" s="41"/>
      <c r="J60" s="76"/>
      <c r="K60" s="130">
        <f t="shared" si="3"/>
        <v>105.64400000000002</v>
      </c>
      <c r="L60" s="149"/>
      <c r="M60" s="61"/>
      <c r="N60" s="442"/>
    </row>
    <row r="61" spans="2:16" ht="17.25" customHeight="1">
      <c r="B61" s="434" t="s">
        <v>5466</v>
      </c>
      <c r="C61" s="274"/>
      <c r="D61" s="161"/>
      <c r="E61" s="242">
        <v>6.52</v>
      </c>
      <c r="F61" s="99">
        <v>2.84</v>
      </c>
      <c r="G61" s="41"/>
      <c r="H61" s="41"/>
      <c r="I61" s="41"/>
      <c r="J61" s="76"/>
      <c r="K61" s="130">
        <f t="shared" si="3"/>
        <v>18.516799999999996</v>
      </c>
      <c r="L61" s="149"/>
      <c r="M61" s="61"/>
      <c r="N61" s="442"/>
    </row>
    <row r="62" spans="2:16" ht="17.25" customHeight="1">
      <c r="B62" s="434" t="s">
        <v>7068</v>
      </c>
      <c r="C62" s="274"/>
      <c r="D62" s="161"/>
      <c r="E62" s="242">
        <v>4.32</v>
      </c>
      <c r="F62" s="99">
        <v>1.8</v>
      </c>
      <c r="G62" s="428"/>
      <c r="H62" s="428"/>
      <c r="I62" s="428"/>
      <c r="J62" s="66"/>
      <c r="K62" s="130">
        <f t="shared" si="3"/>
        <v>7.7760000000000007</v>
      </c>
      <c r="L62" s="149"/>
      <c r="M62" s="61"/>
      <c r="N62" s="442"/>
    </row>
    <row r="63" spans="2:16" s="353" customFormat="1" ht="17.25" customHeight="1">
      <c r="B63" s="465" t="s">
        <v>7069</v>
      </c>
      <c r="C63" s="274"/>
      <c r="D63" s="161"/>
      <c r="E63" s="242">
        <v>1.3</v>
      </c>
      <c r="F63" s="99">
        <v>1.8</v>
      </c>
      <c r="G63" s="428"/>
      <c r="H63" s="428"/>
      <c r="I63" s="428"/>
      <c r="J63" s="66"/>
      <c r="K63" s="130">
        <f t="shared" si="3"/>
        <v>2.3400000000000003</v>
      </c>
      <c r="L63" s="149"/>
      <c r="M63" s="61"/>
      <c r="N63" s="467"/>
    </row>
    <row r="64" spans="2:16" s="353" customFormat="1" ht="17.25" customHeight="1">
      <c r="B64" s="465" t="s">
        <v>7071</v>
      </c>
      <c r="C64" s="274"/>
      <c r="D64" s="161"/>
      <c r="E64" s="242">
        <v>6</v>
      </c>
      <c r="F64" s="99">
        <v>5.0999999999999996</v>
      </c>
      <c r="G64" s="428"/>
      <c r="H64" s="428"/>
      <c r="I64" s="428"/>
      <c r="J64" s="66"/>
      <c r="K64" s="130">
        <f t="shared" si="3"/>
        <v>30.599999999999998</v>
      </c>
      <c r="L64" s="149"/>
      <c r="M64" s="61"/>
      <c r="N64" s="467"/>
    </row>
    <row r="65" spans="2:16" s="353" customFormat="1" ht="31.5" customHeight="1">
      <c r="B65" s="465" t="s">
        <v>7072</v>
      </c>
      <c r="C65" s="274"/>
      <c r="D65" s="161"/>
      <c r="E65" s="242">
        <v>22.23</v>
      </c>
      <c r="F65" s="99">
        <v>2.48</v>
      </c>
      <c r="G65" s="428"/>
      <c r="H65" s="428"/>
      <c r="I65" s="428"/>
      <c r="J65" s="66"/>
      <c r="K65" s="130">
        <f t="shared" si="3"/>
        <v>55.130400000000002</v>
      </c>
      <c r="L65" s="149"/>
      <c r="M65" s="61"/>
      <c r="N65" s="467"/>
    </row>
    <row r="66" spans="2:16" s="353" customFormat="1" ht="17.25" customHeight="1">
      <c r="B66" s="465" t="s">
        <v>7073</v>
      </c>
      <c r="C66" s="274"/>
      <c r="D66" s="161"/>
      <c r="E66" s="242">
        <v>2.11</v>
      </c>
      <c r="F66" s="99">
        <v>0.9</v>
      </c>
      <c r="G66" s="428"/>
      <c r="H66" s="428"/>
      <c r="I66" s="428"/>
      <c r="J66" s="66"/>
      <c r="K66" s="130">
        <f t="shared" si="3"/>
        <v>1.899</v>
      </c>
      <c r="L66" s="149"/>
      <c r="M66" s="61"/>
      <c r="N66" s="467"/>
    </row>
    <row r="67" spans="2:16" s="353" customFormat="1" ht="17.25" customHeight="1">
      <c r="B67" s="465" t="s">
        <v>7074</v>
      </c>
      <c r="C67" s="274"/>
      <c r="D67" s="161"/>
      <c r="E67" s="242">
        <v>1.89</v>
      </c>
      <c r="F67" s="99">
        <v>0.9</v>
      </c>
      <c r="G67" s="428"/>
      <c r="H67" s="428"/>
      <c r="I67" s="428"/>
      <c r="J67" s="66"/>
      <c r="K67" s="130">
        <f t="shared" si="3"/>
        <v>1.7009999999999998</v>
      </c>
      <c r="L67" s="149"/>
      <c r="M67" s="61"/>
      <c r="N67" s="467"/>
    </row>
    <row r="68" spans="2:16" s="353" customFormat="1" ht="17.25" customHeight="1">
      <c r="B68" s="465" t="s">
        <v>7075</v>
      </c>
      <c r="C68" s="274"/>
      <c r="D68" s="161"/>
      <c r="E68" s="242">
        <v>1.85</v>
      </c>
      <c r="F68" s="99">
        <v>1.05</v>
      </c>
      <c r="G68" s="428"/>
      <c r="H68" s="428"/>
      <c r="I68" s="428"/>
      <c r="J68" s="66"/>
      <c r="K68" s="130">
        <f t="shared" si="3"/>
        <v>1.9425000000000001</v>
      </c>
      <c r="L68" s="149"/>
      <c r="M68" s="61"/>
      <c r="N68" s="467"/>
    </row>
    <row r="69" spans="2:16" s="353" customFormat="1" ht="17.25" customHeight="1">
      <c r="B69" s="465" t="s">
        <v>7076</v>
      </c>
      <c r="C69" s="274"/>
      <c r="D69" s="161"/>
      <c r="E69" s="242">
        <v>227.8</v>
      </c>
      <c r="F69" s="99">
        <v>0.6</v>
      </c>
      <c r="G69" s="428"/>
      <c r="H69" s="428"/>
      <c r="I69" s="428"/>
      <c r="J69" s="66"/>
      <c r="K69" s="130">
        <f>E69*F69</f>
        <v>136.68</v>
      </c>
      <c r="L69" s="149"/>
      <c r="M69" s="61"/>
      <c r="N69" s="467"/>
    </row>
    <row r="70" spans="2:16" s="353" customFormat="1" ht="17.25" customHeight="1">
      <c r="B70" s="465"/>
      <c r="C70" s="274"/>
      <c r="D70" s="161"/>
      <c r="E70" s="148"/>
      <c r="F70" s="428"/>
      <c r="G70" s="428"/>
      <c r="H70" s="428"/>
      <c r="I70" s="428"/>
      <c r="J70" s="66"/>
      <c r="K70" s="130"/>
      <c r="L70" s="149"/>
      <c r="M70" s="61"/>
      <c r="N70" s="467"/>
    </row>
    <row r="71" spans="2:16" s="353" customFormat="1" ht="17.25" customHeight="1">
      <c r="B71" s="465"/>
      <c r="C71" s="275" t="str">
        <f>'5-COMP. PROPRIA'!B35</f>
        <v>CP-DEM-01</v>
      </c>
      <c r="D71" s="161" t="s">
        <v>641</v>
      </c>
      <c r="E71" s="833" t="str">
        <f>IFERROR(VLOOKUP($C71,'SINAPI FEVEREIRO 2022'!$1:$1048576,2,0),IFERROR(VLOOKUP($C71,'5-COMP. PROPRIA'!$B$1:$I$647,4,0),""))</f>
        <v>REMOÇÃO DE CHAPAS E PERFIS DE DRYWALL, DE FORMA MANUAL, SEM REAPROVEITAMENTO</v>
      </c>
      <c r="F71" s="834"/>
      <c r="G71" s="834"/>
      <c r="H71" s="834"/>
      <c r="I71" s="834"/>
      <c r="J71" s="835"/>
      <c r="K71" s="127">
        <f>SUM(K73)</f>
        <v>68.34</v>
      </c>
      <c r="L71" s="39" t="str">
        <f>IFERROR(VLOOKUP($C71,'SINAPI FEVEREIRO 2022'!$1:$1048576,3,0),IFERROR(VLOOKUP($C71,'5-COMP. PROPRIA'!$B$1:$I$647,5,0),""))</f>
        <v>M2</v>
      </c>
      <c r="M71" s="75">
        <f>K71*0.02</f>
        <v>1.3668</v>
      </c>
      <c r="N71" s="432" t="s">
        <v>22</v>
      </c>
      <c r="P71" s="724"/>
    </row>
    <row r="72" spans="2:16" s="353" customFormat="1" ht="17.25" customHeight="1">
      <c r="B72" s="465"/>
      <c r="C72" s="275"/>
      <c r="D72" s="161"/>
      <c r="E72" s="262" t="s">
        <v>600</v>
      </c>
      <c r="F72" s="466" t="s">
        <v>599</v>
      </c>
      <c r="G72" s="462"/>
      <c r="H72" s="462"/>
      <c r="I72" s="462"/>
      <c r="J72" s="463"/>
      <c r="K72" s="127"/>
      <c r="L72" s="39"/>
      <c r="M72" s="75"/>
      <c r="N72" s="432"/>
      <c r="P72" s="90"/>
    </row>
    <row r="73" spans="2:16" s="353" customFormat="1" ht="17.25" customHeight="1">
      <c r="B73" s="465" t="s">
        <v>7076</v>
      </c>
      <c r="C73" s="274"/>
      <c r="D73" s="161"/>
      <c r="E73" s="242">
        <v>227.8</v>
      </c>
      <c r="F73" s="99">
        <v>0.3</v>
      </c>
      <c r="G73" s="428"/>
      <c r="H73" s="428"/>
      <c r="I73" s="428"/>
      <c r="J73" s="66"/>
      <c r="K73" s="130">
        <f>E73*F73</f>
        <v>68.34</v>
      </c>
      <c r="L73" s="149"/>
      <c r="M73" s="61"/>
      <c r="N73" s="467"/>
      <c r="P73" s="90"/>
    </row>
    <row r="74" spans="2:16" s="353" customFormat="1" ht="17.25" customHeight="1">
      <c r="B74" s="465"/>
      <c r="C74" s="274"/>
      <c r="D74" s="161"/>
      <c r="E74" s="148"/>
      <c r="F74" s="428"/>
      <c r="G74" s="428"/>
      <c r="H74" s="428"/>
      <c r="I74" s="428"/>
      <c r="J74" s="66"/>
      <c r="K74" s="130"/>
      <c r="L74" s="149"/>
      <c r="M74" s="61"/>
      <c r="N74" s="467"/>
      <c r="P74" s="90"/>
    </row>
    <row r="75" spans="2:16" ht="29.25" customHeight="1">
      <c r="B75" s="434"/>
      <c r="C75" s="275">
        <v>97641</v>
      </c>
      <c r="D75" s="161" t="s">
        <v>6</v>
      </c>
      <c r="E75" s="833" t="str">
        <f>IFERROR(VLOOKUP($C75,'SINAPI FEVEREIRO 2022'!$1:$1048576,2,0),IFERROR(VLOOKUP($C75,'5-COMP. PROPRIA'!$B$1:$I$647,4,0),""))</f>
        <v>REMOÇÃO DE FORRO DE GESSO, DE FORMA MANUAL, SEM REAPROVEITAMENTO. AF_12/2017</v>
      </c>
      <c r="F75" s="834"/>
      <c r="G75" s="834"/>
      <c r="H75" s="834"/>
      <c r="I75" s="834"/>
      <c r="J75" s="835"/>
      <c r="K75" s="127">
        <f>K77</f>
        <v>107.50600000000001</v>
      </c>
      <c r="L75" s="39" t="str">
        <f>IFERROR(VLOOKUP($C75,'SINAPI FEVEREIRO 2022'!$1:$1048576,3,0),IFERROR(VLOOKUP($C75,'5-COMP. PROPRIA'!$B$1:$I$647,5,0),""))</f>
        <v>M2</v>
      </c>
      <c r="M75" s="75">
        <f>K75*0.08</f>
        <v>8.600480000000001</v>
      </c>
      <c r="N75" s="432" t="s">
        <v>22</v>
      </c>
      <c r="P75" s="724"/>
    </row>
    <row r="76" spans="2:16" ht="17.25" customHeight="1">
      <c r="B76" s="434"/>
      <c r="C76" s="274"/>
      <c r="D76" s="161"/>
      <c r="E76" s="262" t="s">
        <v>600</v>
      </c>
      <c r="F76" s="427" t="s">
        <v>599</v>
      </c>
      <c r="G76" s="418"/>
      <c r="H76" s="418"/>
      <c r="I76" s="428"/>
      <c r="J76" s="66"/>
      <c r="K76" s="129"/>
      <c r="L76" s="149"/>
      <c r="M76" s="75"/>
      <c r="N76" s="442"/>
      <c r="P76" s="90"/>
    </row>
    <row r="77" spans="2:16" ht="32.25" customHeight="1">
      <c r="B77" s="434" t="s">
        <v>5467</v>
      </c>
      <c r="C77" s="274"/>
      <c r="D77" s="161"/>
      <c r="E77" s="242">
        <f>11.74+5+5.2</f>
        <v>21.94</v>
      </c>
      <c r="F77" s="99">
        <v>4.9000000000000004</v>
      </c>
      <c r="G77" s="41"/>
      <c r="H77" s="41"/>
      <c r="I77" s="41"/>
      <c r="J77" s="76"/>
      <c r="K77" s="130">
        <f>E77*F77</f>
        <v>107.50600000000001</v>
      </c>
      <c r="L77" s="149"/>
      <c r="M77" s="61"/>
      <c r="N77" s="442"/>
      <c r="P77" s="90"/>
    </row>
    <row r="78" spans="2:16" ht="17.25" customHeight="1">
      <c r="B78" s="434"/>
      <c r="C78" s="274"/>
      <c r="D78" s="161"/>
      <c r="E78" s="81"/>
      <c r="F78" s="41"/>
      <c r="G78" s="428"/>
      <c r="H78" s="428"/>
      <c r="I78" s="428"/>
      <c r="J78" s="66"/>
      <c r="K78" s="130"/>
      <c r="L78" s="149"/>
      <c r="M78" s="61"/>
      <c r="N78" s="442"/>
      <c r="P78" s="90"/>
    </row>
    <row r="79" spans="2:16" ht="17.25" customHeight="1">
      <c r="B79" s="434"/>
      <c r="C79" s="275">
        <v>97661</v>
      </c>
      <c r="D79" s="161" t="s">
        <v>6</v>
      </c>
      <c r="E79" s="860" t="str">
        <f>IFERROR(VLOOKUP($C79,'SINAPI FEVEREIRO 2022'!$1:$1048576,2,0),IFERROR(VLOOKUP($C79,'5-COMP. PROPRIA'!$B$1:$I$647,4,0),""))</f>
        <v>REMOÇÃO DE CABOS ELÉTRICOS, DE FORMA MANUAL, SEM REAPROVEITAMENTO. AF_12/2017</v>
      </c>
      <c r="F79" s="861"/>
      <c r="G79" s="861"/>
      <c r="H79" s="861"/>
      <c r="I79" s="861"/>
      <c r="J79" s="862"/>
      <c r="K79" s="127">
        <f>K82</f>
        <v>6910.6</v>
      </c>
      <c r="L79" s="39" t="str">
        <f>IFERROR(VLOOKUP($C79,'SINAPI FEVEREIRO 2022'!$1:$1048576,3,0),IFERROR(VLOOKUP($C79,'5-COMP. PROPRIA'!$B$1:$I$647,5,0),""))</f>
        <v>M</v>
      </c>
      <c r="M79" s="75">
        <f>K79*0.0003</f>
        <v>2.0731799999999998</v>
      </c>
      <c r="N79" s="432" t="s">
        <v>22</v>
      </c>
      <c r="P79" s="724"/>
    </row>
    <row r="80" spans="2:16" ht="17.25" customHeight="1">
      <c r="B80" s="434"/>
      <c r="C80" s="275"/>
      <c r="D80" s="161"/>
      <c r="E80" s="424"/>
      <c r="F80" s="425"/>
      <c r="G80" s="425"/>
      <c r="H80" s="425"/>
      <c r="I80" s="425"/>
      <c r="J80" s="426"/>
      <c r="K80" s="127"/>
      <c r="L80" s="149"/>
      <c r="M80" s="75"/>
      <c r="N80" s="442"/>
      <c r="P80" s="90"/>
    </row>
    <row r="81" spans="2:16" ht="17.25" customHeight="1">
      <c r="B81" s="434"/>
      <c r="C81" s="274"/>
      <c r="D81" s="161"/>
      <c r="E81" s="262" t="s">
        <v>600</v>
      </c>
      <c r="F81" s="427"/>
      <c r="G81" s="418"/>
      <c r="H81" s="418"/>
      <c r="I81" s="428"/>
      <c r="J81" s="66"/>
      <c r="K81" s="129"/>
      <c r="L81" s="149"/>
      <c r="M81" s="75"/>
      <c r="N81" s="442"/>
      <c r="P81" s="90"/>
    </row>
    <row r="82" spans="2:16" ht="17.25" customHeight="1">
      <c r="B82" s="434"/>
      <c r="C82" s="274"/>
      <c r="D82" s="161"/>
      <c r="E82" s="242">
        <v>6910.6</v>
      </c>
      <c r="F82" s="41"/>
      <c r="G82" s="41"/>
      <c r="H82" s="41"/>
      <c r="I82" s="41"/>
      <c r="J82" s="76"/>
      <c r="K82" s="130">
        <f>E82</f>
        <v>6910.6</v>
      </c>
      <c r="L82" s="149"/>
      <c r="M82" s="61"/>
      <c r="N82" s="442"/>
      <c r="P82" s="90"/>
    </row>
    <row r="83" spans="2:16" ht="17.25" customHeight="1">
      <c r="B83" s="434"/>
      <c r="C83" s="274"/>
      <c r="D83" s="161"/>
      <c r="E83" s="148"/>
      <c r="F83" s="428"/>
      <c r="G83" s="428"/>
      <c r="H83" s="428"/>
      <c r="I83" s="428"/>
      <c r="J83" s="66"/>
      <c r="K83" s="130"/>
      <c r="L83" s="149"/>
      <c r="M83" s="61"/>
      <c r="N83" s="442"/>
      <c r="P83" s="90"/>
    </row>
    <row r="84" spans="2:16" ht="24" customHeight="1">
      <c r="B84" s="434"/>
      <c r="C84" s="275">
        <v>97665</v>
      </c>
      <c r="D84" s="161" t="s">
        <v>6</v>
      </c>
      <c r="E84" s="860" t="str">
        <f>IFERROR(VLOOKUP($C84,'SINAPI FEVEREIRO 2022'!$1:$1048576,2,0),IFERROR(VLOOKUP($C84,'5-COMP. PROPRIA'!$B$1:$I$647,4,0),""))</f>
        <v>REMOÇÃO DE LUMINÁRIAS, DE FORMA MANUAL, SEM REAPROVEITAMENTO. AF_12/2017</v>
      </c>
      <c r="F84" s="861"/>
      <c r="G84" s="861"/>
      <c r="H84" s="861"/>
      <c r="I84" s="861"/>
      <c r="J84" s="862"/>
      <c r="K84" s="127">
        <f>SUM(K86:K86)</f>
        <v>100</v>
      </c>
      <c r="L84" s="39" t="str">
        <f>IFERROR(VLOOKUP($C84,'SINAPI FEVEREIRO 2022'!$1:$1048576,3,0),IFERROR(VLOOKUP($C84,'5-COMP. PROPRIA'!$B$1:$I$647,5,0),""))</f>
        <v>UN</v>
      </c>
      <c r="M84" s="75">
        <f>K84*(0.01*0.07)</f>
        <v>7.0000000000000007E-2</v>
      </c>
      <c r="N84" s="432" t="s">
        <v>22</v>
      </c>
      <c r="P84" s="724"/>
    </row>
    <row r="85" spans="2:16" ht="17.25" customHeight="1">
      <c r="B85" s="434"/>
      <c r="C85" s="274"/>
      <c r="D85" s="161"/>
      <c r="E85" s="54" t="s">
        <v>614</v>
      </c>
      <c r="F85" s="419"/>
      <c r="G85" s="419"/>
      <c r="H85" s="428"/>
      <c r="I85" s="428"/>
      <c r="J85" s="66"/>
      <c r="K85" s="127"/>
      <c r="L85" s="149"/>
      <c r="M85" s="75"/>
      <c r="N85" s="442"/>
      <c r="P85" s="90"/>
    </row>
    <row r="86" spans="2:16" ht="17.25" customHeight="1">
      <c r="B86" s="473"/>
      <c r="C86" s="274"/>
      <c r="D86" s="161"/>
      <c r="E86" s="242">
        <v>100</v>
      </c>
      <c r="F86" s="41"/>
      <c r="G86" s="41"/>
      <c r="H86" s="428"/>
      <c r="I86" s="428"/>
      <c r="J86" s="66"/>
      <c r="K86" s="130">
        <f>E86</f>
        <v>100</v>
      </c>
      <c r="L86" s="149"/>
      <c r="M86" s="75"/>
      <c r="N86" s="442"/>
    </row>
    <row r="87" spans="2:16" ht="17.25" customHeight="1">
      <c r="B87" s="434"/>
      <c r="C87" s="274"/>
      <c r="D87" s="161"/>
      <c r="E87" s="148"/>
      <c r="F87" s="428"/>
      <c r="G87" s="428"/>
      <c r="H87" s="428"/>
      <c r="I87" s="428"/>
      <c r="J87" s="66"/>
      <c r="K87" s="130"/>
      <c r="L87" s="149"/>
      <c r="M87" s="61"/>
      <c r="N87" s="442"/>
    </row>
    <row r="88" spans="2:16" ht="27.75" customHeight="1">
      <c r="B88" s="473"/>
      <c r="C88" s="275">
        <v>97660</v>
      </c>
      <c r="D88" s="161" t="s">
        <v>6</v>
      </c>
      <c r="E88" s="833" t="str">
        <f>IFERROR(VLOOKUP($C88,'SINAPI FEVEREIRO 2022'!$1:$1048576,2,0),IFERROR(VLOOKUP($C88,'5-COMP. PROPRIA'!$B$1:$I$647,4,0),""))</f>
        <v>REMOÇÃO DE INTERRUPTORES/TOMADAS ELÉTRICAS, DE FORMA MANUAL, SEM REAPROVEITAMENTO. AF_12/2017</v>
      </c>
      <c r="F88" s="834"/>
      <c r="G88" s="834"/>
      <c r="H88" s="834"/>
      <c r="I88" s="834"/>
      <c r="J88" s="835"/>
      <c r="K88" s="127">
        <f>SUM(K90:K90)</f>
        <v>105</v>
      </c>
      <c r="L88" s="39" t="str">
        <f>IFERROR(VLOOKUP($C88,'SINAPI FEVEREIRO 2022'!$1:$1048576,3,0),IFERROR(VLOOKUP($C88,'5-COMP. PROPRIA'!$B$1:$I$647,5,0),""))</f>
        <v>UN</v>
      </c>
      <c r="M88" s="75">
        <f>K88*(0.012*0.06)</f>
        <v>7.5599999999999987E-2</v>
      </c>
      <c r="N88" s="432" t="s">
        <v>22</v>
      </c>
      <c r="P88" s="724"/>
    </row>
    <row r="89" spans="2:16" ht="17.25" customHeight="1">
      <c r="B89" s="434"/>
      <c r="C89" s="274"/>
      <c r="D89" s="161"/>
      <c r="E89" s="54" t="s">
        <v>644</v>
      </c>
      <c r="F89" s="419"/>
      <c r="G89" s="419"/>
      <c r="H89" s="428"/>
      <c r="I89" s="428"/>
      <c r="J89" s="66"/>
      <c r="K89" s="127"/>
      <c r="L89" s="149"/>
      <c r="M89" s="61"/>
      <c r="N89" s="442"/>
      <c r="P89" s="90"/>
    </row>
    <row r="90" spans="2:16" ht="17.25" customHeight="1">
      <c r="B90" s="434"/>
      <c r="C90" s="274"/>
      <c r="D90" s="161"/>
      <c r="E90" s="242">
        <v>105</v>
      </c>
      <c r="F90" s="41"/>
      <c r="G90" s="41"/>
      <c r="H90" s="428"/>
      <c r="I90" s="428"/>
      <c r="J90" s="66"/>
      <c r="K90" s="130">
        <f>E90</f>
        <v>105</v>
      </c>
      <c r="L90" s="149"/>
      <c r="M90" s="61"/>
      <c r="N90" s="442"/>
      <c r="P90" s="90"/>
    </row>
    <row r="91" spans="2:16" ht="17.25" customHeight="1">
      <c r="B91" s="434"/>
      <c r="C91" s="274"/>
      <c r="D91" s="161"/>
      <c r="E91" s="148"/>
      <c r="F91" s="428"/>
      <c r="G91" s="428"/>
      <c r="H91" s="428"/>
      <c r="I91" s="428"/>
      <c r="J91" s="66"/>
      <c r="K91" s="130"/>
      <c r="L91" s="149"/>
      <c r="M91" s="61"/>
      <c r="N91" s="442"/>
      <c r="P91" s="90"/>
    </row>
    <row r="92" spans="2:16" ht="27.75" customHeight="1">
      <c r="B92" s="473"/>
      <c r="C92" s="275">
        <v>97662</v>
      </c>
      <c r="D92" s="161" t="s">
        <v>6</v>
      </c>
      <c r="E92" s="833" t="str">
        <f>IFERROR(VLOOKUP($C92,'SINAPI FEVEREIRO 2022'!$1:$1048576,2,0),IFERROR(VLOOKUP($C92,'5-COMP. PROPRIA'!$B$1:$I$647,4,0),""))</f>
        <v>REMOÇÃO DE TUBULAÇÕES (TUBOS E CONEXÕES) DE ÁGUA FRIA, DE FORMA MANUAL, SEM REAPROVEITAMENTO. AF_12/2017</v>
      </c>
      <c r="F92" s="834"/>
      <c r="G92" s="834"/>
      <c r="H92" s="834"/>
      <c r="I92" s="834"/>
      <c r="J92" s="835"/>
      <c r="K92" s="127">
        <f>SUM(K94:K94)</f>
        <v>82</v>
      </c>
      <c r="L92" s="39" t="str">
        <f>IFERROR(VLOOKUP($C92,'SINAPI FEVEREIRO 2022'!$1:$1048576,3,0),IFERROR(VLOOKUP($C92,'5-COMP. PROPRIA'!$B$1:$I$647,5,0),""))</f>
        <v>M</v>
      </c>
      <c r="M92" s="75">
        <f>K92*(0.06*0.03)</f>
        <v>0.14760000000000001</v>
      </c>
      <c r="N92" s="432" t="s">
        <v>22</v>
      </c>
      <c r="P92" s="724"/>
    </row>
    <row r="93" spans="2:16" ht="17.25" customHeight="1">
      <c r="B93" s="434"/>
      <c r="C93" s="274"/>
      <c r="D93" s="161"/>
      <c r="E93" s="54" t="s">
        <v>645</v>
      </c>
      <c r="F93" s="419"/>
      <c r="G93" s="419"/>
      <c r="H93" s="428"/>
      <c r="I93" s="428"/>
      <c r="J93" s="66"/>
      <c r="K93" s="127"/>
      <c r="L93" s="149"/>
      <c r="M93" s="61"/>
      <c r="N93" s="442"/>
      <c r="P93" s="90"/>
    </row>
    <row r="94" spans="2:16" ht="57">
      <c r="B94" s="434" t="s">
        <v>5522</v>
      </c>
      <c r="C94" s="274"/>
      <c r="D94" s="161"/>
      <c r="E94" s="242">
        <v>82</v>
      </c>
      <c r="F94" s="41"/>
      <c r="G94" s="41"/>
      <c r="H94" s="428"/>
      <c r="I94" s="428"/>
      <c r="J94" s="66"/>
      <c r="K94" s="130">
        <f>E94</f>
        <v>82</v>
      </c>
      <c r="L94" s="149"/>
      <c r="M94" s="61"/>
      <c r="N94" s="442"/>
      <c r="P94" s="90"/>
    </row>
    <row r="95" spans="2:16" ht="17.25" customHeight="1">
      <c r="B95" s="434"/>
      <c r="C95" s="274"/>
      <c r="D95" s="161"/>
      <c r="E95" s="148"/>
      <c r="F95" s="428"/>
      <c r="G95" s="428"/>
      <c r="H95" s="428"/>
      <c r="I95" s="428"/>
      <c r="J95" s="66"/>
      <c r="K95" s="130"/>
      <c r="L95" s="149"/>
      <c r="M95" s="61"/>
      <c r="N95" s="442"/>
      <c r="P95" s="90"/>
    </row>
    <row r="96" spans="2:16" ht="24.75" customHeight="1">
      <c r="B96" s="473"/>
      <c r="C96" s="275">
        <v>97645</v>
      </c>
      <c r="D96" s="161" t="s">
        <v>6</v>
      </c>
      <c r="E96" s="860" t="str">
        <f>IFERROR(VLOOKUP($C96,'SINAPI FEVEREIRO 2022'!$1:$1048576,2,0),IFERROR(VLOOKUP($C96,'5-COMP. PROPRIA'!$B$1:$I$647,4,0),""))</f>
        <v>REMOÇÃO DE JANELAS, DE FORMA MANUAL, SEM REAPROVEITAMENTO. AF_12/2017</v>
      </c>
      <c r="F96" s="861"/>
      <c r="G96" s="861"/>
      <c r="H96" s="861"/>
      <c r="I96" s="861"/>
      <c r="J96" s="862"/>
      <c r="K96" s="127">
        <f>SUM(K98:K102)</f>
        <v>94.48</v>
      </c>
      <c r="L96" s="39" t="str">
        <f>IFERROR(VLOOKUP($C96,'SINAPI FEVEREIRO 2022'!$1:$1048576,3,0),IFERROR(VLOOKUP($C96,'5-COMP. PROPRIA'!$B$1:$I$647,5,0),""))</f>
        <v>M2</v>
      </c>
      <c r="M96" s="75">
        <f>K96*0.15</f>
        <v>14.172000000000001</v>
      </c>
      <c r="N96" s="432" t="s">
        <v>22</v>
      </c>
      <c r="P96" s="724"/>
    </row>
    <row r="97" spans="2:16" ht="25.5">
      <c r="B97" s="434"/>
      <c r="C97" s="274"/>
      <c r="D97" s="161"/>
      <c r="E97" s="54" t="s">
        <v>612</v>
      </c>
      <c r="F97" s="418" t="s">
        <v>3255</v>
      </c>
      <c r="G97" s="418" t="s">
        <v>614</v>
      </c>
      <c r="H97" s="428"/>
      <c r="I97" s="263"/>
      <c r="J97" s="68"/>
      <c r="K97" s="49"/>
      <c r="L97" s="61"/>
      <c r="M97" s="42"/>
      <c r="N97" s="629"/>
      <c r="O97" s="353"/>
      <c r="P97" s="90"/>
    </row>
    <row r="98" spans="2:16" ht="17.25" customHeight="1">
      <c r="B98" s="434" t="s">
        <v>5468</v>
      </c>
      <c r="C98" s="274"/>
      <c r="D98" s="161"/>
      <c r="E98" s="242">
        <v>2</v>
      </c>
      <c r="F98" s="99">
        <v>1</v>
      </c>
      <c r="G98" s="99">
        <v>41</v>
      </c>
      <c r="H98" s="41"/>
      <c r="I98" s="428"/>
      <c r="J98" s="68"/>
      <c r="K98" s="49">
        <f>(E98*F98)*G98</f>
        <v>82</v>
      </c>
      <c r="L98" s="149"/>
      <c r="M98" s="61"/>
      <c r="N98" s="442"/>
      <c r="P98" s="90"/>
    </row>
    <row r="99" spans="2:16" ht="17.25" customHeight="1">
      <c r="B99" s="434" t="s">
        <v>5469</v>
      </c>
      <c r="C99" s="274"/>
      <c r="D99" s="161"/>
      <c r="E99" s="242">
        <v>1.5</v>
      </c>
      <c r="F99" s="99">
        <v>1</v>
      </c>
      <c r="G99" s="99">
        <v>4</v>
      </c>
      <c r="H99" s="41"/>
      <c r="I99" s="428"/>
      <c r="J99" s="68"/>
      <c r="K99" s="49">
        <f>(E99*F99)*G99</f>
        <v>6</v>
      </c>
      <c r="L99" s="149"/>
      <c r="M99" s="61"/>
      <c r="N99" s="442"/>
      <c r="P99" s="90"/>
    </row>
    <row r="100" spans="2:16" ht="17.25" customHeight="1">
      <c r="B100" s="434" t="s">
        <v>7061</v>
      </c>
      <c r="C100" s="274"/>
      <c r="D100" s="161"/>
      <c r="E100" s="242">
        <v>0.8</v>
      </c>
      <c r="F100" s="99">
        <v>0.6</v>
      </c>
      <c r="G100" s="99">
        <v>6</v>
      </c>
      <c r="H100" s="41"/>
      <c r="I100" s="428"/>
      <c r="J100" s="68"/>
      <c r="K100" s="49">
        <f>(E100*F100)*G100</f>
        <v>2.88</v>
      </c>
      <c r="L100" s="149"/>
      <c r="M100" s="61"/>
      <c r="N100" s="442"/>
      <c r="P100" s="90"/>
    </row>
    <row r="101" spans="2:16" ht="17.25" customHeight="1">
      <c r="B101" s="434" t="s">
        <v>7062</v>
      </c>
      <c r="C101" s="274"/>
      <c r="D101" s="161"/>
      <c r="E101" s="242">
        <v>1</v>
      </c>
      <c r="F101" s="99">
        <v>0.6</v>
      </c>
      <c r="G101" s="99">
        <v>2</v>
      </c>
      <c r="H101" s="41"/>
      <c r="I101" s="428"/>
      <c r="J101" s="68"/>
      <c r="K101" s="49">
        <f>(E101*F101)*G101</f>
        <v>1.2</v>
      </c>
      <c r="L101" s="149"/>
      <c r="M101" s="61"/>
      <c r="N101" s="442"/>
      <c r="P101" s="90"/>
    </row>
    <row r="102" spans="2:16" s="353" customFormat="1" ht="17.25" customHeight="1">
      <c r="B102" s="465" t="s">
        <v>7077</v>
      </c>
      <c r="C102" s="274"/>
      <c r="D102" s="161"/>
      <c r="E102" s="242">
        <v>1.2</v>
      </c>
      <c r="F102" s="99">
        <v>2</v>
      </c>
      <c r="G102" s="99">
        <v>1</v>
      </c>
      <c r="H102" s="41"/>
      <c r="I102" s="428"/>
      <c r="J102" s="68"/>
      <c r="K102" s="49">
        <f>(E102*F102)*G102</f>
        <v>2.4</v>
      </c>
      <c r="L102" s="149"/>
      <c r="M102" s="61"/>
      <c r="N102" s="467"/>
      <c r="P102" s="90"/>
    </row>
    <row r="103" spans="2:16" ht="17.25" customHeight="1">
      <c r="B103" s="434"/>
      <c r="C103" s="274"/>
      <c r="D103" s="161"/>
      <c r="E103" s="73"/>
      <c r="F103" s="39"/>
      <c r="G103" s="39"/>
      <c r="H103" s="39"/>
      <c r="I103" s="39"/>
      <c r="J103" s="77"/>
      <c r="K103" s="129"/>
      <c r="L103" s="149"/>
      <c r="M103" s="61"/>
      <c r="N103" s="478"/>
      <c r="P103" s="90"/>
    </row>
    <row r="104" spans="2:16" ht="17.25" customHeight="1">
      <c r="B104" s="434"/>
      <c r="C104" s="275">
        <v>97663</v>
      </c>
      <c r="D104" s="161" t="s">
        <v>6</v>
      </c>
      <c r="E104" s="860" t="str">
        <f>IFERROR(VLOOKUP($C104,'SINAPI FEVEREIRO 2022'!$1:$1048576,2,0),IFERROR(VLOOKUP($C104,'5-COMP. PROPRIA'!$B$1:$I$647,4,0),""))</f>
        <v>REMOÇÃO DE LOUÇAS, DE FORMA MANUAL, SEM REAPROVEITAMENTO. AF_12/2017</v>
      </c>
      <c r="F104" s="861"/>
      <c r="G104" s="861"/>
      <c r="H104" s="861"/>
      <c r="I104" s="861"/>
      <c r="J104" s="862"/>
      <c r="K104" s="127">
        <f>SUM(K106:K108)</f>
        <v>20</v>
      </c>
      <c r="L104" s="39" t="str">
        <f>IFERROR(VLOOKUP($C104,'SINAPI FEVEREIRO 2022'!$1:$1048576,3,0),IFERROR(VLOOKUP($C104,'5-COMP. PROPRIA'!$B$1:$I$647,5,0),""))</f>
        <v>UN</v>
      </c>
      <c r="M104" s="75">
        <f>K104*0.3</f>
        <v>6</v>
      </c>
      <c r="N104" s="432" t="s">
        <v>22</v>
      </c>
      <c r="P104" s="724"/>
    </row>
    <row r="105" spans="2:16" ht="17.25" customHeight="1">
      <c r="B105" s="434"/>
      <c r="C105" s="274"/>
      <c r="D105" s="161"/>
      <c r="E105" s="52" t="s">
        <v>532</v>
      </c>
      <c r="F105" s="418"/>
      <c r="G105" s="427"/>
      <c r="H105" s="418"/>
      <c r="I105" s="428"/>
      <c r="J105" s="68"/>
      <c r="K105" s="129"/>
      <c r="L105" s="149"/>
      <c r="M105" s="61"/>
      <c r="N105" s="442"/>
      <c r="P105" s="90"/>
    </row>
    <row r="106" spans="2:16" ht="17.25" customHeight="1">
      <c r="B106" s="434" t="s">
        <v>5470</v>
      </c>
      <c r="C106" s="274"/>
      <c r="D106" s="161"/>
      <c r="E106" s="242">
        <v>9</v>
      </c>
      <c r="F106" s="41"/>
      <c r="G106" s="41"/>
      <c r="H106" s="41"/>
      <c r="I106" s="428"/>
      <c r="J106" s="68"/>
      <c r="K106" s="49">
        <f>E106</f>
        <v>9</v>
      </c>
      <c r="L106" s="149"/>
      <c r="M106" s="61"/>
      <c r="N106" s="442"/>
      <c r="P106" s="90"/>
    </row>
    <row r="107" spans="2:16" ht="17.25" customHeight="1">
      <c r="B107" s="434" t="s">
        <v>5471</v>
      </c>
      <c r="C107" s="274"/>
      <c r="D107" s="161"/>
      <c r="E107" s="242">
        <v>8</v>
      </c>
      <c r="F107" s="41"/>
      <c r="G107" s="41"/>
      <c r="H107" s="41"/>
      <c r="I107" s="428"/>
      <c r="J107" s="68"/>
      <c r="K107" s="49">
        <f>E107</f>
        <v>8</v>
      </c>
      <c r="L107" s="149"/>
      <c r="M107" s="61"/>
      <c r="N107" s="442"/>
      <c r="P107" s="90"/>
    </row>
    <row r="108" spans="2:16" ht="17.25" customHeight="1">
      <c r="B108" s="434" t="s">
        <v>5472</v>
      </c>
      <c r="C108" s="274"/>
      <c r="D108" s="161"/>
      <c r="E108" s="242">
        <v>3</v>
      </c>
      <c r="F108" s="41"/>
      <c r="G108" s="41"/>
      <c r="H108" s="41"/>
      <c r="I108" s="428"/>
      <c r="J108" s="68"/>
      <c r="K108" s="49">
        <f>E108</f>
        <v>3</v>
      </c>
      <c r="L108" s="149"/>
      <c r="M108" s="61"/>
      <c r="N108" s="442"/>
      <c r="P108" s="90"/>
    </row>
    <row r="109" spans="2:16" ht="17.25" customHeight="1">
      <c r="B109" s="434"/>
      <c r="C109" s="274"/>
      <c r="D109" s="161"/>
      <c r="E109" s="148"/>
      <c r="F109" s="428"/>
      <c r="G109" s="428"/>
      <c r="H109" s="428"/>
      <c r="I109" s="428"/>
      <c r="J109" s="66"/>
      <c r="K109" s="126"/>
      <c r="L109" s="149"/>
      <c r="M109" s="61"/>
      <c r="N109" s="478"/>
      <c r="P109" s="90"/>
    </row>
    <row r="110" spans="2:16" s="353" customFormat="1" ht="17.25" customHeight="1">
      <c r="B110" s="626"/>
      <c r="C110" s="275">
        <v>97664</v>
      </c>
      <c r="D110" s="161" t="s">
        <v>6</v>
      </c>
      <c r="E110" s="860" t="str">
        <f>IFERROR(VLOOKUP($C110,'SINAPI FEVEREIRO 2022'!$1:$1048576,2,0),IFERROR(VLOOKUP($C110,'5-COMP. PROPRIA'!$B$1:$I$647,4,0),""))</f>
        <v>REMOÇÃO DE ACESSÓRIOS, DE FORMA MANUAL, SEM REAPROVEITAMENTO. AF_12/2017</v>
      </c>
      <c r="F110" s="861"/>
      <c r="G110" s="861"/>
      <c r="H110" s="861"/>
      <c r="I110" s="861"/>
      <c r="J110" s="862"/>
      <c r="K110" s="127">
        <f>SUM(K112:K113)</f>
        <v>20</v>
      </c>
      <c r="L110" s="39" t="str">
        <f>IFERROR(VLOOKUP($C110,'SINAPI FEVEREIRO 2022'!$1:$1048576,3,0),IFERROR(VLOOKUP($C110,'5-COMP. PROPRIA'!$B$1:$I$647,5,0),""))</f>
        <v>UN</v>
      </c>
      <c r="M110" s="75">
        <f>K110*0.3</f>
        <v>6</v>
      </c>
      <c r="N110" s="432" t="s">
        <v>22</v>
      </c>
      <c r="P110" s="724"/>
    </row>
    <row r="111" spans="2:16" s="353" customFormat="1" ht="17.25" customHeight="1">
      <c r="B111" s="626"/>
      <c r="C111" s="275"/>
      <c r="D111" s="161"/>
      <c r="E111" s="52" t="s">
        <v>532</v>
      </c>
      <c r="F111" s="631"/>
      <c r="G111" s="631"/>
      <c r="H111" s="631"/>
      <c r="I111" s="631"/>
      <c r="J111" s="632"/>
      <c r="K111" s="127"/>
      <c r="L111" s="39"/>
      <c r="M111" s="75"/>
      <c r="N111" s="432"/>
    </row>
    <row r="112" spans="2:16" s="353" customFormat="1" ht="17.25" customHeight="1">
      <c r="B112" s="626" t="s">
        <v>7412</v>
      </c>
      <c r="C112" s="274"/>
      <c r="D112" s="161"/>
      <c r="E112" s="242">
        <v>11</v>
      </c>
      <c r="F112" s="428"/>
      <c r="G112" s="428"/>
      <c r="H112" s="428"/>
      <c r="I112" s="428"/>
      <c r="J112" s="66"/>
      <c r="K112" s="126">
        <f>E112</f>
        <v>11</v>
      </c>
      <c r="L112" s="149"/>
      <c r="M112" s="61"/>
      <c r="N112" s="478"/>
    </row>
    <row r="113" spans="2:16" s="353" customFormat="1" ht="17.25" customHeight="1">
      <c r="B113" s="626" t="s">
        <v>7413</v>
      </c>
      <c r="C113" s="274"/>
      <c r="D113" s="161"/>
      <c r="E113" s="242">
        <v>9</v>
      </c>
      <c r="F113" s="428"/>
      <c r="G113" s="428"/>
      <c r="H113" s="428"/>
      <c r="I113" s="428"/>
      <c r="J113" s="66"/>
      <c r="K113" s="126">
        <f>E113</f>
        <v>9</v>
      </c>
      <c r="L113" s="149"/>
      <c r="M113" s="61"/>
      <c r="N113" s="478"/>
    </row>
    <row r="114" spans="2:16" s="353" customFormat="1" ht="17.25" customHeight="1">
      <c r="B114" s="626"/>
      <c r="C114" s="274"/>
      <c r="D114" s="161"/>
      <c r="E114" s="148"/>
      <c r="F114" s="428"/>
      <c r="G114" s="428"/>
      <c r="H114" s="428"/>
      <c r="I114" s="428"/>
      <c r="J114" s="66"/>
      <c r="K114" s="126"/>
      <c r="L114" s="149"/>
      <c r="M114" s="61"/>
      <c r="N114" s="478"/>
    </row>
    <row r="115" spans="2:16" ht="17.25" customHeight="1">
      <c r="B115" s="434"/>
      <c r="C115" s="275">
        <v>97644</v>
      </c>
      <c r="D115" s="161" t="s">
        <v>6</v>
      </c>
      <c r="E115" s="860" t="str">
        <f>IFERROR(VLOOKUP($C115,'SINAPI FEVEREIRO 2022'!$1:$1048576,2,0),IFERROR(VLOOKUP($C115,'5-COMP. PROPRIA'!$B$1:$I$647,4,0),""))</f>
        <v>REMOÇÃO DE PORTAS, DE FORMA MANUAL, SEM REAPROVEITAMENTO. AF_12/2017</v>
      </c>
      <c r="F115" s="861"/>
      <c r="G115" s="861"/>
      <c r="H115" s="861"/>
      <c r="I115" s="861"/>
      <c r="J115" s="862"/>
      <c r="K115" s="127">
        <f>SUM(K117:K129)</f>
        <v>132.65800000000002</v>
      </c>
      <c r="L115" s="39" t="str">
        <f>IFERROR(VLOOKUP($C115,'SINAPI FEVEREIRO 2022'!$1:$1048576,3,0),IFERROR(VLOOKUP($C115,'5-COMP. PROPRIA'!$B$1:$I$647,5,0),""))</f>
        <v>M2</v>
      </c>
      <c r="M115" s="75">
        <f>K115*0.15</f>
        <v>19.898700000000002</v>
      </c>
      <c r="N115" s="432" t="s">
        <v>22</v>
      </c>
      <c r="P115" s="724"/>
    </row>
    <row r="116" spans="2:16" ht="29.25" customHeight="1">
      <c r="B116" s="434"/>
      <c r="C116" s="274"/>
      <c r="D116" s="161"/>
      <c r="E116" s="54" t="s">
        <v>612</v>
      </c>
      <c r="F116" s="418" t="s">
        <v>3255</v>
      </c>
      <c r="G116" s="418" t="s">
        <v>614</v>
      </c>
      <c r="H116" s="428"/>
      <c r="I116" s="428"/>
      <c r="J116" s="66"/>
      <c r="K116" s="126"/>
      <c r="L116" s="149"/>
      <c r="M116" s="61"/>
      <c r="N116" s="478"/>
      <c r="P116" s="90"/>
    </row>
    <row r="117" spans="2:16" ht="17.25" customHeight="1">
      <c r="B117" s="434" t="s">
        <v>5473</v>
      </c>
      <c r="C117" s="274"/>
      <c r="D117" s="161"/>
      <c r="E117" s="242">
        <v>0.6</v>
      </c>
      <c r="F117" s="99">
        <v>2.1</v>
      </c>
      <c r="G117" s="99">
        <v>8</v>
      </c>
      <c r="H117" s="428"/>
      <c r="I117" s="428"/>
      <c r="J117" s="66"/>
      <c r="K117" s="49">
        <f>(E117+0.2)*(F117+0.2)*G117</f>
        <v>14.720000000000002</v>
      </c>
      <c r="L117" s="149"/>
      <c r="M117" s="61"/>
      <c r="N117" s="478"/>
      <c r="P117" s="90"/>
    </row>
    <row r="118" spans="2:16" ht="17.25" customHeight="1">
      <c r="B118" s="434" t="s">
        <v>5474</v>
      </c>
      <c r="C118" s="274"/>
      <c r="D118" s="161"/>
      <c r="E118" s="242">
        <v>0.8</v>
      </c>
      <c r="F118" s="99">
        <v>2.1</v>
      </c>
      <c r="G118" s="99">
        <v>15</v>
      </c>
      <c r="H118" s="428"/>
      <c r="I118" s="428"/>
      <c r="J118" s="66"/>
      <c r="K118" s="49">
        <f t="shared" ref="K118:K129" si="4">(E118+0.2)*(F118+0.2)*G118</f>
        <v>34.500000000000007</v>
      </c>
      <c r="L118" s="149"/>
      <c r="M118" s="61"/>
      <c r="N118" s="478"/>
      <c r="P118" s="90"/>
    </row>
    <row r="119" spans="2:16" ht="17.25" customHeight="1">
      <c r="B119" s="434" t="s">
        <v>5475</v>
      </c>
      <c r="C119" s="274"/>
      <c r="D119" s="161"/>
      <c r="E119" s="242">
        <v>0.9</v>
      </c>
      <c r="F119" s="99">
        <v>2.1</v>
      </c>
      <c r="G119" s="99">
        <v>2</v>
      </c>
      <c r="H119" s="428"/>
      <c r="I119" s="428"/>
      <c r="J119" s="66"/>
      <c r="K119" s="49">
        <f t="shared" si="4"/>
        <v>5.0600000000000014</v>
      </c>
      <c r="L119" s="149"/>
      <c r="M119" s="61"/>
      <c r="N119" s="478"/>
      <c r="P119" s="90"/>
    </row>
    <row r="120" spans="2:16" ht="17.25" customHeight="1">
      <c r="B120" s="434" t="s">
        <v>5476</v>
      </c>
      <c r="C120" s="274"/>
      <c r="D120" s="161"/>
      <c r="E120" s="242">
        <v>1.4</v>
      </c>
      <c r="F120" s="99">
        <v>2.1</v>
      </c>
      <c r="G120" s="99">
        <v>2</v>
      </c>
      <c r="H120" s="428"/>
      <c r="I120" s="428"/>
      <c r="J120" s="66"/>
      <c r="K120" s="49">
        <f t="shared" si="4"/>
        <v>7.36</v>
      </c>
      <c r="L120" s="149"/>
      <c r="M120" s="61"/>
      <c r="N120" s="478"/>
      <c r="P120" s="90"/>
    </row>
    <row r="121" spans="2:16" ht="17.25" customHeight="1">
      <c r="B121" s="434" t="s">
        <v>5477</v>
      </c>
      <c r="C121" s="274"/>
      <c r="D121" s="161"/>
      <c r="E121" s="242">
        <v>1.5</v>
      </c>
      <c r="F121" s="99">
        <v>2.1</v>
      </c>
      <c r="G121" s="99">
        <v>2</v>
      </c>
      <c r="H121" s="428"/>
      <c r="I121" s="428"/>
      <c r="J121" s="66"/>
      <c r="K121" s="49">
        <f t="shared" si="4"/>
        <v>7.82</v>
      </c>
      <c r="L121" s="149"/>
      <c r="M121" s="61"/>
      <c r="N121" s="478"/>
      <c r="P121" s="90"/>
    </row>
    <row r="122" spans="2:16" s="353" customFormat="1" ht="17.25" customHeight="1">
      <c r="B122" s="570" t="s">
        <v>7349</v>
      </c>
      <c r="C122" s="274"/>
      <c r="D122" s="161"/>
      <c r="E122" s="242">
        <v>0.6</v>
      </c>
      <c r="F122" s="99">
        <v>1.8</v>
      </c>
      <c r="G122" s="99">
        <v>6</v>
      </c>
      <c r="H122" s="428"/>
      <c r="I122" s="428"/>
      <c r="J122" s="66"/>
      <c r="K122" s="49">
        <f t="shared" si="4"/>
        <v>9.6000000000000014</v>
      </c>
      <c r="L122" s="149"/>
      <c r="M122" s="61"/>
      <c r="N122" s="478"/>
      <c r="P122" s="90"/>
    </row>
    <row r="123" spans="2:16" s="353" customFormat="1" ht="17.25" customHeight="1">
      <c r="B123" s="570" t="s">
        <v>7350</v>
      </c>
      <c r="C123" s="274"/>
      <c r="D123" s="161"/>
      <c r="E123" s="242">
        <v>1</v>
      </c>
      <c r="F123" s="99">
        <v>2.1</v>
      </c>
      <c r="G123" s="99">
        <v>1</v>
      </c>
      <c r="H123" s="428"/>
      <c r="I123" s="428"/>
      <c r="J123" s="66"/>
      <c r="K123" s="49">
        <f t="shared" si="4"/>
        <v>2.7600000000000002</v>
      </c>
      <c r="L123" s="149"/>
      <c r="M123" s="61"/>
      <c r="N123" s="478"/>
      <c r="P123" s="90"/>
    </row>
    <row r="124" spans="2:16" s="353" customFormat="1" ht="17.25" customHeight="1">
      <c r="B124" s="570" t="s">
        <v>7351</v>
      </c>
      <c r="C124" s="274"/>
      <c r="D124" s="161"/>
      <c r="E124" s="242">
        <v>0.8</v>
      </c>
      <c r="F124" s="99">
        <v>2.1</v>
      </c>
      <c r="G124" s="99">
        <v>2</v>
      </c>
      <c r="H124" s="428"/>
      <c r="I124" s="428"/>
      <c r="J124" s="66"/>
      <c r="K124" s="49">
        <f t="shared" si="4"/>
        <v>4.6000000000000005</v>
      </c>
      <c r="L124" s="149"/>
      <c r="M124" s="61"/>
      <c r="N124" s="478"/>
      <c r="P124" s="90"/>
    </row>
    <row r="125" spans="2:16" s="353" customFormat="1" ht="17.25" customHeight="1">
      <c r="B125" s="570" t="s">
        <v>7353</v>
      </c>
      <c r="C125" s="274"/>
      <c r="D125" s="161"/>
      <c r="E125" s="242">
        <v>2</v>
      </c>
      <c r="F125" s="99">
        <v>2.1</v>
      </c>
      <c r="G125" s="99">
        <v>2</v>
      </c>
      <c r="H125" s="428"/>
      <c r="I125" s="428"/>
      <c r="J125" s="66"/>
      <c r="K125" s="49">
        <f t="shared" si="4"/>
        <v>10.120000000000003</v>
      </c>
      <c r="L125" s="149"/>
      <c r="M125" s="61"/>
      <c r="N125" s="478"/>
      <c r="P125" s="90"/>
    </row>
    <row r="126" spans="2:16" s="353" customFormat="1" ht="17.25" customHeight="1">
      <c r="B126" s="570" t="s">
        <v>7352</v>
      </c>
      <c r="C126" s="274"/>
      <c r="D126" s="161"/>
      <c r="E126" s="242">
        <v>2</v>
      </c>
      <c r="F126" s="99">
        <v>2.1</v>
      </c>
      <c r="G126" s="99">
        <v>1</v>
      </c>
      <c r="H126" s="428"/>
      <c r="I126" s="428"/>
      <c r="J126" s="66"/>
      <c r="K126" s="49">
        <f t="shared" si="4"/>
        <v>5.0600000000000014</v>
      </c>
      <c r="L126" s="149"/>
      <c r="M126" s="61"/>
      <c r="N126" s="478"/>
      <c r="P126" s="90"/>
    </row>
    <row r="127" spans="2:16" s="353" customFormat="1" ht="17.25" customHeight="1">
      <c r="B127" s="626" t="s">
        <v>7405</v>
      </c>
      <c r="C127" s="274"/>
      <c r="D127" s="161"/>
      <c r="E127" s="242">
        <v>2.2999999999999998</v>
      </c>
      <c r="F127" s="99">
        <v>2.1</v>
      </c>
      <c r="G127" s="99">
        <v>1</v>
      </c>
      <c r="H127" s="428"/>
      <c r="I127" s="428"/>
      <c r="J127" s="66"/>
      <c r="K127" s="49">
        <f t="shared" si="4"/>
        <v>5.7500000000000009</v>
      </c>
      <c r="L127" s="149"/>
      <c r="M127" s="61"/>
      <c r="N127" s="478"/>
      <c r="P127" s="90"/>
    </row>
    <row r="128" spans="2:16" s="353" customFormat="1" ht="17.25" customHeight="1">
      <c r="B128" s="626" t="s">
        <v>7406</v>
      </c>
      <c r="C128" s="274"/>
      <c r="D128" s="161"/>
      <c r="E128" s="242">
        <v>2</v>
      </c>
      <c r="F128" s="99">
        <v>9.94</v>
      </c>
      <c r="G128" s="99">
        <v>1</v>
      </c>
      <c r="H128" s="428"/>
      <c r="I128" s="428"/>
      <c r="J128" s="66"/>
      <c r="K128" s="49">
        <f t="shared" si="4"/>
        <v>22.308</v>
      </c>
      <c r="L128" s="149"/>
      <c r="M128" s="61"/>
      <c r="N128" s="478"/>
      <c r="P128" s="90"/>
    </row>
    <row r="129" spans="2:16" s="353" customFormat="1" ht="17.25" customHeight="1">
      <c r="B129" s="626" t="s">
        <v>7411</v>
      </c>
      <c r="C129" s="274"/>
      <c r="D129" s="161"/>
      <c r="E129" s="242">
        <v>1.3</v>
      </c>
      <c r="F129" s="99">
        <v>1.8</v>
      </c>
      <c r="G129" s="99">
        <v>1</v>
      </c>
      <c r="H129" s="428"/>
      <c r="I129" s="428"/>
      <c r="J129" s="66"/>
      <c r="K129" s="49">
        <f t="shared" si="4"/>
        <v>3</v>
      </c>
      <c r="L129" s="149"/>
      <c r="M129" s="61"/>
      <c r="N129" s="478"/>
      <c r="P129" s="90"/>
    </row>
    <row r="130" spans="2:16" ht="17.25" customHeight="1">
      <c r="B130" s="434"/>
      <c r="C130" s="274"/>
      <c r="D130" s="161"/>
      <c r="E130" s="148"/>
      <c r="F130" s="428"/>
      <c r="G130" s="428"/>
      <c r="H130" s="428"/>
      <c r="I130" s="428"/>
      <c r="J130" s="66"/>
      <c r="K130" s="126"/>
      <c r="L130" s="149"/>
      <c r="M130" s="61"/>
      <c r="N130" s="478"/>
      <c r="P130" s="90"/>
    </row>
    <row r="131" spans="2:16" s="353" customFormat="1" ht="17.25" customHeight="1">
      <c r="B131" s="465"/>
      <c r="C131" s="275" t="str">
        <f>'5-COMP. PROPRIA'!B55</f>
        <v>CP-DEM-04</v>
      </c>
      <c r="D131" s="161" t="s">
        <v>641</v>
      </c>
      <c r="E131" s="860" t="str">
        <f>IFERROR(VLOOKUP($C131,'SINAPI FEVEREIRO 2022'!$1:$1048576,2,0),IFERROR(VLOOKUP($C131,'5-COMP. PROPRIA'!$B$1:$I$647,4,0),""))</f>
        <v>REMOÇÃO DAS DIVISÓRIAS DE PAREDES SEM REAPROVEITAMENTO</v>
      </c>
      <c r="F131" s="861"/>
      <c r="G131" s="861"/>
      <c r="H131" s="861"/>
      <c r="I131" s="861"/>
      <c r="J131" s="862"/>
      <c r="K131" s="127">
        <f>SUM(K133:K135)</f>
        <v>27.299999999999997</v>
      </c>
      <c r="L131" s="39" t="str">
        <f>IFERROR(VLOOKUP($C131,'SINAPI FEVEREIRO 2022'!$1:$1048576,3,0),IFERROR(VLOOKUP($C131,'5-COMP. PROPRIA'!$B$1:$I$647,5,0),""))</f>
        <v>M2</v>
      </c>
      <c r="M131" s="75">
        <f>K131*0.03</f>
        <v>0.81899999999999984</v>
      </c>
      <c r="N131" s="432" t="s">
        <v>22</v>
      </c>
      <c r="P131" s="724"/>
    </row>
    <row r="132" spans="2:16" s="353" customFormat="1" ht="27.75" customHeight="1">
      <c r="B132" s="570"/>
      <c r="C132" s="275"/>
      <c r="D132" s="161"/>
      <c r="E132" s="54" t="s">
        <v>612</v>
      </c>
      <c r="F132" s="571" t="s">
        <v>645</v>
      </c>
      <c r="G132" s="41" t="s">
        <v>5483</v>
      </c>
      <c r="H132" s="574"/>
      <c r="I132" s="574"/>
      <c r="J132" s="575"/>
      <c r="K132" s="127"/>
      <c r="L132" s="39"/>
      <c r="M132" s="75"/>
      <c r="N132" s="432"/>
      <c r="P132" s="724"/>
    </row>
    <row r="133" spans="2:16" s="353" customFormat="1" ht="17.25" customHeight="1">
      <c r="B133" s="570" t="s">
        <v>7354</v>
      </c>
      <c r="C133" s="275"/>
      <c r="D133" s="161"/>
      <c r="E133" s="242">
        <v>4.5199999999999996</v>
      </c>
      <c r="F133" s="99">
        <v>3</v>
      </c>
      <c r="G133" s="99">
        <v>1.68</v>
      </c>
      <c r="H133" s="574"/>
      <c r="I133" s="574"/>
      <c r="J133" s="575"/>
      <c r="K133" s="49">
        <f>(E133*F133)-G133</f>
        <v>11.879999999999999</v>
      </c>
      <c r="L133" s="39"/>
      <c r="M133" s="75"/>
      <c r="N133" s="432"/>
      <c r="P133" s="724"/>
    </row>
    <row r="134" spans="2:16" s="353" customFormat="1" ht="17.25" customHeight="1">
      <c r="B134" s="570" t="s">
        <v>7355</v>
      </c>
      <c r="C134" s="275"/>
      <c r="D134" s="161"/>
      <c r="E134" s="242">
        <v>2.84</v>
      </c>
      <c r="F134" s="99">
        <v>3</v>
      </c>
      <c r="G134" s="99">
        <v>0</v>
      </c>
      <c r="H134" s="574"/>
      <c r="I134" s="574"/>
      <c r="J134" s="575"/>
      <c r="K134" s="49">
        <f t="shared" ref="K134:K135" si="5">(E134*F134)-G134</f>
        <v>8.52</v>
      </c>
      <c r="L134" s="39"/>
      <c r="M134" s="75"/>
      <c r="N134" s="432"/>
      <c r="P134" s="724"/>
    </row>
    <row r="135" spans="2:16" s="353" customFormat="1" ht="17.25" customHeight="1">
      <c r="B135" s="570" t="s">
        <v>7356</v>
      </c>
      <c r="C135" s="275"/>
      <c r="D135" s="161"/>
      <c r="E135" s="242">
        <v>2.86</v>
      </c>
      <c r="F135" s="99">
        <v>3</v>
      </c>
      <c r="G135" s="99">
        <v>1.68</v>
      </c>
      <c r="H135" s="574"/>
      <c r="I135" s="574"/>
      <c r="J135" s="575"/>
      <c r="K135" s="49">
        <f t="shared" si="5"/>
        <v>6.9</v>
      </c>
      <c r="L135" s="39"/>
      <c r="M135" s="75"/>
      <c r="N135" s="432"/>
      <c r="P135" s="724"/>
    </row>
    <row r="136" spans="2:16" s="353" customFormat="1" ht="17.25" customHeight="1">
      <c r="B136" s="570"/>
      <c r="C136" s="275"/>
      <c r="D136" s="161"/>
      <c r="E136" s="573"/>
      <c r="F136" s="574"/>
      <c r="G136" s="574"/>
      <c r="H136" s="574"/>
      <c r="I136" s="574"/>
      <c r="J136" s="575"/>
      <c r="K136" s="127"/>
      <c r="L136" s="39"/>
      <c r="M136" s="75"/>
      <c r="N136" s="432"/>
      <c r="P136" s="724"/>
    </row>
    <row r="137" spans="2:16" ht="17.25" customHeight="1">
      <c r="B137" s="434"/>
      <c r="C137" s="274"/>
      <c r="D137" s="161"/>
      <c r="E137" s="148"/>
      <c r="F137" s="428"/>
      <c r="G137" s="428"/>
      <c r="H137" s="428"/>
      <c r="I137" s="428"/>
      <c r="J137" s="66"/>
      <c r="K137" s="126"/>
      <c r="L137" s="149"/>
      <c r="M137" s="61"/>
      <c r="N137" s="478"/>
      <c r="P137" s="90"/>
    </row>
    <row r="138" spans="2:16" ht="31.5" customHeight="1">
      <c r="B138" s="441"/>
      <c r="C138" s="275">
        <v>97625</v>
      </c>
      <c r="D138" s="161" t="s">
        <v>6</v>
      </c>
      <c r="E138" s="833" t="str">
        <f>IFERROR(VLOOKUP($C138,'SINAPI FEVEREIRO 2022'!$1:$1048576,2,0),IFERROR(VLOOKUP($C138,'5-COMP. PROPRIA'!$B$1:$I$647,4,0),""))</f>
        <v>DEMOLIÇÃO DE ALVENARIA PARA QUALQUER TIPO DE BLOCO, DE FORMA MECANIZADA, SEM REAPROVEITAMENTO. AF_12/2017</v>
      </c>
      <c r="F138" s="834"/>
      <c r="G138" s="834"/>
      <c r="H138" s="834"/>
      <c r="I138" s="834"/>
      <c r="J138" s="835"/>
      <c r="K138" s="127">
        <f>SUM(K140:K160)</f>
        <v>197.51513</v>
      </c>
      <c r="L138" s="39" t="str">
        <f>IFERROR(VLOOKUP($C138,'SINAPI FEVEREIRO 2022'!$1:$1048576,3,0),IFERROR(VLOOKUP($C138,'5-COMP. PROPRIA'!$B$1:$I$647,5,0),""))</f>
        <v>M3</v>
      </c>
      <c r="M138" s="37">
        <f>K138</f>
        <v>197.51513</v>
      </c>
      <c r="N138" s="432" t="s">
        <v>22</v>
      </c>
      <c r="P138" s="724"/>
    </row>
    <row r="139" spans="2:16" ht="17.25" customHeight="1">
      <c r="B139" s="441"/>
      <c r="C139" s="274"/>
      <c r="D139" s="161"/>
      <c r="E139" s="430" t="s">
        <v>621</v>
      </c>
      <c r="F139" s="427" t="s">
        <v>613</v>
      </c>
      <c r="G139" s="427" t="s">
        <v>620</v>
      </c>
      <c r="H139" s="427" t="s">
        <v>602</v>
      </c>
      <c r="I139" s="41" t="s">
        <v>5483</v>
      </c>
      <c r="J139" s="82"/>
      <c r="K139" s="125"/>
      <c r="L139" s="149"/>
      <c r="M139" s="79"/>
      <c r="N139" s="432"/>
    </row>
    <row r="140" spans="2:16" s="353" customFormat="1" ht="17.25" customHeight="1">
      <c r="B140" s="877" t="s">
        <v>7685</v>
      </c>
      <c r="C140" s="274"/>
      <c r="D140" s="161"/>
      <c r="E140" s="257">
        <v>3</v>
      </c>
      <c r="F140" s="259">
        <v>4.9000000000000004</v>
      </c>
      <c r="G140" s="259">
        <v>0.15</v>
      </c>
      <c r="H140" s="259">
        <v>4</v>
      </c>
      <c r="I140" s="99">
        <v>0</v>
      </c>
      <c r="J140" s="82"/>
      <c r="K140" s="490">
        <f>(((E140*F140*H140)-I140)*G140)</f>
        <v>8.82</v>
      </c>
      <c r="L140" s="149"/>
      <c r="M140" s="79"/>
      <c r="N140" s="432"/>
    </row>
    <row r="141" spans="2:16" s="353" customFormat="1" ht="17.25" customHeight="1">
      <c r="B141" s="877"/>
      <c r="C141" s="274"/>
      <c r="D141" s="161"/>
      <c r="E141" s="257">
        <v>3</v>
      </c>
      <c r="F141" s="259">
        <f>11.74+4.64+5.25</f>
        <v>21.63</v>
      </c>
      <c r="G141" s="259">
        <v>0.15</v>
      </c>
      <c r="H141" s="259">
        <v>1</v>
      </c>
      <c r="I141" s="99">
        <f>1.26*4</f>
        <v>5.04</v>
      </c>
      <c r="J141" s="82"/>
      <c r="K141" s="490">
        <f>(((E141*F141*H141)-I141)*G141)</f>
        <v>8.9774999999999991</v>
      </c>
      <c r="L141" s="149"/>
      <c r="M141" s="79"/>
      <c r="N141" s="432"/>
    </row>
    <row r="142" spans="2:16" s="353" customFormat="1" ht="29.25" customHeight="1">
      <c r="B142" s="464" t="s">
        <v>5478</v>
      </c>
      <c r="C142" s="274"/>
      <c r="D142" s="161"/>
      <c r="E142" s="257">
        <v>2</v>
      </c>
      <c r="F142" s="259">
        <v>4.0199999999999996</v>
      </c>
      <c r="G142" s="259">
        <v>0.15</v>
      </c>
      <c r="H142" s="259">
        <v>1</v>
      </c>
      <c r="I142" s="99">
        <v>3.4</v>
      </c>
      <c r="J142" s="82"/>
      <c r="K142" s="490">
        <f>(((E142*F142*H142)-I142)*G142)</f>
        <v>0.69599999999999984</v>
      </c>
      <c r="L142" s="149"/>
      <c r="M142" s="79"/>
      <c r="N142" s="432"/>
    </row>
    <row r="143" spans="2:16" s="353" customFormat="1" ht="17.25" customHeight="1">
      <c r="B143" s="877" t="s">
        <v>5479</v>
      </c>
      <c r="C143" s="274"/>
      <c r="D143" s="161"/>
      <c r="E143" s="257">
        <v>3</v>
      </c>
      <c r="F143" s="259">
        <v>5.0999999999999996</v>
      </c>
      <c r="G143" s="259">
        <v>0.15</v>
      </c>
      <c r="H143" s="259">
        <v>1</v>
      </c>
      <c r="I143" s="99">
        <v>0</v>
      </c>
      <c r="J143" s="82"/>
      <c r="K143" s="490">
        <f t="shared" ref="K143:K160" si="6">(((E143*F143*H143)-I143)*G143)</f>
        <v>2.2949999999999999</v>
      </c>
      <c r="L143" s="149"/>
      <c r="M143" s="79"/>
      <c r="N143" s="432"/>
    </row>
    <row r="144" spans="2:16" s="353" customFormat="1" ht="17.25" customHeight="1">
      <c r="B144" s="877"/>
      <c r="C144" s="274"/>
      <c r="D144" s="161"/>
      <c r="E144" s="257">
        <v>3</v>
      </c>
      <c r="F144" s="259">
        <v>6.15</v>
      </c>
      <c r="G144" s="259">
        <v>0.15</v>
      </c>
      <c r="H144" s="259">
        <v>1</v>
      </c>
      <c r="I144" s="99">
        <v>0</v>
      </c>
      <c r="J144" s="82"/>
      <c r="K144" s="490">
        <f t="shared" si="6"/>
        <v>2.7675000000000005</v>
      </c>
      <c r="L144" s="149"/>
      <c r="M144" s="79"/>
      <c r="N144" s="432"/>
    </row>
    <row r="145" spans="2:14" s="353" customFormat="1" ht="17.25" customHeight="1">
      <c r="B145" s="877"/>
      <c r="C145" s="274"/>
      <c r="D145" s="161"/>
      <c r="E145" s="257">
        <v>1.8</v>
      </c>
      <c r="F145" s="259">
        <v>1.1299999999999999</v>
      </c>
      <c r="G145" s="259">
        <v>0.15</v>
      </c>
      <c r="H145" s="259">
        <v>6</v>
      </c>
      <c r="I145" s="99"/>
      <c r="J145" s="82"/>
      <c r="K145" s="490">
        <f>(((E145*F145*H145)-I145)*G145)</f>
        <v>1.8305999999999998</v>
      </c>
      <c r="L145" s="149"/>
      <c r="M145" s="79"/>
      <c r="N145" s="432"/>
    </row>
    <row r="146" spans="2:14" s="353" customFormat="1" ht="17.25" customHeight="1">
      <c r="B146" s="877"/>
      <c r="C146" s="274"/>
      <c r="D146" s="161"/>
      <c r="E146" s="257">
        <v>1.8</v>
      </c>
      <c r="F146" s="259">
        <v>3.78</v>
      </c>
      <c r="G146" s="259">
        <v>0.15</v>
      </c>
      <c r="H146" s="259">
        <v>2</v>
      </c>
      <c r="I146" s="99"/>
      <c r="J146" s="82"/>
      <c r="K146" s="490">
        <f t="shared" si="6"/>
        <v>2.0411999999999999</v>
      </c>
      <c r="L146" s="149"/>
      <c r="M146" s="79"/>
      <c r="N146" s="432"/>
    </row>
    <row r="147" spans="2:14" s="353" customFormat="1" ht="17.25" customHeight="1">
      <c r="B147" s="488" t="s">
        <v>7082</v>
      </c>
      <c r="C147" s="274"/>
      <c r="D147" s="161"/>
      <c r="E147" s="257">
        <v>3</v>
      </c>
      <c r="F147" s="259">
        <f>1.83+2.32</f>
        <v>4.1500000000000004</v>
      </c>
      <c r="G147" s="259">
        <v>0.15</v>
      </c>
      <c r="H147" s="259">
        <v>1</v>
      </c>
      <c r="I147" s="99">
        <v>0</v>
      </c>
      <c r="J147" s="82"/>
      <c r="K147" s="490">
        <f t="shared" si="6"/>
        <v>1.8675000000000002</v>
      </c>
      <c r="L147" s="149"/>
      <c r="M147" s="79"/>
      <c r="N147" s="432"/>
    </row>
    <row r="148" spans="2:14" s="353" customFormat="1" ht="17.25" customHeight="1">
      <c r="B148" s="464" t="s">
        <v>5480</v>
      </c>
      <c r="C148" s="274"/>
      <c r="D148" s="161"/>
      <c r="E148" s="257">
        <v>3</v>
      </c>
      <c r="F148" s="259">
        <f>0.43+7.8+0.43</f>
        <v>8.66</v>
      </c>
      <c r="G148" s="259">
        <v>0.15</v>
      </c>
      <c r="H148" s="259">
        <v>1</v>
      </c>
      <c r="I148" s="99">
        <v>0</v>
      </c>
      <c r="J148" s="82"/>
      <c r="K148" s="490">
        <f t="shared" si="6"/>
        <v>3.8969999999999998</v>
      </c>
      <c r="L148" s="149"/>
      <c r="M148" s="79"/>
      <c r="N148" s="432"/>
    </row>
    <row r="149" spans="2:14" s="353" customFormat="1" ht="17.25" customHeight="1">
      <c r="B149" s="568" t="s">
        <v>7338</v>
      </c>
      <c r="C149" s="274"/>
      <c r="D149" s="161"/>
      <c r="E149" s="257">
        <v>2.57</v>
      </c>
      <c r="F149" s="259">
        <v>0.6</v>
      </c>
      <c r="G149" s="259">
        <v>0.15</v>
      </c>
      <c r="H149" s="259">
        <v>2</v>
      </c>
      <c r="I149" s="99">
        <v>0</v>
      </c>
      <c r="J149" s="82"/>
      <c r="K149" s="490">
        <f t="shared" si="6"/>
        <v>0.4625999999999999</v>
      </c>
      <c r="L149" s="149"/>
      <c r="M149" s="79"/>
      <c r="N149" s="432"/>
    </row>
    <row r="150" spans="2:14" s="353" customFormat="1" ht="17.25" customHeight="1">
      <c r="B150" s="464" t="s">
        <v>5481</v>
      </c>
      <c r="C150" s="274"/>
      <c r="D150" s="161"/>
      <c r="E150" s="257">
        <v>3</v>
      </c>
      <c r="F150" s="259">
        <f>4.07+0.85</f>
        <v>4.92</v>
      </c>
      <c r="G150" s="259">
        <v>0.15</v>
      </c>
      <c r="H150" s="259">
        <v>1</v>
      </c>
      <c r="I150" s="99">
        <v>0</v>
      </c>
      <c r="J150" s="82"/>
      <c r="K150" s="490">
        <f t="shared" si="6"/>
        <v>2.214</v>
      </c>
      <c r="L150" s="149"/>
      <c r="M150" s="79"/>
      <c r="N150" s="432"/>
    </row>
    <row r="151" spans="2:14" s="353" customFormat="1" ht="17.25" customHeight="1">
      <c r="B151" s="464" t="s">
        <v>7083</v>
      </c>
      <c r="C151" s="274"/>
      <c r="D151" s="161"/>
      <c r="E151" s="257">
        <v>3</v>
      </c>
      <c r="F151" s="259">
        <v>6.21</v>
      </c>
      <c r="G151" s="259">
        <v>0.15</v>
      </c>
      <c r="H151" s="259">
        <v>1</v>
      </c>
      <c r="I151" s="99">
        <v>0</v>
      </c>
      <c r="J151" s="82"/>
      <c r="K151" s="490">
        <f t="shared" si="6"/>
        <v>2.7944999999999998</v>
      </c>
      <c r="L151" s="149"/>
      <c r="M151" s="79"/>
      <c r="N151" s="432"/>
    </row>
    <row r="152" spans="2:14" s="353" customFormat="1" ht="17.25" customHeight="1">
      <c r="B152" s="464" t="s">
        <v>7084</v>
      </c>
      <c r="C152" s="274"/>
      <c r="D152" s="161"/>
      <c r="E152" s="257">
        <v>3</v>
      </c>
      <c r="F152" s="259">
        <f>5.1+6+1.27+2.18+3.83+3.68</f>
        <v>22.06</v>
      </c>
      <c r="G152" s="259">
        <v>0.15</v>
      </c>
      <c r="H152" s="259">
        <v>1</v>
      </c>
      <c r="I152" s="99">
        <v>10.36</v>
      </c>
      <c r="J152" s="82"/>
      <c r="K152" s="490">
        <f t="shared" si="6"/>
        <v>8.3729999999999993</v>
      </c>
      <c r="L152" s="149"/>
      <c r="M152" s="79"/>
      <c r="N152" s="432"/>
    </row>
    <row r="153" spans="2:14" s="353" customFormat="1" ht="17.25" customHeight="1">
      <c r="B153" s="464" t="s">
        <v>5536</v>
      </c>
      <c r="C153" s="274"/>
      <c r="D153" s="161"/>
      <c r="E153" s="257">
        <v>0.7</v>
      </c>
      <c r="F153" s="259">
        <v>3.5</v>
      </c>
      <c r="G153" s="259">
        <v>0.15</v>
      </c>
      <c r="H153" s="259">
        <v>1</v>
      </c>
      <c r="I153" s="99">
        <v>0</v>
      </c>
      <c r="J153" s="82"/>
      <c r="K153" s="490">
        <f t="shared" si="6"/>
        <v>0.36749999999999994</v>
      </c>
      <c r="L153" s="149"/>
      <c r="M153" s="79"/>
      <c r="N153" s="432"/>
    </row>
    <row r="154" spans="2:14" s="353" customFormat="1" ht="17.25" customHeight="1">
      <c r="B154" s="464" t="s">
        <v>5482</v>
      </c>
      <c r="C154" s="274"/>
      <c r="D154" s="161"/>
      <c r="E154" s="257">
        <v>1.7</v>
      </c>
      <c r="F154" s="259">
        <f>4.58+2.15</f>
        <v>6.73</v>
      </c>
      <c r="G154" s="259">
        <v>0.15</v>
      </c>
      <c r="H154" s="259">
        <v>1</v>
      </c>
      <c r="I154" s="99">
        <v>1.26</v>
      </c>
      <c r="J154" s="82"/>
      <c r="K154" s="490">
        <f t="shared" si="6"/>
        <v>1.52715</v>
      </c>
      <c r="L154" s="149"/>
      <c r="M154" s="79"/>
      <c r="N154" s="432"/>
    </row>
    <row r="155" spans="2:14" s="353" customFormat="1" ht="17.25" customHeight="1">
      <c r="B155" s="877" t="s">
        <v>7085</v>
      </c>
      <c r="C155" s="274"/>
      <c r="D155" s="161"/>
      <c r="E155" s="257">
        <v>0.15</v>
      </c>
      <c r="F155" s="259">
        <v>11.26</v>
      </c>
      <c r="G155" s="259">
        <v>0.15</v>
      </c>
      <c r="H155" s="259">
        <v>1</v>
      </c>
      <c r="I155" s="99">
        <v>0</v>
      </c>
      <c r="J155" s="82"/>
      <c r="K155" s="490">
        <f t="shared" si="6"/>
        <v>0.25334999999999996</v>
      </c>
      <c r="L155" s="149"/>
      <c r="M155" s="79"/>
      <c r="N155" s="432"/>
    </row>
    <row r="156" spans="2:14" s="353" customFormat="1" ht="17.25" customHeight="1">
      <c r="B156" s="877"/>
      <c r="C156" s="274"/>
      <c r="D156" s="161"/>
      <c r="E156" s="257">
        <v>0.15</v>
      </c>
      <c r="F156" s="259">
        <f>3.67*11</f>
        <v>40.369999999999997</v>
      </c>
      <c r="G156" s="259">
        <v>0.15</v>
      </c>
      <c r="H156" s="259">
        <v>1</v>
      </c>
      <c r="I156" s="99">
        <v>0</v>
      </c>
      <c r="J156" s="82"/>
      <c r="K156" s="490">
        <f t="shared" si="6"/>
        <v>0.90832499999999983</v>
      </c>
      <c r="L156" s="149"/>
      <c r="M156" s="79"/>
      <c r="N156" s="432"/>
    </row>
    <row r="157" spans="2:14" s="353" customFormat="1" ht="17.25" customHeight="1">
      <c r="B157" s="877" t="s">
        <v>5535</v>
      </c>
      <c r="C157" s="274"/>
      <c r="D157" s="161"/>
      <c r="E157" s="257">
        <v>2.9</v>
      </c>
      <c r="F157" s="259">
        <v>40.090000000000003</v>
      </c>
      <c r="G157" s="259">
        <v>0.15</v>
      </c>
      <c r="H157" s="259">
        <v>2</v>
      </c>
      <c r="I157" s="99">
        <v>0</v>
      </c>
      <c r="J157" s="82"/>
      <c r="K157" s="490">
        <f t="shared" si="6"/>
        <v>34.878300000000003</v>
      </c>
      <c r="L157" s="149"/>
      <c r="M157" s="79"/>
      <c r="N157" s="432"/>
    </row>
    <row r="158" spans="2:14" s="353" customFormat="1" ht="17.25" customHeight="1">
      <c r="B158" s="877"/>
      <c r="C158" s="274"/>
      <c r="D158" s="161"/>
      <c r="E158" s="257">
        <v>2.9</v>
      </c>
      <c r="F158" s="259">
        <v>62.25</v>
      </c>
      <c r="G158" s="259">
        <v>0.15</v>
      </c>
      <c r="H158" s="259">
        <v>1</v>
      </c>
      <c r="I158" s="99">
        <v>0</v>
      </c>
      <c r="J158" s="82"/>
      <c r="K158" s="490">
        <f t="shared" si="6"/>
        <v>27.078749999999999</v>
      </c>
      <c r="L158" s="149"/>
      <c r="M158" s="79"/>
      <c r="N158" s="432"/>
    </row>
    <row r="159" spans="2:14" s="353" customFormat="1" ht="17.25" customHeight="1">
      <c r="B159" s="568" t="s">
        <v>7339</v>
      </c>
      <c r="C159" s="274"/>
      <c r="D159" s="161"/>
      <c r="E159" s="257">
        <v>1.5</v>
      </c>
      <c r="F159" s="259">
        <v>5.21</v>
      </c>
      <c r="G159" s="259">
        <v>0.6</v>
      </c>
      <c r="H159" s="259">
        <v>1</v>
      </c>
      <c r="I159" s="99">
        <v>0</v>
      </c>
      <c r="J159" s="82"/>
      <c r="K159" s="490">
        <f t="shared" si="6"/>
        <v>4.6889999999999992</v>
      </c>
      <c r="L159" s="149"/>
      <c r="M159" s="79"/>
      <c r="N159" s="432"/>
    </row>
    <row r="160" spans="2:14" s="353" customFormat="1" ht="17.25" customHeight="1">
      <c r="B160" s="569" t="s">
        <v>7357</v>
      </c>
      <c r="C160" s="274"/>
      <c r="D160" s="161"/>
      <c r="E160" s="257">
        <v>3.17</v>
      </c>
      <c r="F160" s="259">
        <v>46.33</v>
      </c>
      <c r="G160" s="259">
        <v>0.55000000000000004</v>
      </c>
      <c r="H160" s="259">
        <v>1</v>
      </c>
      <c r="I160" s="99">
        <v>0</v>
      </c>
      <c r="J160" s="82"/>
      <c r="K160" s="490">
        <f t="shared" si="6"/>
        <v>80.776354999999995</v>
      </c>
      <c r="L160" s="149"/>
      <c r="M160" s="79"/>
      <c r="N160" s="432"/>
    </row>
    <row r="161" spans="2:16" s="353" customFormat="1" ht="17.25" customHeight="1">
      <c r="B161" s="489"/>
      <c r="C161" s="274"/>
      <c r="D161" s="161"/>
      <c r="E161" s="430"/>
      <c r="F161" s="466"/>
      <c r="G161" s="466"/>
      <c r="H161" s="466"/>
      <c r="I161" s="41"/>
      <c r="J161" s="82"/>
      <c r="K161" s="125"/>
      <c r="L161" s="149"/>
      <c r="M161" s="79"/>
      <c r="N161" s="432"/>
    </row>
    <row r="162" spans="2:16" ht="34.5" customHeight="1">
      <c r="B162" s="441"/>
      <c r="C162" s="275">
        <v>97627</v>
      </c>
      <c r="D162" s="161" t="s">
        <v>6</v>
      </c>
      <c r="E162" s="833" t="str">
        <f>IFERROR(VLOOKUP($C162,'SINAPI FEVEREIRO 2022'!$1:$1048576,2,0),IFERROR(VLOOKUP($C162,'5-COMP. PROPRIA'!$B$1:$I$647,4,0),""))</f>
        <v>DEMOLIÇÃO DE PILARES E VIGAS EM CONCRETO ARMADO, DE FORMA MECANIZADA COM MARTELETE, SEM REAPROVEITAMENTO. AF_12/2017</v>
      </c>
      <c r="F162" s="834"/>
      <c r="G162" s="834"/>
      <c r="H162" s="834"/>
      <c r="I162" s="834"/>
      <c r="J162" s="835"/>
      <c r="K162" s="127">
        <f>SUM(K164:K167)</f>
        <v>10.864800000000001</v>
      </c>
      <c r="L162" s="39" t="str">
        <f>IFERROR(VLOOKUP($C162,'SINAPI FEVEREIRO 2022'!$1:$1048576,3,0),IFERROR(VLOOKUP($C162,'5-COMP. PROPRIA'!$B$1:$I$647,5,0),""))</f>
        <v>M3</v>
      </c>
      <c r="M162" s="37">
        <f>K162</f>
        <v>10.864800000000001</v>
      </c>
      <c r="N162" s="432" t="s">
        <v>22</v>
      </c>
      <c r="P162" s="62"/>
    </row>
    <row r="163" spans="2:16" ht="36" customHeight="1">
      <c r="B163" s="441"/>
      <c r="C163" s="274"/>
      <c r="D163" s="161"/>
      <c r="E163" s="54" t="s">
        <v>646</v>
      </c>
      <c r="F163" s="418" t="s">
        <v>647</v>
      </c>
      <c r="G163" s="427" t="s">
        <v>4121</v>
      </c>
      <c r="H163" s="418" t="s">
        <v>616</v>
      </c>
      <c r="I163" s="41"/>
      <c r="J163" s="82"/>
      <c r="K163" s="130"/>
      <c r="L163" s="149"/>
      <c r="M163" s="84"/>
      <c r="N163" s="432"/>
      <c r="P163" s="62"/>
    </row>
    <row r="164" spans="2:16" ht="14.25">
      <c r="B164" s="646" t="s">
        <v>7407</v>
      </c>
      <c r="C164" s="274"/>
      <c r="D164" s="161"/>
      <c r="E164" s="242">
        <v>0.3</v>
      </c>
      <c r="F164" s="99">
        <v>3.2</v>
      </c>
      <c r="G164" s="99">
        <v>0.15</v>
      </c>
      <c r="H164" s="99">
        <v>16</v>
      </c>
      <c r="I164" s="41"/>
      <c r="J164" s="82"/>
      <c r="K164" s="130">
        <f>E164*F164*H164*G164</f>
        <v>2.3039999999999998</v>
      </c>
      <c r="L164" s="149"/>
      <c r="M164" s="84"/>
      <c r="N164" s="432"/>
      <c r="P164" s="62"/>
    </row>
    <row r="165" spans="2:16" s="353" customFormat="1" ht="14.25">
      <c r="B165" s="625" t="s">
        <v>7407</v>
      </c>
      <c r="C165" s="274"/>
      <c r="D165" s="161"/>
      <c r="E165" s="242">
        <v>0.14000000000000001</v>
      </c>
      <c r="F165" s="99">
        <v>2.8</v>
      </c>
      <c r="G165" s="99">
        <v>0.3</v>
      </c>
      <c r="H165" s="99">
        <v>58</v>
      </c>
      <c r="I165" s="41"/>
      <c r="J165" s="82"/>
      <c r="K165" s="130">
        <f>E165*F165*H165*G165</f>
        <v>6.8208000000000002</v>
      </c>
      <c r="L165" s="149"/>
      <c r="M165" s="84"/>
      <c r="N165" s="432"/>
      <c r="P165" s="62"/>
    </row>
    <row r="166" spans="2:16" s="353" customFormat="1" ht="14.25">
      <c r="B166" s="441" t="s">
        <v>7086</v>
      </c>
      <c r="C166" s="274"/>
      <c r="D166" s="161"/>
      <c r="E166" s="242">
        <v>0.5</v>
      </c>
      <c r="F166" s="99">
        <v>5</v>
      </c>
      <c r="G166" s="99">
        <v>0.5</v>
      </c>
      <c r="H166" s="99">
        <v>1</v>
      </c>
      <c r="I166" s="41"/>
      <c r="J166" s="82"/>
      <c r="K166" s="130">
        <f>E166*F166*H166*G166</f>
        <v>1.25</v>
      </c>
      <c r="L166" s="149"/>
      <c r="M166" s="84"/>
      <c r="N166" s="432"/>
      <c r="P166" s="62"/>
    </row>
    <row r="167" spans="2:16" s="353" customFormat="1" ht="14.25">
      <c r="B167" s="625" t="s">
        <v>7414</v>
      </c>
      <c r="C167" s="274"/>
      <c r="D167" s="161"/>
      <c r="E167" s="242">
        <v>0.5</v>
      </c>
      <c r="F167" s="99">
        <v>2.4500000000000002</v>
      </c>
      <c r="G167" s="99">
        <v>0.2</v>
      </c>
      <c r="H167" s="99">
        <v>2</v>
      </c>
      <c r="I167" s="41"/>
      <c r="J167" s="82"/>
      <c r="K167" s="130">
        <f>E167*F167*H167*G167</f>
        <v>0.49000000000000005</v>
      </c>
      <c r="L167" s="149"/>
      <c r="M167" s="84"/>
      <c r="N167" s="432"/>
      <c r="P167" s="62"/>
    </row>
    <row r="168" spans="2:16" ht="17.25" customHeight="1">
      <c r="B168" s="441"/>
      <c r="C168" s="274"/>
      <c r="D168" s="161"/>
      <c r="E168" s="81"/>
      <c r="F168" s="428"/>
      <c r="G168" s="428"/>
      <c r="H168" s="41"/>
      <c r="I168" s="41"/>
      <c r="J168" s="82"/>
      <c r="K168" s="130"/>
      <c r="L168" s="149"/>
      <c r="M168" s="84"/>
      <c r="N168" s="432"/>
      <c r="P168" s="62"/>
    </row>
    <row r="169" spans="2:16" s="353" customFormat="1" ht="36.75" customHeight="1">
      <c r="B169" s="441"/>
      <c r="C169" s="275" t="str">
        <f>'5-COMP. PROPRIA'!B38</f>
        <v>CP-DEM-02</v>
      </c>
      <c r="D169" s="161" t="s">
        <v>6172</v>
      </c>
      <c r="E169" s="833" t="str">
        <f>IFERROR(VLOOKUP($C169,'SINAPI FEVEREIRO 2022'!$1:$1048576,2,0),IFERROR(VLOOKUP($C169,'5-COMP. PROPRIA'!$B$1:$I$647,4,0),""))</f>
        <v>DEMOLIÇÃO DE CONCRETO SIMPLES/PISO GRANILITE/CONTRAPISO DE FORMA MECANIZADA SEM REAPROVEITAMENTO</v>
      </c>
      <c r="F169" s="834"/>
      <c r="G169" s="834"/>
      <c r="H169" s="834"/>
      <c r="I169" s="834"/>
      <c r="J169" s="835"/>
      <c r="K169" s="127">
        <f>SUM(K171:K180)</f>
        <v>256.5369</v>
      </c>
      <c r="L169" s="39" t="str">
        <f>IFERROR(VLOOKUP($C169,'SINAPI FEVEREIRO 2022'!$1:$1048576,3,0),IFERROR(VLOOKUP($C169,'5-COMP. PROPRIA'!$B$1:$I$647,5,0),""))</f>
        <v>M3</v>
      </c>
      <c r="M169" s="37">
        <f>K169</f>
        <v>256.5369</v>
      </c>
      <c r="N169" s="432" t="s">
        <v>22</v>
      </c>
      <c r="P169" s="62"/>
    </row>
    <row r="170" spans="2:16" s="353" customFormat="1" ht="30.75" customHeight="1">
      <c r="B170" s="441"/>
      <c r="C170" s="274"/>
      <c r="D170" s="161"/>
      <c r="E170" s="54" t="s">
        <v>6940</v>
      </c>
      <c r="F170" s="418" t="s">
        <v>647</v>
      </c>
      <c r="G170" s="431" t="s">
        <v>5524</v>
      </c>
      <c r="H170" s="41"/>
      <c r="I170" s="41"/>
      <c r="J170" s="82"/>
      <c r="K170" s="130"/>
      <c r="L170" s="149"/>
      <c r="M170" s="84"/>
      <c r="N170" s="432"/>
      <c r="P170" s="62"/>
    </row>
    <row r="171" spans="2:16" s="353" customFormat="1" ht="14.25">
      <c r="B171" s="441" t="s">
        <v>7358</v>
      </c>
      <c r="C171" s="274"/>
      <c r="D171" s="161"/>
      <c r="E171" s="242">
        <v>21.68</v>
      </c>
      <c r="F171" s="99">
        <v>0.1</v>
      </c>
      <c r="G171" s="99">
        <v>1</v>
      </c>
      <c r="H171" s="41"/>
      <c r="I171" s="41"/>
      <c r="J171" s="82"/>
      <c r="K171" s="130">
        <f>E171*F171*G171</f>
        <v>2.1680000000000001</v>
      </c>
      <c r="L171" s="149"/>
      <c r="M171" s="84"/>
      <c r="N171" s="432"/>
      <c r="P171" s="62"/>
    </row>
    <row r="172" spans="2:16" s="353" customFormat="1" ht="23.25" customHeight="1">
      <c r="B172" s="569" t="s">
        <v>7362</v>
      </c>
      <c r="C172" s="274"/>
      <c r="D172" s="161"/>
      <c r="E172" s="242">
        <v>8.02</v>
      </c>
      <c r="F172" s="99">
        <v>0.1</v>
      </c>
      <c r="G172" s="99">
        <v>1</v>
      </c>
      <c r="H172" s="41"/>
      <c r="I172" s="41"/>
      <c r="J172" s="82"/>
      <c r="K172" s="130">
        <f>E172*F172*G172</f>
        <v>0.80200000000000005</v>
      </c>
      <c r="L172" s="149"/>
      <c r="M172" s="84"/>
      <c r="N172" s="432"/>
      <c r="P172" s="62"/>
    </row>
    <row r="173" spans="2:16" s="353" customFormat="1" ht="28.5">
      <c r="B173" s="569" t="s">
        <v>7363</v>
      </c>
      <c r="C173" s="274"/>
      <c r="D173" s="161"/>
      <c r="E173" s="242">
        <v>11.45</v>
      </c>
      <c r="F173" s="99">
        <v>0.1</v>
      </c>
      <c r="G173" s="99">
        <v>1</v>
      </c>
      <c r="H173" s="41"/>
      <c r="I173" s="41"/>
      <c r="J173" s="82"/>
      <c r="K173" s="130">
        <f>E173*F173*G173</f>
        <v>1.145</v>
      </c>
      <c r="L173" s="149"/>
      <c r="M173" s="84"/>
      <c r="N173" s="432"/>
      <c r="P173" s="62"/>
    </row>
    <row r="174" spans="2:16" s="353" customFormat="1" ht="14.25">
      <c r="B174" s="625" t="s">
        <v>7408</v>
      </c>
      <c r="C174" s="274"/>
      <c r="D174" s="161"/>
      <c r="E174" s="242">
        <v>26.7</v>
      </c>
      <c r="F174" s="99">
        <v>0.1</v>
      </c>
      <c r="G174" s="99">
        <v>1</v>
      </c>
      <c r="H174" s="41"/>
      <c r="I174" s="41"/>
      <c r="J174" s="82"/>
      <c r="K174" s="130">
        <f>E174*F174*G174</f>
        <v>2.67</v>
      </c>
      <c r="L174" s="149"/>
      <c r="M174" s="84"/>
      <c r="N174" s="432"/>
      <c r="P174" s="62"/>
    </row>
    <row r="175" spans="2:16" s="353" customFormat="1" ht="14.25">
      <c r="B175" s="569" t="s">
        <v>7361</v>
      </c>
      <c r="C175" s="274"/>
      <c r="D175" s="161"/>
      <c r="E175" s="242">
        <v>71.180000000000007</v>
      </c>
      <c r="F175" s="99">
        <v>0.1</v>
      </c>
      <c r="G175" s="99">
        <v>1</v>
      </c>
      <c r="H175" s="41"/>
      <c r="I175" s="41"/>
      <c r="J175" s="82"/>
      <c r="K175" s="130">
        <f t="shared" ref="K175:K180" si="7">E175*F175*G175</f>
        <v>7.1180000000000012</v>
      </c>
      <c r="L175" s="149"/>
      <c r="M175" s="84"/>
      <c r="N175" s="432"/>
      <c r="P175" s="62"/>
    </row>
    <row r="176" spans="2:16" s="353" customFormat="1" ht="14.25">
      <c r="B176" s="569" t="s">
        <v>7364</v>
      </c>
      <c r="C176" s="274"/>
      <c r="D176" s="161"/>
      <c r="E176" s="242">
        <v>9.34</v>
      </c>
      <c r="F176" s="99">
        <v>0.1</v>
      </c>
      <c r="G176" s="99">
        <v>1</v>
      </c>
      <c r="H176" s="41"/>
      <c r="I176" s="41"/>
      <c r="J176" s="82"/>
      <c r="K176" s="130">
        <f t="shared" si="7"/>
        <v>0.93400000000000005</v>
      </c>
      <c r="L176" s="149"/>
      <c r="M176" s="84"/>
      <c r="N176" s="432"/>
      <c r="P176" s="62"/>
    </row>
    <row r="177" spans="2:17" s="353" customFormat="1" ht="14.25">
      <c r="B177" s="441" t="s">
        <v>7359</v>
      </c>
      <c r="C177" s="274"/>
      <c r="D177" s="161"/>
      <c r="E177" s="242">
        <f>107.459+10.4</f>
        <v>117.85900000000001</v>
      </c>
      <c r="F177" s="99">
        <v>0.1</v>
      </c>
      <c r="G177" s="99">
        <v>1</v>
      </c>
      <c r="H177" s="41"/>
      <c r="I177" s="41"/>
      <c r="J177" s="82"/>
      <c r="K177" s="130">
        <f t="shared" si="7"/>
        <v>11.785900000000002</v>
      </c>
      <c r="L177" s="149"/>
      <c r="M177" s="84"/>
      <c r="N177" s="432"/>
      <c r="P177" s="62"/>
    </row>
    <row r="178" spans="2:17" s="353" customFormat="1" ht="28.5">
      <c r="B178" s="441" t="s">
        <v>7360</v>
      </c>
      <c r="C178" s="274"/>
      <c r="D178" s="161"/>
      <c r="E178" s="242">
        <f>55.87+19.17</f>
        <v>75.039999999999992</v>
      </c>
      <c r="F178" s="99">
        <v>0.1</v>
      </c>
      <c r="G178" s="99">
        <v>1</v>
      </c>
      <c r="H178" s="41"/>
      <c r="I178" s="41"/>
      <c r="J178" s="82"/>
      <c r="K178" s="130">
        <f t="shared" si="7"/>
        <v>7.5039999999999996</v>
      </c>
      <c r="L178" s="149"/>
      <c r="M178" s="84"/>
      <c r="N178" s="432"/>
      <c r="P178" s="62"/>
    </row>
    <row r="179" spans="2:17" s="353" customFormat="1" ht="14.25">
      <c r="B179" s="641" t="s">
        <v>7416</v>
      </c>
      <c r="C179" s="274"/>
      <c r="D179" s="161"/>
      <c r="E179" s="242">
        <v>4.2</v>
      </c>
      <c r="F179" s="99">
        <v>0.05</v>
      </c>
      <c r="G179" s="99">
        <v>1</v>
      </c>
      <c r="H179" s="41"/>
      <c r="I179" s="41"/>
      <c r="J179" s="82"/>
      <c r="K179" s="130">
        <f t="shared" si="7"/>
        <v>0.21000000000000002</v>
      </c>
      <c r="L179" s="149"/>
      <c r="M179" s="84"/>
      <c r="N179" s="432"/>
      <c r="P179" s="62"/>
    </row>
    <row r="180" spans="2:17" s="353" customFormat="1" ht="14.25">
      <c r="B180" s="641" t="s">
        <v>7935</v>
      </c>
      <c r="C180" s="274"/>
      <c r="D180" s="321"/>
      <c r="E180" s="260">
        <v>404</v>
      </c>
      <c r="F180" s="99">
        <v>0.55000000000000004</v>
      </c>
      <c r="G180" s="99">
        <v>1</v>
      </c>
      <c r="H180" s="41"/>
      <c r="I180" s="41"/>
      <c r="J180" s="82"/>
      <c r="K180" s="130">
        <f t="shared" si="7"/>
        <v>222.20000000000002</v>
      </c>
      <c r="L180" s="149"/>
      <c r="M180" s="84"/>
      <c r="N180" s="432"/>
      <c r="P180" s="62"/>
    </row>
    <row r="181" spans="2:17" s="353" customFormat="1" ht="14.25">
      <c r="B181" s="441"/>
      <c r="C181" s="274"/>
      <c r="D181" s="161"/>
      <c r="E181" s="81"/>
      <c r="F181" s="428"/>
      <c r="G181" s="428"/>
      <c r="H181" s="41"/>
      <c r="I181" s="41"/>
      <c r="J181" s="82"/>
      <c r="K181" s="130"/>
      <c r="L181" s="149"/>
      <c r="M181" s="84"/>
      <c r="N181" s="432"/>
      <c r="P181" s="62"/>
    </row>
    <row r="182" spans="2:17" ht="34.5" customHeight="1">
      <c r="B182" s="441"/>
      <c r="C182" s="275">
        <v>97634</v>
      </c>
      <c r="D182" s="161" t="s">
        <v>6</v>
      </c>
      <c r="E182" s="833" t="str">
        <f>IFERROR(VLOOKUP($C182,'SINAPI FEVEREIRO 2022'!$1:$1048576,2,0),IFERROR(VLOOKUP($C182,'5-COMP. PROPRIA'!$B$1:$I$647,4,0),""))</f>
        <v>DEMOLIÇÃO DE REVESTIMENTO CERÂMICO, DE FORMA MECANIZADA COM MARTELETE, SEM REAPROVEITAMENTO. AF_12/2017</v>
      </c>
      <c r="F182" s="834"/>
      <c r="G182" s="834"/>
      <c r="H182" s="834"/>
      <c r="I182" s="834"/>
      <c r="J182" s="835"/>
      <c r="K182" s="127">
        <f>SUM(K184:K218)</f>
        <v>920.02799999999991</v>
      </c>
      <c r="L182" s="39" t="str">
        <f>IFERROR(VLOOKUP($C182,'SINAPI FEVEREIRO 2022'!$1:$1048576,3,0),IFERROR(VLOOKUP($C182,'5-COMP. PROPRIA'!$B$1:$I$647,5,0),""))</f>
        <v>M2</v>
      </c>
      <c r="M182" s="37">
        <f>K182*0.03</f>
        <v>27.600839999999994</v>
      </c>
      <c r="N182" s="432" t="s">
        <v>22</v>
      </c>
      <c r="P182" s="62"/>
    </row>
    <row r="183" spans="2:17" ht="30" customHeight="1">
      <c r="B183" s="441"/>
      <c r="C183" s="274"/>
      <c r="D183" s="161"/>
      <c r="E183" s="54" t="s">
        <v>6940</v>
      </c>
      <c r="F183" s="418" t="s">
        <v>647</v>
      </c>
      <c r="G183" s="431" t="s">
        <v>5524</v>
      </c>
      <c r="H183" s="418" t="s">
        <v>7366</v>
      </c>
      <c r="I183" s="41"/>
      <c r="J183" s="82"/>
      <c r="K183" s="130"/>
      <c r="L183" s="149"/>
      <c r="M183" s="84"/>
      <c r="N183" s="432"/>
      <c r="P183" s="62"/>
    </row>
    <row r="184" spans="2:17" ht="17.25" customHeight="1">
      <c r="B184" s="678" t="s">
        <v>7340</v>
      </c>
      <c r="C184" s="274"/>
      <c r="D184" s="161"/>
      <c r="E184" s="242">
        <f>6.15+1.72+0.15</f>
        <v>8.02</v>
      </c>
      <c r="F184" s="99">
        <v>3</v>
      </c>
      <c r="G184" s="99">
        <v>2</v>
      </c>
      <c r="H184" s="99"/>
      <c r="I184" s="41"/>
      <c r="J184" s="82"/>
      <c r="K184" s="679">
        <f t="shared" ref="K184:K215" si="8">(E184*F184*G184)-H184</f>
        <v>48.12</v>
      </c>
      <c r="L184" s="149"/>
      <c r="M184" s="681">
        <f>SUM(K184+K187+K188+K190+K191+K192+K193+K194+K195+K196+K197+K198+K199+K200+K201+K202+K203+K204+K205+K206+K208+K207+K209+K211+K214+K215+K217)</f>
        <v>519.16</v>
      </c>
      <c r="N184" s="432">
        <v>458.85</v>
      </c>
      <c r="P184" s="680"/>
    </row>
    <row r="185" spans="2:17" s="353" customFormat="1" ht="17.25" customHeight="1">
      <c r="B185" s="568" t="s">
        <v>7341</v>
      </c>
      <c r="C185" s="274"/>
      <c r="D185" s="161"/>
      <c r="E185" s="242">
        <v>34.049999999999997</v>
      </c>
      <c r="F185" s="99">
        <v>1</v>
      </c>
      <c r="G185" s="99">
        <v>1</v>
      </c>
      <c r="H185" s="99"/>
      <c r="I185" s="41"/>
      <c r="J185" s="82"/>
      <c r="K185" s="130">
        <f>(E185*F185*G185)-H185</f>
        <v>34.049999999999997</v>
      </c>
      <c r="L185" s="149"/>
      <c r="M185" s="681">
        <f>SUM(K185+K186+K189+K210+K212+K213+K216+K218)</f>
        <v>400.86799999999999</v>
      </c>
      <c r="N185" s="432">
        <f>240+145.6</f>
        <v>385.6</v>
      </c>
      <c r="P185" s="680"/>
    </row>
    <row r="186" spans="2:17" ht="17.25" customHeight="1">
      <c r="B186" s="441" t="s">
        <v>7342</v>
      </c>
      <c r="C186" s="274"/>
      <c r="D186" s="161"/>
      <c r="E186" s="242">
        <v>222.87</v>
      </c>
      <c r="F186" s="99">
        <v>1</v>
      </c>
      <c r="G186" s="99">
        <v>1</v>
      </c>
      <c r="H186" s="99"/>
      <c r="I186" s="41"/>
      <c r="J186" s="82"/>
      <c r="K186" s="130">
        <f t="shared" si="8"/>
        <v>222.87</v>
      </c>
      <c r="L186" s="149"/>
      <c r="M186" s="84"/>
      <c r="N186" s="432"/>
      <c r="P186" s="680"/>
    </row>
    <row r="187" spans="2:17" ht="23.25" customHeight="1">
      <c r="B187" s="678" t="s">
        <v>7343</v>
      </c>
      <c r="C187" s="274"/>
      <c r="D187" s="161"/>
      <c r="E187" s="242">
        <v>16.27</v>
      </c>
      <c r="F187" s="99">
        <v>3</v>
      </c>
      <c r="G187" s="99">
        <v>1</v>
      </c>
      <c r="H187" s="99">
        <f>3.36+2</f>
        <v>5.3599999999999994</v>
      </c>
      <c r="I187" s="41"/>
      <c r="J187" s="82"/>
      <c r="K187" s="679">
        <f>(E187*F187*G187)-H187</f>
        <v>43.45</v>
      </c>
      <c r="L187" s="149"/>
      <c r="M187" s="84"/>
      <c r="N187" s="432"/>
      <c r="P187" s="62"/>
    </row>
    <row r="188" spans="2:17" s="353" customFormat="1" ht="23.25" customHeight="1">
      <c r="B188" s="678" t="s">
        <v>7345</v>
      </c>
      <c r="C188" s="274"/>
      <c r="D188" s="161"/>
      <c r="E188" s="242">
        <f>4.32+4.32+1.8+1.8</f>
        <v>12.240000000000002</v>
      </c>
      <c r="F188" s="99">
        <v>3</v>
      </c>
      <c r="G188" s="99">
        <v>1</v>
      </c>
      <c r="H188" s="99">
        <f>1.68+1.44</f>
        <v>3.12</v>
      </c>
      <c r="I188" s="41"/>
      <c r="J188" s="82"/>
      <c r="K188" s="679">
        <f>(E188*F188*G188)-H188</f>
        <v>33.600000000000009</v>
      </c>
      <c r="L188" s="149"/>
      <c r="M188" s="84"/>
      <c r="N188" s="432"/>
      <c r="P188" s="62"/>
    </row>
    <row r="189" spans="2:17" s="353" customFormat="1" ht="23.25" customHeight="1">
      <c r="B189" s="568" t="s">
        <v>7344</v>
      </c>
      <c r="C189" s="274"/>
      <c r="D189" s="161"/>
      <c r="E189" s="242">
        <v>6.9</v>
      </c>
      <c r="F189" s="99">
        <v>1</v>
      </c>
      <c r="G189" s="99">
        <v>1</v>
      </c>
      <c r="H189" s="99"/>
      <c r="I189" s="41"/>
      <c r="J189" s="82"/>
      <c r="K189" s="130">
        <f t="shared" si="8"/>
        <v>6.9</v>
      </c>
      <c r="L189" s="149"/>
      <c r="M189" s="84"/>
      <c r="N189" s="432"/>
      <c r="P189" s="684">
        <f>SUM(P191:P218)</f>
        <v>1663.74</v>
      </c>
      <c r="Q189" s="684"/>
    </row>
    <row r="190" spans="2:17" ht="17.25" customHeight="1">
      <c r="B190" s="678" t="s">
        <v>5525</v>
      </c>
      <c r="C190" s="274"/>
      <c r="D190" s="161"/>
      <c r="E190" s="242">
        <v>8</v>
      </c>
      <c r="F190" s="99">
        <v>1.2</v>
      </c>
      <c r="G190" s="99">
        <v>2</v>
      </c>
      <c r="H190" s="99">
        <v>0.96</v>
      </c>
      <c r="I190" s="41"/>
      <c r="J190" s="82"/>
      <c r="K190" s="679">
        <f>(E190*F190*G190)-H190</f>
        <v>18.239999999999998</v>
      </c>
      <c r="N190" s="432"/>
      <c r="P190" s="683">
        <f>(K190/F190)*3</f>
        <v>45.599999999999994</v>
      </c>
    </row>
    <row r="191" spans="2:17" ht="17.25" customHeight="1">
      <c r="B191" s="678"/>
      <c r="C191" s="274"/>
      <c r="D191" s="161"/>
      <c r="E191" s="242">
        <v>6</v>
      </c>
      <c r="F191" s="99">
        <v>1.2</v>
      </c>
      <c r="G191" s="99">
        <v>2</v>
      </c>
      <c r="H191" s="99"/>
      <c r="I191" s="41"/>
      <c r="J191" s="82"/>
      <c r="K191" s="679">
        <f>(E191*F191*G191)-H191</f>
        <v>14.399999999999999</v>
      </c>
      <c r="N191" s="432"/>
      <c r="P191" s="683">
        <f t="shared" ref="P191:P208" si="9">(K191/F191)*3</f>
        <v>36</v>
      </c>
    </row>
    <row r="192" spans="2:17" ht="17.25" customHeight="1">
      <c r="B192" s="678" t="s">
        <v>5526</v>
      </c>
      <c r="C192" s="274"/>
      <c r="D192" s="161"/>
      <c r="E192" s="242">
        <v>8</v>
      </c>
      <c r="F192" s="99">
        <v>1.2</v>
      </c>
      <c r="G192" s="99">
        <v>2</v>
      </c>
      <c r="H192" s="99">
        <v>0.96</v>
      </c>
      <c r="I192" s="41"/>
      <c r="J192" s="82"/>
      <c r="K192" s="679">
        <f t="shared" si="8"/>
        <v>18.239999999999998</v>
      </c>
      <c r="N192" s="432"/>
      <c r="P192" s="683">
        <f t="shared" si="9"/>
        <v>45.599999999999994</v>
      </c>
    </row>
    <row r="193" spans="2:16" ht="17.25" customHeight="1">
      <c r="B193" s="678"/>
      <c r="C193" s="274"/>
      <c r="D193" s="161"/>
      <c r="E193" s="242">
        <v>6</v>
      </c>
      <c r="F193" s="99">
        <v>1.2</v>
      </c>
      <c r="G193" s="99">
        <v>2</v>
      </c>
      <c r="H193" s="99"/>
      <c r="I193" s="41"/>
      <c r="J193" s="82"/>
      <c r="K193" s="679">
        <f t="shared" si="8"/>
        <v>14.399999999999999</v>
      </c>
      <c r="N193" s="432"/>
      <c r="P193" s="683">
        <f t="shared" si="9"/>
        <v>36</v>
      </c>
    </row>
    <row r="194" spans="2:16" ht="17.25" customHeight="1">
      <c r="B194" s="678" t="s">
        <v>5527</v>
      </c>
      <c r="C194" s="274"/>
      <c r="D194" s="161"/>
      <c r="E194" s="242">
        <v>8</v>
      </c>
      <c r="F194" s="99">
        <v>1.2</v>
      </c>
      <c r="G194" s="99">
        <v>2</v>
      </c>
      <c r="H194" s="99">
        <v>0.96</v>
      </c>
      <c r="I194" s="41"/>
      <c r="J194" s="82"/>
      <c r="K194" s="679">
        <f t="shared" si="8"/>
        <v>18.239999999999998</v>
      </c>
      <c r="N194" s="432"/>
      <c r="P194" s="683">
        <f t="shared" si="9"/>
        <v>45.599999999999994</v>
      </c>
    </row>
    <row r="195" spans="2:16" ht="17.25" customHeight="1">
      <c r="B195" s="678"/>
      <c r="C195" s="274"/>
      <c r="D195" s="161"/>
      <c r="E195" s="242">
        <v>6</v>
      </c>
      <c r="F195" s="99">
        <v>1.2</v>
      </c>
      <c r="G195" s="99">
        <v>2</v>
      </c>
      <c r="H195" s="99"/>
      <c r="I195" s="41"/>
      <c r="J195" s="82"/>
      <c r="K195" s="679">
        <f t="shared" si="8"/>
        <v>14.399999999999999</v>
      </c>
      <c r="N195" s="432"/>
      <c r="P195" s="683">
        <f t="shared" si="9"/>
        <v>36</v>
      </c>
    </row>
    <row r="196" spans="2:16" ht="17.25" customHeight="1">
      <c r="B196" s="678" t="s">
        <v>5528</v>
      </c>
      <c r="C196" s="274"/>
      <c r="D196" s="161"/>
      <c r="E196" s="242">
        <v>8</v>
      </c>
      <c r="F196" s="99">
        <v>1.2</v>
      </c>
      <c r="G196" s="99">
        <v>2</v>
      </c>
      <c r="H196" s="99">
        <v>0.96</v>
      </c>
      <c r="I196" s="41"/>
      <c r="J196" s="82"/>
      <c r="K196" s="679">
        <f t="shared" si="8"/>
        <v>18.239999999999998</v>
      </c>
      <c r="N196" s="432"/>
      <c r="P196" s="683">
        <f t="shared" si="9"/>
        <v>45.599999999999994</v>
      </c>
    </row>
    <row r="197" spans="2:16" ht="17.25" customHeight="1">
      <c r="B197" s="678"/>
      <c r="C197" s="274"/>
      <c r="D197" s="161"/>
      <c r="E197" s="242">
        <v>6</v>
      </c>
      <c r="F197" s="99">
        <v>1.2</v>
      </c>
      <c r="G197" s="99">
        <v>2</v>
      </c>
      <c r="H197" s="99"/>
      <c r="I197" s="41"/>
      <c r="J197" s="82"/>
      <c r="K197" s="679">
        <f t="shared" si="8"/>
        <v>14.399999999999999</v>
      </c>
      <c r="N197" s="432"/>
      <c r="P197" s="683">
        <f t="shared" si="9"/>
        <v>36</v>
      </c>
    </row>
    <row r="198" spans="2:16" ht="17.25" customHeight="1">
      <c r="B198" s="678" t="s">
        <v>5529</v>
      </c>
      <c r="C198" s="274"/>
      <c r="D198" s="161"/>
      <c r="E198" s="242">
        <v>8</v>
      </c>
      <c r="F198" s="99">
        <v>1.2</v>
      </c>
      <c r="G198" s="99">
        <v>2</v>
      </c>
      <c r="H198" s="99">
        <v>0.96</v>
      </c>
      <c r="I198" s="41"/>
      <c r="J198" s="82"/>
      <c r="K198" s="679">
        <f t="shared" si="8"/>
        <v>18.239999999999998</v>
      </c>
      <c r="N198" s="432"/>
      <c r="P198" s="683">
        <f t="shared" si="9"/>
        <v>45.599999999999994</v>
      </c>
    </row>
    <row r="199" spans="2:16" ht="17.25" customHeight="1">
      <c r="B199" s="678"/>
      <c r="C199" s="274"/>
      <c r="D199" s="161"/>
      <c r="E199" s="242">
        <v>6</v>
      </c>
      <c r="F199" s="99">
        <v>1.2</v>
      </c>
      <c r="G199" s="99">
        <v>2</v>
      </c>
      <c r="H199" s="99"/>
      <c r="I199" s="41"/>
      <c r="J199" s="82"/>
      <c r="K199" s="679">
        <f t="shared" si="8"/>
        <v>14.399999999999999</v>
      </c>
      <c r="N199" s="432"/>
      <c r="P199" s="683">
        <f t="shared" si="9"/>
        <v>36</v>
      </c>
    </row>
    <row r="200" spans="2:16" ht="17.25" customHeight="1">
      <c r="B200" s="678" t="s">
        <v>5530</v>
      </c>
      <c r="C200" s="274"/>
      <c r="D200" s="161"/>
      <c r="E200" s="242">
        <v>8</v>
      </c>
      <c r="F200" s="99">
        <v>1.2</v>
      </c>
      <c r="G200" s="99">
        <v>2</v>
      </c>
      <c r="H200" s="99">
        <v>0.96</v>
      </c>
      <c r="I200" s="41"/>
      <c r="J200" s="82"/>
      <c r="K200" s="679">
        <f t="shared" si="8"/>
        <v>18.239999999999998</v>
      </c>
      <c r="N200" s="432"/>
      <c r="P200" s="683">
        <f t="shared" si="9"/>
        <v>45.599999999999994</v>
      </c>
    </row>
    <row r="201" spans="2:16" ht="17.25" customHeight="1">
      <c r="B201" s="678"/>
      <c r="C201" s="274"/>
      <c r="D201" s="161"/>
      <c r="E201" s="242">
        <v>6</v>
      </c>
      <c r="F201" s="99">
        <v>1.2</v>
      </c>
      <c r="G201" s="99">
        <v>2</v>
      </c>
      <c r="H201" s="99"/>
      <c r="I201" s="41"/>
      <c r="J201" s="82"/>
      <c r="K201" s="679">
        <f t="shared" si="8"/>
        <v>14.399999999999999</v>
      </c>
      <c r="N201" s="432"/>
      <c r="P201" s="683">
        <f t="shared" si="9"/>
        <v>36</v>
      </c>
    </row>
    <row r="202" spans="2:16" ht="17.25" customHeight="1">
      <c r="B202" s="678" t="s">
        <v>5531</v>
      </c>
      <c r="C202" s="274"/>
      <c r="D202" s="161"/>
      <c r="E202" s="242">
        <v>8</v>
      </c>
      <c r="F202" s="99">
        <v>1.2</v>
      </c>
      <c r="G202" s="99">
        <v>2</v>
      </c>
      <c r="H202" s="99">
        <v>0.96</v>
      </c>
      <c r="I202" s="41"/>
      <c r="J202" s="82"/>
      <c r="K202" s="679">
        <f t="shared" si="8"/>
        <v>18.239999999999998</v>
      </c>
      <c r="N202" s="432"/>
      <c r="P202" s="683">
        <f t="shared" si="9"/>
        <v>45.599999999999994</v>
      </c>
    </row>
    <row r="203" spans="2:16" ht="17.25" customHeight="1">
      <c r="B203" s="678"/>
      <c r="C203" s="274"/>
      <c r="D203" s="161"/>
      <c r="E203" s="242">
        <v>6</v>
      </c>
      <c r="F203" s="99">
        <v>1.2</v>
      </c>
      <c r="G203" s="99">
        <v>2</v>
      </c>
      <c r="H203" s="99"/>
      <c r="I203" s="41"/>
      <c r="J203" s="82"/>
      <c r="K203" s="679">
        <f t="shared" si="8"/>
        <v>14.399999999999999</v>
      </c>
      <c r="N203" s="432"/>
      <c r="P203" s="683">
        <f t="shared" si="9"/>
        <v>36</v>
      </c>
    </row>
    <row r="204" spans="2:16" ht="17.25" customHeight="1">
      <c r="B204" s="678" t="s">
        <v>5532</v>
      </c>
      <c r="C204" s="274"/>
      <c r="D204" s="161"/>
      <c r="E204" s="242">
        <v>8</v>
      </c>
      <c r="F204" s="99">
        <v>1.2</v>
      </c>
      <c r="G204" s="99">
        <v>2</v>
      </c>
      <c r="H204" s="99">
        <v>0.96</v>
      </c>
      <c r="I204" s="41"/>
      <c r="J204" s="82"/>
      <c r="K204" s="679">
        <f t="shared" si="8"/>
        <v>18.239999999999998</v>
      </c>
      <c r="N204" s="432"/>
      <c r="P204" s="683">
        <f t="shared" si="9"/>
        <v>45.599999999999994</v>
      </c>
    </row>
    <row r="205" spans="2:16" ht="17.25" customHeight="1">
      <c r="B205" s="678"/>
      <c r="C205" s="274"/>
      <c r="D205" s="161"/>
      <c r="E205" s="242">
        <v>6</v>
      </c>
      <c r="F205" s="99">
        <v>1.2</v>
      </c>
      <c r="G205" s="99">
        <v>2</v>
      </c>
      <c r="H205" s="99"/>
      <c r="I205" s="41"/>
      <c r="J205" s="82"/>
      <c r="K205" s="679">
        <f t="shared" si="8"/>
        <v>14.399999999999999</v>
      </c>
      <c r="N205" s="432"/>
      <c r="P205" s="683">
        <f t="shared" si="9"/>
        <v>36</v>
      </c>
    </row>
    <row r="206" spans="2:16" ht="17.25" customHeight="1">
      <c r="B206" s="678" t="s">
        <v>5533</v>
      </c>
      <c r="C206" s="274"/>
      <c r="D206" s="161"/>
      <c r="E206" s="242">
        <v>8</v>
      </c>
      <c r="F206" s="99">
        <v>1.2</v>
      </c>
      <c r="G206" s="99">
        <v>2</v>
      </c>
      <c r="H206" s="99">
        <v>0.96</v>
      </c>
      <c r="I206" s="41"/>
      <c r="J206" s="82"/>
      <c r="K206" s="679">
        <f t="shared" si="8"/>
        <v>18.239999999999998</v>
      </c>
      <c r="N206" s="432"/>
      <c r="P206" s="683">
        <f t="shared" si="9"/>
        <v>45.599999999999994</v>
      </c>
    </row>
    <row r="207" spans="2:16" ht="17.25" customHeight="1">
      <c r="B207" s="678"/>
      <c r="C207" s="274"/>
      <c r="D207" s="161"/>
      <c r="E207" s="242">
        <v>6</v>
      </c>
      <c r="F207" s="99">
        <v>1.2</v>
      </c>
      <c r="G207" s="99">
        <v>2</v>
      </c>
      <c r="H207" s="99"/>
      <c r="I207" s="41"/>
      <c r="J207" s="82"/>
      <c r="K207" s="679">
        <f t="shared" si="8"/>
        <v>14.399999999999999</v>
      </c>
      <c r="N207" s="432"/>
      <c r="P207" s="683">
        <f t="shared" si="9"/>
        <v>36</v>
      </c>
    </row>
    <row r="208" spans="2:16" ht="17.25" customHeight="1">
      <c r="B208" s="678" t="s">
        <v>7367</v>
      </c>
      <c r="C208" s="274"/>
      <c r="D208" s="161"/>
      <c r="E208" s="242">
        <v>22.44</v>
      </c>
      <c r="F208" s="99">
        <v>1.2</v>
      </c>
      <c r="G208" s="99">
        <v>1</v>
      </c>
      <c r="H208" s="99"/>
      <c r="I208" s="41"/>
      <c r="J208" s="82"/>
      <c r="K208" s="679">
        <f>(E208*F208*G208)-H208</f>
        <v>26.928000000000001</v>
      </c>
      <c r="N208" s="432"/>
      <c r="P208" s="683">
        <f t="shared" si="9"/>
        <v>67.320000000000007</v>
      </c>
    </row>
    <row r="209" spans="1:16" s="353" customFormat="1" ht="17.25" customHeight="1">
      <c r="B209" s="678" t="s">
        <v>7368</v>
      </c>
      <c r="C209" s="274"/>
      <c r="D209" s="161"/>
      <c r="E209" s="242">
        <v>8.98</v>
      </c>
      <c r="F209" s="99">
        <v>3</v>
      </c>
      <c r="G209" s="99">
        <v>1</v>
      </c>
      <c r="H209" s="99">
        <f>1.26+0.48</f>
        <v>1.74</v>
      </c>
      <c r="I209" s="41"/>
      <c r="J209" s="82"/>
      <c r="K209" s="679">
        <f>(E209*F209*G209)-H209</f>
        <v>25.200000000000003</v>
      </c>
      <c r="L209" s="149"/>
      <c r="N209" s="432"/>
      <c r="P209" s="84"/>
    </row>
    <row r="210" spans="1:16" s="353" customFormat="1" ht="17.25" customHeight="1">
      <c r="B210" s="625" t="s">
        <v>7409</v>
      </c>
      <c r="C210" s="274"/>
      <c r="D210" s="161"/>
      <c r="E210" s="242">
        <v>4.5</v>
      </c>
      <c r="F210" s="99">
        <v>1</v>
      </c>
      <c r="G210" s="99">
        <v>1</v>
      </c>
      <c r="H210" s="99"/>
      <c r="I210" s="41"/>
      <c r="J210" s="82"/>
      <c r="K210" s="130">
        <f>(E210*F210*G210)-H210</f>
        <v>4.5</v>
      </c>
      <c r="L210" s="149"/>
      <c r="N210" s="432"/>
      <c r="P210" s="84"/>
    </row>
    <row r="211" spans="1:16" ht="17.25" customHeight="1">
      <c r="A211" s="91"/>
      <c r="B211" s="678" t="s">
        <v>7369</v>
      </c>
      <c r="C211" s="274"/>
      <c r="D211" s="161"/>
      <c r="E211" s="242">
        <v>7.42</v>
      </c>
      <c r="F211" s="99">
        <v>2.7</v>
      </c>
      <c r="G211" s="99">
        <v>1</v>
      </c>
      <c r="H211" s="99">
        <f>1.26+0.48</f>
        <v>1.74</v>
      </c>
      <c r="I211" s="41"/>
      <c r="J211" s="82"/>
      <c r="K211" s="679">
        <f t="shared" si="8"/>
        <v>18.294000000000004</v>
      </c>
      <c r="L211" s="149"/>
      <c r="N211" s="432"/>
      <c r="P211" s="84"/>
    </row>
    <row r="212" spans="1:16" ht="17.25" customHeight="1">
      <c r="B212" s="441" t="s">
        <v>5464</v>
      </c>
      <c r="C212" s="274"/>
      <c r="D212" s="161"/>
      <c r="E212" s="242">
        <f>0.77+0.58+5.32+7.35+0.35+7.35+7.47+0.64+0.72+0.05+6.93+0.64+0.39+0.3+1.06+1.08+2.24+0.84</f>
        <v>44.080000000000005</v>
      </c>
      <c r="F212" s="99">
        <v>1.2</v>
      </c>
      <c r="G212" s="99">
        <v>1</v>
      </c>
      <c r="H212" s="99"/>
      <c r="I212" s="41"/>
      <c r="J212" s="82"/>
      <c r="K212" s="130">
        <f t="shared" si="8"/>
        <v>52.896000000000008</v>
      </c>
      <c r="L212" s="149"/>
      <c r="N212" s="432"/>
      <c r="P212" s="683">
        <f t="shared" ref="P212:P217" si="10">(K212/F212)*3</f>
        <v>132.24</v>
      </c>
    </row>
    <row r="213" spans="1:16" ht="17.25" customHeight="1">
      <c r="B213" s="441" t="s">
        <v>5465</v>
      </c>
      <c r="C213" s="274"/>
      <c r="D213" s="161"/>
      <c r="E213" s="242">
        <f>1.54+2.89+0.2+2.67+1.47+9.12+0.35+7.35+7.1+0.75+0.86+0.75+0.75+0.05+7.35+7.33+4.33</f>
        <v>54.86</v>
      </c>
      <c r="F213" s="99">
        <v>1.2</v>
      </c>
      <c r="G213" s="99">
        <v>1</v>
      </c>
      <c r="H213" s="99"/>
      <c r="I213" s="41"/>
      <c r="J213" s="82"/>
      <c r="K213" s="130">
        <f t="shared" si="8"/>
        <v>65.831999999999994</v>
      </c>
      <c r="L213" s="149"/>
      <c r="N213" s="432"/>
      <c r="P213" s="683">
        <f t="shared" si="10"/>
        <v>164.57999999999998</v>
      </c>
    </row>
    <row r="214" spans="1:16" ht="17.25" customHeight="1">
      <c r="B214" s="678" t="s">
        <v>5534</v>
      </c>
      <c r="C214" s="274"/>
      <c r="D214" s="161"/>
      <c r="E214" s="242">
        <f>0.15+0.3+6.87+0.3+0.15</f>
        <v>7.7700000000000005</v>
      </c>
      <c r="F214" s="99">
        <v>1.6</v>
      </c>
      <c r="G214" s="99">
        <v>1</v>
      </c>
      <c r="H214" s="99"/>
      <c r="I214" s="41"/>
      <c r="J214" s="82"/>
      <c r="K214" s="679">
        <f t="shared" si="8"/>
        <v>12.432000000000002</v>
      </c>
      <c r="L214" s="149"/>
      <c r="N214" s="432"/>
      <c r="P214" s="683">
        <f t="shared" si="10"/>
        <v>23.310000000000002</v>
      </c>
    </row>
    <row r="215" spans="1:16" s="353" customFormat="1" ht="17.25" customHeight="1">
      <c r="B215" s="678" t="s">
        <v>7370</v>
      </c>
      <c r="C215" s="274"/>
      <c r="D215" s="161"/>
      <c r="E215" s="242">
        <f>0.13+1.08+6.07+0+0.85</f>
        <v>8.1300000000000008</v>
      </c>
      <c r="F215" s="99">
        <v>1.2</v>
      </c>
      <c r="G215" s="99">
        <v>1</v>
      </c>
      <c r="H215" s="99"/>
      <c r="I215" s="41"/>
      <c r="J215" s="82"/>
      <c r="K215" s="679">
        <f t="shared" si="8"/>
        <v>9.7560000000000002</v>
      </c>
      <c r="L215" s="149"/>
      <c r="N215" s="432"/>
      <c r="P215" s="683">
        <f t="shared" si="10"/>
        <v>24.39</v>
      </c>
    </row>
    <row r="216" spans="1:16" s="353" customFormat="1" ht="17.25" customHeight="1">
      <c r="B216" s="464" t="s">
        <v>7095</v>
      </c>
      <c r="C216" s="274"/>
      <c r="D216" s="161"/>
      <c r="E216" s="242">
        <v>12</v>
      </c>
      <c r="F216" s="99">
        <v>0.5</v>
      </c>
      <c r="G216" s="99">
        <v>1</v>
      </c>
      <c r="H216" s="99"/>
      <c r="I216" s="41"/>
      <c r="J216" s="82"/>
      <c r="K216" s="130">
        <f>(E216*F216*G216)-H216</f>
        <v>6</v>
      </c>
      <c r="L216" s="149"/>
      <c r="N216" s="432"/>
      <c r="P216" s="683">
        <f t="shared" si="10"/>
        <v>36</v>
      </c>
    </row>
    <row r="217" spans="1:16" s="353" customFormat="1" ht="17.25" customHeight="1">
      <c r="B217" s="678" t="s">
        <v>7371</v>
      </c>
      <c r="C217" s="274"/>
      <c r="D217" s="161"/>
      <c r="E217" s="242">
        <v>6.35</v>
      </c>
      <c r="F217" s="99">
        <v>1.2</v>
      </c>
      <c r="G217" s="99">
        <v>1</v>
      </c>
      <c r="H217" s="99"/>
      <c r="I217" s="41"/>
      <c r="J217" s="82"/>
      <c r="K217" s="679">
        <f>(E217*F217*G217)-H217</f>
        <v>7.6199999999999992</v>
      </c>
      <c r="L217" s="149"/>
      <c r="N217" s="432"/>
      <c r="P217" s="683">
        <f t="shared" si="10"/>
        <v>19.049999999999997</v>
      </c>
    </row>
    <row r="218" spans="1:16" s="353" customFormat="1" ht="17.25" customHeight="1">
      <c r="B218" s="625" t="s">
        <v>7410</v>
      </c>
      <c r="C218" s="274"/>
      <c r="D218" s="161"/>
      <c r="E218" s="242">
        <v>7.82</v>
      </c>
      <c r="F218" s="99">
        <v>1</v>
      </c>
      <c r="G218" s="99">
        <v>1</v>
      </c>
      <c r="H218" s="99"/>
      <c r="I218" s="41"/>
      <c r="J218" s="82"/>
      <c r="K218" s="130">
        <f>(E218*F218*G218)-H218</f>
        <v>7.82</v>
      </c>
      <c r="L218" s="149"/>
      <c r="M218" s="84"/>
      <c r="N218" s="432"/>
      <c r="P218" s="683">
        <f>169.35*3</f>
        <v>508.04999999999995</v>
      </c>
    </row>
    <row r="219" spans="1:16" ht="17.25" customHeight="1">
      <c r="B219" s="441"/>
      <c r="C219" s="274"/>
      <c r="D219" s="161"/>
      <c r="E219" s="81"/>
      <c r="F219" s="41"/>
      <c r="G219" s="41"/>
      <c r="H219" s="41"/>
      <c r="I219" s="41"/>
      <c r="J219" s="82"/>
      <c r="K219" s="130"/>
      <c r="L219" s="149"/>
      <c r="M219" s="84"/>
      <c r="N219" s="432"/>
      <c r="P219" s="62"/>
    </row>
    <row r="220" spans="1:16" s="353" customFormat="1" ht="15" customHeight="1">
      <c r="B220" s="441"/>
      <c r="C220" s="274">
        <v>97631</v>
      </c>
      <c r="D220" s="161" t="s">
        <v>6</v>
      </c>
      <c r="E220" s="833" t="str">
        <f>IFERROR(VLOOKUP($C220,'SINAPI FEVEREIRO 2022'!$1:$1048576,2,0),IFERROR(VLOOKUP($C220,'5-COMP. PROPRIA'!$B$38:$I$647,4,0),""))</f>
        <v>DEMOLIÇÃO DE ARGAMASSAS, DE FORMA MANUAL, SEM REAPROVEITAMENTO. AF_12/2017</v>
      </c>
      <c r="F220" s="834"/>
      <c r="G220" s="834"/>
      <c r="H220" s="834"/>
      <c r="I220" s="834"/>
      <c r="J220" s="835"/>
      <c r="K220" s="640">
        <f>K182</f>
        <v>920.02799999999991</v>
      </c>
      <c r="L220" s="39" t="str">
        <f>IFERROR(VLOOKUP($C220,'SINAPI FEVEREIRO 2022'!$1:$1048576,3,0),IFERROR(VLOOKUP($C220,'5-COMP. PROPRIA'!$B$1:$I$647,5,0),""))</f>
        <v>M2</v>
      </c>
      <c r="M220" s="79">
        <f>K220*0.01</f>
        <v>9.2002799999999993</v>
      </c>
      <c r="N220" s="432" t="s">
        <v>22</v>
      </c>
    </row>
    <row r="221" spans="1:16" s="353" customFormat="1" ht="17.25" customHeight="1">
      <c r="B221" s="441"/>
      <c r="C221" s="274"/>
      <c r="D221" s="161"/>
      <c r="E221" s="81"/>
      <c r="F221" s="41"/>
      <c r="G221" s="41"/>
      <c r="H221" s="41"/>
      <c r="I221" s="41"/>
      <c r="J221" s="82"/>
      <c r="K221" s="130"/>
      <c r="L221" s="149"/>
      <c r="M221" s="84"/>
      <c r="N221" s="432"/>
    </row>
    <row r="222" spans="1:16" ht="15" customHeight="1">
      <c r="B222" s="441"/>
      <c r="C222" s="275" t="str">
        <f>'5-COMP. PROPRIA'!B44</f>
        <v>CP-DEM-03</v>
      </c>
      <c r="D222" s="161" t="s">
        <v>6172</v>
      </c>
      <c r="E222" s="833" t="str">
        <f>IFERROR(VLOOKUP($C222,'SINAPI FEVEREIRO 2022'!$1:$1048576,2,0),IFERROR(VLOOKUP($C222,'5-COMP. PROPRIA'!$B$1:$I$647,4,0),""))</f>
        <v>ESGOTAMENTO, DEMOLIÇÃO E RETIRADA DE FOSSA</v>
      </c>
      <c r="F222" s="834"/>
      <c r="G222" s="834"/>
      <c r="H222" s="834"/>
      <c r="I222" s="834"/>
      <c r="J222" s="835"/>
      <c r="K222" s="127">
        <v>1</v>
      </c>
      <c r="L222" s="39" t="str">
        <f>IFERROR(VLOOKUP($C222,'SINAPI FEVEREIRO 2022'!$1:$1048576,3,0),IFERROR(VLOOKUP($C222,'5-COMP. PROPRIA'!$B$1:$I$647,5,0),""))</f>
        <v>UN</v>
      </c>
      <c r="M222" s="37">
        <f>K222*1</f>
        <v>1</v>
      </c>
      <c r="N222" s="432" t="s">
        <v>22</v>
      </c>
      <c r="P222" s="353"/>
    </row>
    <row r="223" spans="1:16" s="353" customFormat="1" ht="15" customHeight="1">
      <c r="B223" s="464"/>
      <c r="C223" s="275"/>
      <c r="D223" s="161"/>
      <c r="E223" s="461"/>
      <c r="F223" s="462"/>
      <c r="G223" s="462"/>
      <c r="H223" s="462"/>
      <c r="I223" s="462"/>
      <c r="J223" s="463"/>
      <c r="K223" s="127"/>
      <c r="L223" s="39"/>
      <c r="M223" s="37"/>
      <c r="N223" s="432"/>
    </row>
    <row r="224" spans="1:16" s="353" customFormat="1" ht="15" customHeight="1">
      <c r="B224" s="441" t="s">
        <v>7080</v>
      </c>
      <c r="C224" s="275">
        <v>98535</v>
      </c>
      <c r="D224" s="161" t="s">
        <v>6</v>
      </c>
      <c r="E224" s="833" t="str">
        <f>IFERROR(VLOOKUP($C224,'SINAPI FEVEREIRO 2022'!$1:$1048576,2,0),IFERROR(VLOOKUP($C224,'5-COMP. PROPRIA'!$B$1:$I$647,4,0),""))</f>
        <v>PODA EM ALTURA DE ÁRVORE COM DIÂMETRO DE TRONCO MAIOR OU IGUAL A 0,60 M.AF_05/2018</v>
      </c>
      <c r="F224" s="834"/>
      <c r="G224" s="834"/>
      <c r="H224" s="834"/>
      <c r="I224" s="834"/>
      <c r="J224" s="835"/>
      <c r="K224" s="127">
        <v>8</v>
      </c>
      <c r="L224" s="39" t="str">
        <f>IFERROR(VLOOKUP($C224,'SINAPI FEVEREIRO 2022'!$1:$1048576,3,0),IFERROR(VLOOKUP($C224,'5-COMP. PROPRIA'!$B$1:$I$647,5,0),""))</f>
        <v>UN</v>
      </c>
      <c r="M224" s="37">
        <f>K224*1</f>
        <v>8</v>
      </c>
      <c r="N224" s="432" t="s">
        <v>22</v>
      </c>
    </row>
    <row r="225" spans="2:14" s="353" customFormat="1" ht="15" customHeight="1">
      <c r="B225" s="441"/>
      <c r="C225" s="275"/>
      <c r="D225" s="161"/>
      <c r="E225" s="415"/>
      <c r="F225" s="416"/>
      <c r="G225" s="416"/>
      <c r="H225" s="416"/>
      <c r="I225" s="416"/>
      <c r="J225" s="417"/>
      <c r="K225" s="127"/>
      <c r="L225" s="39"/>
      <c r="M225" s="37"/>
      <c r="N225" s="432"/>
    </row>
    <row r="226" spans="2:14" s="353" customFormat="1" ht="24.75" customHeight="1">
      <c r="B226" s="441" t="s">
        <v>7081</v>
      </c>
      <c r="C226" s="275">
        <v>98531</v>
      </c>
      <c r="D226" s="161" t="s">
        <v>6</v>
      </c>
      <c r="E226" s="833" t="str">
        <f>IFERROR(VLOOKUP($C226,'SINAPI FEVEREIRO 2022'!$1:$1048576,2,0),IFERROR(VLOOKUP($C226,'5-COMP. PROPRIA'!$B$1:$I$647,4,0),""))</f>
        <v>CORTE RASO E RECORTE DE ÁRVORE COM DIÂMETRO DE TRONCO MAIOR OU IGUAL A 0,60 M.AF_05/2018</v>
      </c>
      <c r="F226" s="834"/>
      <c r="G226" s="834"/>
      <c r="H226" s="834"/>
      <c r="I226" s="834"/>
      <c r="J226" s="835"/>
      <c r="K226" s="127">
        <v>10</v>
      </c>
      <c r="L226" s="39" t="str">
        <f>IFERROR(VLOOKUP($C226,'SINAPI FEVEREIRO 2022'!$1:$1048576,3,0),IFERROR(VLOOKUP($C226,'5-COMP. PROPRIA'!$B$1:$I$647,5,0),""))</f>
        <v>UN</v>
      </c>
      <c r="M226" s="79">
        <f>K226*0.5</f>
        <v>5</v>
      </c>
      <c r="N226" s="432" t="s">
        <v>22</v>
      </c>
    </row>
    <row r="227" spans="2:14" s="353" customFormat="1" ht="15" customHeight="1">
      <c r="B227" s="441"/>
      <c r="C227" s="275"/>
      <c r="D227" s="161"/>
      <c r="E227" s="415"/>
      <c r="F227" s="416"/>
      <c r="G227" s="416"/>
      <c r="H227" s="416"/>
      <c r="I227" s="416"/>
      <c r="J227" s="417"/>
      <c r="K227" s="127"/>
      <c r="L227" s="39"/>
      <c r="M227" s="79"/>
      <c r="N227" s="432"/>
    </row>
    <row r="228" spans="2:14" s="353" customFormat="1" ht="32.25" customHeight="1">
      <c r="B228" s="441" t="s">
        <v>7081</v>
      </c>
      <c r="C228" s="275">
        <v>98528</v>
      </c>
      <c r="D228" s="161" t="s">
        <v>6</v>
      </c>
      <c r="E228" s="833" t="str">
        <f>IFERROR(VLOOKUP($C228,'SINAPI FEVEREIRO 2022'!$1:$1048576,2,0),IFERROR(VLOOKUP($C228,'5-COMP. PROPRIA'!$B$1:$I$647,4,0),""))</f>
        <v>REMOÇÃO DE RAÍZES REMANESCENTES DE TRONCO DE ÁRVORE COM DIÂMETRO MAIOR OU IGUAL A 0,60 M.AF_05/2018</v>
      </c>
      <c r="F228" s="834"/>
      <c r="G228" s="834"/>
      <c r="H228" s="834"/>
      <c r="I228" s="834"/>
      <c r="J228" s="835"/>
      <c r="K228" s="127">
        <f>K226</f>
        <v>10</v>
      </c>
      <c r="L228" s="39" t="str">
        <f>IFERROR(VLOOKUP($C228,'SINAPI FEVEREIRO 2022'!$1:$1048576,3,0),IFERROR(VLOOKUP($C228,'5-COMP. PROPRIA'!$B$1:$I$647,5,0),""))</f>
        <v>UN</v>
      </c>
      <c r="M228" s="79">
        <f>K228*1</f>
        <v>10</v>
      </c>
      <c r="N228" s="432" t="s">
        <v>22</v>
      </c>
    </row>
    <row r="229" spans="2:14" s="353" customFormat="1" ht="15" customHeight="1">
      <c r="B229" s="464"/>
      <c r="C229" s="275"/>
      <c r="D229" s="161"/>
      <c r="E229" s="461"/>
      <c r="F229" s="462"/>
      <c r="G229" s="462"/>
      <c r="H229" s="462"/>
      <c r="I229" s="462"/>
      <c r="J229" s="463"/>
      <c r="K229" s="127"/>
      <c r="L229" s="39"/>
      <c r="M229" s="80"/>
      <c r="N229" s="432"/>
    </row>
    <row r="230" spans="2:14" s="353" customFormat="1" ht="15">
      <c r="B230" s="464"/>
      <c r="C230" s="275" t="str">
        <f>'5-COMP. PROPRIA'!B58</f>
        <v>CP-DEM-05</v>
      </c>
      <c r="D230" s="161" t="s">
        <v>641</v>
      </c>
      <c r="E230" s="833" t="str">
        <f>IFERROR(VLOOKUP($C230,'SINAPI FEVEREIRO 2022'!$1:$1048576,2,0),IFERROR(VLOOKUP($C230,'5-COMP. PROPRIA'!$B$1:$I$647,4,0),""))</f>
        <v>REMOÇÃO DE BRINQUEDOS SEM REAPROVEITAMENTO</v>
      </c>
      <c r="F230" s="834"/>
      <c r="G230" s="834"/>
      <c r="H230" s="834"/>
      <c r="I230" s="834"/>
      <c r="J230" s="835"/>
      <c r="K230" s="127">
        <v>3</v>
      </c>
      <c r="L230" s="39" t="str">
        <f>IFERROR(VLOOKUP($C230,'SINAPI FEVEREIRO 2022'!$1:$1048576,3,0),IFERROR(VLOOKUP($C230,'5-COMP. PROPRIA'!$B$1:$I$647,5,0),""))</f>
        <v>UN</v>
      </c>
      <c r="M230" s="499">
        <f>K230</f>
        <v>3</v>
      </c>
      <c r="N230" s="432" t="s">
        <v>22</v>
      </c>
    </row>
    <row r="231" spans="2:14" s="353" customFormat="1" ht="16.5" customHeight="1">
      <c r="B231" s="464"/>
      <c r="C231" s="275"/>
      <c r="D231" s="161"/>
      <c r="E231" s="461"/>
      <c r="F231" s="462"/>
      <c r="G231" s="462"/>
      <c r="H231" s="462"/>
      <c r="I231" s="462"/>
      <c r="J231" s="463"/>
      <c r="K231" s="127"/>
      <c r="L231" s="39"/>
      <c r="M231" s="80"/>
      <c r="N231" s="432"/>
    </row>
    <row r="232" spans="2:14" s="353" customFormat="1" ht="15">
      <c r="B232" s="464"/>
      <c r="C232" s="275" t="str">
        <f>'5-COMP. PROPRIA'!B61</f>
        <v>CP-DEM-06</v>
      </c>
      <c r="D232" s="161" t="s">
        <v>641</v>
      </c>
      <c r="E232" s="833" t="str">
        <f>IFERROR(VLOOKUP($C232,'SINAPI FEVEREIRO 2022'!$1:$1048576,2,0),IFERROR(VLOOKUP($C232,'5-COMP. PROPRIA'!$B$1:$I$647,4,0),""))</f>
        <v>REMOÇÃO DE CONJUNTO DE BANCOS E MESAS DE CONCRETO SEM REAPROVEITAMENTO</v>
      </c>
      <c r="F232" s="834"/>
      <c r="G232" s="834"/>
      <c r="H232" s="834"/>
      <c r="I232" s="834"/>
      <c r="J232" s="835"/>
      <c r="K232" s="127">
        <v>5</v>
      </c>
      <c r="L232" s="39" t="str">
        <f>IFERROR(VLOOKUP($C232,'SINAPI FEVEREIRO 2022'!$1:$1048576,3,0),IFERROR(VLOOKUP($C232,'5-COMP. PROPRIA'!$B$1:$I$647,5,0),""))</f>
        <v>UN</v>
      </c>
      <c r="M232" s="79">
        <f>K232*1</f>
        <v>5</v>
      </c>
      <c r="N232" s="432" t="s">
        <v>22</v>
      </c>
    </row>
    <row r="233" spans="2:14" s="353" customFormat="1" ht="15">
      <c r="B233" s="464"/>
      <c r="C233" s="275"/>
      <c r="D233" s="161"/>
      <c r="E233" s="461"/>
      <c r="F233" s="462"/>
      <c r="G233" s="462"/>
      <c r="H233" s="462"/>
      <c r="I233" s="462"/>
      <c r="J233" s="463"/>
      <c r="K233" s="127"/>
      <c r="L233" s="39"/>
      <c r="M233" s="80"/>
      <c r="N233" s="432"/>
    </row>
    <row r="234" spans="2:14" s="353" customFormat="1" ht="15">
      <c r="B234" s="464"/>
      <c r="C234" s="275" t="str">
        <f>'5-COMP. PROPRIA'!B64</f>
        <v>CP-DEM-07</v>
      </c>
      <c r="D234" s="161" t="s">
        <v>641</v>
      </c>
      <c r="E234" s="833" t="str">
        <f>IFERROR(VLOOKUP($C234,'SINAPI FEVEREIRO 2022'!$1:$1048576,2,0),IFERROR(VLOOKUP($C234,'5-COMP. PROPRIA'!$B$1:$I$647,4,0),""))</f>
        <v>REMOÇÃO DE TOLDO SEM REAPROVEITAMENTO</v>
      </c>
      <c r="F234" s="834"/>
      <c r="G234" s="834"/>
      <c r="H234" s="834"/>
      <c r="I234" s="834"/>
      <c r="J234" s="835"/>
      <c r="K234" s="127">
        <v>3</v>
      </c>
      <c r="L234" s="39" t="str">
        <f>IFERROR(VLOOKUP($C234,'SINAPI FEVEREIRO 2022'!$1:$1048576,3,0),IFERROR(VLOOKUP($C234,'5-COMP. PROPRIA'!$B$1:$I$647,5,0),""))</f>
        <v>UN</v>
      </c>
      <c r="M234" s="79">
        <f>K234*0.5</f>
        <v>1.5</v>
      </c>
      <c r="N234" s="432" t="s">
        <v>22</v>
      </c>
    </row>
    <row r="235" spans="2:14" s="353" customFormat="1" ht="15">
      <c r="B235" s="625"/>
      <c r="C235" s="275"/>
      <c r="D235" s="161"/>
      <c r="E235" s="622"/>
      <c r="F235" s="623"/>
      <c r="G235" s="623"/>
      <c r="H235" s="623"/>
      <c r="I235" s="623"/>
      <c r="J235" s="624"/>
      <c r="K235" s="127"/>
      <c r="L235" s="39"/>
      <c r="M235" s="79"/>
      <c r="N235" s="432"/>
    </row>
    <row r="236" spans="2:14" s="353" customFormat="1" ht="15">
      <c r="B236" s="625"/>
      <c r="C236" s="275" t="str">
        <f>'5-COMP. PROPRIA'!B67</f>
        <v>CP-DEM-08</v>
      </c>
      <c r="D236" s="161" t="s">
        <v>641</v>
      </c>
      <c r="E236" s="833" t="str">
        <f>IFERROR(VLOOKUP($C236,'SINAPI FEVEREIRO 2022'!$1:$1048576,2,0),IFERROR(VLOOKUP($C236,'5-COMP. PROPRIA'!$B$1:$I$647,4,0),""))</f>
        <v>REMOÇÃO DA CAIXA D'AGUA 5000L SEM REAPROVEITAMENTO</v>
      </c>
      <c r="F236" s="834"/>
      <c r="G236" s="834"/>
      <c r="H236" s="834"/>
      <c r="I236" s="834"/>
      <c r="J236" s="835"/>
      <c r="K236" s="127">
        <v>1</v>
      </c>
      <c r="L236" s="39" t="str">
        <f>IFERROR(VLOOKUP($C236,'SINAPI FEVEREIRO 2022'!$1:$1048576,3,0),IFERROR(VLOOKUP($C236,'5-COMP. PROPRIA'!$B$1:$I$647,5,0),""))</f>
        <v>UN</v>
      </c>
      <c r="M236" s="79">
        <f>K236*0.5</f>
        <v>0.5</v>
      </c>
      <c r="N236" s="432" t="s">
        <v>22</v>
      </c>
    </row>
    <row r="237" spans="2:14" s="353" customFormat="1" ht="15">
      <c r="B237" s="625"/>
      <c r="C237" s="275"/>
      <c r="D237" s="161"/>
      <c r="E237" s="622"/>
      <c r="F237" s="623"/>
      <c r="G237" s="623"/>
      <c r="H237" s="623"/>
      <c r="I237" s="623"/>
      <c r="J237" s="624"/>
      <c r="K237" s="127"/>
      <c r="L237" s="39"/>
      <c r="M237" s="79"/>
      <c r="N237" s="432"/>
    </row>
    <row r="238" spans="2:14" s="353" customFormat="1" ht="15">
      <c r="B238" s="625"/>
      <c r="C238" s="275" t="str">
        <f>'5-COMP. PROPRIA'!B71</f>
        <v>CP-DEM-09</v>
      </c>
      <c r="D238" s="161" t="s">
        <v>641</v>
      </c>
      <c r="E238" s="833" t="str">
        <f>IFERROR(VLOOKUP($C238,'SINAPI FEVEREIRO 2022'!$1:$1048576,2,0),IFERROR(VLOOKUP($C238,'5-COMP. PROPRIA'!$B$1:$I$647,4,0),""))</f>
        <v>REMOÇÃO DE PERGOLADO SEM REAPROVEITAMENTO</v>
      </c>
      <c r="F238" s="834"/>
      <c r="G238" s="834"/>
      <c r="H238" s="834"/>
      <c r="I238" s="834"/>
      <c r="J238" s="835"/>
      <c r="K238" s="127">
        <v>2</v>
      </c>
      <c r="L238" s="39" t="str">
        <f>IFERROR(VLOOKUP($C238,'SINAPI FEVEREIRO 2022'!$1:$1048576,3,0),IFERROR(VLOOKUP($C238,'5-COMP. PROPRIA'!$B$1:$I$647,5,0),""))</f>
        <v>UN</v>
      </c>
      <c r="M238" s="79">
        <f>K238*0.5</f>
        <v>1</v>
      </c>
      <c r="N238" s="432" t="s">
        <v>22</v>
      </c>
    </row>
    <row r="239" spans="2:14" s="353" customFormat="1" ht="15">
      <c r="B239" s="625"/>
      <c r="C239" s="275"/>
      <c r="D239" s="161"/>
      <c r="E239" s="622"/>
      <c r="F239" s="623"/>
      <c r="G239" s="623"/>
      <c r="H239" s="623"/>
      <c r="I239" s="623"/>
      <c r="J239" s="624"/>
      <c r="K239" s="127"/>
      <c r="L239" s="39"/>
      <c r="M239" s="79"/>
      <c r="N239" s="432"/>
    </row>
    <row r="240" spans="2:14" s="353" customFormat="1" ht="15">
      <c r="B240" s="625"/>
      <c r="C240" s="275" t="str">
        <f>'5-COMP. PROPRIA'!B75</f>
        <v>CP-DEM-10</v>
      </c>
      <c r="D240" s="161" t="s">
        <v>641</v>
      </c>
      <c r="E240" s="833" t="str">
        <f>IFERROR(VLOOKUP($C240,'SINAPI FEVEREIRO 2022'!$1:$1048576,2,0),IFERROR(VLOOKUP($C240,'5-COMP. PROPRIA'!$B$1:$I$647,4,0),""))</f>
        <v>REMOÇÃO DE ALAMBRADO SEM REAPROVEITAMENTO</v>
      </c>
      <c r="F240" s="834"/>
      <c r="G240" s="834"/>
      <c r="H240" s="834"/>
      <c r="I240" s="834"/>
      <c r="J240" s="835"/>
      <c r="K240" s="127">
        <f>SUM(K242:K244)</f>
        <v>85.100000000000009</v>
      </c>
      <c r="L240" s="39" t="str">
        <f>IFERROR(VLOOKUP($C240,'SINAPI FEVEREIRO 2022'!$1:$1048576,3,0),IFERROR(VLOOKUP($C240,'5-COMP. PROPRIA'!$B$1:$I$647,5,0),""))</f>
        <v>M2</v>
      </c>
      <c r="M240" s="79">
        <f>K240*0.5</f>
        <v>42.550000000000004</v>
      </c>
      <c r="N240" s="432" t="s">
        <v>22</v>
      </c>
    </row>
    <row r="241" spans="2:16" s="353" customFormat="1" ht="15">
      <c r="B241" s="625"/>
      <c r="C241" s="275"/>
      <c r="D241" s="161"/>
      <c r="E241" s="54" t="s">
        <v>644</v>
      </c>
      <c r="F241" s="627" t="s">
        <v>645</v>
      </c>
      <c r="G241" s="623"/>
      <c r="H241" s="623"/>
      <c r="I241" s="623"/>
      <c r="J241" s="624"/>
      <c r="K241" s="127"/>
      <c r="L241" s="39"/>
      <c r="M241" s="79"/>
      <c r="N241" s="432"/>
      <c r="P241" s="62"/>
    </row>
    <row r="242" spans="2:16" s="353" customFormat="1" ht="14.25">
      <c r="B242" s="625"/>
      <c r="C242" s="275"/>
      <c r="D242" s="161"/>
      <c r="E242" s="257">
        <v>20.100000000000001</v>
      </c>
      <c r="F242" s="259">
        <v>3</v>
      </c>
      <c r="G242" s="623"/>
      <c r="H242" s="623"/>
      <c r="I242" s="623"/>
      <c r="J242" s="624"/>
      <c r="K242" s="49">
        <f>E242*F242</f>
        <v>60.300000000000004</v>
      </c>
      <c r="L242" s="39"/>
      <c r="M242" s="79"/>
      <c r="N242" s="432"/>
      <c r="P242" s="62"/>
    </row>
    <row r="243" spans="2:16" s="353" customFormat="1" ht="14.25">
      <c r="B243" s="625"/>
      <c r="C243" s="275"/>
      <c r="D243" s="161"/>
      <c r="E243" s="257">
        <v>12.4</v>
      </c>
      <c r="F243" s="259">
        <v>1</v>
      </c>
      <c r="G243" s="623"/>
      <c r="H243" s="623"/>
      <c r="I243" s="623"/>
      <c r="J243" s="624"/>
      <c r="K243" s="49">
        <f t="shared" ref="K243:K244" si="11">E243*F243</f>
        <v>12.4</v>
      </c>
      <c r="L243" s="39"/>
      <c r="M243" s="79"/>
      <c r="N243" s="432"/>
      <c r="P243" s="62"/>
    </row>
    <row r="244" spans="2:16" s="353" customFormat="1" ht="14.25">
      <c r="B244" s="625"/>
      <c r="C244" s="275"/>
      <c r="D244" s="161"/>
      <c r="E244" s="257">
        <v>12.4</v>
      </c>
      <c r="F244" s="259">
        <v>1</v>
      </c>
      <c r="G244" s="623"/>
      <c r="H244" s="623"/>
      <c r="I244" s="623"/>
      <c r="J244" s="624"/>
      <c r="K244" s="49">
        <f t="shared" si="11"/>
        <v>12.4</v>
      </c>
      <c r="L244" s="39"/>
      <c r="M244" s="79"/>
      <c r="N244" s="432"/>
      <c r="P244" s="62"/>
    </row>
    <row r="245" spans="2:16" s="353" customFormat="1" ht="17.25" customHeight="1">
      <c r="B245" s="441"/>
      <c r="C245" s="274"/>
      <c r="D245" s="161"/>
      <c r="E245" s="81"/>
      <c r="F245" s="428"/>
      <c r="G245" s="428"/>
      <c r="H245" s="41"/>
      <c r="I245" s="41"/>
      <c r="J245" s="76"/>
      <c r="K245" s="125"/>
      <c r="L245" s="149"/>
      <c r="M245" s="80"/>
      <c r="N245" s="432"/>
      <c r="P245" s="62"/>
    </row>
    <row r="246" spans="2:16" ht="33.75" customHeight="1">
      <c r="B246" s="441"/>
      <c r="C246" s="274">
        <v>100981</v>
      </c>
      <c r="D246" s="161" t="s">
        <v>6</v>
      </c>
      <c r="E246" s="833" t="str">
        <f>IFERROR(VLOOKUP($C246,'SINAPI FEVEREIRO 2022'!$1:$1048576,2,0),IFERROR(VLOOKUP($C246,'5-COMP. PROPRIA'!$B$38:$I$647,4,0),""))</f>
        <v>CARGA, MANOBRA E DESCARGA DE ENTULHO EM CAMINHÃO BASCULANTE 6 M³ - CARGA COM ESCAVADEIRA HIDRÁULICA  (CAÇAMBA DE 0,80 M³ / 111 HP) E DESCARGA LIVRE (UNIDADE: M3). AF_07/2020</v>
      </c>
      <c r="F246" s="834"/>
      <c r="G246" s="834"/>
      <c r="H246" s="834"/>
      <c r="I246" s="834"/>
      <c r="J246" s="835"/>
      <c r="K246" s="127">
        <f>SUM(K248:K248)</f>
        <v>1124.4281244000001</v>
      </c>
      <c r="L246" s="39" t="str">
        <f>IFERROR(VLOOKUP($C246,'SINAPI FEVEREIRO 2022'!$1:$1048576,3,0),IFERROR(VLOOKUP($C246,'5-COMP. PROPRIA'!$B$1:$I$647,5,0),""))</f>
        <v>M3</v>
      </c>
      <c r="M246" s="67"/>
      <c r="N246" s="478"/>
      <c r="P246" s="353"/>
    </row>
    <row r="247" spans="2:16" ht="32.25" customHeight="1">
      <c r="B247" s="434"/>
      <c r="C247" s="274"/>
      <c r="D247" s="161"/>
      <c r="E247" s="54" t="s">
        <v>618</v>
      </c>
      <c r="F247" s="428"/>
      <c r="G247" s="428"/>
      <c r="H247" s="418" t="s">
        <v>622</v>
      </c>
      <c r="I247" s="428"/>
      <c r="J247" s="66"/>
      <c r="K247" s="126"/>
      <c r="L247" s="149"/>
      <c r="M247" s="67"/>
      <c r="N247" s="478"/>
    </row>
    <row r="248" spans="2:16" ht="17.25" customHeight="1">
      <c r="B248" s="434"/>
      <c r="C248" s="274"/>
      <c r="D248" s="161"/>
      <c r="E248" s="240">
        <f>M36+M43+M48+M54+M71+M75+M79+M84+M88+M92+M96+M104+M115+M131+M138+M162+M169+M182+M220+M222+M224+M226+M228+M230+M232+M234</f>
        <v>845.43467999999996</v>
      </c>
      <c r="F248" s="42"/>
      <c r="G248" s="42"/>
      <c r="H248" s="258">
        <v>1.33</v>
      </c>
      <c r="I248" s="428"/>
      <c r="J248" s="48"/>
      <c r="K248" s="49">
        <f>H248*E248</f>
        <v>1124.4281244000001</v>
      </c>
      <c r="L248" s="149"/>
      <c r="M248" s="67"/>
      <c r="N248" s="478"/>
    </row>
    <row r="249" spans="2:16" ht="14.25">
      <c r="B249" s="441"/>
      <c r="C249" s="274"/>
      <c r="D249" s="161"/>
      <c r="E249" s="83"/>
      <c r="F249" s="41"/>
      <c r="G249" s="41"/>
      <c r="H249" s="41"/>
      <c r="I249" s="41"/>
      <c r="J249" s="82"/>
      <c r="K249" s="130"/>
      <c r="L249" s="149"/>
      <c r="M249" s="84"/>
      <c r="N249" s="432"/>
      <c r="P249" s="62"/>
    </row>
    <row r="250" spans="2:16" ht="32.25" customHeight="1">
      <c r="B250" s="441"/>
      <c r="C250" s="274">
        <v>97914</v>
      </c>
      <c r="D250" s="161" t="s">
        <v>6</v>
      </c>
      <c r="E250" s="833" t="str">
        <f>IFERROR(VLOOKUP($C250,'SINAPI FEVEREIRO 2022'!$1:$1048576,2,0),IFERROR(VLOOKUP($C250,'5-COMP. PROPRIA'!$B$38:$I$647,4,0),""))</f>
        <v>TRANSPORTE COM CAMINHÃO BASCULANTE DE 6 M³, EM VIA URBANA PAVIMENTADA, DMT ATÉ 30 KM (UNIDADE: M3XKM). AF_07/2020</v>
      </c>
      <c r="F250" s="834"/>
      <c r="G250" s="834"/>
      <c r="H250" s="834"/>
      <c r="I250" s="834"/>
      <c r="J250" s="835"/>
      <c r="K250" s="127">
        <f>K252</f>
        <v>11244.281244000002</v>
      </c>
      <c r="L250" s="39" t="str">
        <f>IFERROR(VLOOKUP($C250,'SINAPI FEVEREIRO 2022'!$1:$1048576,3,0),IFERROR(VLOOKUP($C250,'5-COMP. PROPRIA'!$B$1:$I$647,5,0),""))</f>
        <v>M3XKM</v>
      </c>
      <c r="M250" s="67"/>
      <c r="N250" s="478"/>
      <c r="P250" s="353"/>
    </row>
    <row r="251" spans="2:16" ht="36.75" customHeight="1">
      <c r="B251" s="434"/>
      <c r="C251" s="274"/>
      <c r="D251" s="161"/>
      <c r="E251" s="54" t="s">
        <v>618</v>
      </c>
      <c r="F251" s="428"/>
      <c r="G251" s="428"/>
      <c r="H251" s="418" t="s">
        <v>619</v>
      </c>
      <c r="I251" s="428"/>
      <c r="J251" s="66"/>
      <c r="K251" s="126"/>
      <c r="L251" s="149"/>
      <c r="M251" s="67"/>
      <c r="N251" s="478"/>
    </row>
    <row r="252" spans="2:16" ht="17.25" customHeight="1">
      <c r="B252" s="434"/>
      <c r="C252" s="274"/>
      <c r="D252" s="161"/>
      <c r="E252" s="240">
        <f>K246</f>
        <v>1124.4281244000001</v>
      </c>
      <c r="F252" s="42"/>
      <c r="G252" s="42"/>
      <c r="H252" s="258">
        <v>10</v>
      </c>
      <c r="I252" s="428"/>
      <c r="J252" s="48"/>
      <c r="K252" s="49">
        <f>H252*E252</f>
        <v>11244.281244000002</v>
      </c>
      <c r="L252" s="149"/>
      <c r="M252" s="67"/>
      <c r="N252" s="478"/>
    </row>
    <row r="253" spans="2:16" ht="15" thickBot="1">
      <c r="B253" s="441"/>
      <c r="C253" s="274"/>
      <c r="D253" s="161"/>
      <c r="E253" s="83"/>
      <c r="F253" s="41"/>
      <c r="G253" s="41"/>
      <c r="H253" s="41"/>
      <c r="I253" s="41"/>
      <c r="J253" s="82"/>
      <c r="K253" s="130"/>
      <c r="L253" s="149"/>
      <c r="M253" s="84"/>
      <c r="N253" s="432"/>
      <c r="P253" s="62"/>
    </row>
    <row r="254" spans="2:16" ht="17.25" customHeight="1" thickBot="1">
      <c r="B254" s="471"/>
      <c r="C254" s="274"/>
      <c r="D254" s="161"/>
      <c r="E254" s="857" t="s">
        <v>611</v>
      </c>
      <c r="F254" s="858"/>
      <c r="G254" s="858"/>
      <c r="H254" s="858"/>
      <c r="I254" s="858"/>
      <c r="J254" s="859"/>
      <c r="K254" s="125"/>
      <c r="L254" s="149"/>
      <c r="M254" s="61"/>
      <c r="N254" s="70"/>
    </row>
    <row r="255" spans="2:16" ht="17.25" customHeight="1">
      <c r="B255" s="434"/>
      <c r="C255" s="274"/>
      <c r="D255" s="161"/>
      <c r="E255" s="455"/>
      <c r="F255" s="454"/>
      <c r="G255" s="454"/>
      <c r="H255" s="454"/>
      <c r="I255" s="454"/>
      <c r="J255" s="456"/>
      <c r="K255" s="49"/>
      <c r="L255" s="149"/>
      <c r="M255" s="67"/>
      <c r="N255" s="478"/>
    </row>
    <row r="256" spans="2:16" ht="24.75" customHeight="1">
      <c r="B256" s="434"/>
      <c r="C256" s="275">
        <v>94319</v>
      </c>
      <c r="D256" s="161" t="s">
        <v>6</v>
      </c>
      <c r="E256" s="833" t="str">
        <f>IFERROR(VLOOKUP($C256,'SINAPI FEVEREIRO 2022'!$1:$1048576,2,0),IFERROR(VLOOKUP($C256,'5-COMP. PROPRIA'!$B$38:$I$647,4,0),""))</f>
        <v>ATERRO MANUAL DE VALAS COM SOLO ARGILO-ARENOSO E COMPACTAÇÃO MECANIZADA. AF_05/2016</v>
      </c>
      <c r="F256" s="834"/>
      <c r="G256" s="834"/>
      <c r="H256" s="834"/>
      <c r="I256" s="834"/>
      <c r="J256" s="835"/>
      <c r="K256" s="127">
        <f>SUM(K258:K262)</f>
        <v>163.9795</v>
      </c>
      <c r="L256" s="39" t="str">
        <f>IFERROR(VLOOKUP($C256,'SINAPI FEVEREIRO 2022'!$1:$1048576,3,0),IFERROR(VLOOKUP($C256,'5-COMP. PROPRIA'!$B$1:$I$647,5,0),""))</f>
        <v>M3</v>
      </c>
      <c r="M256" s="264"/>
      <c r="N256" s="432"/>
      <c r="O256" s="74"/>
      <c r="P256" s="90"/>
    </row>
    <row r="257" spans="2:16" ht="17.25" customHeight="1">
      <c r="B257" s="434"/>
      <c r="C257" s="274"/>
      <c r="D257" s="161"/>
      <c r="E257" s="54" t="s">
        <v>644</v>
      </c>
      <c r="F257" s="418" t="s">
        <v>645</v>
      </c>
      <c r="G257" s="427" t="s">
        <v>617</v>
      </c>
      <c r="H257" s="419"/>
      <c r="I257" s="419"/>
      <c r="J257" s="429"/>
      <c r="K257" s="49"/>
      <c r="L257" s="149"/>
      <c r="M257" s="67"/>
      <c r="N257" s="478"/>
      <c r="O257" s="74"/>
    </row>
    <row r="258" spans="2:16" ht="17.25" customHeight="1">
      <c r="B258" s="434" t="s">
        <v>5484</v>
      </c>
      <c r="C258" s="274"/>
      <c r="D258" s="161"/>
      <c r="E258" s="257">
        <v>200</v>
      </c>
      <c r="F258" s="259">
        <v>1</v>
      </c>
      <c r="G258" s="259">
        <v>0.1</v>
      </c>
      <c r="H258" s="41"/>
      <c r="I258" s="41"/>
      <c r="J258" s="429"/>
      <c r="K258" s="49">
        <f>E258*F258*G258</f>
        <v>20</v>
      </c>
      <c r="L258" s="149"/>
      <c r="M258" s="67"/>
      <c r="N258" s="478"/>
      <c r="O258" s="74"/>
    </row>
    <row r="259" spans="2:16" s="353" customFormat="1" ht="17.25" customHeight="1">
      <c r="B259" s="434" t="s">
        <v>6966</v>
      </c>
      <c r="C259" s="274"/>
      <c r="D259" s="161"/>
      <c r="E259" s="257">
        <v>251.65</v>
      </c>
      <c r="F259" s="259">
        <v>1</v>
      </c>
      <c r="G259" s="259">
        <v>0.5</v>
      </c>
      <c r="H259" s="41"/>
      <c r="I259" s="41"/>
      <c r="J259" s="429"/>
      <c r="K259" s="49">
        <f>E259*F259*G259</f>
        <v>125.825</v>
      </c>
      <c r="L259" s="149"/>
      <c r="M259" s="67"/>
      <c r="N259" s="478"/>
      <c r="O259" s="74"/>
    </row>
    <row r="260" spans="2:16" s="353" customFormat="1" ht="17.25" customHeight="1">
      <c r="B260" s="434" t="s">
        <v>6967</v>
      </c>
      <c r="C260" s="274"/>
      <c r="D260" s="161"/>
      <c r="E260" s="257">
        <v>19.3</v>
      </c>
      <c r="F260" s="259">
        <v>1</v>
      </c>
      <c r="G260" s="259">
        <v>0.5</v>
      </c>
      <c r="H260" s="41"/>
      <c r="I260" s="41"/>
      <c r="J260" s="429"/>
      <c r="K260" s="49">
        <f>E260*F260*G260</f>
        <v>9.65</v>
      </c>
      <c r="L260" s="149"/>
      <c r="M260" s="67"/>
      <c r="N260" s="478"/>
      <c r="O260" s="74"/>
    </row>
    <row r="261" spans="2:16" ht="17.25" customHeight="1">
      <c r="B261" s="434" t="s">
        <v>5485</v>
      </c>
      <c r="C261" s="274"/>
      <c r="D261" s="161"/>
      <c r="E261" s="257">
        <v>9.56</v>
      </c>
      <c r="F261" s="99">
        <v>1</v>
      </c>
      <c r="G261" s="99">
        <v>0.5</v>
      </c>
      <c r="H261" s="41"/>
      <c r="I261" s="41"/>
      <c r="J261" s="429"/>
      <c r="K261" s="49">
        <f>E261*F261*G261</f>
        <v>4.78</v>
      </c>
      <c r="L261" s="149"/>
      <c r="M261" s="67"/>
      <c r="N261" s="478"/>
      <c r="O261" s="74"/>
    </row>
    <row r="262" spans="2:16" s="353" customFormat="1" ht="17.25" customHeight="1">
      <c r="B262" s="695" t="s">
        <v>7936</v>
      </c>
      <c r="C262" s="274"/>
      <c r="D262" s="161"/>
      <c r="E262" s="257">
        <v>5.73</v>
      </c>
      <c r="F262" s="99">
        <v>1</v>
      </c>
      <c r="G262" s="99">
        <v>0.65</v>
      </c>
      <c r="H262" s="41"/>
      <c r="I262" s="41"/>
      <c r="J262" s="652"/>
      <c r="K262" s="49">
        <f>E262*F262*G262</f>
        <v>3.7245000000000004</v>
      </c>
      <c r="L262" s="149"/>
      <c r="M262" s="67"/>
      <c r="N262" s="478"/>
      <c r="O262" s="74"/>
    </row>
    <row r="263" spans="2:16" ht="17.25" customHeight="1" thickBot="1">
      <c r="B263" s="434"/>
      <c r="C263" s="274"/>
      <c r="D263" s="161"/>
      <c r="E263" s="430"/>
      <c r="F263" s="41"/>
      <c r="G263" s="41"/>
      <c r="H263" s="41"/>
      <c r="I263" s="41"/>
      <c r="J263" s="429"/>
      <c r="K263" s="49"/>
      <c r="L263" s="149"/>
      <c r="M263" s="67"/>
      <c r="N263" s="478"/>
      <c r="O263" s="74"/>
    </row>
    <row r="264" spans="2:16" ht="15" thickBot="1">
      <c r="B264" s="471"/>
      <c r="C264" s="274"/>
      <c r="D264" s="161"/>
      <c r="E264" s="836" t="s">
        <v>7008</v>
      </c>
      <c r="F264" s="837"/>
      <c r="G264" s="837"/>
      <c r="H264" s="837"/>
      <c r="I264" s="837"/>
      <c r="J264" s="838"/>
      <c r="K264" s="125"/>
      <c r="L264" s="149"/>
      <c r="M264" s="61"/>
      <c r="N264" s="70"/>
    </row>
    <row r="265" spans="2:16" ht="15" thickBot="1">
      <c r="B265" s="434"/>
      <c r="C265" s="274"/>
      <c r="D265" s="161"/>
      <c r="E265" s="845" t="s">
        <v>7891</v>
      </c>
      <c r="F265" s="846"/>
      <c r="G265" s="846"/>
      <c r="H265" s="846"/>
      <c r="I265" s="846"/>
      <c r="J265" s="847"/>
      <c r="K265" s="126"/>
      <c r="L265" s="149"/>
      <c r="M265" s="67"/>
      <c r="N265" s="478"/>
    </row>
    <row r="266" spans="2:16" s="353" customFormat="1" ht="14.25">
      <c r="B266" s="695"/>
      <c r="C266" s="274"/>
      <c r="D266" s="161"/>
      <c r="E266" s="691"/>
      <c r="F266" s="692"/>
      <c r="G266" s="692"/>
      <c r="H266" s="692"/>
      <c r="I266" s="692"/>
      <c r="J266" s="693"/>
      <c r="K266" s="126"/>
      <c r="L266" s="149"/>
      <c r="M266" s="67"/>
      <c r="N266" s="478"/>
    </row>
    <row r="267" spans="2:16" ht="35.25" customHeight="1">
      <c r="B267" s="434"/>
      <c r="C267" s="275">
        <v>96521</v>
      </c>
      <c r="D267" s="161" t="s">
        <v>6</v>
      </c>
      <c r="E267" s="833" t="str">
        <f>IFERROR(VLOOKUP($C267,'SINAPI FEVEREIRO 2022'!$1:$1048576,2,0),IFERROR(VLOOKUP($C267,'5-COMP. PROPRIA'!$B$38:$I$647,4,0),""))</f>
        <v>ESCAVAÇÃO MECANIZADA PARA BLOCO DE COROAMENTO OU SAPATA COM RETROESCAVADEIRA (INCLUINDO ESCAVAÇÃO PARA COLOCAÇÃO DE FÔRMAS). AF_06/2017</v>
      </c>
      <c r="F267" s="834"/>
      <c r="G267" s="834"/>
      <c r="H267" s="834"/>
      <c r="I267" s="834"/>
      <c r="J267" s="835"/>
      <c r="K267" s="127">
        <f>SUM(K269:K270)</f>
        <v>9.75</v>
      </c>
      <c r="L267" s="39" t="str">
        <f>IFERROR(VLOOKUP($C267,'SINAPI FEVEREIRO 2022'!$1:$1048576,3,0),IFERROR(VLOOKUP($C267,'5-COMP. PROPRIA'!$B$1:$I$647,5,0),""))</f>
        <v>M3</v>
      </c>
      <c r="M267" s="513"/>
      <c r="N267" s="478"/>
      <c r="P267" s="353"/>
    </row>
    <row r="268" spans="2:16" ht="25.5">
      <c r="B268" s="744"/>
      <c r="C268" s="274"/>
      <c r="D268" s="161"/>
      <c r="E268" s="52" t="s">
        <v>613</v>
      </c>
      <c r="F268" s="427" t="s">
        <v>612</v>
      </c>
      <c r="G268" s="427" t="s">
        <v>615</v>
      </c>
      <c r="H268" s="418" t="s">
        <v>616</v>
      </c>
      <c r="I268" s="40"/>
      <c r="J268" s="85"/>
      <c r="K268" s="131"/>
      <c r="L268" s="149"/>
      <c r="M268" s="67"/>
      <c r="N268" s="478"/>
    </row>
    <row r="269" spans="2:16" ht="21.75" customHeight="1">
      <c r="B269" s="744" t="s">
        <v>7880</v>
      </c>
      <c r="C269" s="274"/>
      <c r="D269" s="161"/>
      <c r="E269" s="242">
        <v>0.75</v>
      </c>
      <c r="F269" s="260">
        <v>0.65</v>
      </c>
      <c r="G269" s="99">
        <v>2</v>
      </c>
      <c r="H269" s="99">
        <v>4</v>
      </c>
      <c r="I269" s="428"/>
      <c r="J269" s="66"/>
      <c r="K269" s="49">
        <f>H269*G269*F269*E269</f>
        <v>3.9000000000000004</v>
      </c>
      <c r="L269" s="149"/>
      <c r="M269" s="662"/>
      <c r="N269" s="478"/>
    </row>
    <row r="270" spans="2:16" s="353" customFormat="1" ht="14.25">
      <c r="B270" s="744" t="s">
        <v>7881</v>
      </c>
      <c r="C270" s="274"/>
      <c r="D270" s="161"/>
      <c r="E270" s="242">
        <v>0.75</v>
      </c>
      <c r="F270" s="260">
        <v>0.65</v>
      </c>
      <c r="G270" s="99">
        <v>2</v>
      </c>
      <c r="H270" s="99">
        <v>6</v>
      </c>
      <c r="I270" s="428"/>
      <c r="J270" s="66"/>
      <c r="K270" s="49">
        <f t="shared" ref="K270" si="12">H270*G270*F270*E270</f>
        <v>5.8500000000000005</v>
      </c>
      <c r="L270" s="149"/>
      <c r="M270" s="662"/>
      <c r="N270" s="478"/>
    </row>
    <row r="271" spans="2:16" s="353" customFormat="1" ht="14.25">
      <c r="B271" s="744"/>
      <c r="C271" s="274"/>
      <c r="D271" s="161"/>
      <c r="E271" s="81"/>
      <c r="F271" s="43"/>
      <c r="G271" s="41"/>
      <c r="H271" s="41"/>
      <c r="I271" s="428"/>
      <c r="J271" s="66"/>
      <c r="K271" s="49"/>
      <c r="L271" s="149"/>
      <c r="M271" s="662"/>
      <c r="N271" s="478"/>
    </row>
    <row r="272" spans="2:16" ht="28.5" customHeight="1">
      <c r="B272" s="651"/>
      <c r="C272" s="275">
        <v>96617</v>
      </c>
      <c r="D272" s="161" t="s">
        <v>6</v>
      </c>
      <c r="E272" s="833" t="str">
        <f>IFERROR(VLOOKUP($C272,'SINAPI FEVEREIRO 2022'!$1:$1048576,2,0),IFERROR(VLOOKUP($C272,'5-COMP. PROPRIA'!$B$38:$I$647,4,0),""))</f>
        <v>LASTRO DE CONCRETO MAGRO, APLICADO EM BLOCOS DE COROAMENTO OU SAPATAS, ESPESSURA DE 3 CM. AF_08/2017</v>
      </c>
      <c r="F272" s="834"/>
      <c r="G272" s="834"/>
      <c r="H272" s="834"/>
      <c r="I272" s="834"/>
      <c r="J272" s="835"/>
      <c r="K272" s="127">
        <f>(E269*F269*H269)+(E270*F270*H270)</f>
        <v>4.875</v>
      </c>
      <c r="L272" s="39" t="str">
        <f>IFERROR(VLOOKUP($C272,'SINAPI FEVEREIRO 2022'!$1:$1048576,3,0),IFERROR(VLOOKUP($C272,'5-COMP. PROPRIA'!$B$1:$I$647,5,0),""))</f>
        <v>M2</v>
      </c>
      <c r="M272" s="37"/>
      <c r="N272" s="478"/>
      <c r="P272" s="353"/>
    </row>
    <row r="273" spans="2:16" s="353" customFormat="1" ht="15">
      <c r="B273" s="744"/>
      <c r="C273" s="275"/>
      <c r="D273" s="161"/>
      <c r="E273" s="688"/>
      <c r="F273" s="689"/>
      <c r="G273" s="689"/>
      <c r="H273" s="689"/>
      <c r="I273" s="689"/>
      <c r="J273" s="690"/>
      <c r="K273" s="127"/>
      <c r="L273" s="39"/>
      <c r="M273" s="37"/>
      <c r="N273" s="478"/>
    </row>
    <row r="274" spans="2:16" ht="36" customHeight="1">
      <c r="B274" s="744" t="s">
        <v>7882</v>
      </c>
      <c r="C274" s="275">
        <v>96546</v>
      </c>
      <c r="D274" s="161" t="s">
        <v>6</v>
      </c>
      <c r="E274" s="833" t="str">
        <f>IFERROR(VLOOKUP($C274,'SINAPI FEVEREIRO 2022'!$1:$1048576,2,0),IFERROR(VLOOKUP($C274,'5-COMP. PROPRIA'!$B$38:$I$647,4,0),""))</f>
        <v>ARMAÇÃO DE BLOCO, VIGA BALDRAME OU SAPATA UTILIZANDO AÇO CA-50 DE 10 MM - MONTAGEM. AF_06/2017</v>
      </c>
      <c r="F274" s="834"/>
      <c r="G274" s="834"/>
      <c r="H274" s="834"/>
      <c r="I274" s="834"/>
      <c r="J274" s="835"/>
      <c r="K274" s="127">
        <f>((152.9+67.7)*0.617)</f>
        <v>136.11020000000002</v>
      </c>
      <c r="L274" s="39" t="str">
        <f>IFERROR(VLOOKUP($C274,'SINAPI FEVEREIRO 2022'!$1:$1048576,3,0),IFERROR(VLOOKUP($C274,'5-COMP. PROPRIA'!$B$1:$I$647,5,0),""))</f>
        <v>KG</v>
      </c>
      <c r="M274" s="67"/>
      <c r="N274" s="478"/>
      <c r="P274" s="353"/>
    </row>
    <row r="275" spans="2:16" s="353" customFormat="1" ht="15">
      <c r="B275" s="744"/>
      <c r="C275" s="275"/>
      <c r="D275" s="161"/>
      <c r="E275" s="688"/>
      <c r="F275" s="689"/>
      <c r="G275" s="689"/>
      <c r="H275" s="689"/>
      <c r="I275" s="689"/>
      <c r="J275" s="690"/>
      <c r="K275" s="127"/>
      <c r="L275" s="39"/>
      <c r="M275" s="67"/>
      <c r="N275" s="478"/>
    </row>
    <row r="276" spans="2:16" ht="31.5" customHeight="1">
      <c r="B276" s="744" t="s">
        <v>7882</v>
      </c>
      <c r="C276" s="275">
        <v>96543</v>
      </c>
      <c r="D276" s="161" t="s">
        <v>6</v>
      </c>
      <c r="E276" s="833" t="str">
        <f>IFERROR(VLOOKUP($C276,'SINAPI FEVEREIRO 2022'!$1:$1048576,2,0),IFERROR(VLOOKUP($C276,'5-COMP. PROPRIA'!$B$38:$I$647,4,0),""))</f>
        <v>ARMAÇÃO DE BLOCO, VIGA BALDRAME E SAPATA UTILIZANDO AÇO CA-60 DE 5 MM - MONTAGEM. AF_06/2017</v>
      </c>
      <c r="F276" s="834"/>
      <c r="G276" s="834"/>
      <c r="H276" s="834"/>
      <c r="I276" s="834"/>
      <c r="J276" s="835"/>
      <c r="K276" s="127">
        <f>124.8*0.154</f>
        <v>19.219200000000001</v>
      </c>
      <c r="L276" s="39" t="str">
        <f>IFERROR(VLOOKUP($C276,'SINAPI FEVEREIRO 2022'!$1:$1048576,3,0),IFERROR(VLOOKUP($C276,'5-COMP. PROPRIA'!$B$1:$I$647,5,0),""))</f>
        <v>KG</v>
      </c>
      <c r="M276" s="67"/>
      <c r="N276" s="478"/>
      <c r="P276" s="353"/>
    </row>
    <row r="277" spans="2:16" s="353" customFormat="1" ht="15">
      <c r="B277" s="759"/>
      <c r="C277" s="275"/>
      <c r="D277" s="161"/>
      <c r="E277" s="688"/>
      <c r="F277" s="689"/>
      <c r="G277" s="689"/>
      <c r="H277" s="689"/>
      <c r="I277" s="689"/>
      <c r="J277" s="690"/>
      <c r="K277" s="127"/>
      <c r="L277" s="39"/>
      <c r="M277" s="67"/>
      <c r="N277" s="478"/>
    </row>
    <row r="278" spans="2:16" ht="36" customHeight="1">
      <c r="B278" s="744" t="s">
        <v>7883</v>
      </c>
      <c r="C278" s="275">
        <v>96535</v>
      </c>
      <c r="D278" s="161" t="s">
        <v>6</v>
      </c>
      <c r="E278" s="833" t="str">
        <f>IFERROR(VLOOKUP($C278,'SINAPI FEVEREIRO 2022'!$1:$1048576,2,0),IFERROR(VLOOKUP($C278,'5-COMP. PROPRIA'!$B$38:$I$647,4,0),""))</f>
        <v>FABRICAÇÃO, MONTAGEM E DESMONTAGEM DE FÔRMA PARA SAPATA, EM MADEIRA SERRADA, E=25 MM, 4 UTILIZAÇÕES. AF_06/2017</v>
      </c>
      <c r="F278" s="834"/>
      <c r="G278" s="834"/>
      <c r="H278" s="834"/>
      <c r="I278" s="834"/>
      <c r="J278" s="835"/>
      <c r="K278" s="127">
        <f>((E269+F269)*2*0.4*(H269+H270))+((0.15+0.3)*2*2*(H269+H270))</f>
        <v>29.2</v>
      </c>
      <c r="L278" s="39" t="str">
        <f>IFERROR(VLOOKUP($C278,'SINAPI FEVEREIRO 2022'!$1:$1048576,3,0),IFERROR(VLOOKUP($C278,'5-COMP. PROPRIA'!$B$1:$I$647,5,0),""))</f>
        <v>M2</v>
      </c>
      <c r="M278" s="37"/>
      <c r="N278" s="432"/>
      <c r="P278" s="353"/>
    </row>
    <row r="279" spans="2:16" s="353" customFormat="1" ht="15">
      <c r="B279" s="744"/>
      <c r="C279" s="275"/>
      <c r="D279" s="161"/>
      <c r="E279" s="688"/>
      <c r="F279" s="689"/>
      <c r="G279" s="689"/>
      <c r="H279" s="689"/>
      <c r="I279" s="689"/>
      <c r="J279" s="690"/>
      <c r="K279" s="127"/>
      <c r="L279" s="39"/>
      <c r="M279" s="37"/>
      <c r="N279" s="432"/>
    </row>
    <row r="280" spans="2:16" ht="36" customHeight="1">
      <c r="B280" s="744" t="s">
        <v>7883</v>
      </c>
      <c r="C280" s="274">
        <v>94971</v>
      </c>
      <c r="D280" s="161" t="s">
        <v>6</v>
      </c>
      <c r="E280" s="833" t="str">
        <f>IFERROR(VLOOKUP($C280,'SINAPI FEVEREIRO 2022'!$1:$1048576,2,0),IFERROR(VLOOKUP($C280,'5-COMP. PROPRIA'!$B$38:$I$647,4,0),""))</f>
        <v>CONCRETO FCK = 25MPA, TRAÇO 1:2,3:2,7 (EM MASSA SECA DE CIMENTO/ AREIA MÉDIA/ BRITA 1) - PREPARO MECÂNICO COM BETONEIRA 600 L. AF_05/2021</v>
      </c>
      <c r="F280" s="834"/>
      <c r="G280" s="834"/>
      <c r="H280" s="834"/>
      <c r="I280" s="834"/>
      <c r="J280" s="835"/>
      <c r="K280" s="127">
        <f>(E269*F269*0.4*(H269+H270))+(0.15*0.3*2*(H269+H270))</f>
        <v>2.8500000000000005</v>
      </c>
      <c r="L280" s="39" t="str">
        <f>IFERROR(VLOOKUP($C280,'SINAPI FEVEREIRO 2022'!$1:$1048576,3,0),IFERROR(VLOOKUP($C280,'5-COMP. PROPRIA'!$B$1:$I$647,5,0),""))</f>
        <v>M3</v>
      </c>
      <c r="M280" s="37"/>
      <c r="N280" s="432"/>
      <c r="P280" s="353"/>
    </row>
    <row r="281" spans="2:16" s="353" customFormat="1" ht="15">
      <c r="B281" s="744"/>
      <c r="C281" s="274"/>
      <c r="D281" s="161"/>
      <c r="E281" s="688"/>
      <c r="F281" s="689"/>
      <c r="G281" s="689"/>
      <c r="H281" s="689"/>
      <c r="I281" s="689"/>
      <c r="J281" s="690"/>
      <c r="K281" s="127"/>
      <c r="L281" s="39"/>
      <c r="M281" s="37"/>
      <c r="N281" s="432"/>
    </row>
    <row r="282" spans="2:16" s="353" customFormat="1" ht="36" customHeight="1">
      <c r="B282" s="744"/>
      <c r="C282" s="274">
        <v>103670</v>
      </c>
      <c r="D282" s="161" t="s">
        <v>6</v>
      </c>
      <c r="E282" s="833" t="str">
        <f>IFERROR(VLOOKUP($C282,'SINAPI FEVEREIRO 2022'!$1:$1048576,2,0),IFERROR(VLOOKUP($C282,'5-COMP. PROPRIA'!$B$38:$I$647,4,0),""))</f>
        <v>LANÇAMENTO COM USO DE BALDES, ADENSAMENTO E ACABAMENTO DE CONCRETO EM ESTRUTURAS. AF_02/2022</v>
      </c>
      <c r="F282" s="834"/>
      <c r="G282" s="834"/>
      <c r="H282" s="834"/>
      <c r="I282" s="834"/>
      <c r="J282" s="835"/>
      <c r="K282" s="127">
        <f>K280</f>
        <v>2.8500000000000005</v>
      </c>
      <c r="L282" s="39" t="str">
        <f>IFERROR(VLOOKUP($C282,'SINAPI FEVEREIRO 2022'!$1:$1048576,3,0),IFERROR(VLOOKUP($C282,'5-COMP. PROPRIA'!$B$1:$I$647,5,0),""))</f>
        <v>M3</v>
      </c>
      <c r="M282" s="37"/>
      <c r="N282" s="432"/>
    </row>
    <row r="283" spans="2:16" s="353" customFormat="1" ht="15">
      <c r="B283" s="744"/>
      <c r="C283" s="274"/>
      <c r="D283" s="161"/>
      <c r="E283" s="688"/>
      <c r="F283" s="689"/>
      <c r="G283" s="689"/>
      <c r="H283" s="689"/>
      <c r="I283" s="689"/>
      <c r="J283" s="690"/>
      <c r="K283" s="127"/>
      <c r="L283" s="39"/>
      <c r="M283" s="37"/>
      <c r="N283" s="432"/>
    </row>
    <row r="284" spans="2:16" ht="15">
      <c r="B284" s="744" t="s">
        <v>7883</v>
      </c>
      <c r="C284" s="275">
        <v>98557</v>
      </c>
      <c r="D284" s="161" t="s">
        <v>6</v>
      </c>
      <c r="E284" s="833" t="str">
        <f>IFERROR(VLOOKUP($C284,'SINAPI FEVEREIRO 2022'!$1:$1048576,2,0),IFERROR(VLOOKUP($C284,'5-COMP. PROPRIA'!$B$38:$I$647,4,0),""))</f>
        <v>IMPERMEABILIZAÇÃO DE SUPERFÍCIE COM EMULSÃO ASFÁLTICA, 2 DEMÃOS AF_06/2018</v>
      </c>
      <c r="F284" s="834"/>
      <c r="G284" s="834"/>
      <c r="H284" s="834"/>
      <c r="I284" s="834"/>
      <c r="J284" s="835"/>
      <c r="K284" s="127">
        <f>K272+K278</f>
        <v>34.075000000000003</v>
      </c>
      <c r="L284" s="39" t="str">
        <f>IFERROR(VLOOKUP($C284,'SINAPI FEVEREIRO 2022'!$1:$1048576,3,0),IFERROR(VLOOKUP($C284,'5-COMP. PROPRIA'!$B$1:$I$647,5,0),""))</f>
        <v>M2</v>
      </c>
      <c r="M284" s="37"/>
      <c r="N284" s="432"/>
      <c r="P284" s="353"/>
    </row>
    <row r="285" spans="2:16" s="353" customFormat="1" ht="15">
      <c r="B285" s="744"/>
      <c r="C285" s="275"/>
      <c r="D285" s="161"/>
      <c r="E285" s="688"/>
      <c r="F285" s="689"/>
      <c r="G285" s="689"/>
      <c r="H285" s="689"/>
      <c r="I285" s="689"/>
      <c r="J285" s="690"/>
      <c r="K285" s="127"/>
      <c r="L285" s="39"/>
      <c r="M285" s="37"/>
      <c r="N285" s="432"/>
    </row>
    <row r="286" spans="2:16" ht="46.5" customHeight="1">
      <c r="B286" s="744" t="s">
        <v>7883</v>
      </c>
      <c r="C286" s="275">
        <v>93368</v>
      </c>
      <c r="D286" s="161" t="s">
        <v>6</v>
      </c>
      <c r="E286" s="833" t="str">
        <f>IFERROR(VLOOKUP($C286,'SINAPI FEVEREIRO 2022'!$1:$1048576,2,0),IFERROR(VLOOKUP($C286,'5-COMP. PROPRIA'!$B$38:$I$647,4,0),""))</f>
        <v>REATERRO MECANIZADO DE VALA COM ESCAVADEIRA HIDRÁULICA (CAPACIDADE DA CAÇAMBA: 0,8 M³ / POTÊNCIA: 111 HP), LARGURA ATÉ 1,5 M, PROFUNDIDADE DE 1,5 A 3,0 M, COM SOLO DE 1ª CATEGORIA EM LOCAIS COM BAIXO NÍVEL DE INTERFERÊNCIA. AF_04/2016</v>
      </c>
      <c r="F286" s="834"/>
      <c r="G286" s="834"/>
      <c r="H286" s="834"/>
      <c r="I286" s="834"/>
      <c r="J286" s="835"/>
      <c r="K286" s="127">
        <f>SUM(K288:K288)</f>
        <v>6.8999999999999995</v>
      </c>
      <c r="L286" s="39" t="str">
        <f>IFERROR(VLOOKUP($C286,'SINAPI FEVEREIRO 2022'!$1:$1048576,3,0),IFERROR(VLOOKUP($C286,'5-COMP. PROPRIA'!$B$1:$I$647,5,0),""))</f>
        <v>M3</v>
      </c>
      <c r="M286" s="37"/>
      <c r="N286" s="432"/>
      <c r="P286" s="353"/>
    </row>
    <row r="287" spans="2:16" ht="17.25" customHeight="1">
      <c r="B287" s="744"/>
      <c r="C287" s="274"/>
      <c r="D287" s="161"/>
      <c r="E287" s="52" t="s">
        <v>5759</v>
      </c>
      <c r="F287" s="427" t="s">
        <v>5758</v>
      </c>
      <c r="G287" s="41"/>
      <c r="H287" s="419"/>
      <c r="I287" s="428"/>
      <c r="J287" s="66"/>
      <c r="K287" s="126"/>
      <c r="L287" s="149"/>
      <c r="M287" s="67"/>
      <c r="N287" s="478"/>
    </row>
    <row r="288" spans="2:16" ht="17.25" customHeight="1">
      <c r="B288" s="744"/>
      <c r="C288" s="274"/>
      <c r="D288" s="161"/>
      <c r="E288" s="241">
        <f>K267</f>
        <v>9.75</v>
      </c>
      <c r="F288" s="260">
        <f>K280</f>
        <v>2.8500000000000005</v>
      </c>
      <c r="G288" s="41"/>
      <c r="H288" s="41"/>
      <c r="I288" s="428"/>
      <c r="J288" s="66"/>
      <c r="K288" s="49">
        <f>E288-F288</f>
        <v>6.8999999999999995</v>
      </c>
      <c r="L288" s="149"/>
      <c r="M288" s="67"/>
      <c r="N288" s="478"/>
    </row>
    <row r="289" spans="2:18" s="353" customFormat="1" ht="17.25" customHeight="1">
      <c r="B289" s="744"/>
      <c r="C289" s="274"/>
      <c r="D289" s="161"/>
      <c r="E289" s="58"/>
      <c r="F289" s="43"/>
      <c r="G289" s="41"/>
      <c r="H289" s="41"/>
      <c r="I289" s="428"/>
      <c r="J289" s="66"/>
      <c r="K289" s="49"/>
      <c r="L289" s="149"/>
      <c r="M289" s="67"/>
      <c r="N289" s="478"/>
    </row>
    <row r="290" spans="2:18" ht="60" customHeight="1">
      <c r="B290" s="743" t="s">
        <v>7887</v>
      </c>
      <c r="C290" s="275" t="str">
        <f>'5-COMP. PROPRIA'!B81</f>
        <v>CP-FUN-01</v>
      </c>
      <c r="D290" s="161" t="s">
        <v>6172</v>
      </c>
      <c r="E290" s="833" t="str">
        <f>IFERROR(VLOOKUP($C290,'SINAPI FEVEREIRO 2022'!$1:$1048576,2,0),IFERROR(VLOOKUP($C290,'5-COMP. PROPRIA'!$B$1:$I$55290,4,0),""))</f>
        <v>ESTACA BROCA DE CONCRETO, DIÂMETRO DE 30CM, ESCAVAÇÃO MANUAL COM TRADO CONCHA, INTEIRAMENTE ARMADA.</v>
      </c>
      <c r="F290" s="834"/>
      <c r="G290" s="834"/>
      <c r="H290" s="834"/>
      <c r="I290" s="834"/>
      <c r="J290" s="835"/>
      <c r="K290" s="127">
        <f>(2*70)</f>
        <v>140</v>
      </c>
      <c r="L290" s="39" t="str">
        <f>IFERROR(VLOOKUP($C290,'SINAPI FEVEREIRO 2022'!$1:$1048576,3,0),IFERROR(VLOOKUP($C290,'5-COMP. PROPRIA'!$B$1:$I$647,5,0),""))</f>
        <v>M</v>
      </c>
      <c r="M290" s="662">
        <f>K290*0.071</f>
        <v>9.94</v>
      </c>
      <c r="N290" s="479" t="s">
        <v>22</v>
      </c>
      <c r="P290" s="353"/>
    </row>
    <row r="291" spans="2:18" s="353" customFormat="1" ht="15">
      <c r="B291" s="743"/>
      <c r="C291" s="275"/>
      <c r="D291" s="161"/>
      <c r="E291" s="688"/>
      <c r="F291" s="689"/>
      <c r="G291" s="689"/>
      <c r="H291" s="689"/>
      <c r="I291" s="689"/>
      <c r="J291" s="690"/>
      <c r="K291" s="127"/>
      <c r="L291" s="39"/>
      <c r="M291" s="662"/>
      <c r="N291" s="479"/>
    </row>
    <row r="292" spans="2:18" s="353" customFormat="1" ht="30" customHeight="1">
      <c r="B292" s="743" t="s">
        <v>6967</v>
      </c>
      <c r="C292" s="275" t="str">
        <f>'5-COMP. PROPRIA'!B88</f>
        <v>CP-FUN-02</v>
      </c>
      <c r="D292" s="161" t="s">
        <v>6172</v>
      </c>
      <c r="E292" s="833" t="str">
        <f>IFERROR(VLOOKUP($C292,'SINAPI FEVEREIRO 2022'!$1:$1048576,2,0),IFERROR(VLOOKUP($C292,'5-COMP. PROPRIA'!$B$1:$I$55290,4,0),""))</f>
        <v>ESTACA BROCA DE CONCRETO, DIÂMETRO DE 20CM, ESCAVAÇÃO MANUAL COM TRADO CONCHA, INTEIRAMENTE ARMADA.</v>
      </c>
      <c r="F292" s="834"/>
      <c r="G292" s="834"/>
      <c r="H292" s="834"/>
      <c r="I292" s="834"/>
      <c r="J292" s="835"/>
      <c r="K292" s="127">
        <f>(8*1.5)+(7*2)</f>
        <v>26</v>
      </c>
      <c r="L292" s="39" t="str">
        <f>IFERROR(VLOOKUP($C292,'SINAPI FEVEREIRO 2022'!$1:$1048576,3,0),IFERROR(VLOOKUP($C292,'5-COMP. PROPRIA'!$B$1:$I$647,5,0),""))</f>
        <v>M</v>
      </c>
      <c r="M292" s="662">
        <f>K292*0.032</f>
        <v>0.83200000000000007</v>
      </c>
      <c r="N292" s="479" t="s">
        <v>22</v>
      </c>
    </row>
    <row r="293" spans="2:18" s="353" customFormat="1" ht="15">
      <c r="B293" s="475"/>
      <c r="C293" s="275"/>
      <c r="D293" s="161"/>
      <c r="E293" s="688"/>
      <c r="F293" s="689"/>
      <c r="G293" s="689"/>
      <c r="H293" s="689"/>
      <c r="I293" s="689"/>
      <c r="J293" s="690"/>
      <c r="K293" s="127"/>
      <c r="L293" s="39"/>
      <c r="M293" s="662"/>
      <c r="N293" s="479"/>
    </row>
    <row r="294" spans="2:18" ht="46.5" customHeight="1">
      <c r="B294" s="743"/>
      <c r="C294" s="274">
        <v>100973</v>
      </c>
      <c r="D294" s="161" t="s">
        <v>6</v>
      </c>
      <c r="E294" s="833" t="str">
        <f>IFERROR(VLOOKUP($C294,'SINAPI FEVEREIRO 2022'!$1:$1048576,2,0),IFERROR(VLOOKUP($C294,'5-COMP. PROPRIA'!$B$38:$I$647,4,0),""))</f>
        <v>CARGA, MANOBRA E DESCARGA DE SOLOS E MATERIAIS GRANULARES EM CAMINHÃO BASCULANTE 6 M³ - CARGA COM PÁ CARREGADEIRA (CAÇAMBA DE 1,7 A 2,8 M³ / 128 HP) E DESCARGA LIVRE (UNIDADE: M3). AF_07/2020</v>
      </c>
      <c r="F294" s="834"/>
      <c r="G294" s="834"/>
      <c r="H294" s="834"/>
      <c r="I294" s="834"/>
      <c r="J294" s="835"/>
      <c r="K294" s="127">
        <f>SUM(K296:K296)</f>
        <v>16.626999999999999</v>
      </c>
      <c r="L294" s="39" t="str">
        <f>IFERROR(VLOOKUP($C294,'SINAPI FEVEREIRO 2022'!$1:$1048576,3,0),IFERROR(VLOOKUP($C294,'5-COMP. PROPRIA'!$B$1:$I$647,5,0),""))</f>
        <v>M3</v>
      </c>
      <c r="M294" s="67"/>
      <c r="N294" s="478"/>
      <c r="P294" s="353"/>
    </row>
    <row r="295" spans="2:18" ht="36.75" customHeight="1">
      <c r="B295" s="434"/>
      <c r="C295" s="274"/>
      <c r="D295" s="161"/>
      <c r="E295" s="54" t="s">
        <v>618</v>
      </c>
      <c r="F295" s="428"/>
      <c r="G295" s="428"/>
      <c r="H295" s="418" t="s">
        <v>6170</v>
      </c>
      <c r="I295" s="428"/>
      <c r="J295" s="66"/>
      <c r="K295" s="126"/>
      <c r="L295" s="149"/>
      <c r="M295" s="67"/>
      <c r="N295" s="478"/>
    </row>
    <row r="296" spans="2:18" ht="17.25" customHeight="1">
      <c r="B296" s="434"/>
      <c r="C296" s="274"/>
      <c r="D296" s="161"/>
      <c r="E296" s="240">
        <f>K280+M290</f>
        <v>12.79</v>
      </c>
      <c r="F296" s="42"/>
      <c r="G296" s="42"/>
      <c r="H296" s="258">
        <v>1.3</v>
      </c>
      <c r="I296" s="428"/>
      <c r="J296" s="48"/>
      <c r="K296" s="49">
        <f>H296*E296</f>
        <v>16.626999999999999</v>
      </c>
      <c r="L296" s="149"/>
      <c r="M296" s="67"/>
      <c r="N296" s="478"/>
    </row>
    <row r="297" spans="2:18" s="353" customFormat="1" ht="17.25" customHeight="1">
      <c r="B297" s="695"/>
      <c r="C297" s="274"/>
      <c r="D297" s="161"/>
      <c r="E297" s="83"/>
      <c r="F297" s="46"/>
      <c r="G297" s="46"/>
      <c r="H297" s="46"/>
      <c r="I297" s="428"/>
      <c r="J297" s="48"/>
      <c r="K297" s="49"/>
      <c r="L297" s="149"/>
      <c r="M297" s="67"/>
      <c r="N297" s="478"/>
    </row>
    <row r="298" spans="2:18" ht="33.75" customHeight="1">
      <c r="B298" s="441"/>
      <c r="C298" s="274">
        <v>100937</v>
      </c>
      <c r="D298" s="161" t="s">
        <v>6</v>
      </c>
      <c r="E298" s="833" t="str">
        <f>IFERROR(VLOOKUP($C298,'SINAPI FEVEREIRO 2022'!$1:$1048576,2,0),IFERROR(VLOOKUP($C298,'5-COMP. PROPRIA'!$B$38:$I$647,4,0),""))</f>
        <v>TRANSPORTE COM CAMINHÃO BASCULANTE DE 6 M³, EM VIA INTERNA (DENTRO DO CANTEIRO - UNIDADE: M3XKM). AF_07/2020</v>
      </c>
      <c r="F298" s="834"/>
      <c r="G298" s="834"/>
      <c r="H298" s="834"/>
      <c r="I298" s="834"/>
      <c r="J298" s="835"/>
      <c r="K298" s="127">
        <f>SUM(K300:K300)</f>
        <v>124.70249999999999</v>
      </c>
      <c r="L298" s="39" t="str">
        <f>IFERROR(VLOOKUP($C298,'SINAPI FEVEREIRO 2022'!$1:$1048576,3,0),IFERROR(VLOOKUP($C298,'5-COMP. PROPRIA'!$B$1:$I$647,5,0),""))</f>
        <v>M3XKM</v>
      </c>
      <c r="M298" s="67"/>
      <c r="N298" s="478"/>
      <c r="P298" s="353"/>
    </row>
    <row r="299" spans="2:18" ht="36.75" customHeight="1">
      <c r="B299" s="434"/>
      <c r="C299" s="274"/>
      <c r="D299" s="161"/>
      <c r="E299" s="54" t="s">
        <v>618</v>
      </c>
      <c r="F299" s="428"/>
      <c r="G299" s="428"/>
      <c r="H299" s="418" t="s">
        <v>619</v>
      </c>
      <c r="I299" s="428"/>
      <c r="J299" s="66"/>
      <c r="K299" s="126"/>
      <c r="L299" s="149"/>
      <c r="M299" s="67"/>
      <c r="N299" s="478"/>
    </row>
    <row r="300" spans="2:18" ht="17.25" customHeight="1">
      <c r="B300" s="434"/>
      <c r="C300" s="274"/>
      <c r="D300" s="161"/>
      <c r="E300" s="240">
        <f>K294</f>
        <v>16.626999999999999</v>
      </c>
      <c r="F300" s="42"/>
      <c r="G300" s="42"/>
      <c r="H300" s="258">
        <v>7.5</v>
      </c>
      <c r="I300" s="428"/>
      <c r="J300" s="48"/>
      <c r="K300" s="49">
        <f>H300*E300</f>
        <v>124.70249999999999</v>
      </c>
      <c r="L300" s="149"/>
      <c r="M300" s="67"/>
      <c r="N300" s="478"/>
    </row>
    <row r="301" spans="2:18" s="353" customFormat="1" ht="17.25" customHeight="1" thickBot="1">
      <c r="B301" s="695"/>
      <c r="C301" s="274"/>
      <c r="D301" s="161"/>
      <c r="E301" s="83"/>
      <c r="F301" s="46"/>
      <c r="G301" s="46"/>
      <c r="H301" s="46"/>
      <c r="I301" s="428"/>
      <c r="J301" s="48"/>
      <c r="K301" s="49"/>
      <c r="L301" s="149"/>
      <c r="M301" s="67"/>
      <c r="N301" s="478"/>
    </row>
    <row r="302" spans="2:18" ht="17.25" customHeight="1" thickBot="1">
      <c r="B302" s="471"/>
      <c r="C302" s="274"/>
      <c r="D302" s="161"/>
      <c r="E302" s="851" t="s">
        <v>7888</v>
      </c>
      <c r="F302" s="852"/>
      <c r="G302" s="852"/>
      <c r="H302" s="852"/>
      <c r="I302" s="852"/>
      <c r="J302" s="853"/>
      <c r="K302" s="125"/>
      <c r="L302" s="149"/>
      <c r="M302" s="61"/>
      <c r="N302" s="70"/>
    </row>
    <row r="303" spans="2:18" s="353" customFormat="1" ht="17.25" customHeight="1">
      <c r="B303" s="471"/>
      <c r="C303" s="274"/>
      <c r="D303" s="161"/>
      <c r="E303" s="688"/>
      <c r="F303" s="689"/>
      <c r="G303" s="689"/>
      <c r="H303" s="689"/>
      <c r="I303" s="689"/>
      <c r="J303" s="690"/>
      <c r="K303" s="125"/>
      <c r="L303" s="149"/>
      <c r="M303" s="61"/>
      <c r="N303" s="70"/>
    </row>
    <row r="304" spans="2:18" ht="33" customHeight="1">
      <c r="B304" s="434"/>
      <c r="C304" s="274">
        <v>96525</v>
      </c>
      <c r="D304" s="161" t="s">
        <v>6</v>
      </c>
      <c r="E304" s="833" t="str">
        <f>IFERROR(VLOOKUP($C304,'SINAPI FEVEREIRO 2022'!$1:$1048576,2,0),IFERROR(VLOOKUP($C304,'5-COMP. PROPRIA'!$B$38:$I$647,4,0),""))</f>
        <v>ESCAVAÇÃO MECANIZADA PARA VIGA BALDRAME COM MINI-ESCAVADEIRA (INCLUINDO ESCAVAÇÃO PARA COLOCAÇÃO DE FÔRMAS). AF_06/2017</v>
      </c>
      <c r="F304" s="834"/>
      <c r="G304" s="834"/>
      <c r="H304" s="834"/>
      <c r="I304" s="834"/>
      <c r="J304" s="835"/>
      <c r="K304" s="127">
        <f>((0.15*0.3*222.5))</f>
        <v>10.012499999999999</v>
      </c>
      <c r="L304" s="39" t="str">
        <f>IFERROR(VLOOKUP($C304,'SINAPI FEVEREIRO 2022'!$1:$1048576,3,0),IFERROR(VLOOKUP($C304,'5-COMP. PROPRIA'!$B$1:$I$647,5,0),""))</f>
        <v>M3</v>
      </c>
      <c r="M304" s="75">
        <f>K304*1.3</f>
        <v>13.016249999999999</v>
      </c>
      <c r="N304" s="442">
        <f>M304-K304</f>
        <v>3.0037500000000001</v>
      </c>
      <c r="P304" s="5">
        <v>0.15</v>
      </c>
      <c r="Q304" s="5">
        <v>0.3</v>
      </c>
      <c r="R304" s="353"/>
    </row>
    <row r="305" spans="2:17" s="353" customFormat="1" ht="15">
      <c r="B305" s="695"/>
      <c r="C305" s="274"/>
      <c r="D305" s="161"/>
      <c r="E305" s="688"/>
      <c r="F305" s="689"/>
      <c r="G305" s="689"/>
      <c r="H305" s="689"/>
      <c r="I305" s="689"/>
      <c r="J305" s="690"/>
      <c r="K305" s="127"/>
      <c r="L305" s="39"/>
      <c r="M305" s="75"/>
      <c r="N305" s="652"/>
    </row>
    <row r="306" spans="2:17" s="353" customFormat="1" ht="33" customHeight="1">
      <c r="B306" s="441"/>
      <c r="C306" s="275">
        <v>96617</v>
      </c>
      <c r="D306" s="161" t="s">
        <v>6</v>
      </c>
      <c r="E306" s="833" t="str">
        <f>IFERROR(VLOOKUP($C306,'SINAPI FEVEREIRO 2022'!$1:$1048576,2,0),IFERROR(VLOOKUP($C306,'5-COMP. PROPRIA'!$B$38:$I$647,4,0),""))</f>
        <v>LASTRO DE CONCRETO MAGRO, APLICADO EM BLOCOS DE COROAMENTO OU SAPATAS, ESPESSURA DE 3 CM. AF_08/2017</v>
      </c>
      <c r="F306" s="834"/>
      <c r="G306" s="834"/>
      <c r="H306" s="834"/>
      <c r="I306" s="834"/>
      <c r="J306" s="835"/>
      <c r="K306" s="127">
        <f>K304/0.3</f>
        <v>33.375</v>
      </c>
      <c r="L306" s="39" t="str">
        <f>IFERROR(VLOOKUP($C306,'SINAPI FEVEREIRO 2022'!$1:$1048576,3,0),IFERROR(VLOOKUP($C306,'5-COMP. PROPRIA'!$B$1:$I$647,5,0),""))</f>
        <v>M2</v>
      </c>
      <c r="M306" s="80"/>
      <c r="N306" s="432"/>
      <c r="P306" s="90"/>
    </row>
    <row r="307" spans="2:17" s="353" customFormat="1" ht="15">
      <c r="B307" s="694"/>
      <c r="C307" s="275"/>
      <c r="D307" s="161"/>
      <c r="E307" s="688"/>
      <c r="F307" s="689"/>
      <c r="G307" s="689"/>
      <c r="H307" s="689"/>
      <c r="I307" s="689"/>
      <c r="J307" s="690"/>
      <c r="K307" s="127"/>
      <c r="L307" s="39"/>
      <c r="M307" s="80"/>
      <c r="N307" s="432"/>
      <c r="P307" s="90"/>
    </row>
    <row r="308" spans="2:17" ht="35.25" customHeight="1">
      <c r="B308" s="441"/>
      <c r="C308" s="274">
        <v>96543</v>
      </c>
      <c r="D308" s="161" t="s">
        <v>6</v>
      </c>
      <c r="E308" s="833" t="str">
        <f>IFERROR(VLOOKUP($C308,'SINAPI FEVEREIRO 2022'!$1:$1048576,2,0),IFERROR(VLOOKUP($C308,'5-COMP. PROPRIA'!$B$38:$I$647,4,0),""))</f>
        <v>ARMAÇÃO DE BLOCO, VIGA BALDRAME E SAPATA UTILIZANDO AÇO CA-60 DE 5 MM - MONTAGEM. AF_06/2017</v>
      </c>
      <c r="F308" s="834"/>
      <c r="G308" s="834"/>
      <c r="H308" s="834"/>
      <c r="I308" s="834"/>
      <c r="J308" s="835"/>
      <c r="K308" s="127">
        <v>168.4</v>
      </c>
      <c r="L308" s="39" t="str">
        <f>IFERROR(VLOOKUP($C308,'SINAPI FEVEREIRO 2022'!$1:$1048576,3,0),IFERROR(VLOOKUP($C308,'5-COMP. PROPRIA'!$B$1:$I$647,5,0),""))</f>
        <v>KG</v>
      </c>
      <c r="M308" s="80"/>
      <c r="N308" s="432"/>
      <c r="P308" s="90"/>
    </row>
    <row r="309" spans="2:17" s="353" customFormat="1" ht="15">
      <c r="B309" s="694"/>
      <c r="C309" s="274"/>
      <c r="D309" s="161"/>
      <c r="E309" s="688"/>
      <c r="F309" s="689"/>
      <c r="G309" s="689"/>
      <c r="H309" s="689"/>
      <c r="I309" s="689"/>
      <c r="J309" s="690"/>
      <c r="K309" s="127"/>
      <c r="L309" s="39"/>
      <c r="M309" s="80"/>
      <c r="N309" s="432"/>
      <c r="P309" s="90"/>
    </row>
    <row r="310" spans="2:17" ht="47.25" customHeight="1">
      <c r="B310" s="441"/>
      <c r="C310" s="274">
        <v>96545</v>
      </c>
      <c r="D310" s="161" t="s">
        <v>6</v>
      </c>
      <c r="E310" s="833" t="str">
        <f>IFERROR(VLOOKUP($C310,'SINAPI FEVEREIRO 2022'!$1:$1048576,2,0),IFERROR(VLOOKUP($C310,'5-COMP. PROPRIA'!$B$38:$I$647,4,0),""))</f>
        <v>ARMAÇÃO DE BLOCO, VIGA BALDRAME OU SAPATA UTILIZANDO AÇO CA-50 DE 8 MM - MONTAGEM. AF_06/2017</v>
      </c>
      <c r="F310" s="834"/>
      <c r="G310" s="834"/>
      <c r="H310" s="834"/>
      <c r="I310" s="834"/>
      <c r="J310" s="835"/>
      <c r="K310" s="127">
        <v>328.8</v>
      </c>
      <c r="L310" s="39" t="str">
        <f>IFERROR(VLOOKUP($C310,'SINAPI FEVEREIRO 2022'!$1:$1048576,3,0),IFERROR(VLOOKUP($C310,'5-COMP. PROPRIA'!$B$1:$I$647,5,0),""))</f>
        <v>KG</v>
      </c>
      <c r="M310" s="80"/>
      <c r="N310" s="432"/>
      <c r="P310" s="90"/>
    </row>
    <row r="311" spans="2:17" s="353" customFormat="1" ht="15">
      <c r="B311" s="694"/>
      <c r="C311" s="274"/>
      <c r="D311" s="161"/>
      <c r="E311" s="688"/>
      <c r="F311" s="689"/>
      <c r="G311" s="689"/>
      <c r="H311" s="689"/>
      <c r="I311" s="689"/>
      <c r="J311" s="690"/>
      <c r="K311" s="127"/>
      <c r="L311" s="39"/>
      <c r="M311" s="80"/>
      <c r="N311" s="432"/>
      <c r="P311" s="90"/>
    </row>
    <row r="312" spans="2:17" s="353" customFormat="1" ht="15">
      <c r="B312" s="650"/>
      <c r="C312" s="274">
        <v>96546</v>
      </c>
      <c r="D312" s="161" t="s">
        <v>6</v>
      </c>
      <c r="E312" s="833" t="str">
        <f>IFERROR(VLOOKUP($C312,'SINAPI FEVEREIRO 2022'!$1:$1048576,2,0),IFERROR(VLOOKUP($C312,'5-COMP. PROPRIA'!$B$38:$I$647,4,0),""))</f>
        <v>ARMAÇÃO DE BLOCO, VIGA BALDRAME OU SAPATA UTILIZANDO AÇO CA-50 DE 10 MM - MONTAGEM. AF_06/2017</v>
      </c>
      <c r="F312" s="834"/>
      <c r="G312" s="834"/>
      <c r="H312" s="834"/>
      <c r="I312" s="834"/>
      <c r="J312" s="835"/>
      <c r="K312" s="127">
        <v>40.799999999999997</v>
      </c>
      <c r="L312" s="39" t="str">
        <f>IFERROR(VLOOKUP($C312,'SINAPI FEVEREIRO 2022'!$1:$1048576,3,0),IFERROR(VLOOKUP($C312,'5-COMP. PROPRIA'!$B$1:$I$647,5,0),""))</f>
        <v>KG</v>
      </c>
      <c r="M312" s="80"/>
      <c r="N312" s="432"/>
      <c r="P312" s="90"/>
    </row>
    <row r="313" spans="2:17" s="353" customFormat="1" ht="15">
      <c r="B313" s="694"/>
      <c r="C313" s="274"/>
      <c r="D313" s="161"/>
      <c r="E313" s="688"/>
      <c r="F313" s="689"/>
      <c r="G313" s="689"/>
      <c r="H313" s="689"/>
      <c r="I313" s="689"/>
      <c r="J313" s="690"/>
      <c r="K313" s="127"/>
      <c r="L313" s="39"/>
      <c r="M313" s="80"/>
      <c r="N313" s="432"/>
      <c r="P313" s="90"/>
    </row>
    <row r="314" spans="2:17" ht="31.5" customHeight="1">
      <c r="B314" s="434"/>
      <c r="C314" s="274">
        <v>96536</v>
      </c>
      <c r="D314" s="161" t="s">
        <v>6</v>
      </c>
      <c r="E314" s="833" t="str">
        <f>IFERROR(VLOOKUP($C314,'SINAPI FEVEREIRO 2022'!$1:$1048576,2,0),IFERROR(VLOOKUP($C314,'5-COMP. PROPRIA'!$B$38:$I$647,4,0),""))</f>
        <v>FABRICAÇÃO, MONTAGEM E DESMONTAGEM DE FÔRMA PARA VIGA BALDRAME, EM MADEIRA SERRADA, E=25 MM, 4 UTILIZAÇÕES. AF_06/2017</v>
      </c>
      <c r="F314" s="834"/>
      <c r="G314" s="834"/>
      <c r="H314" s="834"/>
      <c r="I314" s="834"/>
      <c r="J314" s="835"/>
      <c r="K314" s="127">
        <f>(K306/0.15)*0.75</f>
        <v>166.875</v>
      </c>
      <c r="L314" s="39" t="str">
        <f>IFERROR(VLOOKUP($C314,'SINAPI FEVEREIRO 2022'!$1:$1048576,3,0),IFERROR(VLOOKUP($C314,'5-COMP. PROPRIA'!$B$1:$I$647,5,0),""))</f>
        <v>M2</v>
      </c>
      <c r="M314" s="80"/>
      <c r="N314" s="432"/>
      <c r="O314" s="353"/>
      <c r="P314" s="90"/>
      <c r="Q314" s="353"/>
    </row>
    <row r="315" spans="2:17" s="353" customFormat="1" ht="15">
      <c r="B315" s="695"/>
      <c r="C315" s="274"/>
      <c r="D315" s="161"/>
      <c r="E315" s="688"/>
      <c r="F315" s="689"/>
      <c r="G315" s="689"/>
      <c r="H315" s="689"/>
      <c r="I315" s="689"/>
      <c r="J315" s="690"/>
      <c r="K315" s="127"/>
      <c r="L315" s="39"/>
      <c r="M315" s="80"/>
      <c r="N315" s="432"/>
      <c r="P315" s="90"/>
    </row>
    <row r="316" spans="2:17" ht="36" customHeight="1">
      <c r="B316" s="434"/>
      <c r="C316" s="274">
        <v>94971</v>
      </c>
      <c r="D316" s="161" t="s">
        <v>6</v>
      </c>
      <c r="E316" s="833" t="str">
        <f>IFERROR(VLOOKUP($C316,'SINAPI FEVEREIRO 2022'!$1:$1048576,2,0),IFERROR(VLOOKUP($C316,'5-COMP. PROPRIA'!$B$38:$I$647,4,0),""))</f>
        <v>CONCRETO FCK = 25MPA, TRAÇO 1:2,3:2,7 (EM MASSA SECA DE CIMENTO/ AREIA MÉDIA/ BRITA 1) - PREPARO MECÂNICO COM BETONEIRA 600 L. AF_05/2021</v>
      </c>
      <c r="F316" s="834"/>
      <c r="G316" s="834"/>
      <c r="H316" s="834"/>
      <c r="I316" s="834"/>
      <c r="J316" s="835"/>
      <c r="K316" s="127">
        <v>10.01</v>
      </c>
      <c r="L316" s="39" t="str">
        <f>IFERROR(VLOOKUP($C316,'SINAPI FEVEREIRO 2022'!$1:$1048576,3,0),IFERROR(VLOOKUP($C316,'5-COMP. PROPRIA'!$B$1:$I$647,5,0),""))</f>
        <v>M3</v>
      </c>
      <c r="M316" s="61"/>
      <c r="N316" s="432"/>
      <c r="O316" s="353"/>
      <c r="P316" s="90"/>
      <c r="Q316" s="353"/>
    </row>
    <row r="317" spans="2:17" s="353" customFormat="1" ht="15">
      <c r="B317" s="695"/>
      <c r="C317" s="274"/>
      <c r="D317" s="161"/>
      <c r="E317" s="688"/>
      <c r="F317" s="689"/>
      <c r="G317" s="689"/>
      <c r="H317" s="689"/>
      <c r="I317" s="689"/>
      <c r="J317" s="690"/>
      <c r="K317" s="127"/>
      <c r="L317" s="39"/>
      <c r="M317" s="61"/>
      <c r="N317" s="432"/>
      <c r="P317" s="90"/>
    </row>
    <row r="318" spans="2:17" s="353" customFormat="1" ht="34.5" customHeight="1">
      <c r="B318" s="651"/>
      <c r="C318" s="274">
        <v>103670</v>
      </c>
      <c r="D318" s="161" t="s">
        <v>6</v>
      </c>
      <c r="E318" s="833" t="str">
        <f>IFERROR(VLOOKUP($C318,'SINAPI FEVEREIRO 2022'!$1:$1048576,2,0),IFERROR(VLOOKUP($C318,'5-COMP. PROPRIA'!$B$38:$I$647,4,0),""))</f>
        <v>LANÇAMENTO COM USO DE BALDES, ADENSAMENTO E ACABAMENTO DE CONCRETO EM ESTRUTURAS. AF_02/2022</v>
      </c>
      <c r="F318" s="834"/>
      <c r="G318" s="834"/>
      <c r="H318" s="834"/>
      <c r="I318" s="834"/>
      <c r="J318" s="835"/>
      <c r="K318" s="127">
        <f>K316</f>
        <v>10.01</v>
      </c>
      <c r="L318" s="39" t="str">
        <f>IFERROR(VLOOKUP($C318,'SINAPI FEVEREIRO 2022'!$1:$1048576,3,0),IFERROR(VLOOKUP($C318,'5-COMP. PROPRIA'!$B$1:$I$647,5,0),""))</f>
        <v>M3</v>
      </c>
      <c r="M318" s="61"/>
      <c r="N318" s="432"/>
      <c r="P318" s="90"/>
    </row>
    <row r="319" spans="2:17" s="353" customFormat="1" ht="15">
      <c r="B319" s="695"/>
      <c r="C319" s="274"/>
      <c r="D319" s="161"/>
      <c r="E319" s="688"/>
      <c r="F319" s="689"/>
      <c r="G319" s="689"/>
      <c r="H319" s="689"/>
      <c r="I319" s="689"/>
      <c r="J319" s="690"/>
      <c r="K319" s="127"/>
      <c r="L319" s="39"/>
      <c r="M319" s="61"/>
      <c r="N319" s="432"/>
      <c r="P319" s="90"/>
    </row>
    <row r="320" spans="2:17" ht="15" customHeight="1">
      <c r="B320" s="743" t="s">
        <v>7889</v>
      </c>
      <c r="C320" s="274">
        <v>98557</v>
      </c>
      <c r="D320" s="161" t="s">
        <v>6</v>
      </c>
      <c r="E320" s="833" t="str">
        <f>IFERROR(VLOOKUP($C320,'SINAPI FEVEREIRO 2022'!$1:$1048576,2,0),IFERROR(VLOOKUP($C320,'5-COMP. PROPRIA'!$B$38:$I$647,4,0),""))</f>
        <v>IMPERMEABILIZAÇÃO DE SUPERFÍCIE COM EMULSÃO ASFÁLTICA, 2 DEMÃOS AF_06/2018</v>
      </c>
      <c r="F320" s="834"/>
      <c r="G320" s="834"/>
      <c r="H320" s="834"/>
      <c r="I320" s="834"/>
      <c r="J320" s="835"/>
      <c r="K320" s="127">
        <f>K314</f>
        <v>166.875</v>
      </c>
      <c r="L320" s="39" t="str">
        <f>IFERROR(VLOOKUP($C320,'SINAPI FEVEREIRO 2022'!$1:$1048576,3,0),IFERROR(VLOOKUP($C320,'5-COMP. PROPRIA'!$B$1:$I$647,5,0),""))</f>
        <v>M2</v>
      </c>
      <c r="M320" s="61"/>
      <c r="N320" s="442"/>
      <c r="P320" s="90"/>
    </row>
    <row r="321" spans="2:16" s="353" customFormat="1" ht="15" customHeight="1">
      <c r="B321" s="725"/>
      <c r="C321" s="274"/>
      <c r="D321" s="161"/>
      <c r="E321" s="688"/>
      <c r="F321" s="689"/>
      <c r="G321" s="689"/>
      <c r="H321" s="689"/>
      <c r="I321" s="689"/>
      <c r="J321" s="690"/>
      <c r="K321" s="127"/>
      <c r="L321" s="39"/>
      <c r="M321" s="61"/>
      <c r="N321" s="652"/>
      <c r="P321" s="90"/>
    </row>
    <row r="322" spans="2:16" ht="15" customHeight="1">
      <c r="B322" s="434"/>
      <c r="C322" s="274">
        <v>93382</v>
      </c>
      <c r="D322" s="161" t="s">
        <v>6</v>
      </c>
      <c r="E322" s="833" t="str">
        <f>IFERROR(VLOOKUP($C322,'SINAPI FEVEREIRO 2022'!$1:$1048576,2,0),IFERROR(VLOOKUP($C322,'5-COMP. PROPRIA'!$B$38:$I$647,4,0),""))</f>
        <v>REATERRO MANUAL DE VALAS COM COMPACTAÇÃO MECANIZADA. AF_04/2016</v>
      </c>
      <c r="F322" s="834"/>
      <c r="G322" s="834"/>
      <c r="H322" s="834"/>
      <c r="I322" s="834"/>
      <c r="J322" s="835"/>
      <c r="K322" s="127">
        <f>SUM(K324)</f>
        <v>3.0062499999999996</v>
      </c>
      <c r="L322" s="39" t="str">
        <f>IFERROR(VLOOKUP($C322,'SINAPI FEVEREIRO 2022'!$1:$1048576,3,0),IFERROR(VLOOKUP($C322,'5-COMP. PROPRIA'!$B$1:$I$647,5,0),""))</f>
        <v>M3</v>
      </c>
      <c r="M322" s="61"/>
      <c r="N322" s="442"/>
      <c r="P322" s="90"/>
    </row>
    <row r="323" spans="2:16" ht="14.25">
      <c r="B323" s="434"/>
      <c r="C323" s="274"/>
      <c r="D323" s="161"/>
      <c r="E323" s="52" t="s">
        <v>6140</v>
      </c>
      <c r="F323" s="427" t="s">
        <v>5758</v>
      </c>
      <c r="G323" s="427"/>
      <c r="H323" s="418"/>
      <c r="I323" s="166"/>
      <c r="J323" s="167"/>
      <c r="K323" s="129"/>
      <c r="L323" s="149"/>
      <c r="M323" s="61"/>
      <c r="N323" s="442"/>
      <c r="P323" s="90"/>
    </row>
    <row r="324" spans="2:16" ht="23.25" customHeight="1">
      <c r="B324" s="441"/>
      <c r="C324" s="274"/>
      <c r="D324" s="161"/>
      <c r="E324" s="240">
        <f>M304</f>
        <v>13.016249999999999</v>
      </c>
      <c r="F324" s="259">
        <f>K316</f>
        <v>10.01</v>
      </c>
      <c r="G324" s="431"/>
      <c r="H324" s="431"/>
      <c r="I324" s="41"/>
      <c r="J324" s="76"/>
      <c r="K324" s="663">
        <f>E324-F324</f>
        <v>3.0062499999999996</v>
      </c>
      <c r="L324" s="149"/>
      <c r="M324" s="80"/>
      <c r="N324" s="432"/>
      <c r="P324" s="90"/>
    </row>
    <row r="325" spans="2:16" s="353" customFormat="1" ht="23.25" customHeight="1">
      <c r="B325" s="694"/>
      <c r="C325" s="274"/>
      <c r="D325" s="161"/>
      <c r="E325" s="83"/>
      <c r="F325" s="431"/>
      <c r="G325" s="431"/>
      <c r="H325" s="431"/>
      <c r="I325" s="41"/>
      <c r="J325" s="76"/>
      <c r="K325" s="663"/>
      <c r="L325" s="149"/>
      <c r="M325" s="80"/>
      <c r="N325" s="432"/>
      <c r="P325" s="90"/>
    </row>
    <row r="326" spans="2:16" ht="46.5" customHeight="1">
      <c r="B326" s="441"/>
      <c r="C326" s="274">
        <v>100973</v>
      </c>
      <c r="D326" s="161" t="s">
        <v>6</v>
      </c>
      <c r="E326" s="833" t="str">
        <f>IFERROR(VLOOKUP($C326,'SINAPI FEVEREIRO 2022'!$1:$1048576,2,0),IFERROR(VLOOKUP($C326,'5-COMP. PROPRIA'!$B$38:$I$647,4,0),""))</f>
        <v>CARGA, MANOBRA E DESCARGA DE SOLOS E MATERIAIS GRANULARES EM CAMINHÃO BASCULANTE 6 M³ - CARGA COM PÁ CARREGADEIRA (CAÇAMBA DE 1,7 A 2,8 M³ / 128 HP) E DESCARGA LIVRE (UNIDADE: M3). AF_07/2020</v>
      </c>
      <c r="F326" s="834"/>
      <c r="G326" s="834"/>
      <c r="H326" s="834"/>
      <c r="I326" s="834"/>
      <c r="J326" s="835"/>
      <c r="K326" s="127">
        <f>SUM(K328:K328)</f>
        <v>13.013</v>
      </c>
      <c r="L326" s="39" t="str">
        <f>IFERROR(VLOOKUP($C326,'SINAPI FEVEREIRO 2022'!$1:$1048576,3,0),IFERROR(VLOOKUP($C326,'5-COMP. PROPRIA'!$B$1:$I$647,5,0),""))</f>
        <v>M3</v>
      </c>
      <c r="M326" s="67"/>
      <c r="N326" s="478"/>
      <c r="P326" s="90"/>
    </row>
    <row r="327" spans="2:16" ht="36.75" customHeight="1">
      <c r="B327" s="434"/>
      <c r="C327" s="274"/>
      <c r="D327" s="161"/>
      <c r="E327" s="54" t="s">
        <v>618</v>
      </c>
      <c r="F327" s="428"/>
      <c r="G327" s="428"/>
      <c r="H327" s="418" t="s">
        <v>619</v>
      </c>
      <c r="I327" s="428"/>
      <c r="J327" s="66"/>
      <c r="K327" s="126"/>
      <c r="L327" s="149"/>
      <c r="M327" s="67"/>
      <c r="N327" s="478"/>
      <c r="P327" s="90"/>
    </row>
    <row r="328" spans="2:16" ht="17.25" customHeight="1">
      <c r="B328" s="434"/>
      <c r="C328" s="274"/>
      <c r="D328" s="161"/>
      <c r="E328" s="240">
        <f>K316</f>
        <v>10.01</v>
      </c>
      <c r="F328" s="42"/>
      <c r="G328" s="42"/>
      <c r="H328" s="258">
        <v>1.3</v>
      </c>
      <c r="I328" s="428"/>
      <c r="J328" s="48"/>
      <c r="K328" s="49">
        <f>H328*E328</f>
        <v>13.013</v>
      </c>
      <c r="L328" s="149"/>
      <c r="M328" s="67"/>
      <c r="N328" s="478"/>
      <c r="P328" s="90"/>
    </row>
    <row r="329" spans="2:16" ht="17.25" customHeight="1">
      <c r="B329" s="474"/>
      <c r="C329" s="274"/>
      <c r="D329" s="238"/>
      <c r="E329" s="72"/>
      <c r="F329" s="42"/>
      <c r="G329" s="42"/>
      <c r="H329" s="42"/>
      <c r="I329" s="428"/>
      <c r="J329" s="66"/>
      <c r="K329" s="49"/>
      <c r="L329" s="149"/>
      <c r="M329" s="67"/>
      <c r="N329" s="478"/>
      <c r="P329" s="90"/>
    </row>
    <row r="330" spans="2:16" ht="38.25" customHeight="1">
      <c r="B330" s="441"/>
      <c r="C330" s="274">
        <v>100937</v>
      </c>
      <c r="D330" s="161" t="s">
        <v>6</v>
      </c>
      <c r="E330" s="833" t="str">
        <f>IFERROR(VLOOKUP($C330,'SINAPI FEVEREIRO 2022'!$1:$1048576,2,0),IFERROR(VLOOKUP($C330,'5-COMP. PROPRIA'!$B$38:$I$647,4,0),""))</f>
        <v>TRANSPORTE COM CAMINHÃO BASCULANTE DE 6 M³, EM VIA INTERNA (DENTRO DO CANTEIRO - UNIDADE: M3XKM). AF_07/2020</v>
      </c>
      <c r="F330" s="834"/>
      <c r="G330" s="834"/>
      <c r="H330" s="834"/>
      <c r="I330" s="834"/>
      <c r="J330" s="835"/>
      <c r="K330" s="127">
        <f>SUM(K332:K332)</f>
        <v>97.597499999999997</v>
      </c>
      <c r="L330" s="39" t="str">
        <f>IFERROR(VLOOKUP($C330,'SINAPI FEVEREIRO 2022'!$1:$1048576,3,0),IFERROR(VLOOKUP($C330,'5-COMP. PROPRIA'!$B$1:$I$647,5,0),""))</f>
        <v>M3XKM</v>
      </c>
      <c r="M330" s="67"/>
      <c r="N330" s="478"/>
      <c r="P330" s="90"/>
    </row>
    <row r="331" spans="2:16" ht="36.75" customHeight="1">
      <c r="B331" s="434"/>
      <c r="C331" s="274"/>
      <c r="D331" s="161"/>
      <c r="E331" s="54" t="s">
        <v>618</v>
      </c>
      <c r="F331" s="428"/>
      <c r="G331" s="428"/>
      <c r="H331" s="418" t="s">
        <v>619</v>
      </c>
      <c r="I331" s="428"/>
      <c r="J331" s="66"/>
      <c r="K331" s="126"/>
      <c r="L331" s="149"/>
      <c r="M331" s="67"/>
      <c r="N331" s="478"/>
      <c r="P331" s="90"/>
    </row>
    <row r="332" spans="2:16" ht="17.25" customHeight="1">
      <c r="B332" s="434"/>
      <c r="C332" s="274"/>
      <c r="D332" s="161"/>
      <c r="E332" s="240">
        <f>K326</f>
        <v>13.013</v>
      </c>
      <c r="F332" s="42"/>
      <c r="G332" s="42"/>
      <c r="H332" s="258">
        <v>7.5</v>
      </c>
      <c r="I332" s="428"/>
      <c r="J332" s="48"/>
      <c r="K332" s="49">
        <f>H332*E332</f>
        <v>97.597499999999997</v>
      </c>
      <c r="L332" s="149"/>
      <c r="M332" s="67"/>
      <c r="N332" s="478"/>
      <c r="P332" s="90"/>
    </row>
    <row r="333" spans="2:16" s="353" customFormat="1" ht="17.25" customHeight="1" thickBot="1">
      <c r="B333" s="695"/>
      <c r="C333" s="274"/>
      <c r="D333" s="161"/>
      <c r="E333" s="83"/>
      <c r="F333" s="46"/>
      <c r="G333" s="46"/>
      <c r="H333" s="46"/>
      <c r="I333" s="428"/>
      <c r="J333" s="48"/>
      <c r="K333" s="49"/>
      <c r="L333" s="149"/>
      <c r="M333" s="67"/>
      <c r="N333" s="478"/>
      <c r="P333" s="90"/>
    </row>
    <row r="334" spans="2:16" ht="17.25" customHeight="1" thickBot="1">
      <c r="B334" s="471"/>
      <c r="C334" s="274"/>
      <c r="D334" s="161"/>
      <c r="E334" s="848" t="s">
        <v>624</v>
      </c>
      <c r="F334" s="849"/>
      <c r="G334" s="849"/>
      <c r="H334" s="849"/>
      <c r="I334" s="849"/>
      <c r="J334" s="850"/>
      <c r="K334" s="125"/>
      <c r="L334" s="149"/>
      <c r="M334" s="61"/>
      <c r="N334" s="70"/>
      <c r="P334" s="90"/>
    </row>
    <row r="335" spans="2:16" ht="17.25" customHeight="1" thickBot="1">
      <c r="B335" s="470"/>
      <c r="C335" s="274"/>
      <c r="D335" s="161"/>
      <c r="E335" s="845" t="s">
        <v>7890</v>
      </c>
      <c r="F335" s="846"/>
      <c r="G335" s="846"/>
      <c r="H335" s="846"/>
      <c r="I335" s="846"/>
      <c r="J335" s="847"/>
      <c r="K335" s="125"/>
      <c r="L335" s="149"/>
      <c r="M335" s="61"/>
      <c r="N335" s="70"/>
      <c r="P335" s="90"/>
    </row>
    <row r="336" spans="2:16" s="353" customFormat="1" ht="17.25" customHeight="1">
      <c r="B336" s="470"/>
      <c r="C336" s="274"/>
      <c r="D336" s="161"/>
      <c r="E336" s="691"/>
      <c r="F336" s="692"/>
      <c r="G336" s="692"/>
      <c r="H336" s="692"/>
      <c r="I336" s="692"/>
      <c r="J336" s="693"/>
      <c r="K336" s="125"/>
      <c r="L336" s="149"/>
      <c r="M336" s="61"/>
      <c r="N336" s="70"/>
      <c r="P336" s="90"/>
    </row>
    <row r="337" spans="2:27" ht="42" customHeight="1">
      <c r="B337" s="434"/>
      <c r="C337" s="274">
        <v>92775</v>
      </c>
      <c r="D337" s="161" t="s">
        <v>6</v>
      </c>
      <c r="E337" s="833" t="str">
        <f>IFERROR(VLOOKUP($C337,'SINAPI FEVEREIRO 2022'!$1:$1048576,2,0),IFERROR(VLOOKUP($C337,'5-COMP. PROPRIA'!$B$38:$I$647,4,0),""))</f>
        <v>ARMAÇÃO DE PILAR OU VIGA DE UMA ESTRUTURA CONVENCIONAL DE CONCRETO ARMADO EM UMA EDIFICAÇÃO TÉRREA OU SOBRADO UTILIZANDO AÇO CA-60 DE 5,0 MM - MONTAGEM. AF_12/2015</v>
      </c>
      <c r="F337" s="834"/>
      <c r="G337" s="834"/>
      <c r="H337" s="834"/>
      <c r="I337" s="834"/>
      <c r="J337" s="835"/>
      <c r="K337" s="127">
        <v>292.10000000000002</v>
      </c>
      <c r="L337" s="39" t="str">
        <f>IFERROR(VLOOKUP($C337,'SINAPI FEVEREIRO 2022'!$1:$1048576,3,0),IFERROR(VLOOKUP($C337,'5-COMP. PROPRIA'!$B$1:$I$647,5,0),""))</f>
        <v>KG</v>
      </c>
      <c r="M337" s="67"/>
      <c r="N337" s="478"/>
      <c r="P337" s="90"/>
    </row>
    <row r="338" spans="2:27" s="353" customFormat="1" ht="15">
      <c r="B338" s="695"/>
      <c r="C338" s="274"/>
      <c r="D338" s="161"/>
      <c r="E338" s="688"/>
      <c r="F338" s="689"/>
      <c r="G338" s="689"/>
      <c r="H338" s="689"/>
      <c r="I338" s="689"/>
      <c r="J338" s="690"/>
      <c r="K338" s="127"/>
      <c r="L338" s="39"/>
      <c r="M338" s="67"/>
      <c r="N338" s="478"/>
      <c r="P338" s="90"/>
    </row>
    <row r="339" spans="2:27" ht="42" customHeight="1">
      <c r="B339" s="434"/>
      <c r="C339" s="274">
        <v>92778</v>
      </c>
      <c r="D339" s="161" t="s">
        <v>6</v>
      </c>
      <c r="E339" s="833" t="str">
        <f>IFERROR(VLOOKUP($C339,'SINAPI FEVEREIRO 2022'!$1:$1048576,2,0),IFERROR(VLOOKUP($C339,'5-COMP. PROPRIA'!$B$38:$I$647,4,0),""))</f>
        <v>ARMAÇÃO DE PILAR OU VIGA DE UMA ESTRUTURA CONVENCIONAL DE CONCRETO ARMADO EM UMA EDIFICAÇÃO TÉRREA OU SOBRADO UTILIZANDO AÇO CA-50 DE 10,0 MM - MONTAGEM. AF_12/2015</v>
      </c>
      <c r="F339" s="834"/>
      <c r="G339" s="834"/>
      <c r="H339" s="834"/>
      <c r="I339" s="834"/>
      <c r="J339" s="835"/>
      <c r="K339" s="127">
        <v>593.4</v>
      </c>
      <c r="L339" s="39" t="str">
        <f>IFERROR(VLOOKUP($C339,'SINAPI FEVEREIRO 2022'!$1:$1048576,3,0),IFERROR(VLOOKUP($C339,'5-COMP. PROPRIA'!$B$1:$I$647,5,0),""))</f>
        <v>KG</v>
      </c>
      <c r="M339" s="67"/>
      <c r="N339" s="478"/>
      <c r="P339" s="90"/>
      <c r="Q339" s="353"/>
      <c r="R339" s="353"/>
      <c r="S339" s="353"/>
      <c r="T339" s="353"/>
      <c r="U339" s="353"/>
      <c r="V339" s="353"/>
      <c r="W339" s="353"/>
      <c r="X339" s="353"/>
    </row>
    <row r="340" spans="2:27" s="353" customFormat="1" ht="15">
      <c r="B340" s="695"/>
      <c r="C340" s="274"/>
      <c r="D340" s="161"/>
      <c r="E340" s="688"/>
      <c r="F340" s="689"/>
      <c r="G340" s="689"/>
      <c r="H340" s="689"/>
      <c r="I340" s="689"/>
      <c r="J340" s="690"/>
      <c r="K340" s="127"/>
      <c r="L340" s="39"/>
      <c r="M340" s="67"/>
      <c r="N340" s="478"/>
      <c r="P340" s="90"/>
    </row>
    <row r="341" spans="2:27" ht="48" customHeight="1">
      <c r="B341" s="434"/>
      <c r="C341" s="274">
        <v>92413</v>
      </c>
      <c r="D341" s="161" t="s">
        <v>6</v>
      </c>
      <c r="E341" s="833" t="str">
        <f>IFERROR(VLOOKUP($C341,'SINAPI FEVEREIRO 2022'!$1:$1048576,2,0),IFERROR(VLOOKUP($C341,'5-COMP. PROPRIA'!$B$38:$I$647,4,0),""))</f>
        <v>MONTAGEM E DESMONTAGEM DE FÔRMA DE PILARES RETANGULARES E ESTRUTURAS SIMILARES, PÉ-DIREITO SIMPLES, EM MADEIRA SERRADA, 4 UTILIZAÇÕES. AF_09/2020</v>
      </c>
      <c r="F341" s="834"/>
      <c r="G341" s="834"/>
      <c r="H341" s="834"/>
      <c r="I341" s="834"/>
      <c r="J341" s="835"/>
      <c r="K341" s="127">
        <v>218.7</v>
      </c>
      <c r="L341" s="39" t="str">
        <f>IFERROR(VLOOKUP($C341,'SINAPI FEVEREIRO 2022'!$1:$1048576,3,0),IFERROR(VLOOKUP($C341,'5-COMP. PROPRIA'!$B$1:$I$647,5,0),""))</f>
        <v>M2</v>
      </c>
      <c r="M341" s="67"/>
      <c r="N341" s="478"/>
      <c r="P341" s="90"/>
      <c r="Q341" s="353"/>
      <c r="R341" s="353"/>
      <c r="S341" s="353"/>
      <c r="T341" s="353"/>
      <c r="U341" s="353"/>
      <c r="V341" s="353"/>
      <c r="W341" s="353"/>
      <c r="X341" s="353"/>
    </row>
    <row r="342" spans="2:27" s="353" customFormat="1" ht="15">
      <c r="B342" s="695"/>
      <c r="C342" s="274"/>
      <c r="D342" s="161"/>
      <c r="E342" s="688"/>
      <c r="F342" s="689"/>
      <c r="G342" s="689"/>
      <c r="H342" s="689"/>
      <c r="I342" s="689"/>
      <c r="J342" s="690"/>
      <c r="K342" s="127"/>
      <c r="L342" s="39"/>
      <c r="M342" s="67"/>
      <c r="N342" s="478"/>
      <c r="P342" s="90"/>
    </row>
    <row r="343" spans="2:27" ht="48" customHeight="1">
      <c r="B343" s="434"/>
      <c r="C343" s="274">
        <v>94971</v>
      </c>
      <c r="D343" s="161" t="s">
        <v>6</v>
      </c>
      <c r="E343" s="833" t="str">
        <f>IFERROR(VLOOKUP($C343,'SINAPI FEVEREIRO 2022'!$1:$1048576,2,0),IFERROR(VLOOKUP($C343,'5-COMP. PROPRIA'!$B$38:$I$647,4,0),""))</f>
        <v>CONCRETO FCK = 25MPA, TRAÇO 1:2,3:2,7 (EM MASSA SECA DE CIMENTO/ AREIA MÉDIA/ BRITA 1) - PREPARO MECÂNICO COM BETONEIRA 600 L. AF_05/2021</v>
      </c>
      <c r="F343" s="834"/>
      <c r="G343" s="834"/>
      <c r="H343" s="834"/>
      <c r="I343" s="834"/>
      <c r="J343" s="835"/>
      <c r="K343" s="127">
        <f>10.93</f>
        <v>10.93</v>
      </c>
      <c r="L343" s="39" t="str">
        <f>IFERROR(VLOOKUP($C343,'SINAPI FEVEREIRO 2022'!$1:$1048576,3,0),IFERROR(VLOOKUP($C343,'5-COMP. PROPRIA'!$B$1:$I$647,5,0),""))</f>
        <v>M3</v>
      </c>
      <c r="M343" s="67"/>
      <c r="N343" s="478"/>
      <c r="P343" s="90"/>
      <c r="Q343" s="353"/>
      <c r="R343" s="353"/>
      <c r="S343" s="353"/>
      <c r="T343" s="353"/>
      <c r="U343" s="353"/>
      <c r="V343" s="353"/>
      <c r="W343" s="353"/>
      <c r="X343" s="353"/>
    </row>
    <row r="344" spans="2:27" s="353" customFormat="1" ht="15">
      <c r="B344" s="695"/>
      <c r="C344" s="274"/>
      <c r="D344" s="161"/>
      <c r="E344" s="688"/>
      <c r="F344" s="689"/>
      <c r="G344" s="689"/>
      <c r="H344" s="689"/>
      <c r="I344" s="689"/>
      <c r="J344" s="690"/>
      <c r="K344" s="127"/>
      <c r="L344" s="39"/>
      <c r="M344" s="67"/>
      <c r="N344" s="478"/>
      <c r="P344" s="90"/>
    </row>
    <row r="345" spans="2:27" s="353" customFormat="1" ht="27.75" customHeight="1">
      <c r="B345" s="651"/>
      <c r="C345" s="274">
        <v>103670</v>
      </c>
      <c r="D345" s="161" t="s">
        <v>6</v>
      </c>
      <c r="E345" s="833" t="str">
        <f>IFERROR(VLOOKUP($C345,'SINAPI FEVEREIRO 2022'!$1:$1048576,2,0),IFERROR(VLOOKUP($C345,'5-COMP. PROPRIA'!$B$38:$I$647,4,0),""))</f>
        <v>LANÇAMENTO COM USO DE BALDES, ADENSAMENTO E ACABAMENTO DE CONCRETO EM ESTRUTURAS. AF_02/2022</v>
      </c>
      <c r="F345" s="834"/>
      <c r="G345" s="834"/>
      <c r="H345" s="834"/>
      <c r="I345" s="834"/>
      <c r="J345" s="835"/>
      <c r="K345" s="127">
        <f>K343</f>
        <v>10.93</v>
      </c>
      <c r="L345" s="39" t="str">
        <f>IFERROR(VLOOKUP($C345,'SINAPI FEVEREIRO 2022'!$1:$1048576,3,0),IFERROR(VLOOKUP($C345,'5-COMP. PROPRIA'!$B$1:$I$647,5,0),""))</f>
        <v>M3</v>
      </c>
      <c r="M345" s="67"/>
      <c r="N345" s="478"/>
      <c r="P345" s="90"/>
    </row>
    <row r="346" spans="2:27" s="353" customFormat="1" ht="27.75" customHeight="1" thickBot="1">
      <c r="B346" s="695"/>
      <c r="C346" s="274"/>
      <c r="D346" s="161"/>
      <c r="E346" s="688"/>
      <c r="F346" s="689"/>
      <c r="G346" s="689"/>
      <c r="H346" s="689"/>
      <c r="I346" s="689"/>
      <c r="J346" s="690"/>
      <c r="K346" s="127"/>
      <c r="L346" s="39"/>
      <c r="M346" s="67"/>
      <c r="N346" s="478"/>
      <c r="P346" s="90"/>
    </row>
    <row r="347" spans="2:27" ht="15" thickBot="1">
      <c r="B347" s="471"/>
      <c r="C347" s="274"/>
      <c r="D347" s="161"/>
      <c r="E347" s="851" t="s">
        <v>7895</v>
      </c>
      <c r="F347" s="852"/>
      <c r="G347" s="852"/>
      <c r="H347" s="852"/>
      <c r="I347" s="852"/>
      <c r="J347" s="853"/>
      <c r="K347" s="125"/>
      <c r="L347" s="149"/>
      <c r="M347" s="61"/>
      <c r="N347" s="70"/>
      <c r="P347" s="90"/>
      <c r="U347" s="353"/>
      <c r="V347" s="353"/>
      <c r="W347" s="353"/>
      <c r="X347" s="353"/>
    </row>
    <row r="348" spans="2:27" s="353" customFormat="1" ht="14.25">
      <c r="B348" s="471"/>
      <c r="C348" s="274"/>
      <c r="D348" s="161"/>
      <c r="E348" s="688"/>
      <c r="F348" s="689"/>
      <c r="G348" s="689"/>
      <c r="H348" s="689"/>
      <c r="I348" s="689"/>
      <c r="J348" s="690"/>
      <c r="K348" s="125"/>
      <c r="L348" s="149"/>
      <c r="M348" s="61"/>
      <c r="N348" s="70"/>
      <c r="P348" s="90"/>
    </row>
    <row r="349" spans="2:27" ht="27" customHeight="1">
      <c r="B349" s="434"/>
      <c r="C349" s="274">
        <v>92423</v>
      </c>
      <c r="D349" s="161" t="s">
        <v>6</v>
      </c>
      <c r="E349" s="833" t="str">
        <f>IFERROR(VLOOKUP($C349,'SINAPI FEVEREIRO 2022'!$1:$1048576,2,0),IFERROR(VLOOKUP($C349,'5-COMP. PROPRIA'!$B$38:$I$647,4,0),""))</f>
        <v>MONTAGEM E DESMONTAGEM DE FÔRMA DE PILARES RETANGULARES E ESTRUTURAS SIMILARES, PÉ-DIREITO SIMPLES, EM CHAPA DE MADEIRA COMPENSADA RESINADA, 6 UTILIZAÇÕES. AF_09/2020</v>
      </c>
      <c r="F349" s="834"/>
      <c r="G349" s="834"/>
      <c r="H349" s="834"/>
      <c r="I349" s="834"/>
      <c r="J349" s="835"/>
      <c r="K349" s="127">
        <f>31.85*0.75</f>
        <v>23.887500000000003</v>
      </c>
      <c r="L349" s="39" t="str">
        <f>IFERROR(VLOOKUP($C349,'SINAPI FEVEREIRO 2022'!$1:$1048576,3,0),IFERROR(VLOOKUP($C349,'5-COMP. PROPRIA'!$B$1:$I$647,5,0),""))</f>
        <v>M2</v>
      </c>
      <c r="M349" s="61"/>
      <c r="N349" s="442"/>
      <c r="O349" s="87"/>
      <c r="P349" s="90"/>
      <c r="U349" s="353"/>
      <c r="V349" s="353"/>
      <c r="W349" s="353"/>
      <c r="X349" s="353"/>
      <c r="Y349" s="353"/>
      <c r="Z349" s="353"/>
      <c r="AA349" s="353"/>
    </row>
    <row r="350" spans="2:27" s="353" customFormat="1" ht="15">
      <c r="B350" s="695"/>
      <c r="C350" s="274"/>
      <c r="D350" s="161"/>
      <c r="E350" s="688"/>
      <c r="F350" s="689"/>
      <c r="G350" s="689"/>
      <c r="H350" s="689"/>
      <c r="I350" s="689"/>
      <c r="J350" s="690"/>
      <c r="K350" s="127"/>
      <c r="L350" s="39"/>
      <c r="M350" s="61"/>
      <c r="N350" s="652"/>
      <c r="O350" s="87"/>
      <c r="P350" s="90"/>
    </row>
    <row r="351" spans="2:27" s="353" customFormat="1" ht="29.25" customHeight="1">
      <c r="B351" s="651"/>
      <c r="C351" s="274">
        <v>92775</v>
      </c>
      <c r="D351" s="161" t="s">
        <v>6</v>
      </c>
      <c r="E351" s="833" t="str">
        <f>IFERROR(VLOOKUP($C351,'SINAPI FEVEREIRO 2022'!$1:$1048576,2,0),IFERROR(VLOOKUP($C351,'5-COMP. PROPRIA'!$B$38:$I$647,4,0),""))</f>
        <v>ARMAÇÃO DE PILAR OU VIGA DE UMA ESTRUTURA CONVENCIONAL DE CONCRETO ARMADO EM UMA EDIFICAÇÃO TÉRREA OU SOBRADO UTILIZANDO AÇO CA-60 DE 5,0 MM - MONTAGEM. AF_12/2015</v>
      </c>
      <c r="F351" s="834"/>
      <c r="G351" s="834"/>
      <c r="H351" s="834"/>
      <c r="I351" s="834"/>
      <c r="J351" s="835"/>
      <c r="K351" s="127">
        <f>155.8*0.154</f>
        <v>23.993200000000002</v>
      </c>
      <c r="L351" s="39" t="str">
        <f>IFERROR(VLOOKUP($C351,'SINAPI FEVEREIRO 2022'!$1:$1048576,3,0),IFERROR(VLOOKUP($C351,'5-COMP. PROPRIA'!$B$1:$I$647,5,0),""))</f>
        <v>KG</v>
      </c>
      <c r="M351" s="61"/>
      <c r="N351" s="652"/>
      <c r="O351" s="87"/>
      <c r="P351" s="90"/>
    </row>
    <row r="352" spans="2:27" s="353" customFormat="1" ht="15">
      <c r="B352" s="695"/>
      <c r="C352" s="274"/>
      <c r="D352" s="161"/>
      <c r="E352" s="688"/>
      <c r="F352" s="689"/>
      <c r="G352" s="689"/>
      <c r="H352" s="689"/>
      <c r="I352" s="689"/>
      <c r="J352" s="690"/>
      <c r="K352" s="127"/>
      <c r="L352" s="39"/>
      <c r="M352" s="61"/>
      <c r="N352" s="652"/>
      <c r="O352" s="87"/>
      <c r="P352" s="90"/>
    </row>
    <row r="353" spans="2:16" s="353" customFormat="1" ht="30.75" customHeight="1">
      <c r="B353" s="651"/>
      <c r="C353" s="274">
        <v>92777</v>
      </c>
      <c r="D353" s="161" t="s">
        <v>6</v>
      </c>
      <c r="E353" s="833" t="str">
        <f>IFERROR(VLOOKUP($C353,'SINAPI FEVEREIRO 2022'!$1:$1048576,2,0),IFERROR(VLOOKUP($C353,'5-COMP. PROPRIA'!$B$38:$I$647,4,0),""))</f>
        <v>ARMAÇÃO DE PILAR OU VIGA DE UMA ESTRUTURA CONVENCIONAL DE CONCRETO ARMADO EM UMA EDIFICAÇÃO TÉRREA OU SOBRADO UTILIZANDO AÇO CA-50 DE 8,0 MM - MONTAGEM. AF_12/2015</v>
      </c>
      <c r="F353" s="834"/>
      <c r="G353" s="834"/>
      <c r="H353" s="834"/>
      <c r="I353" s="834"/>
      <c r="J353" s="835"/>
      <c r="K353" s="127">
        <f>67.34*0.395</f>
        <v>26.599300000000003</v>
      </c>
      <c r="L353" s="39" t="str">
        <f>IFERROR(VLOOKUP($C353,'SINAPI FEVEREIRO 2022'!$1:$1048576,3,0),IFERROR(VLOOKUP($C353,'5-COMP. PROPRIA'!$B$1:$I$647,5,0),""))</f>
        <v>KG</v>
      </c>
      <c r="M353" s="61"/>
      <c r="N353" s="652"/>
      <c r="O353" s="87"/>
      <c r="P353" s="90"/>
    </row>
    <row r="354" spans="2:16" s="353" customFormat="1" ht="15">
      <c r="B354" s="695"/>
      <c r="C354" s="274"/>
      <c r="D354" s="161"/>
      <c r="E354" s="688"/>
      <c r="F354" s="689"/>
      <c r="G354" s="689"/>
      <c r="H354" s="689"/>
      <c r="I354" s="689"/>
      <c r="J354" s="690"/>
      <c r="K354" s="127"/>
      <c r="L354" s="39"/>
      <c r="M354" s="61"/>
      <c r="N354" s="652"/>
      <c r="O354" s="87"/>
      <c r="P354" s="90"/>
    </row>
    <row r="355" spans="2:16" s="353" customFormat="1" ht="27" customHeight="1">
      <c r="B355" s="651"/>
      <c r="C355" s="274">
        <v>92778</v>
      </c>
      <c r="D355" s="161" t="s">
        <v>6</v>
      </c>
      <c r="E355" s="833" t="str">
        <f>IFERROR(VLOOKUP($C355,'SINAPI FEVEREIRO 2022'!$1:$1048576,2,0),IFERROR(VLOOKUP($C355,'5-COMP. PROPRIA'!$B$38:$I$647,4,0),""))</f>
        <v>ARMAÇÃO DE PILAR OU VIGA DE UMA ESTRUTURA CONVENCIONAL DE CONCRETO ARMADO EM UMA EDIFICAÇÃO TÉRREA OU SOBRADO UTILIZANDO AÇO CA-50 DE 10,0 MM - MONTAGEM. AF_12/2015</v>
      </c>
      <c r="F355" s="834"/>
      <c r="G355" s="834"/>
      <c r="H355" s="834"/>
      <c r="I355" s="834"/>
      <c r="J355" s="835"/>
      <c r="K355" s="127">
        <f>66.24*0.617</f>
        <v>40.870079999999994</v>
      </c>
      <c r="L355" s="39" t="str">
        <f>IFERROR(VLOOKUP($C355,'SINAPI FEVEREIRO 2022'!$1:$1048576,3,0),IFERROR(VLOOKUP($C355,'5-COMP. PROPRIA'!$B$1:$I$647,5,0),""))</f>
        <v>KG</v>
      </c>
      <c r="M355" s="61"/>
      <c r="N355" s="652"/>
      <c r="O355" s="87"/>
      <c r="P355" s="90"/>
    </row>
    <row r="356" spans="2:16" s="353" customFormat="1" ht="15">
      <c r="B356" s="695"/>
      <c r="C356" s="274"/>
      <c r="D356" s="161"/>
      <c r="E356" s="688"/>
      <c r="F356" s="689"/>
      <c r="G356" s="689"/>
      <c r="H356" s="689"/>
      <c r="I356" s="689"/>
      <c r="J356" s="690"/>
      <c r="K356" s="127"/>
      <c r="L356" s="39"/>
      <c r="M356" s="61"/>
      <c r="N356" s="652"/>
      <c r="O356" s="87"/>
      <c r="P356" s="90"/>
    </row>
    <row r="357" spans="2:16" s="353" customFormat="1" ht="35.25" customHeight="1">
      <c r="B357" s="651"/>
      <c r="C357" s="274">
        <v>94971</v>
      </c>
      <c r="D357" s="161" t="s">
        <v>6</v>
      </c>
      <c r="E357" s="833" t="str">
        <f>IFERROR(VLOOKUP($C357,'SINAPI FEVEREIRO 2022'!$1:$1048576,2,0),IFERROR(VLOOKUP($C357,'5-COMP. PROPRIA'!$B$38:$I$647,4,0),""))</f>
        <v>CONCRETO FCK = 25MPA, TRAÇO 1:2,3:2,7 (EM MASSA SECA DE CIMENTO/ AREIA MÉDIA/ BRITA 1) - PREPARO MECÂNICO COM BETONEIRA 600 L. AF_05/2021</v>
      </c>
      <c r="F357" s="834"/>
      <c r="G357" s="834"/>
      <c r="H357" s="834"/>
      <c r="I357" s="834"/>
      <c r="J357" s="835"/>
      <c r="K357" s="127">
        <f>((K349/0.75)*0.15*0.3)</f>
        <v>1.4332500000000001</v>
      </c>
      <c r="L357" s="39" t="str">
        <f>IFERROR(VLOOKUP($C357,'SINAPI FEVEREIRO 2022'!$1:$1048576,3,0),IFERROR(VLOOKUP($C357,'5-COMP. PROPRIA'!$B$1:$I$647,5,0),""))</f>
        <v>M3</v>
      </c>
      <c r="M357" s="61"/>
      <c r="N357" s="652"/>
      <c r="O357" s="87"/>
      <c r="P357" s="90"/>
    </row>
    <row r="358" spans="2:16" s="353" customFormat="1" ht="15">
      <c r="B358" s="695"/>
      <c r="C358" s="274"/>
      <c r="D358" s="161"/>
      <c r="E358" s="688"/>
      <c r="F358" s="689"/>
      <c r="G358" s="689"/>
      <c r="H358" s="689"/>
      <c r="I358" s="689"/>
      <c r="J358" s="690"/>
      <c r="K358" s="127"/>
      <c r="L358" s="39"/>
      <c r="M358" s="61"/>
      <c r="N358" s="652"/>
      <c r="O358" s="87"/>
      <c r="P358" s="90"/>
    </row>
    <row r="359" spans="2:16" s="353" customFormat="1" ht="30" customHeight="1">
      <c r="B359" s="651"/>
      <c r="C359" s="274">
        <v>103670</v>
      </c>
      <c r="D359" s="161" t="s">
        <v>6</v>
      </c>
      <c r="E359" s="833" t="str">
        <f>IFERROR(VLOOKUP($C359,'SINAPI FEVEREIRO 2022'!$1:$1048576,2,0),IFERROR(VLOOKUP($C359,'5-COMP. PROPRIA'!$B$38:$I$647,4,0),""))</f>
        <v>LANÇAMENTO COM USO DE BALDES, ADENSAMENTO E ACABAMENTO DE CONCRETO EM ESTRUTURAS. AF_02/2022</v>
      </c>
      <c r="F359" s="834"/>
      <c r="G359" s="834"/>
      <c r="H359" s="834"/>
      <c r="I359" s="834"/>
      <c r="J359" s="835"/>
      <c r="K359" s="127">
        <f>K357</f>
        <v>1.4332500000000001</v>
      </c>
      <c r="L359" s="39" t="str">
        <f>IFERROR(VLOOKUP($C359,'SINAPI FEVEREIRO 2022'!$1:$1048576,3,0),IFERROR(VLOOKUP($C359,'5-COMP. PROPRIA'!$B$1:$I$647,5,0),""))</f>
        <v>M3</v>
      </c>
      <c r="M359" s="61"/>
      <c r="N359" s="652"/>
      <c r="O359" s="87"/>
      <c r="P359" s="90"/>
    </row>
    <row r="360" spans="2:16" s="353" customFormat="1" ht="15">
      <c r="B360" s="695"/>
      <c r="C360" s="274"/>
      <c r="D360" s="161"/>
      <c r="E360" s="688"/>
      <c r="F360" s="689"/>
      <c r="G360" s="689"/>
      <c r="H360" s="689"/>
      <c r="I360" s="689"/>
      <c r="J360" s="690"/>
      <c r="K360" s="127"/>
      <c r="L360" s="39"/>
      <c r="M360" s="61"/>
      <c r="N360" s="652"/>
      <c r="O360" s="87"/>
      <c r="P360" s="90"/>
    </row>
    <row r="361" spans="2:16" ht="22.5" customHeight="1">
      <c r="B361" s="743" t="s">
        <v>7892</v>
      </c>
      <c r="C361" s="274">
        <v>93204</v>
      </c>
      <c r="D361" s="161" t="s">
        <v>6</v>
      </c>
      <c r="E361" s="833" t="str">
        <f>IFERROR(VLOOKUP($C361,'SINAPI FEVEREIRO 2022'!$1:$1048576,2,0),IFERROR(VLOOKUP($C361,'5-COMP. PROPRIA'!$B$38:$I$647,4,0),""))</f>
        <v>CINTA DE AMARRAÇÃO DE ALVENARIA MOLDADA IN LOCO EM CONCRETO. AF_03/2016</v>
      </c>
      <c r="F361" s="834"/>
      <c r="G361" s="834"/>
      <c r="H361" s="834"/>
      <c r="I361" s="834"/>
      <c r="J361" s="835"/>
      <c r="K361" s="127">
        <f>((39.8+62.5)*2)</f>
        <v>204.6</v>
      </c>
      <c r="L361" s="39" t="str">
        <f>IFERROR(VLOOKUP($C361,'SINAPI FEVEREIRO 2022'!$1:$1048576,3,0),IFERROR(VLOOKUP($C361,'5-COMP. PROPRIA'!$B$1:$I$647,5,0),""))</f>
        <v>M</v>
      </c>
      <c r="M361" s="61"/>
      <c r="N361" s="442"/>
      <c r="O361" s="87"/>
      <c r="P361" s="90"/>
    </row>
    <row r="362" spans="2:16" s="353" customFormat="1" ht="15">
      <c r="B362" s="743"/>
      <c r="C362" s="274"/>
      <c r="D362" s="161"/>
      <c r="E362" s="688"/>
      <c r="F362" s="689"/>
      <c r="G362" s="689"/>
      <c r="H362" s="689"/>
      <c r="I362" s="689"/>
      <c r="J362" s="690"/>
      <c r="K362" s="127"/>
      <c r="L362" s="39"/>
      <c r="M362" s="61"/>
      <c r="N362" s="652"/>
      <c r="O362" s="87"/>
      <c r="P362" s="90"/>
    </row>
    <row r="363" spans="2:16" ht="28.5">
      <c r="B363" s="743" t="s">
        <v>7896</v>
      </c>
      <c r="C363" s="274">
        <v>93205</v>
      </c>
      <c r="D363" s="161" t="s">
        <v>6</v>
      </c>
      <c r="E363" s="833" t="str">
        <f>IFERROR(VLOOKUP($C363,'SINAPI FEVEREIRO 2022'!$1:$1048576,2,0),IFERROR(VLOOKUP($C363,'5-COMP. PROPRIA'!$B$38:$I$647,4,0),""))</f>
        <v>CINTA DE AMARRAÇÃO DE ALVENARIA MOLDADA IN LOCO COM UTILIZAÇÃO DE BLOCOS CANALETA. AF_03/2016</v>
      </c>
      <c r="F363" s="834"/>
      <c r="G363" s="834"/>
      <c r="H363" s="834"/>
      <c r="I363" s="834"/>
      <c r="J363" s="835"/>
      <c r="K363" s="127">
        <f>21.3*1</f>
        <v>21.3</v>
      </c>
      <c r="L363" s="39" t="str">
        <f>IFERROR(VLOOKUP($C363,'SINAPI FEVEREIRO 2022'!$1:$1048576,3,0),IFERROR(VLOOKUP($C363,'5-COMP. PROPRIA'!$B$1:$I$647,5,0),""))</f>
        <v>M</v>
      </c>
      <c r="M363" s="79"/>
      <c r="N363" s="432"/>
      <c r="O363" s="88"/>
      <c r="P363" s="90"/>
    </row>
    <row r="364" spans="2:16" s="353" customFormat="1" ht="15.75" thickBot="1">
      <c r="B364" s="470"/>
      <c r="C364" s="274"/>
      <c r="D364" s="161"/>
      <c r="E364" s="653"/>
      <c r="F364" s="654"/>
      <c r="G364" s="654"/>
      <c r="H364" s="654"/>
      <c r="I364" s="654"/>
      <c r="J364" s="655"/>
      <c r="K364" s="127"/>
      <c r="L364" s="39"/>
      <c r="M364" s="79"/>
      <c r="N364" s="432"/>
      <c r="O364" s="88"/>
      <c r="P364" s="90"/>
    </row>
    <row r="365" spans="2:16" ht="17.25" customHeight="1" thickBot="1">
      <c r="B365" s="471"/>
      <c r="C365" s="274"/>
      <c r="D365" s="161"/>
      <c r="E365" s="836" t="s">
        <v>7897</v>
      </c>
      <c r="F365" s="837"/>
      <c r="G365" s="837"/>
      <c r="H365" s="837"/>
      <c r="I365" s="837"/>
      <c r="J365" s="838"/>
      <c r="K365" s="125"/>
      <c r="L365" s="149"/>
      <c r="M365" s="61"/>
      <c r="N365" s="70"/>
      <c r="P365" s="90"/>
    </row>
    <row r="366" spans="2:16" ht="17.25" customHeight="1" thickBot="1">
      <c r="B366" s="471"/>
      <c r="C366" s="274"/>
      <c r="D366" s="161"/>
      <c r="E366" s="845" t="s">
        <v>7898</v>
      </c>
      <c r="F366" s="846"/>
      <c r="G366" s="846"/>
      <c r="H366" s="846"/>
      <c r="I366" s="846"/>
      <c r="J366" s="847"/>
      <c r="K366" s="125"/>
      <c r="L366" s="149"/>
      <c r="M366" s="61"/>
      <c r="N366" s="70"/>
      <c r="P366" s="90"/>
    </row>
    <row r="367" spans="2:16" s="353" customFormat="1" ht="17.25" customHeight="1">
      <c r="B367" s="471"/>
      <c r="C367" s="274"/>
      <c r="D367" s="161"/>
      <c r="E367" s="691"/>
      <c r="F367" s="692"/>
      <c r="G367" s="692"/>
      <c r="H367" s="692"/>
      <c r="I367" s="692"/>
      <c r="J367" s="693"/>
      <c r="K367" s="125"/>
      <c r="L367" s="149"/>
      <c r="M367" s="61"/>
      <c r="N367" s="70"/>
      <c r="P367" s="90"/>
    </row>
    <row r="368" spans="2:16" ht="30.75" customHeight="1">
      <c r="B368" s="441"/>
      <c r="C368" s="274">
        <v>103322</v>
      </c>
      <c r="D368" s="161" t="s">
        <v>6</v>
      </c>
      <c r="E368" s="833" t="str">
        <f>IFERROR(VLOOKUP($C368,'SINAPI FEVEREIRO 2022'!$1:$1048576,2,0),IFERROR(VLOOKUP($C368,'5-COMP. PROPRIA'!$B$38:$I$647,4,0),""))</f>
        <v>ALVENARIA DE VEDAÇÃO DE BLOCOS CERÂMICOS FURADOS NA VERTICAL DE 9X19X39 CM (ESPESSURA 9 CM) E ARGAMASSA DE ASSENTAMENTO COM PREPARO EM BETONEIRA. AF_12/2021</v>
      </c>
      <c r="F368" s="834"/>
      <c r="G368" s="834"/>
      <c r="H368" s="834"/>
      <c r="I368" s="834"/>
      <c r="J368" s="835"/>
      <c r="K368" s="127">
        <f>((K361)*3.3)</f>
        <v>675.18</v>
      </c>
      <c r="L368" s="39" t="str">
        <f>IFERROR(VLOOKUP($C368,'SINAPI FEVEREIRO 2022'!$1:$1048576,3,0),IFERROR(VLOOKUP($C368,'5-COMP. PROPRIA'!$B$1:$I$647,5,0),""))</f>
        <v>M2</v>
      </c>
      <c r="M368" s="67"/>
      <c r="N368" s="478"/>
      <c r="P368" s="90"/>
    </row>
    <row r="369" spans="2:16" s="353" customFormat="1" ht="15.75" thickBot="1">
      <c r="B369" s="694"/>
      <c r="C369" s="274"/>
      <c r="D369" s="161"/>
      <c r="E369" s="688"/>
      <c r="F369" s="689"/>
      <c r="G369" s="689"/>
      <c r="H369" s="689"/>
      <c r="I369" s="689"/>
      <c r="J369" s="690"/>
      <c r="K369" s="127"/>
      <c r="L369" s="39"/>
      <c r="M369" s="67"/>
      <c r="N369" s="478"/>
      <c r="P369" s="90"/>
    </row>
    <row r="370" spans="2:16" ht="17.25" customHeight="1" thickBot="1">
      <c r="B370" s="471"/>
      <c r="C370" s="274"/>
      <c r="D370" s="161"/>
      <c r="E370" s="845" t="s">
        <v>6145</v>
      </c>
      <c r="F370" s="846"/>
      <c r="G370" s="846"/>
      <c r="H370" s="846"/>
      <c r="I370" s="846"/>
      <c r="J370" s="847"/>
      <c r="K370" s="125"/>
      <c r="L370" s="149"/>
      <c r="M370" s="61"/>
      <c r="N370" s="70"/>
      <c r="P370" s="90"/>
    </row>
    <row r="371" spans="2:16" s="353" customFormat="1" ht="17.25" customHeight="1">
      <c r="B371" s="471"/>
      <c r="C371" s="274"/>
      <c r="D371" s="161"/>
      <c r="E371" s="691"/>
      <c r="F371" s="692"/>
      <c r="G371" s="692"/>
      <c r="H371" s="692"/>
      <c r="I371" s="692"/>
      <c r="J371" s="693"/>
      <c r="K371" s="125"/>
      <c r="L371" s="149"/>
      <c r="M371" s="61"/>
      <c r="N371" s="70"/>
      <c r="P371" s="90"/>
    </row>
    <row r="372" spans="2:16" ht="39.75" customHeight="1">
      <c r="B372" s="441"/>
      <c r="C372" s="274">
        <v>103330</v>
      </c>
      <c r="D372" s="321" t="s">
        <v>6</v>
      </c>
      <c r="E372" s="833" t="str">
        <f>IFERROR(VLOOKUP($C372,'SINAPI FEVEREIRO 2022'!$1:$1048576,2,0),IFERROR(VLOOKUP($C372,'5-COMP. PROPRIA'!$B$38:$I$647,4,0),""))</f>
        <v>ALVENARIA DE VEDAÇÃO DE BLOCOS CERÂMICOS FURADOS NA HORIZONTAL DE 11,5X19X19 CM (ESPESSURA 11,5 CM) E ARGAMASSA DE ASSENTAMENTO COM PREPARO EM BETONEIRA. AF_12/2021</v>
      </c>
      <c r="F372" s="834"/>
      <c r="G372" s="834"/>
      <c r="H372" s="834"/>
      <c r="I372" s="834"/>
      <c r="J372" s="835"/>
      <c r="K372" s="127">
        <f>SUM(K374:K377)</f>
        <v>212.321</v>
      </c>
      <c r="L372" s="39" t="str">
        <f>IFERROR(VLOOKUP($C372,'SINAPI FEVEREIRO 2022'!$1:$1048576,3,0),IFERROR(VLOOKUP($C372,'5-COMP. PROPRIA'!$B$1:$I$647,5,0),""))</f>
        <v>M2</v>
      </c>
      <c r="M372" s="67"/>
      <c r="N372" s="478"/>
      <c r="P372" s="90"/>
    </row>
    <row r="373" spans="2:16" s="353" customFormat="1" ht="15">
      <c r="B373" s="441"/>
      <c r="C373" s="485"/>
      <c r="D373" s="321"/>
      <c r="E373" s="54" t="s">
        <v>600</v>
      </c>
      <c r="F373" s="427" t="s">
        <v>3255</v>
      </c>
      <c r="G373" s="416"/>
      <c r="H373" s="416"/>
      <c r="I373" s="416"/>
      <c r="J373" s="417"/>
      <c r="K373" s="127"/>
      <c r="L373" s="39"/>
      <c r="M373" s="67"/>
      <c r="N373" s="478"/>
      <c r="P373" s="90"/>
    </row>
    <row r="374" spans="2:16" s="353" customFormat="1" ht="14.25">
      <c r="B374" s="441" t="s">
        <v>4123</v>
      </c>
      <c r="C374" s="274"/>
      <c r="D374" s="161"/>
      <c r="E374" s="242">
        <v>25.87</v>
      </c>
      <c r="F374" s="99">
        <v>3.3</v>
      </c>
      <c r="G374" s="416"/>
      <c r="H374" s="416"/>
      <c r="I374" s="416"/>
      <c r="J374" s="417"/>
      <c r="K374" s="49">
        <f>E374*F374</f>
        <v>85.370999999999995</v>
      </c>
      <c r="L374" s="39"/>
      <c r="M374" s="67"/>
      <c r="N374" s="478"/>
      <c r="P374" s="90"/>
    </row>
    <row r="375" spans="2:16" s="353" customFormat="1" ht="14.25">
      <c r="B375" s="657" t="s">
        <v>7063</v>
      </c>
      <c r="C375" s="274"/>
      <c r="D375" s="161"/>
      <c r="E375" s="242">
        <f>35</f>
        <v>35</v>
      </c>
      <c r="F375" s="99">
        <v>3.3</v>
      </c>
      <c r="G375" s="654"/>
      <c r="H375" s="654"/>
      <c r="I375" s="654"/>
      <c r="J375" s="655"/>
      <c r="K375" s="49">
        <f>E375*F375</f>
        <v>115.5</v>
      </c>
      <c r="L375" s="39"/>
      <c r="M375" s="67"/>
      <c r="N375" s="478"/>
      <c r="P375" s="90"/>
    </row>
    <row r="376" spans="2:16" s="353" customFormat="1" ht="14.25">
      <c r="B376" s="657" t="s">
        <v>6967</v>
      </c>
      <c r="C376" s="274"/>
      <c r="D376" s="161"/>
      <c r="E376" s="242">
        <v>7.3</v>
      </c>
      <c r="F376" s="99">
        <v>1</v>
      </c>
      <c r="G376" s="654"/>
      <c r="H376" s="654"/>
      <c r="I376" s="654"/>
      <c r="J376" s="655"/>
      <c r="K376" s="49">
        <f>E376*F376</f>
        <v>7.3</v>
      </c>
      <c r="L376" s="39"/>
      <c r="M376" s="67"/>
      <c r="N376" s="478"/>
      <c r="P376" s="90"/>
    </row>
    <row r="377" spans="2:16" s="353" customFormat="1" ht="14.25">
      <c r="B377" s="673" t="s">
        <v>7912</v>
      </c>
      <c r="C377" s="274"/>
      <c r="D377" s="161"/>
      <c r="E377" s="242">
        <v>4.1500000000000004</v>
      </c>
      <c r="F377" s="99">
        <v>1</v>
      </c>
      <c r="G377" s="671"/>
      <c r="H377" s="671"/>
      <c r="I377" s="671"/>
      <c r="J377" s="672"/>
      <c r="K377" s="49">
        <f>E377*F377</f>
        <v>4.1500000000000004</v>
      </c>
      <c r="L377" s="39"/>
      <c r="M377" s="67"/>
      <c r="N377" s="478"/>
      <c r="P377" s="90"/>
    </row>
    <row r="378" spans="2:16" s="353" customFormat="1" ht="14.25">
      <c r="B378" s="673"/>
      <c r="C378" s="274"/>
      <c r="D378" s="161"/>
      <c r="E378" s="81"/>
      <c r="F378" s="41"/>
      <c r="G378" s="671"/>
      <c r="H378" s="671"/>
      <c r="I378" s="671"/>
      <c r="J378" s="672"/>
      <c r="K378" s="49"/>
      <c r="L378" s="39"/>
      <c r="M378" s="67"/>
      <c r="N378" s="478"/>
      <c r="P378" s="90"/>
    </row>
    <row r="379" spans="2:16" ht="17.25" customHeight="1">
      <c r="B379" s="434"/>
      <c r="C379" s="274">
        <v>93183</v>
      </c>
      <c r="D379" s="161" t="s">
        <v>6</v>
      </c>
      <c r="E379" s="833" t="str">
        <f>IFERROR(VLOOKUP($C379,'SINAPI FEVEREIRO 2022'!$1:$1048576,2,0),IFERROR(VLOOKUP($C379,'5-COMP. PROPRIA'!$B$38:$I$647,4,0),""))</f>
        <v>VERGA PRÉ-MOLDADA PARA JANELAS COM MAIS DE 1,5 M DE VÃO. AF_03/2016</v>
      </c>
      <c r="F379" s="834"/>
      <c r="G379" s="834"/>
      <c r="H379" s="834"/>
      <c r="I379" s="834"/>
      <c r="J379" s="835"/>
      <c r="K379" s="127">
        <v>141</v>
      </c>
      <c r="L379" s="39" t="str">
        <f>IFERROR(VLOOKUP($C379,'SINAPI FEVEREIRO 2022'!$1:$1048576,3,0),IFERROR(VLOOKUP($C379,'5-COMP. PROPRIA'!$B$1:$I$647,5,0),""))</f>
        <v>M</v>
      </c>
      <c r="M379" s="364"/>
      <c r="N379" s="478"/>
      <c r="P379" s="90"/>
    </row>
    <row r="380" spans="2:16" s="353" customFormat="1" ht="17.25" customHeight="1">
      <c r="B380" s="477"/>
      <c r="C380" s="274"/>
      <c r="D380" s="161"/>
      <c r="E380" s="688"/>
      <c r="F380" s="689"/>
      <c r="G380" s="689"/>
      <c r="H380" s="689"/>
      <c r="I380" s="689"/>
      <c r="J380" s="690"/>
      <c r="K380" s="127"/>
      <c r="L380" s="39"/>
      <c r="M380" s="364"/>
      <c r="N380" s="478"/>
      <c r="P380" s="90"/>
    </row>
    <row r="381" spans="2:16" s="353" customFormat="1" ht="17.25" customHeight="1">
      <c r="B381" s="274"/>
      <c r="C381" s="274">
        <v>93195</v>
      </c>
      <c r="D381" s="161" t="s">
        <v>6</v>
      </c>
      <c r="E381" s="833" t="str">
        <f>IFERROR(VLOOKUP($C381,'SINAPI FEVEREIRO 2022'!$1:$1048576,2,0),IFERROR(VLOOKUP($C381,'5-COMP. PROPRIA'!$B$38:$I$647,4,0),""))</f>
        <v>CONTRAVERGA PRÉ-MOLDADA PARA VÃOS DE MAIS DE 1,5 M DE COMPRIMENTO. AF_03/2016</v>
      </c>
      <c r="F381" s="834"/>
      <c r="G381" s="834"/>
      <c r="H381" s="834"/>
      <c r="I381" s="834"/>
      <c r="J381" s="835"/>
      <c r="K381" s="127">
        <f>K379</f>
        <v>141</v>
      </c>
      <c r="L381" s="39" t="str">
        <f>IFERROR(VLOOKUP($C381,'SINAPI FEVEREIRO 2022'!$1:$1048576,3,0),IFERROR(VLOOKUP($C381,'5-COMP. PROPRIA'!$B$1:$I$647,5,0),""))</f>
        <v>M</v>
      </c>
      <c r="M381" s="67"/>
      <c r="N381" s="478"/>
      <c r="P381" s="90"/>
    </row>
    <row r="382" spans="2:16" s="353" customFormat="1" ht="17.25" customHeight="1">
      <c r="B382" s="274"/>
      <c r="C382" s="274"/>
      <c r="D382" s="161"/>
      <c r="E382" s="688"/>
      <c r="F382" s="689"/>
      <c r="G382" s="689"/>
      <c r="H382" s="689"/>
      <c r="I382" s="689"/>
      <c r="J382" s="690"/>
      <c r="K382" s="127"/>
      <c r="L382" s="39"/>
      <c r="M382" s="67"/>
      <c r="N382" s="478"/>
      <c r="P382" s="90"/>
    </row>
    <row r="383" spans="2:16" s="353" customFormat="1" ht="17.25" customHeight="1">
      <c r="B383" s="434"/>
      <c r="C383" s="274">
        <v>93184</v>
      </c>
      <c r="D383" s="161" t="s">
        <v>6</v>
      </c>
      <c r="E383" s="833" t="str">
        <f>IFERROR(VLOOKUP($C383,'SINAPI FEVEREIRO 2022'!$1:$1048576,2,0),IFERROR(VLOOKUP($C383,'5-COMP. PROPRIA'!$B$38:$I$647,4,0),""))</f>
        <v>VERGA PRÉ-MOLDADA PARA PORTAS COM ATÉ 1,5 M DE VÃO. AF_03/2016</v>
      </c>
      <c r="F383" s="834"/>
      <c r="G383" s="834"/>
      <c r="H383" s="834"/>
      <c r="I383" s="834"/>
      <c r="J383" s="835"/>
      <c r="K383" s="127">
        <v>26</v>
      </c>
      <c r="L383" s="39" t="str">
        <f>IFERROR(VLOOKUP($C383,'SINAPI FEVEREIRO 2022'!$1:$1048576,3,0),IFERROR(VLOOKUP($C383,'5-COMP. PROPRIA'!$B$1:$I$647,5,0),""))</f>
        <v>M</v>
      </c>
      <c r="M383" s="67"/>
      <c r="N383" s="478"/>
      <c r="P383" s="90"/>
    </row>
    <row r="384" spans="2:16" s="353" customFormat="1" ht="17.25" customHeight="1" thickBot="1">
      <c r="B384" s="656"/>
      <c r="C384" s="274"/>
      <c r="D384" s="161"/>
      <c r="E384" s="653"/>
      <c r="F384" s="654"/>
      <c r="G384" s="654"/>
      <c r="H384" s="654"/>
      <c r="I384" s="654"/>
      <c r="J384" s="655"/>
      <c r="K384" s="127"/>
      <c r="L384" s="39"/>
      <c r="M384" s="67"/>
      <c r="N384" s="478"/>
      <c r="P384" s="90"/>
    </row>
    <row r="385" spans="2:16" ht="17.25" customHeight="1" thickBot="1">
      <c r="B385" s="471"/>
      <c r="C385" s="274"/>
      <c r="D385" s="161"/>
      <c r="E385" s="836" t="s">
        <v>3064</v>
      </c>
      <c r="F385" s="837"/>
      <c r="G385" s="837"/>
      <c r="H385" s="837"/>
      <c r="I385" s="837"/>
      <c r="J385" s="838"/>
      <c r="K385" s="125"/>
      <c r="L385" s="149"/>
      <c r="M385" s="61"/>
      <c r="N385" s="70"/>
      <c r="P385" s="90"/>
    </row>
    <row r="386" spans="2:16" s="353" customFormat="1" ht="17.25" customHeight="1" thickBot="1">
      <c r="B386" s="471"/>
      <c r="C386" s="274"/>
      <c r="D386" s="161"/>
      <c r="E386" s="845" t="s">
        <v>3578</v>
      </c>
      <c r="F386" s="846"/>
      <c r="G386" s="846"/>
      <c r="H386" s="846"/>
      <c r="I386" s="846"/>
      <c r="J386" s="847"/>
      <c r="K386" s="125"/>
      <c r="L386" s="149"/>
      <c r="M386" s="61"/>
      <c r="N386" s="70"/>
      <c r="P386" s="90"/>
    </row>
    <row r="387" spans="2:16" s="353" customFormat="1" ht="17.25" customHeight="1">
      <c r="B387" s="471"/>
      <c r="C387" s="274"/>
      <c r="D387" s="161"/>
      <c r="E387" s="691"/>
      <c r="F387" s="692"/>
      <c r="G387" s="692"/>
      <c r="H387" s="692"/>
      <c r="I387" s="692"/>
      <c r="J387" s="693"/>
      <c r="K387" s="125"/>
      <c r="L387" s="149"/>
      <c r="M387" s="61"/>
      <c r="N387" s="70"/>
      <c r="P387" s="90"/>
    </row>
    <row r="388" spans="2:16" s="90" customFormat="1" ht="37.5" customHeight="1">
      <c r="B388" s="434"/>
      <c r="C388" s="275">
        <v>87879</v>
      </c>
      <c r="D388" s="161" t="s">
        <v>6</v>
      </c>
      <c r="E388" s="833" t="str">
        <f>IFERROR(VLOOKUP($C388,'SINAPI FEVEREIRO 2022'!$1:$1048576,2,0),IFERROR(VLOOKUP($C388,'5-COMP. PROPRIA'!$B$38:$I$647,4,0),""))</f>
        <v>CHAPISCO APLICADO EM ALVENARIAS E ESTRUTURAS DE CONCRETO INTERNAS, COM COLHER DE PEDREIRO.  ARGAMASSA TRAÇO 1:3 COM PREPARO EM BETONEIRA 400L. AF_06/2014</v>
      </c>
      <c r="F388" s="834"/>
      <c r="G388" s="834"/>
      <c r="H388" s="834"/>
      <c r="I388" s="834"/>
      <c r="J388" s="835"/>
      <c r="K388" s="127">
        <f>(K368)*2</f>
        <v>1350.36</v>
      </c>
      <c r="L388" s="39" t="str">
        <f>IFERROR(VLOOKUP($C388,'SINAPI FEVEREIRO 2022'!$1:$1048576,3,0),IFERROR(VLOOKUP($C388,'5-COMP. PROPRIA'!$B$1:$I$647,5,0),""))</f>
        <v>M2</v>
      </c>
      <c r="M388" s="80"/>
      <c r="N388" s="89"/>
    </row>
    <row r="389" spans="2:16" s="90" customFormat="1" ht="15">
      <c r="B389" s="695"/>
      <c r="C389" s="275"/>
      <c r="D389" s="161"/>
      <c r="E389" s="688"/>
      <c r="F389" s="689"/>
      <c r="G389" s="689"/>
      <c r="H389" s="689"/>
      <c r="I389" s="689"/>
      <c r="J389" s="690"/>
      <c r="K389" s="127"/>
      <c r="L389" s="39"/>
      <c r="M389" s="80"/>
      <c r="N389" s="89"/>
    </row>
    <row r="390" spans="2:16" s="90" customFormat="1" ht="42.75" customHeight="1">
      <c r="B390" s="434"/>
      <c r="C390" s="275">
        <v>87805</v>
      </c>
      <c r="D390" s="161" t="s">
        <v>6</v>
      </c>
      <c r="E390" s="842" t="str">
        <f>IFERROR(VLOOKUP($C390,'SINAPI FEVEREIRO 2022'!$1:$1048576,2,0),IFERROR(VLOOKUP($C390,'5-COMP. PROPRIA'!$B$38:$I$647,4,0),""))</f>
        <v>EMBOÇO OU MASSA ÚNICA EM ARGAMASSA TRAÇO 1:2:8, PREPARO MECÂNICO COM BETONEIRA 400 L, APLICADA MANUALMENTE EM PANOS CEGOS DE FACHADA (SEM PRESENÇA DE VÃOS), ESPESSURA MAIOR OU IGUAL A 50 MM. AF_06/2014</v>
      </c>
      <c r="F390" s="843"/>
      <c r="G390" s="843"/>
      <c r="H390" s="843"/>
      <c r="I390" s="843"/>
      <c r="J390" s="844"/>
      <c r="K390" s="127">
        <f>K388</f>
        <v>1350.36</v>
      </c>
      <c r="L390" s="39" t="str">
        <f>IFERROR(VLOOKUP($C390,'SINAPI FEVEREIRO 2022'!$1:$1048576,3,0),IFERROR(VLOOKUP($C390,'5-COMP. PROPRIA'!$B$1:$I$647,5,0),""))</f>
        <v>M2</v>
      </c>
      <c r="M390" s="80"/>
      <c r="N390" s="89"/>
    </row>
    <row r="391" spans="2:16" s="90" customFormat="1" ht="15.75" thickBot="1">
      <c r="B391" s="656"/>
      <c r="C391" s="275"/>
      <c r="D391" s="161"/>
      <c r="E391" s="658"/>
      <c r="F391" s="659"/>
      <c r="G391" s="659"/>
      <c r="H391" s="659"/>
      <c r="I391" s="659"/>
      <c r="J391" s="660"/>
      <c r="K391" s="127"/>
      <c r="L391" s="39"/>
      <c r="M391" s="80"/>
      <c r="N391" s="89"/>
    </row>
    <row r="392" spans="2:16" s="90" customFormat="1" ht="15.75" thickBot="1">
      <c r="B392" s="656"/>
      <c r="C392" s="275"/>
      <c r="D392" s="161"/>
      <c r="E392" s="845" t="s">
        <v>6145</v>
      </c>
      <c r="F392" s="846"/>
      <c r="G392" s="846"/>
      <c r="H392" s="846"/>
      <c r="I392" s="846"/>
      <c r="J392" s="847"/>
      <c r="K392" s="127"/>
      <c r="L392" s="39"/>
      <c r="M392" s="80"/>
      <c r="N392" s="89"/>
    </row>
    <row r="393" spans="2:16" s="90" customFormat="1" ht="15">
      <c r="B393" s="695"/>
      <c r="C393" s="275"/>
      <c r="D393" s="161"/>
      <c r="E393" s="691"/>
      <c r="F393" s="692"/>
      <c r="G393" s="692"/>
      <c r="H393" s="692"/>
      <c r="I393" s="692"/>
      <c r="J393" s="693"/>
      <c r="K393" s="127"/>
      <c r="L393" s="39"/>
      <c r="M393" s="80"/>
      <c r="N393" s="89"/>
    </row>
    <row r="394" spans="2:16" s="90" customFormat="1" ht="36" customHeight="1">
      <c r="B394" s="434" t="s">
        <v>7903</v>
      </c>
      <c r="C394" s="275" t="str">
        <f>'5-COMP. PROPRIA'!B97</f>
        <v>CP-REV-01</v>
      </c>
      <c r="D394" s="161" t="s">
        <v>641</v>
      </c>
      <c r="E394" s="833" t="str">
        <f>IFERROR(VLOOKUP($C394,'SINAPI FEVEREIRO 2022'!$1:$1048576,2,0),IFERROR(VLOOKUP($C394,'5-COMP. PROPRIA'!$B$38:$I$647,4,0),""))</f>
        <v>APICOAMENTO MANUAL DE SUPERFICIE DE CONCRETO EXISTENTE</v>
      </c>
      <c r="F394" s="834"/>
      <c r="G394" s="834"/>
      <c r="H394" s="834"/>
      <c r="I394" s="834"/>
      <c r="J394" s="835"/>
      <c r="K394" s="127">
        <f>M184</f>
        <v>519.16</v>
      </c>
      <c r="L394" s="39" t="str">
        <f>IFERROR(VLOOKUP($C394,'SINAPI FEVEREIRO 2022'!$1:$1048576,3,0),IFERROR(VLOOKUP($C394,'5-COMP. PROPRIA'!$B$1:$I$647,5,0),""))</f>
        <v>M2</v>
      </c>
      <c r="M394" s="80"/>
      <c r="N394" s="89"/>
    </row>
    <row r="395" spans="2:16" s="90" customFormat="1" ht="15">
      <c r="B395" s="695"/>
      <c r="C395" s="275"/>
      <c r="D395" s="161"/>
      <c r="E395" s="688"/>
      <c r="F395" s="689"/>
      <c r="G395" s="689"/>
      <c r="H395" s="689"/>
      <c r="I395" s="689"/>
      <c r="J395" s="690"/>
      <c r="K395" s="127"/>
      <c r="L395" s="39"/>
      <c r="M395" s="80"/>
      <c r="N395" s="89"/>
    </row>
    <row r="396" spans="2:16" s="90" customFormat="1" ht="42.75" customHeight="1">
      <c r="B396" s="579" t="s">
        <v>7904</v>
      </c>
      <c r="C396" s="275" t="str">
        <f>'5-COMP. PROPRIA'!B100</f>
        <v>CP-REV-02</v>
      </c>
      <c r="D396" s="161" t="s">
        <v>641</v>
      </c>
      <c r="E396" s="842" t="str">
        <f>IFERROR(VLOOKUP($C396,'SINAPI FEVEREIRO 2022'!$1:$1048576,2,0),IFERROR(VLOOKUP($C396,'5-COMP. PROPRIA'!$B$38:$I$647,4,0),""))</f>
        <v>LIXAMENTO DE ALVENARIA PARA REMOÇÃO DE TINTAS E OUTRAS IMPUREZAS (2 DEMÃO)</v>
      </c>
      <c r="F396" s="843"/>
      <c r="G396" s="843"/>
      <c r="H396" s="843"/>
      <c r="I396" s="843"/>
      <c r="J396" s="844"/>
      <c r="K396" s="127">
        <f>P189</f>
        <v>1663.74</v>
      </c>
      <c r="L396" s="39" t="str">
        <f>IFERROR(VLOOKUP($C396,'SINAPI FEVEREIRO 2022'!$1:$1048576,3,0),IFERROR(VLOOKUP($C396,'5-COMP. PROPRIA'!$B$1:$I$647,5,0),""))</f>
        <v>M2</v>
      </c>
      <c r="M396" s="80"/>
      <c r="N396" s="89"/>
    </row>
    <row r="397" spans="2:16" s="90" customFormat="1" ht="15">
      <c r="B397" s="695"/>
      <c r="C397" s="275"/>
      <c r="D397" s="161"/>
      <c r="E397" s="685"/>
      <c r="F397" s="686"/>
      <c r="G397" s="686"/>
      <c r="H397" s="686"/>
      <c r="I397" s="686"/>
      <c r="J397" s="687"/>
      <c r="K397" s="127"/>
      <c r="L397" s="39"/>
      <c r="M397" s="80"/>
      <c r="N397" s="89"/>
    </row>
    <row r="398" spans="2:16" s="90" customFormat="1" ht="46.5" customHeight="1">
      <c r="B398" s="656" t="s">
        <v>7899</v>
      </c>
      <c r="C398" s="275">
        <v>87530</v>
      </c>
      <c r="D398" s="161" t="s">
        <v>6</v>
      </c>
      <c r="E398" s="842" t="str">
        <f>IFERROR(VLOOKUP($C398,'SINAPI FEVEREIRO 2022'!$1:$1048576,2,0),IFERROR(VLOOKUP($C398,'5-COMP. PROPRIA'!$B$38:$I$647,4,0),""))</f>
        <v>MASSA ÚNICA, PARA RECEBIMENTO DE PINTURA, EM ARGAMASSA TRAÇO 1:2:8, PREPARO MANUAL, APLICADA MANUALMENTE EM FACES INTERNAS DE PAREDES, ESPESSURA DE 20MM, COM EXECUÇÃO DE TALISCAS. AF_06/2014</v>
      </c>
      <c r="F398" s="843"/>
      <c r="G398" s="843"/>
      <c r="H398" s="843"/>
      <c r="I398" s="843"/>
      <c r="J398" s="844"/>
      <c r="K398" s="127">
        <f>((((K379+K381+K383)*0.2)+K374)*2)+K394</f>
        <v>813.10199999999998</v>
      </c>
      <c r="L398" s="39" t="str">
        <f>IFERROR(VLOOKUP($C398,'SINAPI FEVEREIRO 2022'!$1:$1048576,3,0),IFERROR(VLOOKUP($C398,'5-COMP. PROPRIA'!$B$1:$I$647,5,0),""))</f>
        <v>M2</v>
      </c>
      <c r="M398" s="80"/>
      <c r="N398" s="89"/>
    </row>
    <row r="399" spans="2:16" s="90" customFormat="1" ht="15">
      <c r="B399" s="695"/>
      <c r="C399" s="275"/>
      <c r="D399" s="161"/>
      <c r="E399" s="685"/>
      <c r="F399" s="686"/>
      <c r="G399" s="686"/>
      <c r="H399" s="686"/>
      <c r="I399" s="686"/>
      <c r="J399" s="687"/>
      <c r="K399" s="127"/>
      <c r="L399" s="39"/>
      <c r="M399" s="80"/>
      <c r="N399" s="89"/>
    </row>
    <row r="400" spans="2:16" s="90" customFormat="1" ht="27" customHeight="1">
      <c r="B400" s="656"/>
      <c r="C400" s="275">
        <v>87273</v>
      </c>
      <c r="D400" s="161" t="s">
        <v>6</v>
      </c>
      <c r="E400" s="842" t="str">
        <f>IFERROR(VLOOKUP($C400,'SINAPI FEVEREIRO 2022'!$1:$1048576,2,0),IFERROR(VLOOKUP($C400,'5-COMP. PROPRIA'!$B$38:$I$647,4,0),""))</f>
        <v>REVESTIMENTO CERÂMICO PARA PAREDES INTERNAS COM PLACAS TIPO ESMALTADA EXTRA DE DIMENSÕES 33X45 CM APLICADAS EM AMBIENTES DE ÁREA MAIOR QUE 5 M² NA ALTURA INTEIRA DAS PAREDES. AF_06/2014</v>
      </c>
      <c r="F400" s="843"/>
      <c r="G400" s="843"/>
      <c r="H400" s="843"/>
      <c r="I400" s="843"/>
      <c r="J400" s="844"/>
      <c r="K400" s="127">
        <f>((48+9+36)*3.3)+4</f>
        <v>310.89999999999998</v>
      </c>
      <c r="L400" s="39" t="str">
        <f>IFERROR(VLOOKUP($C400,'SINAPI FEVEREIRO 2022'!$1:$1048576,3,0),IFERROR(VLOOKUP($C400,'5-COMP. PROPRIA'!$B$1:$I$647,5,0),""))</f>
        <v>M2</v>
      </c>
      <c r="M400" s="80"/>
      <c r="N400" s="89"/>
    </row>
    <row r="401" spans="2:15" s="90" customFormat="1" ht="15.75" thickBot="1">
      <c r="B401" s="656"/>
      <c r="C401" s="275"/>
      <c r="D401" s="161"/>
      <c r="E401" s="658"/>
      <c r="F401" s="659"/>
      <c r="G401" s="659"/>
      <c r="H401" s="659"/>
      <c r="I401" s="659"/>
      <c r="J401" s="660"/>
      <c r="K401" s="127"/>
      <c r="L401" s="39"/>
      <c r="M401" s="80"/>
      <c r="N401" s="89"/>
    </row>
    <row r="402" spans="2:15" s="90" customFormat="1" ht="15" thickBot="1">
      <c r="B402" s="441"/>
      <c r="C402" s="276"/>
      <c r="D402" s="161"/>
      <c r="E402" s="872" t="s">
        <v>7900</v>
      </c>
      <c r="F402" s="873"/>
      <c r="G402" s="873"/>
      <c r="H402" s="873"/>
      <c r="I402" s="873"/>
      <c r="J402" s="874"/>
      <c r="K402" s="130"/>
      <c r="L402" s="43"/>
      <c r="M402" s="92"/>
      <c r="N402" s="480"/>
      <c r="O402" s="353"/>
    </row>
    <row r="403" spans="2:15" s="90" customFormat="1" ht="15" thickBot="1">
      <c r="B403" s="441"/>
      <c r="C403" s="276"/>
      <c r="D403" s="161"/>
      <c r="E403" s="851" t="s">
        <v>6145</v>
      </c>
      <c r="F403" s="852"/>
      <c r="G403" s="852"/>
      <c r="H403" s="852"/>
      <c r="I403" s="852"/>
      <c r="J403" s="853"/>
      <c r="K403" s="130"/>
      <c r="L403" s="43"/>
      <c r="M403" s="92"/>
      <c r="N403" s="480"/>
      <c r="O403" s="353"/>
    </row>
    <row r="404" spans="2:15" s="90" customFormat="1" ht="14.25">
      <c r="B404" s="694"/>
      <c r="C404" s="276"/>
      <c r="D404" s="161"/>
      <c r="E404" s="688"/>
      <c r="F404" s="689"/>
      <c r="G404" s="689"/>
      <c r="H404" s="689"/>
      <c r="I404" s="689"/>
      <c r="J404" s="690"/>
      <c r="K404" s="130"/>
      <c r="L404" s="43"/>
      <c r="M404" s="92"/>
      <c r="N404" s="480"/>
      <c r="O404" s="353"/>
    </row>
    <row r="405" spans="2:15" s="90" customFormat="1" ht="15">
      <c r="B405" s="441" t="s">
        <v>6965</v>
      </c>
      <c r="C405" s="274">
        <v>102488</v>
      </c>
      <c r="D405" s="161" t="s">
        <v>6</v>
      </c>
      <c r="E405" s="833" t="str">
        <f>IFERROR(VLOOKUP($C405,'SINAPI FEVEREIRO 2022'!$1:$1048576,2,0),IFERROR(VLOOKUP($C405,'5-COMP. PROPRIA'!$B$38:$I$647,4,0),""))</f>
        <v>PREPARO DO PISO CIMENTADO PARA PINTURA - LIXAMENTO E LIMPEZA. AF_05/2021</v>
      </c>
      <c r="F405" s="834"/>
      <c r="G405" s="834"/>
      <c r="H405" s="834"/>
      <c r="I405" s="834"/>
      <c r="J405" s="835"/>
      <c r="K405" s="127">
        <v>861.1</v>
      </c>
      <c r="L405" s="39" t="str">
        <f>IFERROR(VLOOKUP($C405,'SINAPI FEVEREIRO 2022'!$1:$1048576,3,0),IFERROR(VLOOKUP($C405,'5-COMP. PROPRIA'!$B$1:$I$647,5,0),""))</f>
        <v>M2</v>
      </c>
      <c r="M405" s="92"/>
      <c r="N405" s="480"/>
      <c r="O405" s="353"/>
    </row>
    <row r="406" spans="2:15" s="90" customFormat="1" ht="15">
      <c r="B406" s="694"/>
      <c r="C406" s="274"/>
      <c r="D406" s="161"/>
      <c r="E406" s="688"/>
      <c r="F406" s="689"/>
      <c r="G406" s="689"/>
      <c r="H406" s="689"/>
      <c r="I406" s="689"/>
      <c r="J406" s="690"/>
      <c r="K406" s="127"/>
      <c r="L406" s="39"/>
      <c r="M406" s="92"/>
      <c r="N406" s="480"/>
      <c r="O406" s="353"/>
    </row>
    <row r="407" spans="2:15" s="90" customFormat="1" ht="47.25" customHeight="1">
      <c r="B407" s="530"/>
      <c r="C407" s="275">
        <v>87700</v>
      </c>
      <c r="D407" s="161" t="s">
        <v>6</v>
      </c>
      <c r="E407" s="833" t="str">
        <f>IFERROR(VLOOKUP($C407,'SINAPI FEVEREIRO 2022'!$1:$1048576,2,0),IFERROR(VLOOKUP($C407,'5-COMP. PROPRIA'!$B$38:$I$647,4,0),""))</f>
        <v>CONTRAPISO EM ARGAMASSA TRAÇO 1:4 (CIMENTO E AREIA), PREPARO MECÂNICO COM BETONEIRA 400 L, APLICADO EM ÁREAS SECAS SOBRE LAJE, NÃO ADERIDO, ACABAMENTO NÃO REFORÇADO, ESPESSURA 6CM. AF_07/2021</v>
      </c>
      <c r="F407" s="834"/>
      <c r="G407" s="834"/>
      <c r="H407" s="834"/>
      <c r="I407" s="834"/>
      <c r="J407" s="835"/>
      <c r="K407" s="175">
        <f>SUM(K409:K416)</f>
        <v>265.51000000000005</v>
      </c>
      <c r="L407" s="39" t="str">
        <f>IFERROR(VLOOKUP($C407,'SINAPI FEVEREIRO 2022'!$1:$1048576,3,0),IFERROR(VLOOKUP($C407,'5-COMP. PROPRIA'!$B$1:$I$647,5,0),""))</f>
        <v>M2</v>
      </c>
      <c r="M407" s="92"/>
      <c r="N407" s="480"/>
      <c r="O407" s="353"/>
    </row>
    <row r="408" spans="2:15" s="90" customFormat="1" ht="15">
      <c r="B408" s="530"/>
      <c r="C408" s="275"/>
      <c r="D408" s="161"/>
      <c r="E408" s="57" t="s">
        <v>5486</v>
      </c>
      <c r="F408" s="580"/>
      <c r="G408" s="516"/>
      <c r="H408" s="516"/>
      <c r="I408" s="516"/>
      <c r="J408" s="517"/>
      <c r="K408" s="127"/>
      <c r="L408" s="39"/>
      <c r="M408" s="92"/>
      <c r="N408" s="480"/>
      <c r="O408" s="353"/>
    </row>
    <row r="409" spans="2:15" s="90" customFormat="1" ht="14.25">
      <c r="B409" s="254" t="s">
        <v>7278</v>
      </c>
      <c r="C409" s="275"/>
      <c r="D409" s="161"/>
      <c r="E409" s="242">
        <v>34.770000000000003</v>
      </c>
      <c r="F409" s="661"/>
      <c r="G409" s="516"/>
      <c r="H409" s="516"/>
      <c r="I409" s="516"/>
      <c r="J409" s="517"/>
      <c r="K409" s="174">
        <f>E409</f>
        <v>34.770000000000003</v>
      </c>
      <c r="L409" s="39"/>
      <c r="M409" s="92"/>
      <c r="N409" s="480"/>
      <c r="O409" s="353"/>
    </row>
    <row r="410" spans="2:15" s="90" customFormat="1" ht="14.25">
      <c r="B410" s="254" t="s">
        <v>7279</v>
      </c>
      <c r="C410" s="275"/>
      <c r="D410" s="161"/>
      <c r="E410" s="242">
        <v>7.26</v>
      </c>
      <c r="F410" s="661"/>
      <c r="G410" s="516"/>
      <c r="H410" s="516"/>
      <c r="I410" s="516"/>
      <c r="J410" s="517"/>
      <c r="K410" s="174">
        <f t="shared" ref="K410:K416" si="13">E410</f>
        <v>7.26</v>
      </c>
      <c r="L410" s="39"/>
      <c r="M410" s="92"/>
      <c r="N410" s="480"/>
      <c r="O410" s="353"/>
    </row>
    <row r="411" spans="2:15" s="90" customFormat="1" ht="14.25">
      <c r="B411" s="254" t="s">
        <v>7063</v>
      </c>
      <c r="C411" s="275"/>
      <c r="D411" s="161"/>
      <c r="E411" s="242">
        <v>38.9</v>
      </c>
      <c r="F411" s="661"/>
      <c r="G411" s="516"/>
      <c r="H411" s="516"/>
      <c r="I411" s="516"/>
      <c r="J411" s="517"/>
      <c r="K411" s="174">
        <f t="shared" si="13"/>
        <v>38.9</v>
      </c>
      <c r="L411" s="39"/>
      <c r="M411" s="92"/>
      <c r="N411" s="480"/>
      <c r="O411" s="353"/>
    </row>
    <row r="412" spans="2:15" s="90" customFormat="1" ht="14.25">
      <c r="B412" s="254" t="s">
        <v>7280</v>
      </c>
      <c r="C412" s="275"/>
      <c r="D412" s="161"/>
      <c r="E412" s="242">
        <v>95.23</v>
      </c>
      <c r="F412" s="661"/>
      <c r="G412" s="516"/>
      <c r="H412" s="516"/>
      <c r="I412" s="516"/>
      <c r="J412" s="517"/>
      <c r="K412" s="174">
        <f t="shared" si="13"/>
        <v>95.23</v>
      </c>
      <c r="L412" s="39"/>
      <c r="M412" s="92"/>
      <c r="N412" s="480"/>
      <c r="O412" s="353"/>
    </row>
    <row r="413" spans="2:15" s="90" customFormat="1" ht="14.25">
      <c r="B413" s="254" t="s">
        <v>7281</v>
      </c>
      <c r="C413" s="275"/>
      <c r="D413" s="161"/>
      <c r="E413" s="242">
        <v>10.09</v>
      </c>
      <c r="F413" s="661"/>
      <c r="G413" s="516"/>
      <c r="H413" s="516"/>
      <c r="I413" s="516"/>
      <c r="J413" s="517"/>
      <c r="K413" s="174">
        <f t="shared" si="13"/>
        <v>10.09</v>
      </c>
      <c r="L413" s="39"/>
      <c r="M413" s="92"/>
      <c r="N413" s="480"/>
      <c r="O413" s="353"/>
    </row>
    <row r="414" spans="2:15" s="90" customFormat="1" ht="14.25">
      <c r="B414" s="254" t="s">
        <v>7913</v>
      </c>
      <c r="C414" s="275"/>
      <c r="D414" s="161"/>
      <c r="E414" s="242">
        <v>4.5599999999999996</v>
      </c>
      <c r="F414" s="675"/>
      <c r="G414" s="671"/>
      <c r="H414" s="671"/>
      <c r="I414" s="671"/>
      <c r="J414" s="672"/>
      <c r="K414" s="174">
        <f t="shared" si="13"/>
        <v>4.5599999999999996</v>
      </c>
      <c r="L414" s="39"/>
      <c r="M414" s="92"/>
      <c r="N414" s="480"/>
      <c r="O414" s="353"/>
    </row>
    <row r="415" spans="2:15" s="90" customFormat="1" ht="14.25">
      <c r="B415" s="254" t="s">
        <v>8376</v>
      </c>
      <c r="C415" s="275"/>
      <c r="D415" s="161"/>
      <c r="E415" s="242">
        <v>48</v>
      </c>
      <c r="F415" s="699"/>
      <c r="G415" s="697"/>
      <c r="H415" s="697"/>
      <c r="I415" s="697"/>
      <c r="J415" s="698"/>
      <c r="K415" s="174">
        <f t="shared" si="13"/>
        <v>48</v>
      </c>
      <c r="L415" s="39"/>
      <c r="M415" s="92"/>
      <c r="N415" s="480"/>
      <c r="O415" s="353"/>
    </row>
    <row r="416" spans="2:15" s="90" customFormat="1" ht="14.25">
      <c r="B416" s="254" t="s">
        <v>8377</v>
      </c>
      <c r="C416" s="275"/>
      <c r="D416" s="161"/>
      <c r="E416" s="242">
        <v>26.7</v>
      </c>
      <c r="F416" s="699"/>
      <c r="G416" s="697"/>
      <c r="H416" s="697"/>
      <c r="I416" s="697"/>
      <c r="J416" s="698"/>
      <c r="K416" s="174">
        <f t="shared" si="13"/>
        <v>26.7</v>
      </c>
      <c r="L416" s="39"/>
      <c r="M416" s="92"/>
      <c r="N416" s="480"/>
      <c r="O416" s="353"/>
    </row>
    <row r="417" spans="2:16" s="90" customFormat="1" ht="14.25">
      <c r="B417" s="530"/>
      <c r="C417" s="275"/>
      <c r="D417" s="161"/>
      <c r="E417" s="81"/>
      <c r="F417" s="675"/>
      <c r="G417" s="671"/>
      <c r="H417" s="671"/>
      <c r="I417" s="671"/>
      <c r="J417" s="672"/>
      <c r="K417" s="174"/>
      <c r="L417" s="39"/>
      <c r="M417" s="92"/>
      <c r="N417" s="480"/>
      <c r="O417" s="353"/>
    </row>
    <row r="418" spans="2:16" s="90" customFormat="1" ht="15">
      <c r="B418" s="530"/>
      <c r="C418" s="275" t="str">
        <f>'5-COMP. PROPRIA'!B187</f>
        <v>CP-PIS-02</v>
      </c>
      <c r="D418" s="161" t="s">
        <v>6</v>
      </c>
      <c r="E418" s="833" t="str">
        <f>IFERROR(VLOOKUP($C418,'SINAPI FEVEREIRO 2022'!$1:$1048576,2,0),IFERROR(VLOOKUP($C418,'5-COMP. PROPRIA'!$B$38:$I$647,4,0),""))</f>
        <v>PISO EM GRANILITE, MARMORITE OU GRANITINA EM AMBIENTES INTERNOS</v>
      </c>
      <c r="F418" s="834"/>
      <c r="G418" s="834"/>
      <c r="H418" s="834"/>
      <c r="I418" s="834"/>
      <c r="J418" s="835"/>
      <c r="K418" s="175">
        <f>K407</f>
        <v>265.51000000000005</v>
      </c>
      <c r="L418" s="39" t="str">
        <f>IFERROR(VLOOKUP($C418,'SINAPI FEVEREIRO 2022'!$1:$1048576,3,0),IFERROR(VLOOKUP($C418,'5-COMP. PROPRIA'!$B$1:$I$647,5,0),""))</f>
        <v>M2</v>
      </c>
      <c r="M418" s="92"/>
      <c r="N418" s="480"/>
      <c r="O418" s="353"/>
    </row>
    <row r="419" spans="2:16" s="90" customFormat="1" ht="15">
      <c r="B419" s="530"/>
      <c r="C419" s="275"/>
      <c r="D419" s="161"/>
      <c r="E419" s="670"/>
      <c r="F419" s="671"/>
      <c r="G419" s="671"/>
      <c r="H419" s="671"/>
      <c r="I419" s="671"/>
      <c r="J419" s="672"/>
      <c r="K419" s="175"/>
      <c r="L419" s="39"/>
      <c r="M419" s="92"/>
      <c r="N419" s="480"/>
      <c r="O419" s="353"/>
    </row>
    <row r="420" spans="2:16" s="90" customFormat="1" ht="15">
      <c r="B420" s="434"/>
      <c r="C420" s="275">
        <v>101741</v>
      </c>
      <c r="D420" s="161" t="s">
        <v>6</v>
      </c>
      <c r="E420" s="833" t="str">
        <f>IFERROR(VLOOKUP($C420,'SINAPI FEVEREIRO 2022'!$1:$1048576,2,0),IFERROR(VLOOKUP($C420,'5-COMP. PROPRIA'!$B$38:$I$647,4,0),""))</f>
        <v>RODAPÉ EM MARMORITE, ALTURA 10CM. AF_09/2020</v>
      </c>
      <c r="F420" s="834"/>
      <c r="G420" s="834"/>
      <c r="H420" s="834"/>
      <c r="I420" s="834"/>
      <c r="J420" s="835"/>
      <c r="K420" s="175">
        <f>SUM(K422:K428)</f>
        <v>454.7299999999999</v>
      </c>
      <c r="L420" s="39" t="str">
        <f>IFERROR(VLOOKUP($C420,'SINAPI FEVEREIRO 2022'!$1:$1048576,3,0),IFERROR(VLOOKUP($C420,'5-COMP. PROPRIA'!$B$1:$I$647,5,0),""))</f>
        <v>M</v>
      </c>
      <c r="M420" s="92"/>
      <c r="N420" s="480"/>
      <c r="O420" s="353"/>
      <c r="P420" s="724"/>
    </row>
    <row r="421" spans="2:16" s="90" customFormat="1" ht="15">
      <c r="B421" s="514"/>
      <c r="C421" s="275"/>
      <c r="D421" s="161"/>
      <c r="E421" s="57" t="s">
        <v>7270</v>
      </c>
      <c r="F421" s="524" t="s">
        <v>7291</v>
      </c>
      <c r="G421" s="516"/>
      <c r="H421" s="516"/>
      <c r="I421" s="516"/>
      <c r="J421" s="517"/>
      <c r="K421" s="127"/>
      <c r="L421" s="39"/>
      <c r="M421" s="92"/>
      <c r="N421" s="480"/>
      <c r="O421" s="353"/>
    </row>
    <row r="422" spans="2:16" s="90" customFormat="1" ht="14.25">
      <c r="B422" s="514" t="s">
        <v>7284</v>
      </c>
      <c r="C422" s="275"/>
      <c r="D422" s="161"/>
      <c r="E422" s="242">
        <v>23.03</v>
      </c>
      <c r="F422" s="260">
        <v>1</v>
      </c>
      <c r="G422" s="516"/>
      <c r="H422" s="516"/>
      <c r="I422" s="516"/>
      <c r="J422" s="517"/>
      <c r="K422" s="49">
        <f>E422*F422</f>
        <v>23.03</v>
      </c>
      <c r="L422" s="39"/>
      <c r="M422" s="92"/>
      <c r="N422" s="480"/>
      <c r="O422" s="353"/>
    </row>
    <row r="423" spans="2:16" s="90" customFormat="1" ht="14.25">
      <c r="B423" s="514" t="s">
        <v>7285</v>
      </c>
      <c r="C423" s="275"/>
      <c r="D423" s="161"/>
      <c r="E423" s="242">
        <v>27.2</v>
      </c>
      <c r="F423" s="260">
        <v>9</v>
      </c>
      <c r="G423" s="516"/>
      <c r="H423" s="516"/>
      <c r="I423" s="516"/>
      <c r="J423" s="517"/>
      <c r="K423" s="49">
        <f t="shared" ref="K423:K428" si="14">E423*F423</f>
        <v>244.79999999999998</v>
      </c>
      <c r="L423" s="39"/>
      <c r="M423" s="92"/>
      <c r="N423" s="480"/>
      <c r="O423" s="353"/>
    </row>
    <row r="424" spans="2:16" s="90" customFormat="1" ht="14.25">
      <c r="B424" s="514" t="s">
        <v>7286</v>
      </c>
      <c r="C424" s="275"/>
      <c r="D424" s="161"/>
      <c r="E424" s="242">
        <v>21.64</v>
      </c>
      <c r="F424" s="260">
        <v>1</v>
      </c>
      <c r="G424" s="516"/>
      <c r="H424" s="516"/>
      <c r="I424" s="516"/>
      <c r="J424" s="517"/>
      <c r="K424" s="49">
        <f t="shared" si="14"/>
        <v>21.64</v>
      </c>
      <c r="L424" s="39"/>
      <c r="M424" s="92"/>
      <c r="N424" s="480"/>
      <c r="O424" s="353"/>
    </row>
    <row r="425" spans="2:16" s="90" customFormat="1" ht="14.25">
      <c r="B425" s="514" t="s">
        <v>7287</v>
      </c>
      <c r="C425" s="275"/>
      <c r="D425" s="161"/>
      <c r="E425" s="242">
        <v>17.82</v>
      </c>
      <c r="F425" s="260">
        <v>1</v>
      </c>
      <c r="G425" s="516"/>
      <c r="H425" s="516"/>
      <c r="I425" s="516"/>
      <c r="J425" s="517"/>
      <c r="K425" s="49">
        <f t="shared" si="14"/>
        <v>17.82</v>
      </c>
      <c r="L425" s="39"/>
      <c r="M425" s="92"/>
      <c r="N425" s="480"/>
      <c r="O425" s="353"/>
    </row>
    <row r="426" spans="2:16" s="90" customFormat="1" ht="14.25">
      <c r="B426" s="514" t="s">
        <v>7288</v>
      </c>
      <c r="C426" s="275"/>
      <c r="D426" s="161"/>
      <c r="E426" s="242">
        <v>11.44</v>
      </c>
      <c r="F426" s="260">
        <v>1</v>
      </c>
      <c r="G426" s="516"/>
      <c r="H426" s="516"/>
      <c r="I426" s="516"/>
      <c r="J426" s="517"/>
      <c r="K426" s="49">
        <f t="shared" si="14"/>
        <v>11.44</v>
      </c>
      <c r="L426" s="39"/>
      <c r="M426" s="92"/>
      <c r="N426" s="480"/>
      <c r="O426" s="353"/>
    </row>
    <row r="427" spans="2:16" s="90" customFormat="1" ht="14.25">
      <c r="B427" s="514" t="s">
        <v>7289</v>
      </c>
      <c r="C427" s="275"/>
      <c r="D427" s="161"/>
      <c r="E427" s="242">
        <v>5.4</v>
      </c>
      <c r="F427" s="260">
        <v>1</v>
      </c>
      <c r="G427" s="516"/>
      <c r="H427" s="516"/>
      <c r="I427" s="516"/>
      <c r="J427" s="517"/>
      <c r="K427" s="49">
        <f t="shared" si="14"/>
        <v>5.4</v>
      </c>
      <c r="L427" s="39"/>
      <c r="M427" s="92"/>
      <c r="N427" s="480"/>
      <c r="O427" s="353"/>
    </row>
    <row r="428" spans="2:16" s="90" customFormat="1" ht="14.25">
      <c r="B428" s="514" t="s">
        <v>7290</v>
      </c>
      <c r="C428" s="275"/>
      <c r="D428" s="161"/>
      <c r="E428" s="242">
        <v>130.6</v>
      </c>
      <c r="F428" s="260">
        <v>1</v>
      </c>
      <c r="G428" s="516"/>
      <c r="H428" s="516"/>
      <c r="I428" s="516"/>
      <c r="J428" s="517"/>
      <c r="K428" s="49">
        <f t="shared" si="14"/>
        <v>130.6</v>
      </c>
      <c r="L428" s="39"/>
      <c r="M428" s="92"/>
      <c r="N428" s="480"/>
      <c r="O428" s="353"/>
    </row>
    <row r="429" spans="2:16" s="90" customFormat="1" ht="14.25">
      <c r="B429" s="674"/>
      <c r="C429" s="275"/>
      <c r="D429" s="161"/>
      <c r="E429" s="81"/>
      <c r="F429" s="43"/>
      <c r="G429" s="671"/>
      <c r="H429" s="671"/>
      <c r="I429" s="671"/>
      <c r="J429" s="672"/>
      <c r="K429" s="49"/>
      <c r="L429" s="39"/>
      <c r="M429" s="92"/>
      <c r="N429" s="480"/>
      <c r="O429" s="353"/>
    </row>
    <row r="430" spans="2:16" s="90" customFormat="1" ht="28.5">
      <c r="B430" s="434" t="s">
        <v>6971</v>
      </c>
      <c r="C430" s="275" t="str">
        <f>'5-COMP. PROPRIA'!B183</f>
        <v>CP-PIS-01</v>
      </c>
      <c r="D430" s="161" t="s">
        <v>6172</v>
      </c>
      <c r="E430" s="833" t="str">
        <f>IFERROR(VLOOKUP($C430,'SINAPI FEVEREIRO 2022'!$1:$1048576,2,0),IFERROR(VLOOKUP($C430,'5-COMP. PROPRIA'!$B$38:$I$647,4,0),""))</f>
        <v>PISO FULGET (GRANITO LAVADO) MOLDADO IN LOCO FORNECIMENTO E INSTALAÇÃO.</v>
      </c>
      <c r="F430" s="834"/>
      <c r="G430" s="834"/>
      <c r="H430" s="834"/>
      <c r="I430" s="834"/>
      <c r="J430" s="835"/>
      <c r="K430" s="127">
        <f>19.3+25.93</f>
        <v>45.230000000000004</v>
      </c>
      <c r="L430" s="39" t="str">
        <f>IFERROR(VLOOKUP($C430,'SINAPI FEVEREIRO 2022'!$1:$1048576,3,0),IFERROR(VLOOKUP($C430,'5-COMP. PROPRIA'!$B$1:$I$647,5,0),""))</f>
        <v>M2</v>
      </c>
      <c r="M430" s="92"/>
      <c r="N430" s="480"/>
      <c r="O430" s="353"/>
      <c r="P430" s="724"/>
    </row>
    <row r="431" spans="2:16" s="90" customFormat="1" ht="15">
      <c r="B431" s="700"/>
      <c r="C431" s="275"/>
      <c r="D431" s="161"/>
      <c r="E431" s="696"/>
      <c r="F431" s="697"/>
      <c r="G431" s="697"/>
      <c r="H431" s="697"/>
      <c r="I431" s="697"/>
      <c r="J431" s="698"/>
      <c r="K431" s="127"/>
      <c r="L431" s="39"/>
      <c r="M431" s="92"/>
      <c r="N431" s="480"/>
      <c r="O431" s="353"/>
      <c r="P431" s="724"/>
    </row>
    <row r="432" spans="2:16" s="90" customFormat="1" ht="42.75" customHeight="1">
      <c r="B432" s="434" t="s">
        <v>6972</v>
      </c>
      <c r="C432" s="275">
        <v>98554</v>
      </c>
      <c r="D432" s="161" t="s">
        <v>6</v>
      </c>
      <c r="E432" s="833" t="str">
        <f>IFERROR(VLOOKUP($C432,'SINAPI FEVEREIRO 2022'!$1:$1048576,2,0),IFERROR(VLOOKUP($C432,'5-COMP. PROPRIA'!$B$38:$I$647,4,0),""))</f>
        <v>IMPERMEABILIZAÇÃO DE SUPERFÍCIE COM MEMBRANA À BASE DE RESINA ACRÍLICA, 3 DEMÃOS. AF_06/2018</v>
      </c>
      <c r="F432" s="834"/>
      <c r="G432" s="834"/>
      <c r="H432" s="834"/>
      <c r="I432" s="834"/>
      <c r="J432" s="835"/>
      <c r="K432" s="127">
        <f>K405+K418+(K420*0.1)</f>
        <v>1172.0830000000001</v>
      </c>
      <c r="L432" s="39" t="str">
        <f>IFERROR(VLOOKUP($C432,'SINAPI FEVEREIRO 2022'!$1:$1048576,3,0),IFERROR(VLOOKUP($C432,'5-COMP. PROPRIA'!$B$1:$I$647,5,0),""))</f>
        <v>M2</v>
      </c>
      <c r="M432" s="92"/>
      <c r="N432" s="480"/>
      <c r="O432" s="353"/>
      <c r="P432" s="724"/>
    </row>
    <row r="433" spans="2:16" s="90" customFormat="1" ht="15.75" thickBot="1">
      <c r="B433" s="434"/>
      <c r="C433" s="275"/>
      <c r="D433" s="161"/>
      <c r="E433" s="421"/>
      <c r="F433" s="422"/>
      <c r="G433" s="422"/>
      <c r="H433" s="422"/>
      <c r="I433" s="422"/>
      <c r="J433" s="423"/>
      <c r="K433" s="127"/>
      <c r="L433" s="39"/>
      <c r="M433" s="92"/>
      <c r="N433" s="480"/>
      <c r="O433" s="353"/>
    </row>
    <row r="434" spans="2:16" s="90" customFormat="1" ht="15.75" thickBot="1">
      <c r="B434" s="434"/>
      <c r="C434" s="275"/>
      <c r="D434" s="161"/>
      <c r="E434" s="851" t="s">
        <v>5757</v>
      </c>
      <c r="F434" s="852"/>
      <c r="G434" s="852"/>
      <c r="H434" s="852"/>
      <c r="I434" s="852"/>
      <c r="J434" s="853"/>
      <c r="K434" s="127"/>
      <c r="L434" s="39"/>
      <c r="M434" s="92"/>
      <c r="N434" s="480"/>
      <c r="O434" s="353"/>
    </row>
    <row r="435" spans="2:16" s="90" customFormat="1" ht="15">
      <c r="B435" s="695"/>
      <c r="C435" s="275"/>
      <c r="D435" s="161"/>
      <c r="E435" s="688"/>
      <c r="F435" s="689"/>
      <c r="G435" s="689"/>
      <c r="H435" s="689"/>
      <c r="I435" s="689"/>
      <c r="J435" s="690"/>
      <c r="K435" s="127"/>
      <c r="L435" s="39"/>
      <c r="M435" s="92"/>
      <c r="N435" s="480"/>
      <c r="O435" s="353"/>
    </row>
    <row r="436" spans="2:16" s="90" customFormat="1" ht="24.75" customHeight="1">
      <c r="B436" s="434"/>
      <c r="C436" s="275">
        <v>97087</v>
      </c>
      <c r="D436" s="161" t="s">
        <v>6</v>
      </c>
      <c r="E436" s="833" t="str">
        <f>IFERROR(VLOOKUP($C436,'SINAPI FEVEREIRO 2022'!$1:$1048576,2,0),IFERROR(VLOOKUP($C436,'5-COMP. PROPRIA'!$B$38:$I$647,4,0),""))</f>
        <v>CAMADA SEPARADORA PARA EXECUÇÃO DE RADIER, PISO DE CONCRETO OU LAJE SOBRE SOLO, EM LONA PLÁSTICA. AF_09/2021</v>
      </c>
      <c r="F436" s="834"/>
      <c r="G436" s="834"/>
      <c r="H436" s="834"/>
      <c r="I436" s="834"/>
      <c r="J436" s="835"/>
      <c r="K436" s="127">
        <v>252.25</v>
      </c>
      <c r="L436" s="39" t="str">
        <f>IFERROR(VLOOKUP($C436,'SINAPI FEVEREIRO 2022'!$1:$1048576,3,0),IFERROR(VLOOKUP($C436,'5-COMP. PROPRIA'!$B$1:$I$647,5,0),""))</f>
        <v>M2</v>
      </c>
      <c r="M436" s="92"/>
      <c r="N436" s="480"/>
      <c r="O436" s="353"/>
      <c r="P436" s="724"/>
    </row>
    <row r="437" spans="2:16" s="90" customFormat="1" ht="24.75" customHeight="1">
      <c r="B437" s="695"/>
      <c r="C437" s="275"/>
      <c r="D437" s="161"/>
      <c r="E437" s="688"/>
      <c r="F437" s="689"/>
      <c r="G437" s="689"/>
      <c r="H437" s="689"/>
      <c r="I437" s="689"/>
      <c r="J437" s="690"/>
      <c r="K437" s="127"/>
      <c r="L437" s="39"/>
      <c r="M437" s="92"/>
      <c r="N437" s="480"/>
      <c r="O437" s="353"/>
      <c r="P437" s="724"/>
    </row>
    <row r="438" spans="2:16" s="90" customFormat="1" ht="24.75" customHeight="1">
      <c r="B438" s="434"/>
      <c r="C438" s="274">
        <v>95241</v>
      </c>
      <c r="D438" s="161" t="s">
        <v>6</v>
      </c>
      <c r="E438" s="833" t="str">
        <f>IFERROR(VLOOKUP($C438,'SINAPI FEVEREIRO 2022'!$1:$1048576,2,0),IFERROR(VLOOKUP($C438,'5-COMP. PROPRIA'!$B$38:$I$647,4,0),""))</f>
        <v>LASTRO DE CONCRETO MAGRO, APLICADO EM PISOS, LAJES SOBRE SOLO OU RADIERS, ESPESSURA DE 5 CM. AF_07/2016</v>
      </c>
      <c r="F438" s="834"/>
      <c r="G438" s="834"/>
      <c r="H438" s="834"/>
      <c r="I438" s="834"/>
      <c r="J438" s="835"/>
      <c r="K438" s="127">
        <f>K436</f>
        <v>252.25</v>
      </c>
      <c r="L438" s="39" t="str">
        <f>IFERROR(VLOOKUP($C438,'SINAPI FEVEREIRO 2022'!$1:$1048576,3,0),IFERROR(VLOOKUP($C438,'5-COMP. PROPRIA'!$B$1:$I$647,5,0),""))</f>
        <v>M2</v>
      </c>
      <c r="M438" s="92"/>
      <c r="N438" s="480"/>
      <c r="O438" s="353"/>
      <c r="P438" s="724"/>
    </row>
    <row r="439" spans="2:16" s="90" customFormat="1" ht="24.75" customHeight="1">
      <c r="B439" s="695"/>
      <c r="C439" s="274"/>
      <c r="D439" s="161"/>
      <c r="E439" s="688"/>
      <c r="F439" s="689"/>
      <c r="G439" s="689"/>
      <c r="H439" s="689"/>
      <c r="I439" s="689"/>
      <c r="J439" s="690"/>
      <c r="K439" s="127"/>
      <c r="L439" s="39"/>
      <c r="M439" s="92"/>
      <c r="N439" s="480"/>
      <c r="O439" s="353"/>
      <c r="P439" s="724"/>
    </row>
    <row r="440" spans="2:16" s="90" customFormat="1" ht="24.75" customHeight="1">
      <c r="B440" s="434"/>
      <c r="C440" s="274">
        <v>88476</v>
      </c>
      <c r="D440" s="161" t="s">
        <v>6</v>
      </c>
      <c r="E440" s="833" t="str">
        <f>IFERROR(VLOOKUP($C440,'SINAPI FEVEREIRO 2022'!$1:$1048576,2,0),IFERROR(VLOOKUP($C440,'5-COMP. PROPRIA'!$B$38:$I$647,4,0),""))</f>
        <v>CONTRAPISO COM ARGAMASSA AUTONIVELANTE, APLICADO SOBRE LAJE, ADERIDO, ESPESSURA 2CM. AF_07/2021</v>
      </c>
      <c r="F440" s="834"/>
      <c r="G440" s="834"/>
      <c r="H440" s="834"/>
      <c r="I440" s="834"/>
      <c r="J440" s="835"/>
      <c r="K440" s="127">
        <f>K436</f>
        <v>252.25</v>
      </c>
      <c r="L440" s="39" t="str">
        <f>IFERROR(VLOOKUP($C440,'SINAPI FEVEREIRO 2022'!$1:$1048576,3,0),IFERROR(VLOOKUP($C440,'5-COMP. PROPRIA'!$B$1:$I$647,5,0),""))</f>
        <v>M2</v>
      </c>
      <c r="M440" s="92"/>
      <c r="N440" s="480"/>
      <c r="O440" s="353"/>
      <c r="P440" s="724"/>
    </row>
    <row r="441" spans="2:16" s="90" customFormat="1" ht="24.75" customHeight="1">
      <c r="B441" s="695"/>
      <c r="C441" s="274"/>
      <c r="D441" s="161"/>
      <c r="E441" s="688"/>
      <c r="F441" s="689"/>
      <c r="G441" s="689"/>
      <c r="H441" s="689"/>
      <c r="I441" s="689"/>
      <c r="J441" s="690"/>
      <c r="K441" s="127"/>
      <c r="L441" s="39"/>
      <c r="M441" s="92"/>
      <c r="N441" s="480"/>
      <c r="O441" s="353"/>
      <c r="P441" s="724"/>
    </row>
    <row r="442" spans="2:16" s="90" customFormat="1" ht="15">
      <c r="B442" s="434"/>
      <c r="C442" s="274">
        <v>101748</v>
      </c>
      <c r="D442" s="161" t="s">
        <v>6</v>
      </c>
      <c r="E442" s="833" t="str">
        <f>IFERROR(VLOOKUP($C442,'SINAPI FEVEREIRO 2022'!$1:$1048576,2,0),IFERROR(VLOOKUP($C442,'5-COMP. PROPRIA'!$B$38:$I$647,4,0),""))</f>
        <v>PREPARO DE CONTRAPISO COM POLITRIZ. AF_09/2020</v>
      </c>
      <c r="F442" s="834"/>
      <c r="G442" s="834"/>
      <c r="H442" s="834"/>
      <c r="I442" s="834"/>
      <c r="J442" s="835"/>
      <c r="K442" s="127">
        <f>K438</f>
        <v>252.25</v>
      </c>
      <c r="L442" s="39" t="str">
        <f>IFERROR(VLOOKUP($C442,'SINAPI FEVEREIRO 2022'!$1:$1048576,3,0),IFERROR(VLOOKUP($C442,'5-COMP. PROPRIA'!$B$1:$I$647,5,0),""))</f>
        <v>M2</v>
      </c>
      <c r="M442" s="92"/>
      <c r="N442" s="480"/>
      <c r="O442" s="353"/>
    </row>
    <row r="443" spans="2:16" s="90" customFormat="1" ht="15">
      <c r="B443" s="695"/>
      <c r="C443" s="274"/>
      <c r="D443" s="161"/>
      <c r="E443" s="688"/>
      <c r="F443" s="689"/>
      <c r="G443" s="689"/>
      <c r="H443" s="689"/>
      <c r="I443" s="689"/>
      <c r="J443" s="690"/>
      <c r="K443" s="127"/>
      <c r="L443" s="39"/>
      <c r="M443" s="92"/>
      <c r="N443" s="480"/>
      <c r="O443" s="353"/>
    </row>
    <row r="444" spans="2:16" s="90" customFormat="1" ht="23.25" customHeight="1">
      <c r="B444" s="656"/>
      <c r="C444" s="274">
        <v>102494</v>
      </c>
      <c r="D444" s="161" t="s">
        <v>6</v>
      </c>
      <c r="E444" s="833" t="str">
        <f>IFERROR(VLOOKUP($C444,'SINAPI FEVEREIRO 2022'!$1:$1048576,2,0),IFERROR(VLOOKUP($C444,'5-COMP. PROPRIA'!$B$38:$I$647,4,0),""))</f>
        <v>PINTURA DE PISO COM TINTA EPÓXI, APLICAÇÃO MANUAL, 2 DEMÃOS, INCLUSO PRIMER EPÓXI. AF_05/2021</v>
      </c>
      <c r="F444" s="834"/>
      <c r="G444" s="834"/>
      <c r="H444" s="834"/>
      <c r="I444" s="834"/>
      <c r="J444" s="835"/>
      <c r="K444" s="127">
        <f>K440</f>
        <v>252.25</v>
      </c>
      <c r="L444" s="39" t="str">
        <f>IFERROR(VLOOKUP($C444,'SINAPI FEVEREIRO 2022'!$1:$1048576,3,0),IFERROR(VLOOKUP($C444,'5-COMP. PROPRIA'!$B$1:$I$647,5,0),""))</f>
        <v>M2</v>
      </c>
      <c r="M444" s="92"/>
      <c r="N444" s="480"/>
      <c r="O444" s="353"/>
    </row>
    <row r="445" spans="2:16" s="90" customFormat="1" ht="15.75" thickBot="1">
      <c r="B445" s="656"/>
      <c r="C445" s="274"/>
      <c r="D445" s="161"/>
      <c r="E445" s="653"/>
      <c r="F445" s="654"/>
      <c r="G445" s="654"/>
      <c r="H445" s="654"/>
      <c r="I445" s="654"/>
      <c r="J445" s="655"/>
      <c r="K445" s="127"/>
      <c r="L445" s="39"/>
      <c r="M445" s="92"/>
      <c r="N445" s="480"/>
      <c r="O445" s="353"/>
    </row>
    <row r="446" spans="2:16" s="90" customFormat="1" ht="15" thickBot="1">
      <c r="B446" s="434"/>
      <c r="C446" s="274"/>
      <c r="D446" s="161"/>
      <c r="E446" s="851" t="s">
        <v>6973</v>
      </c>
      <c r="F446" s="852"/>
      <c r="G446" s="852"/>
      <c r="H446" s="852"/>
      <c r="I446" s="852"/>
      <c r="J446" s="853"/>
      <c r="K446" s="49"/>
      <c r="L446" s="149"/>
      <c r="M446" s="92"/>
      <c r="N446" s="480"/>
      <c r="O446" s="353"/>
    </row>
    <row r="447" spans="2:16" s="90" customFormat="1" ht="34.5" customHeight="1">
      <c r="B447" s="441"/>
      <c r="C447" s="275">
        <v>94990</v>
      </c>
      <c r="D447" s="161" t="s">
        <v>6</v>
      </c>
      <c r="E447" s="833" t="str">
        <f>IFERROR(VLOOKUP($C447,'SINAPI FEVEREIRO 2022'!$1:$1048576,2,0),IFERROR(VLOOKUP($C447,'5-COMP. PROPRIA'!$B$38:$I$647,4,0),""))</f>
        <v>EXECUÇÃO DE PASSEIO (CALÇADA) OU PISO DE CONCRETO COM CONCRETO MOLDADO IN LOCO, FEITO EM OBRA, ACABAMENTO CONVENCIONAL, NÃO ARMADO. AF_07/2016</v>
      </c>
      <c r="F447" s="834"/>
      <c r="G447" s="834"/>
      <c r="H447" s="834"/>
      <c r="I447" s="834"/>
      <c r="J447" s="835"/>
      <c r="K447" s="127">
        <f>SUM(K449:K450)</f>
        <v>61.619399999999999</v>
      </c>
      <c r="L447" s="39" t="str">
        <f>IFERROR(VLOOKUP($C447,'SINAPI FEVEREIRO 2022'!$1:$1048576,3,0),IFERROR(VLOOKUP($C447,'5-COMP. PROPRIA'!$B$1:$I$647,5,0),""))</f>
        <v>M3</v>
      </c>
      <c r="M447" s="92"/>
      <c r="N447" s="480"/>
      <c r="O447" s="353"/>
    </row>
    <row r="448" spans="2:16" s="90" customFormat="1" ht="18">
      <c r="B448" s="519"/>
      <c r="C448" s="274"/>
      <c r="D448" s="239"/>
      <c r="E448" s="57" t="s">
        <v>7293</v>
      </c>
      <c r="F448" s="524" t="s">
        <v>620</v>
      </c>
      <c r="G448" s="520"/>
      <c r="H448" s="520"/>
      <c r="I448" s="520"/>
      <c r="J448" s="521"/>
      <c r="K448" s="125"/>
      <c r="L448" s="149"/>
      <c r="M448" s="61"/>
      <c r="N448" s="70"/>
      <c r="O448" s="353"/>
    </row>
    <row r="449" spans="2:15" s="90" customFormat="1" ht="18">
      <c r="B449" s="519" t="s">
        <v>7292</v>
      </c>
      <c r="C449" s="274"/>
      <c r="D449" s="239"/>
      <c r="E449" s="242">
        <v>622.99</v>
      </c>
      <c r="F449" s="260">
        <v>0.06</v>
      </c>
      <c r="G449" s="520"/>
      <c r="H449" s="520"/>
      <c r="I449" s="520"/>
      <c r="J449" s="521"/>
      <c r="K449" s="130">
        <f>E449*F449</f>
        <v>37.379399999999997</v>
      </c>
      <c r="L449" s="149"/>
      <c r="M449" s="61"/>
      <c r="N449" s="70"/>
      <c r="O449" s="353"/>
    </row>
    <row r="450" spans="2:15" s="90" customFormat="1" ht="18">
      <c r="B450" s="519" t="s">
        <v>7330</v>
      </c>
      <c r="C450" s="274"/>
      <c r="D450" s="239"/>
      <c r="E450" s="242">
        <v>404</v>
      </c>
      <c r="F450" s="260">
        <v>0.06</v>
      </c>
      <c r="G450" s="520"/>
      <c r="H450" s="520"/>
      <c r="I450" s="520"/>
      <c r="J450" s="521"/>
      <c r="K450" s="130">
        <f>E450*F450</f>
        <v>24.24</v>
      </c>
      <c r="L450" s="149"/>
      <c r="M450" s="61"/>
      <c r="N450" s="70"/>
      <c r="O450" s="353"/>
    </row>
    <row r="451" spans="2:15" s="90" customFormat="1" ht="18">
      <c r="B451" s="673"/>
      <c r="C451" s="274"/>
      <c r="D451" s="239"/>
      <c r="E451" s="81"/>
      <c r="F451" s="43"/>
      <c r="G451" s="676"/>
      <c r="H451" s="676"/>
      <c r="I451" s="676"/>
      <c r="J451" s="677"/>
      <c r="K451" s="130"/>
      <c r="L451" s="149"/>
      <c r="M451" s="61"/>
      <c r="N451" s="70"/>
      <c r="O451" s="353"/>
    </row>
    <row r="452" spans="2:15" s="90" customFormat="1" ht="15">
      <c r="B452" s="625" t="s">
        <v>7426</v>
      </c>
      <c r="C452" s="275">
        <v>92405</v>
      </c>
      <c r="D452" s="161" t="s">
        <v>6</v>
      </c>
      <c r="E452" s="833" t="str">
        <f>IFERROR(VLOOKUP($C452,'SINAPI FEVEREIRO 2022'!$1:$1048576,2,0),IFERROR(VLOOKUP($C452,'5-COMP. PROPRIA'!$B$38:$I$647,4,0),""))</f>
        <v>EXECUÇÃO DE VIA EM PISO INTERTRAVADO, COM BLOCO 16 FACES DE 22 X 11 CM, ESPESSURA 8 CM. AF_12/2015</v>
      </c>
      <c r="F452" s="834"/>
      <c r="G452" s="834"/>
      <c r="H452" s="834"/>
      <c r="I452" s="834"/>
      <c r="J452" s="835"/>
      <c r="K452" s="127">
        <v>28.68</v>
      </c>
      <c r="L452" s="39" t="str">
        <f>IFERROR(VLOOKUP($C452,'SINAPI FEVEREIRO 2022'!$1:$1048576,3,0),IFERROR(VLOOKUP($C452,'5-COMP. PROPRIA'!$B$1:$I$647,5,0),""))</f>
        <v>M2</v>
      </c>
      <c r="M452" s="92"/>
      <c r="N452" s="480"/>
      <c r="O452" s="353"/>
    </row>
    <row r="453" spans="2:15" s="90" customFormat="1" ht="17.25" customHeight="1" thickBot="1">
      <c r="B453" s="434"/>
      <c r="C453" s="274"/>
      <c r="D453" s="161"/>
      <c r="E453" s="81"/>
      <c r="F453" s="41"/>
      <c r="G453" s="41"/>
      <c r="H453" s="41"/>
      <c r="I453" s="41"/>
      <c r="J453" s="426"/>
      <c r="K453" s="49"/>
      <c r="L453" s="149"/>
      <c r="M453" s="80"/>
      <c r="N453" s="89"/>
    </row>
    <row r="454" spans="2:15" s="90" customFormat="1" ht="17.25" customHeight="1" thickBot="1">
      <c r="B454" s="434"/>
      <c r="C454" s="274"/>
      <c r="D454" s="161"/>
      <c r="E454" s="836" t="s">
        <v>6946</v>
      </c>
      <c r="F454" s="837"/>
      <c r="G454" s="837"/>
      <c r="H454" s="837"/>
      <c r="I454" s="837"/>
      <c r="J454" s="838"/>
      <c r="K454" s="49"/>
      <c r="L454" s="149"/>
      <c r="M454" s="80"/>
      <c r="N454" s="89"/>
    </row>
    <row r="455" spans="2:15" s="90" customFormat="1" ht="17.25" customHeight="1">
      <c r="B455" s="434"/>
      <c r="C455" s="274"/>
      <c r="D455" s="161"/>
      <c r="E455" s="81"/>
      <c r="F455" s="41"/>
      <c r="G455" s="41"/>
      <c r="H455" s="41"/>
      <c r="I455" s="41"/>
      <c r="J455" s="426"/>
      <c r="K455" s="49"/>
      <c r="L455" s="149"/>
      <c r="M455" s="80"/>
      <c r="N455" s="89"/>
    </row>
    <row r="456" spans="2:15" s="90" customFormat="1" ht="26.25" customHeight="1">
      <c r="B456" s="434"/>
      <c r="C456" s="275">
        <v>102253</v>
      </c>
      <c r="D456" s="161" t="s">
        <v>6</v>
      </c>
      <c r="E456" s="833" t="str">
        <f>IFERROR(VLOOKUP($C456,'SINAPI FEVEREIRO 2022'!$1:$1048576,2,0),IFERROR(VLOOKUP($C456,'5-COMP. PROPRIA'!$B$38:$I$647,4,0),""))</f>
        <v>DIVISORIA SANITÁRIA, TIPO CABINE, EM GRANITO CINZA POLIDO, ESP = 3CM, ASSENTADO COM ARGAMASSA COLANTE AC III-E, EXCLUSIVE FERRAGENS. AF_01/2021</v>
      </c>
      <c r="F456" s="834"/>
      <c r="G456" s="834"/>
      <c r="H456" s="834"/>
      <c r="I456" s="834"/>
      <c r="J456" s="835"/>
      <c r="K456" s="127">
        <v>17.420000000000002</v>
      </c>
      <c r="L456" s="39" t="str">
        <f>IFERROR(VLOOKUP($C456,'SINAPI FEVEREIRO 2022'!$1:$1048576,3,0),IFERROR(VLOOKUP($C456,'5-COMP. PROPRIA'!$B$1:$I$647,5,0),""))</f>
        <v>M2</v>
      </c>
      <c r="M456" s="80"/>
      <c r="N456" s="89"/>
    </row>
    <row r="457" spans="2:15" s="90" customFormat="1" ht="15">
      <c r="B457" s="434"/>
      <c r="C457" s="275"/>
      <c r="D457" s="161"/>
      <c r="E457" s="415"/>
      <c r="F457" s="416"/>
      <c r="G457" s="416"/>
      <c r="H457" s="416"/>
      <c r="I457" s="416"/>
      <c r="J457" s="417"/>
      <c r="K457" s="127"/>
      <c r="L457" s="39"/>
      <c r="M457" s="80"/>
      <c r="N457" s="89"/>
    </row>
    <row r="458" spans="2:15" s="90" customFormat="1" ht="15" customHeight="1">
      <c r="B458" s="434"/>
      <c r="C458" s="275" t="str">
        <f>'5-COMP. PROPRIA'!B107</f>
        <v>CP-BAN-01</v>
      </c>
      <c r="D458" s="161" t="s">
        <v>6172</v>
      </c>
      <c r="E458" s="833" t="str">
        <f>IFERROR(VLOOKUP($C458,'SINAPI FEVEREIRO 2022'!$1:$1048576,2,0),IFERROR(VLOOKUP($C458,'5-COMP. PROPRIA'!$B$38:$I$647,4,0),""))</f>
        <v xml:space="preserve">FORNECIMENTO E INSTALAÇÃO DE BANCADAS EM GRANITO POLIDO ESP =2,5CM A 3,0CM </v>
      </c>
      <c r="F458" s="834"/>
      <c r="G458" s="834"/>
      <c r="H458" s="834"/>
      <c r="I458" s="834"/>
      <c r="J458" s="835"/>
      <c r="K458" s="127">
        <f>SUM(K460:K462)</f>
        <v>8.66</v>
      </c>
      <c r="L458" s="39" t="str">
        <f>IFERROR(VLOOKUP($C458,'SINAPI FEVEREIRO 2022'!$1:$1048576,3,0),IFERROR(VLOOKUP($C458,'5-COMP. PROPRIA'!$B$1:$I$647,5,0),""))</f>
        <v>M2</v>
      </c>
      <c r="M458" s="80"/>
      <c r="N458" s="89"/>
    </row>
    <row r="459" spans="2:15" s="90" customFormat="1" ht="15" customHeight="1">
      <c r="B459" s="674"/>
      <c r="C459" s="275"/>
      <c r="D459" s="161"/>
      <c r="E459" s="57" t="s">
        <v>7906</v>
      </c>
      <c r="F459" s="675"/>
      <c r="G459" s="675"/>
      <c r="H459" s="671"/>
      <c r="I459" s="671"/>
      <c r="J459" s="672"/>
      <c r="K459" s="127"/>
      <c r="L459" s="39"/>
      <c r="M459" s="80"/>
      <c r="N459" s="89"/>
    </row>
    <row r="460" spans="2:15" s="90" customFormat="1" ht="15" customHeight="1">
      <c r="B460" s="674" t="s">
        <v>7909</v>
      </c>
      <c r="C460" s="275"/>
      <c r="D460" s="161"/>
      <c r="E460" s="242">
        <f>1.17+1.17+4.87</f>
        <v>7.21</v>
      </c>
      <c r="F460" s="41"/>
      <c r="G460" s="431"/>
      <c r="H460" s="671"/>
      <c r="I460" s="671"/>
      <c r="J460" s="672"/>
      <c r="K460" s="49">
        <f>E460</f>
        <v>7.21</v>
      </c>
      <c r="L460" s="39"/>
      <c r="M460" s="80"/>
      <c r="N460" s="89"/>
    </row>
    <row r="461" spans="2:15" s="90" customFormat="1" ht="15" customHeight="1">
      <c r="B461" s="674" t="s">
        <v>7907</v>
      </c>
      <c r="C461" s="275"/>
      <c r="D461" s="161"/>
      <c r="E461" s="242">
        <v>0.65</v>
      </c>
      <c r="F461" s="41"/>
      <c r="G461" s="431"/>
      <c r="H461" s="671"/>
      <c r="I461" s="671"/>
      <c r="J461" s="672"/>
      <c r="K461" s="49">
        <f t="shared" ref="K461:K462" si="15">E461</f>
        <v>0.65</v>
      </c>
      <c r="L461" s="39"/>
      <c r="M461" s="80"/>
      <c r="N461" s="89"/>
    </row>
    <row r="462" spans="2:15" s="90" customFormat="1" ht="15" customHeight="1">
      <c r="B462" s="674" t="s">
        <v>7908</v>
      </c>
      <c r="C462" s="275"/>
      <c r="D462" s="161"/>
      <c r="E462" s="242">
        <v>0.8</v>
      </c>
      <c r="F462" s="671"/>
      <c r="G462" s="671"/>
      <c r="H462" s="671"/>
      <c r="I462" s="671"/>
      <c r="J462" s="672"/>
      <c r="K462" s="49">
        <f t="shared" si="15"/>
        <v>0.8</v>
      </c>
      <c r="L462" s="39"/>
      <c r="M462" s="80"/>
      <c r="N462" s="89"/>
    </row>
    <row r="463" spans="2:15" s="90" customFormat="1" ht="15" customHeight="1">
      <c r="B463" s="434"/>
      <c r="C463" s="275"/>
      <c r="D463" s="161"/>
      <c r="E463" s="415"/>
      <c r="F463" s="416"/>
      <c r="G463" s="416"/>
      <c r="H463" s="416"/>
      <c r="I463" s="416"/>
      <c r="J463" s="417"/>
      <c r="K463" s="127"/>
      <c r="L463" s="39"/>
      <c r="M463" s="80"/>
      <c r="N463" s="89"/>
    </row>
    <row r="464" spans="2:15" s="90" customFormat="1" ht="30.75" customHeight="1">
      <c r="B464" s="434" t="s">
        <v>7905</v>
      </c>
      <c r="C464" s="275">
        <v>101965</v>
      </c>
      <c r="D464" s="161" t="s">
        <v>6</v>
      </c>
      <c r="E464" s="833" t="str">
        <f>IFERROR(VLOOKUP($C464,'SINAPI FEVEREIRO 2022'!$1:$1048576,2,0),IFERROR(VLOOKUP($C464,'5-COMP. PROPRIA'!$B$38:$I$647,4,0),""))</f>
        <v>PEITORIL LINEAR EM GRANITO OU MÁRMORE, L = 15CM, COMPRIMENTO DE ATÉ 2M, ASSENTADO COM ARGAMASSA 1:6 COM ADITIVO. AF_11/2020</v>
      </c>
      <c r="F464" s="834"/>
      <c r="G464" s="834"/>
      <c r="H464" s="834"/>
      <c r="I464" s="834"/>
      <c r="J464" s="835"/>
      <c r="K464" s="127">
        <v>93.8</v>
      </c>
      <c r="L464" s="39" t="str">
        <f>IFERROR(VLOOKUP($C464,'SINAPI FEVEREIRO 2022'!$1:$1048576,3,0),IFERROR(VLOOKUP($C464,'5-COMP. PROPRIA'!$B$1:$I$647,5,0),""))</f>
        <v>M</v>
      </c>
      <c r="M464" s="80"/>
      <c r="N464" s="89"/>
    </row>
    <row r="465" spans="2:14" s="90" customFormat="1" ht="17.25" customHeight="1" thickBot="1">
      <c r="B465" s="434"/>
      <c r="C465" s="274"/>
      <c r="D465" s="161"/>
      <c r="E465" s="81"/>
      <c r="F465" s="41"/>
      <c r="G465" s="41"/>
      <c r="H465" s="41"/>
      <c r="I465" s="41"/>
      <c r="J465" s="426"/>
      <c r="K465" s="49"/>
      <c r="L465" s="149"/>
      <c r="M465" s="80"/>
      <c r="N465" s="89"/>
    </row>
    <row r="466" spans="2:14" ht="15" thickBot="1">
      <c r="B466" s="470"/>
      <c r="C466" s="274"/>
      <c r="D466" s="161"/>
      <c r="E466" s="836" t="s">
        <v>3086</v>
      </c>
      <c r="F466" s="837"/>
      <c r="G466" s="837"/>
      <c r="H466" s="837"/>
      <c r="I466" s="837"/>
      <c r="J466" s="838"/>
      <c r="K466" s="125"/>
      <c r="L466" s="149"/>
      <c r="M466" s="60"/>
      <c r="N466" s="105"/>
    </row>
    <row r="467" spans="2:14" ht="15" customHeight="1">
      <c r="B467" s="470"/>
      <c r="C467" s="274"/>
      <c r="D467" s="161"/>
      <c r="E467" s="424"/>
      <c r="F467" s="425"/>
      <c r="G467" s="425"/>
      <c r="H467" s="425"/>
      <c r="I467" s="425"/>
      <c r="J467" s="426"/>
      <c r="K467" s="125"/>
      <c r="L467" s="149"/>
      <c r="M467" s="60"/>
      <c r="N467" s="105"/>
    </row>
    <row r="468" spans="2:14" ht="47.25" customHeight="1">
      <c r="B468" s="475"/>
      <c r="C468" s="275">
        <v>94573</v>
      </c>
      <c r="D468" s="161" t="s">
        <v>6</v>
      </c>
      <c r="E468" s="833" t="str">
        <f>IFERROR(VLOOKUP($C468,'SINAPI FEVEREIRO 2022'!$1:$1048576,2,0),IFERROR(VLOOKUP($C468,'5-COMP. PROPRIA'!$B$38:$I$647,4,0),""))</f>
        <v>JANELA DE ALUMÍNIO DE CORRER COM 4 FOLHAS PARA VIDROS, COM VIDROS, BATENTE, ACABAMENTO COM ACETATO OU BRILHANTE E FERRAGENS. EXCLUSIVE ALIZAR E CONTRAMARCO. FORNECIMENTO E INSTALAÇÃO. AF_12/2019</v>
      </c>
      <c r="F468" s="834"/>
      <c r="G468" s="834"/>
      <c r="H468" s="834"/>
      <c r="I468" s="834"/>
      <c r="J468" s="835"/>
      <c r="K468" s="127">
        <f>K470+K471</f>
        <v>80</v>
      </c>
      <c r="L468" s="39" t="str">
        <f>IFERROR(VLOOKUP($C468,'SINAPI FEVEREIRO 2022'!$1:$1048576,3,0),IFERROR(VLOOKUP($C468,'5-COMP. PROPRIA'!$B$1:$I$647,5,0),""))</f>
        <v>M2</v>
      </c>
      <c r="M468" s="67"/>
      <c r="N468" s="478"/>
    </row>
    <row r="469" spans="2:14" ht="17.25" customHeight="1">
      <c r="B469" s="476"/>
      <c r="C469" s="274"/>
      <c r="D469" s="161"/>
      <c r="E469" s="57" t="s">
        <v>612</v>
      </c>
      <c r="F469" s="419" t="s">
        <v>617</v>
      </c>
      <c r="G469" s="419" t="s">
        <v>532</v>
      </c>
      <c r="H469" s="419"/>
      <c r="I469" s="50"/>
      <c r="J469" s="59"/>
      <c r="K469" s="126"/>
      <c r="L469" s="149"/>
      <c r="M469" s="65"/>
      <c r="N469" s="106"/>
    </row>
    <row r="470" spans="2:14" ht="17.25" customHeight="1">
      <c r="B470" s="441" t="s">
        <v>5445</v>
      </c>
      <c r="C470" s="274"/>
      <c r="D470" s="161"/>
      <c r="E470" s="242">
        <v>2</v>
      </c>
      <c r="F470" s="99">
        <v>1</v>
      </c>
      <c r="G470" s="259">
        <v>37</v>
      </c>
      <c r="H470" s="41"/>
      <c r="I470" s="39"/>
      <c r="J470" s="77"/>
      <c r="K470" s="41">
        <f>(E470*F470)*G470</f>
        <v>74</v>
      </c>
      <c r="L470" s="149"/>
      <c r="M470" s="65"/>
      <c r="N470" s="106"/>
    </row>
    <row r="471" spans="2:14" ht="17.25" customHeight="1">
      <c r="B471" s="441" t="s">
        <v>5446</v>
      </c>
      <c r="C471" s="274"/>
      <c r="D471" s="161"/>
      <c r="E471" s="242">
        <v>1.5</v>
      </c>
      <c r="F471" s="99">
        <v>1</v>
      </c>
      <c r="G471" s="259">
        <v>4</v>
      </c>
      <c r="H471" s="41"/>
      <c r="I471" s="39"/>
      <c r="J471" s="77"/>
      <c r="K471" s="41">
        <f t="shared" ref="K471" si="16">(E471*F471)*G471</f>
        <v>6</v>
      </c>
      <c r="L471" s="149"/>
      <c r="M471" s="65"/>
      <c r="N471" s="106"/>
    </row>
    <row r="472" spans="2:14" ht="17.25" customHeight="1">
      <c r="B472" s="476"/>
      <c r="C472" s="274"/>
      <c r="D472" s="161"/>
      <c r="E472" s="424"/>
      <c r="F472" s="425"/>
      <c r="G472" s="425"/>
      <c r="H472" s="428"/>
      <c r="I472" s="39"/>
      <c r="J472" s="77"/>
      <c r="K472" s="126"/>
      <c r="L472" s="149"/>
      <c r="M472" s="65"/>
      <c r="N472" s="106"/>
    </row>
    <row r="473" spans="2:14" ht="50.25" customHeight="1">
      <c r="B473" s="476"/>
      <c r="C473" s="275">
        <v>94569</v>
      </c>
      <c r="D473" s="161" t="s">
        <v>6</v>
      </c>
      <c r="E473" s="833" t="str">
        <f>IFERROR(VLOOKUP($C473,'SINAPI FEVEREIRO 2022'!$1:$1048576,2,0),IFERROR(VLOOKUP($C473,'5-COMP. PROPRIA'!$B$38:$I$647,4,0),""))</f>
        <v>JANELA DE ALUMÍNIO TIPO MAXIM-AR, COM VIDROS, BATENTE E FERRAGENS. EXCLUSIVE ALIZAR, ACABAMENTO E CONTRAMARCO. FORNECIMENTO E INSTALAÇÃO. AF_12/2019</v>
      </c>
      <c r="F473" s="834"/>
      <c r="G473" s="834"/>
      <c r="H473" s="834"/>
      <c r="I473" s="834"/>
      <c r="J473" s="835"/>
      <c r="K473" s="127">
        <f>SUM(K475:K480)</f>
        <v>10.68</v>
      </c>
      <c r="L473" s="39" t="str">
        <f>IFERROR(VLOOKUP($C473,'SINAPI FEVEREIRO 2022'!$1:$1048576,3,0),IFERROR(VLOOKUP($C473,'5-COMP. PROPRIA'!$B$1:$I$647,5,0),""))</f>
        <v>M2</v>
      </c>
      <c r="M473" s="65"/>
      <c r="N473" s="106"/>
    </row>
    <row r="474" spans="2:14" ht="17.25" customHeight="1">
      <c r="B474" s="476"/>
      <c r="C474" s="274"/>
      <c r="D474" s="161"/>
      <c r="E474" s="57" t="s">
        <v>612</v>
      </c>
      <c r="F474" s="419" t="s">
        <v>617</v>
      </c>
      <c r="G474" s="419" t="s">
        <v>532</v>
      </c>
      <c r="H474" s="50"/>
      <c r="I474" s="50"/>
      <c r="J474" s="59"/>
      <c r="K474" s="126"/>
      <c r="L474" s="149"/>
      <c r="M474" s="65"/>
      <c r="N474" s="106"/>
    </row>
    <row r="475" spans="2:14" ht="17.25" customHeight="1">
      <c r="B475" s="441" t="s">
        <v>5448</v>
      </c>
      <c r="C475" s="274"/>
      <c r="D475" s="161"/>
      <c r="E475" s="242">
        <v>0.8</v>
      </c>
      <c r="F475" s="99">
        <v>0.6</v>
      </c>
      <c r="G475" s="259">
        <v>1</v>
      </c>
      <c r="H475" s="428"/>
      <c r="I475" s="39"/>
      <c r="J475" s="77"/>
      <c r="K475" s="41">
        <f>(E475*F475)*G475</f>
        <v>0.48</v>
      </c>
      <c r="L475" s="149"/>
      <c r="M475" s="65"/>
      <c r="N475" s="106"/>
    </row>
    <row r="476" spans="2:14" ht="17.25" customHeight="1">
      <c r="B476" s="441" t="s">
        <v>5449</v>
      </c>
      <c r="C476" s="274"/>
      <c r="D476" s="161"/>
      <c r="E476" s="242">
        <v>1</v>
      </c>
      <c r="F476" s="99">
        <v>0.6</v>
      </c>
      <c r="G476" s="259">
        <v>1</v>
      </c>
      <c r="H476" s="428"/>
      <c r="I476" s="39"/>
      <c r="J476" s="77"/>
      <c r="K476" s="41">
        <f>(E476*F476)*G476</f>
        <v>0.6</v>
      </c>
      <c r="L476" s="149"/>
      <c r="M476" s="65"/>
      <c r="N476" s="106"/>
    </row>
    <row r="477" spans="2:14" s="353" customFormat="1" ht="17.25" customHeight="1">
      <c r="B477" s="578" t="s">
        <v>5447</v>
      </c>
      <c r="C477" s="274"/>
      <c r="D477" s="161"/>
      <c r="E477" s="242">
        <v>1</v>
      </c>
      <c r="F477" s="99">
        <v>1</v>
      </c>
      <c r="G477" s="259">
        <v>2</v>
      </c>
      <c r="H477" s="428"/>
      <c r="I477" s="39"/>
      <c r="J477" s="77"/>
      <c r="K477" s="41">
        <f t="shared" ref="K477:K480" si="17">(E477*F477)*G477</f>
        <v>2</v>
      </c>
      <c r="L477" s="149"/>
      <c r="M477" s="65"/>
      <c r="N477" s="106"/>
    </row>
    <row r="478" spans="2:14" s="353" customFormat="1" ht="17.25" customHeight="1">
      <c r="B478" s="578" t="s">
        <v>5450</v>
      </c>
      <c r="C478" s="274"/>
      <c r="D478" s="161"/>
      <c r="E478" s="242">
        <v>1</v>
      </c>
      <c r="F478" s="99">
        <v>0.6</v>
      </c>
      <c r="G478" s="259">
        <v>1</v>
      </c>
      <c r="H478" s="428"/>
      <c r="I478" s="39"/>
      <c r="J478" s="77"/>
      <c r="K478" s="41">
        <f t="shared" si="17"/>
        <v>0.6</v>
      </c>
      <c r="L478" s="149"/>
      <c r="M478" s="65"/>
      <c r="N478" s="106"/>
    </row>
    <row r="479" spans="2:14" s="353" customFormat="1" ht="17.25" customHeight="1">
      <c r="B479" s="673" t="s">
        <v>7910</v>
      </c>
      <c r="C479" s="274"/>
      <c r="D479" s="161"/>
      <c r="E479" s="242">
        <v>1.5</v>
      </c>
      <c r="F479" s="99">
        <v>1</v>
      </c>
      <c r="G479" s="259">
        <v>2</v>
      </c>
      <c r="H479" s="428"/>
      <c r="I479" s="39"/>
      <c r="J479" s="77"/>
      <c r="K479" s="41">
        <f t="shared" si="17"/>
        <v>3</v>
      </c>
      <c r="L479" s="149"/>
      <c r="M479" s="65"/>
      <c r="N479" s="106"/>
    </row>
    <row r="480" spans="2:14" s="353" customFormat="1" ht="17.25" customHeight="1">
      <c r="B480" s="578" t="s">
        <v>7373</v>
      </c>
      <c r="C480" s="274"/>
      <c r="D480" s="161"/>
      <c r="E480" s="242">
        <v>2</v>
      </c>
      <c r="F480" s="99">
        <v>1</v>
      </c>
      <c r="G480" s="259">
        <v>2</v>
      </c>
      <c r="H480" s="428"/>
      <c r="I480" s="39"/>
      <c r="J480" s="77"/>
      <c r="K480" s="41">
        <f t="shared" si="17"/>
        <v>4</v>
      </c>
      <c r="L480" s="149"/>
      <c r="M480" s="65"/>
      <c r="N480" s="106"/>
    </row>
    <row r="481" spans="2:14" ht="17.25" customHeight="1">
      <c r="B481" s="441"/>
      <c r="C481" s="274"/>
      <c r="D481" s="161"/>
      <c r="E481" s="424"/>
      <c r="F481" s="425"/>
      <c r="G481" s="425"/>
      <c r="H481" s="428"/>
      <c r="I481" s="39"/>
      <c r="J481" s="77"/>
      <c r="K481" s="126"/>
      <c r="L481" s="149"/>
      <c r="M481" s="65"/>
      <c r="N481" s="106"/>
    </row>
    <row r="482" spans="2:14" s="353" customFormat="1" ht="37.5" customHeight="1">
      <c r="B482" s="441" t="s">
        <v>7374</v>
      </c>
      <c r="C482" s="275" t="str">
        <f>'5-COMP. PROPRIA'!B132</f>
        <v>CP-ESQ-01</v>
      </c>
      <c r="D482" s="161" t="s">
        <v>641</v>
      </c>
      <c r="E482" s="833" t="str">
        <f>IFERROR(VLOOKUP($C482,'SINAPI FEVEREIRO 2022'!$1:$1048576,2,0),IFERROR(VLOOKUP($C482,'5-COMP. PROPRIA'!$B$38:$I$647,4,0),""))</f>
        <v>JANELA DE ALUMÍNIO DE CORRER, 2 FOLHAS, FIXAÇÃO COM ARGAMASSA, COM VIDROS, PADRONIZADA INCLUSO PEITORIL EM GRANILITE 60CM (ABERTURA NA VERTICAL "PASSA PRATO" - FORNECIMENTO E INSTALAÇÃO</v>
      </c>
      <c r="F482" s="834"/>
      <c r="G482" s="834"/>
      <c r="H482" s="834"/>
      <c r="I482" s="834"/>
      <c r="J482" s="835"/>
      <c r="K482" s="590">
        <v>1</v>
      </c>
      <c r="L482" s="39" t="str">
        <f>IFERROR(VLOOKUP($C482,'SINAPI FEVEREIRO 2022'!$1:$1048576,3,0),IFERROR(VLOOKUP($C482,'5-COMP. PROPRIA'!$B$1:$I$647,5,0),""))</f>
        <v>UN</v>
      </c>
      <c r="M482" s="65"/>
      <c r="N482" s="106"/>
    </row>
    <row r="483" spans="2:14" s="353" customFormat="1" ht="17.25" customHeight="1">
      <c r="B483" s="476"/>
      <c r="C483" s="274"/>
      <c r="D483" s="161"/>
      <c r="E483" s="424"/>
      <c r="F483" s="425"/>
      <c r="G483" s="425"/>
      <c r="H483" s="428"/>
      <c r="I483" s="39"/>
      <c r="J483" s="77"/>
      <c r="K483" s="126"/>
      <c r="L483" s="149"/>
      <c r="M483" s="65"/>
      <c r="N483" s="106"/>
    </row>
    <row r="484" spans="2:14" s="353" customFormat="1" ht="17.25" customHeight="1">
      <c r="B484" s="578" t="s">
        <v>7375</v>
      </c>
      <c r="C484" s="275" t="str">
        <f>'5-COMP. PROPRIA'!B140</f>
        <v>CP-ESQ-05</v>
      </c>
      <c r="D484" s="161" t="s">
        <v>641</v>
      </c>
      <c r="E484" s="833" t="str">
        <f>IFERROR(VLOOKUP($C484,'SINAPI FEVEREIRO 2022'!$1:$1048576,2,0),IFERROR(VLOOKUP($C484,'5-COMP. PROPRIA'!$B$38:$I$647,4,0),""))</f>
        <v>JANELA DE VIDRO PASSA PAPEL, FORNECIMENTO E INSTALAÇÃO</v>
      </c>
      <c r="F484" s="834"/>
      <c r="G484" s="834"/>
      <c r="H484" s="834"/>
      <c r="I484" s="834"/>
      <c r="J484" s="835"/>
      <c r="K484" s="590">
        <f>K486</f>
        <v>2</v>
      </c>
      <c r="L484" s="39" t="str">
        <f>IFERROR(VLOOKUP($C484,'SINAPI FEVEREIRO 2022'!$1:$1048576,3,0),IFERROR(VLOOKUP($C484,'5-COMP. PROPRIA'!$B$1:$I$647,5,0),""))</f>
        <v>M2</v>
      </c>
      <c r="M484" s="65"/>
      <c r="N484" s="106"/>
    </row>
    <row r="485" spans="2:14" s="353" customFormat="1" ht="17.25" customHeight="1">
      <c r="B485" s="673"/>
      <c r="C485" s="275"/>
      <c r="D485" s="161"/>
      <c r="E485" s="57" t="s">
        <v>612</v>
      </c>
      <c r="F485" s="675" t="s">
        <v>617</v>
      </c>
      <c r="G485" s="675" t="s">
        <v>532</v>
      </c>
      <c r="H485" s="671"/>
      <c r="I485" s="671"/>
      <c r="J485" s="672"/>
      <c r="K485" s="590"/>
      <c r="L485" s="39"/>
      <c r="M485" s="65"/>
      <c r="N485" s="106"/>
    </row>
    <row r="486" spans="2:14" s="353" customFormat="1" ht="17.25" customHeight="1">
      <c r="B486" s="673"/>
      <c r="C486" s="275"/>
      <c r="D486" s="161"/>
      <c r="E486" s="242">
        <v>2</v>
      </c>
      <c r="F486" s="99">
        <v>1</v>
      </c>
      <c r="G486" s="259">
        <v>1</v>
      </c>
      <c r="H486" s="671"/>
      <c r="I486" s="671"/>
      <c r="J486" s="672"/>
      <c r="K486" s="41">
        <f t="shared" ref="K486" si="18">(E486*F486)*G486</f>
        <v>2</v>
      </c>
      <c r="L486" s="39"/>
      <c r="M486" s="65"/>
      <c r="N486" s="106"/>
    </row>
    <row r="487" spans="2:14" s="353" customFormat="1" ht="17.25" customHeight="1">
      <c r="B487" s="476"/>
      <c r="C487" s="274"/>
      <c r="D487" s="161"/>
      <c r="E487" s="583"/>
      <c r="F487" s="584"/>
      <c r="G487" s="584"/>
      <c r="H487" s="428"/>
      <c r="I487" s="39"/>
      <c r="J487" s="77"/>
      <c r="K487" s="126"/>
      <c r="L487" s="149"/>
      <c r="M487" s="65"/>
      <c r="N487" s="106"/>
    </row>
    <row r="488" spans="2:14" ht="27.75" customHeight="1">
      <c r="B488" s="476"/>
      <c r="C488" s="275" t="str">
        <f>'5-COMP. PROPRIA'!B118</f>
        <v>CP-ESQ-02</v>
      </c>
      <c r="D488" s="161" t="s">
        <v>641</v>
      </c>
      <c r="E488" s="833" t="str">
        <f>IFERROR(VLOOKUP($C488,'SINAPI FEVEREIRO 2022'!$1:$1048576,2,0),IFERROR(VLOOKUP($C488,'5-COMP. PROPRIA'!$B$38:$I$647,4,0),""))</f>
        <v>PORTA DE FERRO, DE ABRIR, TIPO CHAPA CORRUGADA, COM GUARNICOES E FECHADURA, FORNECIMENTO E INSTALAÇÃO (0,90 X 2,10)M</v>
      </c>
      <c r="F488" s="834"/>
      <c r="G488" s="834"/>
      <c r="H488" s="834"/>
      <c r="I488" s="834"/>
      <c r="J488" s="835"/>
      <c r="K488" s="127">
        <f>SUM(K490)</f>
        <v>4</v>
      </c>
      <c r="L488" s="39" t="str">
        <f>IFERROR(VLOOKUP($C488,'SINAPI FEVEREIRO 2022'!$1:$1048576,3,0),IFERROR(VLOOKUP($C488,'5-COMP. PROPRIA'!$B$1:$I$6585,5,0),""))</f>
        <v>UN</v>
      </c>
      <c r="M488" s="65"/>
      <c r="N488" s="106"/>
    </row>
    <row r="489" spans="2:14" ht="17.25" customHeight="1">
      <c r="B489" s="476"/>
      <c r="C489" s="274"/>
      <c r="D489" s="161"/>
      <c r="E489" s="57" t="s">
        <v>612</v>
      </c>
      <c r="F489" s="419" t="s">
        <v>617</v>
      </c>
      <c r="G489" s="419" t="s">
        <v>532</v>
      </c>
      <c r="H489" s="50"/>
      <c r="I489" s="50"/>
      <c r="J489" s="59"/>
      <c r="K489" s="126"/>
      <c r="L489" s="149"/>
      <c r="M489" s="65"/>
      <c r="N489" s="106"/>
    </row>
    <row r="490" spans="2:14" ht="17.25" customHeight="1">
      <c r="B490" s="441" t="s">
        <v>5458</v>
      </c>
      <c r="C490" s="274"/>
      <c r="D490" s="161"/>
      <c r="E490" s="242">
        <v>0.9</v>
      </c>
      <c r="F490" s="99">
        <v>2.1</v>
      </c>
      <c r="G490" s="259">
        <v>4</v>
      </c>
      <c r="H490" s="425"/>
      <c r="I490" s="425"/>
      <c r="J490" s="426"/>
      <c r="K490" s="126">
        <f>G490</f>
        <v>4</v>
      </c>
      <c r="L490" s="149"/>
      <c r="M490" s="65"/>
      <c r="N490" s="106"/>
    </row>
    <row r="491" spans="2:14" ht="17.25" customHeight="1">
      <c r="B491" s="476"/>
      <c r="C491" s="274"/>
      <c r="D491" s="161"/>
      <c r="E491" s="424"/>
      <c r="F491" s="425"/>
      <c r="G491" s="425"/>
      <c r="H491" s="428"/>
      <c r="I491" s="39"/>
      <c r="J491" s="77"/>
      <c r="K491" s="126"/>
      <c r="L491" s="149"/>
      <c r="M491" s="65"/>
      <c r="N491" s="106"/>
    </row>
    <row r="492" spans="2:14" ht="31.5" customHeight="1">
      <c r="B492" s="476"/>
      <c r="C492" s="275" t="str">
        <f>'5-COMP. PROPRIA'!B125</f>
        <v>CP-ESQ-03</v>
      </c>
      <c r="D492" s="161" t="s">
        <v>641</v>
      </c>
      <c r="E492" s="833" t="str">
        <f>IFERROR(VLOOKUP($C492,'SINAPI FEVEREIRO 2022'!$1:$1048576,2,0),IFERROR(VLOOKUP($C492,'5-COMP. PROPRIA'!$B$38:$I$647,4,0),""))</f>
        <v>PORTA DE FERRO, DE ABRIR, TIPO CHAPA CORRUGADA, COM GUARNICOES E FECHADURA, FORNECIMENTO E INSTALAÇÃO (0,80 X 2,10)M</v>
      </c>
      <c r="F492" s="834"/>
      <c r="G492" s="834"/>
      <c r="H492" s="834"/>
      <c r="I492" s="834"/>
      <c r="J492" s="835"/>
      <c r="K492" s="127">
        <f>SUM(K494)</f>
        <v>16</v>
      </c>
      <c r="L492" s="39" t="str">
        <f>IFERROR(VLOOKUP($C492,'SINAPI FEVEREIRO 2022'!$1:$1048576,3,0),IFERROR(VLOOKUP($C492,'5-COMP. PROPRIA'!$B$1:$I$647,5,0),""))</f>
        <v>UN</v>
      </c>
      <c r="M492" s="65"/>
      <c r="N492" s="106"/>
    </row>
    <row r="493" spans="2:14" ht="17.25" customHeight="1">
      <c r="B493" s="476"/>
      <c r="C493" s="274"/>
      <c r="D493" s="161"/>
      <c r="E493" s="57" t="s">
        <v>612</v>
      </c>
      <c r="F493" s="419" t="s">
        <v>617</v>
      </c>
      <c r="G493" s="419" t="s">
        <v>532</v>
      </c>
      <c r="H493" s="50"/>
      <c r="I493" s="50"/>
      <c r="J493" s="59"/>
      <c r="K493" s="126"/>
      <c r="L493" s="149"/>
      <c r="M493" s="65"/>
      <c r="N493" s="106"/>
    </row>
    <row r="494" spans="2:14" ht="17.25" customHeight="1">
      <c r="B494" s="441" t="s">
        <v>5457</v>
      </c>
      <c r="C494" s="274"/>
      <c r="D494" s="161"/>
      <c r="E494" s="242">
        <v>0.8</v>
      </c>
      <c r="F494" s="99">
        <v>2.1</v>
      </c>
      <c r="G494" s="259">
        <v>16</v>
      </c>
      <c r="H494" s="425"/>
      <c r="I494" s="425"/>
      <c r="J494" s="426"/>
      <c r="K494" s="126">
        <f>G494</f>
        <v>16</v>
      </c>
      <c r="L494" s="149"/>
      <c r="M494" s="65"/>
      <c r="N494" s="106"/>
    </row>
    <row r="495" spans="2:14" s="353" customFormat="1" ht="17.25" customHeight="1">
      <c r="B495" s="578"/>
      <c r="C495" s="274"/>
      <c r="D495" s="161"/>
      <c r="E495" s="81"/>
      <c r="F495" s="41"/>
      <c r="G495" s="431"/>
      <c r="H495" s="584"/>
      <c r="I495" s="584"/>
      <c r="J495" s="585"/>
      <c r="K495" s="126"/>
      <c r="L495" s="149"/>
      <c r="M495" s="65"/>
      <c r="N495" s="106"/>
    </row>
    <row r="496" spans="2:14" s="353" customFormat="1" ht="42.75" customHeight="1">
      <c r="B496" s="476"/>
      <c r="C496" s="275" t="str">
        <f>'5-COMP. PROPRIA'!B154</f>
        <v>CP-ESQ-06</v>
      </c>
      <c r="D496" s="161" t="s">
        <v>641</v>
      </c>
      <c r="E496" s="833" t="str">
        <f>IFERROR(VLOOKUP($C496,'SINAPI FEVEREIRO 2022'!$1:$1048576,2,0),IFERROR(VLOOKUP($C496,'5-COMP. PROPRIA'!$B$38:$I$647,4,0),""))</f>
        <v>PORTA DE FERRO, DE ABRIR, TIPO CHAPA CORRUGADA, COM GUARNICOES E FECHADURA, FORNECIMENTO E INSTALAÇÃO (0,60 X 2,10)M</v>
      </c>
      <c r="F496" s="834"/>
      <c r="G496" s="834"/>
      <c r="H496" s="834"/>
      <c r="I496" s="834"/>
      <c r="J496" s="835"/>
      <c r="K496" s="127">
        <v>1</v>
      </c>
      <c r="L496" s="39" t="str">
        <f>IFERROR(VLOOKUP($C496,'SINAPI FEVEREIRO 2022'!$1:$1048576,3,0),IFERROR(VLOOKUP($C496,'5-COMP. PROPRIA'!$B$1:$I$647,5,0),""))</f>
        <v>UN</v>
      </c>
      <c r="M496" s="65"/>
      <c r="N496" s="106"/>
    </row>
    <row r="497" spans="2:16" s="353" customFormat="1" ht="17.25" customHeight="1">
      <c r="B497" s="476"/>
      <c r="C497" s="274"/>
      <c r="D497" s="161"/>
      <c r="E497" s="57" t="s">
        <v>612</v>
      </c>
      <c r="F497" s="580" t="s">
        <v>617</v>
      </c>
      <c r="G497" s="580" t="s">
        <v>532</v>
      </c>
      <c r="H497" s="50"/>
      <c r="I497" s="50"/>
      <c r="J497" s="59"/>
      <c r="K497" s="126"/>
      <c r="L497" s="149"/>
      <c r="M497" s="65"/>
      <c r="N497" s="106"/>
    </row>
    <row r="498" spans="2:16" s="353" customFormat="1" ht="17.25" customHeight="1">
      <c r="B498" s="578" t="s">
        <v>5456</v>
      </c>
      <c r="C498" s="274"/>
      <c r="D498" s="161"/>
      <c r="E498" s="242">
        <v>0.6</v>
      </c>
      <c r="F498" s="99">
        <v>2.1</v>
      </c>
      <c r="G498" s="259">
        <v>1</v>
      </c>
      <c r="H498" s="584"/>
      <c r="I498" s="584"/>
      <c r="J498" s="585"/>
      <c r="K498" s="126">
        <f>G498</f>
        <v>1</v>
      </c>
      <c r="L498" s="149"/>
      <c r="M498" s="65"/>
      <c r="N498" s="106"/>
    </row>
    <row r="499" spans="2:16" ht="17.25" customHeight="1">
      <c r="B499" s="441"/>
      <c r="C499" s="274"/>
      <c r="D499" s="161"/>
      <c r="E499" s="81"/>
      <c r="F499" s="41"/>
      <c r="G499" s="431"/>
      <c r="H499" s="425"/>
      <c r="I499" s="425"/>
      <c r="J499" s="426"/>
      <c r="K499" s="126"/>
      <c r="L499" s="149"/>
      <c r="M499" s="65"/>
      <c r="N499" s="106"/>
    </row>
    <row r="500" spans="2:16" ht="26.25" customHeight="1">
      <c r="B500" s="441"/>
      <c r="C500" s="275">
        <v>91341</v>
      </c>
      <c r="D500" s="161" t="s">
        <v>6</v>
      </c>
      <c r="E500" s="833" t="str">
        <f>IFERROR(VLOOKUP($C500,'SINAPI FEVEREIRO 2022'!$1:$1048576,2,0),IFERROR(VLOOKUP($C500,'5-COMP. PROPRIA'!$B$38:$I$647,4,0),""))</f>
        <v>PORTA EM ALUMÍNIO DE ABRIR TIPO VENEZIANA COM GUARNIÇÃO, FIXAÇÃO COM PARAFUSOS - FORNECIMENTO E INSTALAÇÃO. AF_12/2019</v>
      </c>
      <c r="F500" s="834"/>
      <c r="G500" s="834"/>
      <c r="H500" s="834"/>
      <c r="I500" s="834"/>
      <c r="J500" s="835"/>
      <c r="K500" s="127">
        <f>SUM(K502:K502)</f>
        <v>8.16</v>
      </c>
      <c r="L500" s="39" t="str">
        <f>IFERROR(VLOOKUP($C500,'SINAPI FEVEREIRO 2022'!$1:$1048576,3,0),IFERROR(VLOOKUP($C500,'5-COMP. PROPRIA'!$B$1:$I$647,5,0),""))</f>
        <v>M2</v>
      </c>
      <c r="M500" s="65"/>
      <c r="N500" s="106"/>
    </row>
    <row r="501" spans="2:16" ht="15">
      <c r="B501" s="476"/>
      <c r="C501" s="274"/>
      <c r="D501" s="161"/>
      <c r="E501" s="57" t="s">
        <v>612</v>
      </c>
      <c r="F501" s="419" t="s">
        <v>617</v>
      </c>
      <c r="G501" s="419" t="s">
        <v>532</v>
      </c>
      <c r="H501" s="50"/>
      <c r="I501" s="50"/>
      <c r="J501" s="59"/>
      <c r="K501" s="126"/>
      <c r="L501" s="149"/>
      <c r="M501" s="65"/>
      <c r="N501" s="106"/>
    </row>
    <row r="502" spans="2:16" ht="17.25" customHeight="1">
      <c r="B502" s="495" t="s">
        <v>7379</v>
      </c>
      <c r="C502" s="372"/>
      <c r="D502" s="161"/>
      <c r="E502" s="242">
        <v>0.6</v>
      </c>
      <c r="F502" s="99">
        <v>1.7</v>
      </c>
      <c r="G502" s="259">
        <v>8</v>
      </c>
      <c r="H502" s="425"/>
      <c r="I502" s="425"/>
      <c r="J502" s="426"/>
      <c r="K502" s="41">
        <f>(E502*F502)*G502</f>
        <v>8.16</v>
      </c>
      <c r="L502" s="149"/>
      <c r="M502" s="65"/>
      <c r="N502" s="106"/>
    </row>
    <row r="503" spans="2:16" ht="17.25" customHeight="1">
      <c r="B503" s="434"/>
      <c r="C503" s="274"/>
      <c r="D503" s="161"/>
      <c r="E503" s="72"/>
      <c r="F503" s="427"/>
      <c r="G503" s="427"/>
      <c r="H503" s="427"/>
      <c r="I503" s="427"/>
      <c r="J503" s="429"/>
      <c r="K503" s="49"/>
      <c r="L503" s="149"/>
      <c r="M503" s="67"/>
      <c r="N503" s="478"/>
    </row>
    <row r="504" spans="2:16" s="353" customFormat="1" ht="39" customHeight="1">
      <c r="B504" s="434" t="s">
        <v>6945</v>
      </c>
      <c r="C504" s="275" t="str">
        <f>'5-COMP. PROPRIA'!B147</f>
        <v>CP-ESQ-04</v>
      </c>
      <c r="D504" s="161" t="s">
        <v>641</v>
      </c>
      <c r="E504" s="833" t="str">
        <f>IFERROR(VLOOKUP($C504,'SINAPI FEVEREIRO 2022'!$1:$1048576,2,0),IFERROR(VLOOKUP($C504,'5-COMP. PROPRIA'!$B$38:$I$647,4,0),""))</f>
        <v>PORTAO DE ABRIR EM CHAPA TIPO PAINEL LAMBRIL QUADRADO MEIA ALTURA, COM GRADE SUPERIOR, COMPLETA COM REQUADRO, ACABAMENTO NATURAL, COM FEICHOS E TRINCOS FORNECIMENTO E INSTALAÇÃO.</v>
      </c>
      <c r="F504" s="834"/>
      <c r="G504" s="834"/>
      <c r="H504" s="834"/>
      <c r="I504" s="834"/>
      <c r="J504" s="835"/>
      <c r="K504" s="127">
        <f>SUM(K506:K508)</f>
        <v>11.13</v>
      </c>
      <c r="L504" s="39" t="str">
        <f>IFERROR(VLOOKUP($C504,'SINAPI FEVEREIRO 2022'!$1:$1048576,3,0),IFERROR(VLOOKUP($C504,'5-COMP. PROPRIA'!$B$1:$I$647,5,0),""))</f>
        <v xml:space="preserve">M2    </v>
      </c>
      <c r="M504" s="67"/>
      <c r="N504" s="478"/>
    </row>
    <row r="505" spans="2:16" s="353" customFormat="1" ht="17.25" customHeight="1">
      <c r="B505" s="434"/>
      <c r="C505" s="274"/>
      <c r="D505" s="161"/>
      <c r="E505" s="57" t="s">
        <v>612</v>
      </c>
      <c r="F505" s="419" t="s">
        <v>617</v>
      </c>
      <c r="G505" s="419" t="s">
        <v>532</v>
      </c>
      <c r="H505" s="427"/>
      <c r="I505" s="427"/>
      <c r="J505" s="429"/>
      <c r="K505" s="49"/>
      <c r="L505" s="149"/>
      <c r="M505" s="67"/>
      <c r="N505" s="478"/>
    </row>
    <row r="506" spans="2:16" s="353" customFormat="1" ht="17.25" customHeight="1">
      <c r="B506" s="434" t="s">
        <v>7382</v>
      </c>
      <c r="C506" s="274"/>
      <c r="D506" s="161"/>
      <c r="E506" s="242">
        <v>2.2999999999999998</v>
      </c>
      <c r="F506" s="99">
        <v>2.1</v>
      </c>
      <c r="G506" s="259">
        <v>1</v>
      </c>
      <c r="H506" s="427"/>
      <c r="I506" s="427"/>
      <c r="J506" s="429"/>
      <c r="K506" s="41">
        <f>(E506*F506)*G506</f>
        <v>4.83</v>
      </c>
      <c r="L506" s="149"/>
      <c r="M506" s="67"/>
      <c r="N506" s="478"/>
    </row>
    <row r="507" spans="2:16" s="353" customFormat="1" ht="17.25" customHeight="1">
      <c r="B507" s="434" t="s">
        <v>7383</v>
      </c>
      <c r="C507" s="274"/>
      <c r="D507" s="161"/>
      <c r="E507" s="242">
        <v>1.5</v>
      </c>
      <c r="F507" s="99">
        <v>2.1</v>
      </c>
      <c r="G507" s="259">
        <v>1</v>
      </c>
      <c r="H507" s="427"/>
      <c r="I507" s="427"/>
      <c r="J507" s="429"/>
      <c r="K507" s="41">
        <f>(E507*F507)*G507</f>
        <v>3.1500000000000004</v>
      </c>
      <c r="L507" s="149"/>
      <c r="M507" s="67"/>
      <c r="N507" s="478"/>
    </row>
    <row r="508" spans="2:16" s="353" customFormat="1" ht="17.25" customHeight="1">
      <c r="B508" s="579" t="s">
        <v>7384</v>
      </c>
      <c r="C508" s="274"/>
      <c r="D508" s="161"/>
      <c r="E508" s="242">
        <v>1.5</v>
      </c>
      <c r="F508" s="99">
        <v>2.1</v>
      </c>
      <c r="G508" s="259">
        <v>1</v>
      </c>
      <c r="H508" s="581"/>
      <c r="I508" s="581"/>
      <c r="J508" s="582"/>
      <c r="K508" s="41">
        <f>(E508*F508)*G508</f>
        <v>3.1500000000000004</v>
      </c>
      <c r="L508" s="149"/>
      <c r="M508" s="67"/>
      <c r="N508" s="478"/>
    </row>
    <row r="509" spans="2:16" s="353" customFormat="1" ht="17.25" customHeight="1" thickBot="1">
      <c r="B509" s="434"/>
      <c r="C509" s="274"/>
      <c r="D509" s="161"/>
      <c r="E509" s="72"/>
      <c r="F509" s="427"/>
      <c r="G509" s="427"/>
      <c r="H509" s="427"/>
      <c r="I509" s="427"/>
      <c r="J509" s="429"/>
      <c r="K509" s="49"/>
      <c r="L509" s="149"/>
      <c r="M509" s="67"/>
      <c r="N509" s="478"/>
    </row>
    <row r="510" spans="2:16" ht="17.25" customHeight="1" thickBot="1">
      <c r="B510" s="470"/>
      <c r="C510" s="274"/>
      <c r="D510" s="239"/>
      <c r="E510" s="836" t="s">
        <v>7337</v>
      </c>
      <c r="F510" s="837"/>
      <c r="G510" s="837"/>
      <c r="H510" s="837"/>
      <c r="I510" s="837"/>
      <c r="J510" s="838"/>
      <c r="K510" s="125"/>
      <c r="L510" s="149"/>
      <c r="M510" s="61"/>
      <c r="N510" s="70"/>
    </row>
    <row r="511" spans="2:16" s="353" customFormat="1" ht="17.25" customHeight="1">
      <c r="B511" s="470"/>
      <c r="C511" s="274"/>
      <c r="D511" s="239"/>
      <c r="E511" s="506"/>
      <c r="F511" s="507"/>
      <c r="G511" s="507"/>
      <c r="H511" s="507"/>
      <c r="I511" s="507"/>
      <c r="J511" s="508"/>
      <c r="K511" s="125"/>
      <c r="L511" s="149"/>
      <c r="M511" s="61"/>
      <c r="N511" s="70"/>
    </row>
    <row r="512" spans="2:16" s="353" customFormat="1" ht="43.5" customHeight="1">
      <c r="B512" s="494" t="s">
        <v>7271</v>
      </c>
      <c r="C512" s="274">
        <v>103328</v>
      </c>
      <c r="D512" s="161" t="s">
        <v>6</v>
      </c>
      <c r="E512" s="833" t="str">
        <f>IFERROR(VLOOKUP($C512,'SINAPI FEVEREIRO 2022'!$1:$1048576,2,0),IFERROR(VLOOKUP($C512,'5-COMP. PROPRIA'!$B$38:$I$647,4,0),""))</f>
        <v>ALVENARIA DE VEDAÇÃO DE BLOCOS CERÂMICOS FURADOS NA HORIZONTAL DE 9X19X19 CM (ESPESSURA 9 CM) E ARGAMASSA DE ASSENTAMENTO COM PREPARO EM BETONEIRA. AF_12/2021</v>
      </c>
      <c r="F512" s="834"/>
      <c r="G512" s="834"/>
      <c r="H512" s="834"/>
      <c r="I512" s="834"/>
      <c r="J512" s="835"/>
      <c r="K512" s="127">
        <v>10</v>
      </c>
      <c r="L512" s="39" t="str">
        <f>IFERROR(VLOOKUP($C512,'SINAPI FEVEREIRO 2022'!$1:$1048576,3,0),IFERROR(VLOOKUP($C512,'5-COMP. PROPRIA'!$B$1:$I$647,5,0),""))</f>
        <v>M2</v>
      </c>
      <c r="M512" s="61"/>
      <c r="N512" s="498"/>
      <c r="P512" s="353" t="s">
        <v>6171</v>
      </c>
    </row>
    <row r="513" spans="2:16" s="353" customFormat="1" ht="17.25" customHeight="1">
      <c r="B513" s="470"/>
      <c r="C513" s="274"/>
      <c r="D513" s="239"/>
      <c r="E513" s="83"/>
      <c r="F513" s="46"/>
      <c r="G513" s="46"/>
      <c r="H513" s="46"/>
      <c r="I513" s="46"/>
      <c r="J513" s="78"/>
      <c r="K513" s="125"/>
      <c r="L513" s="149"/>
      <c r="M513" s="61"/>
      <c r="N513" s="70"/>
    </row>
    <row r="514" spans="2:16" s="353" customFormat="1" ht="42.75" customHeight="1">
      <c r="B514" s="494">
        <v>87503</v>
      </c>
      <c r="C514" s="274">
        <v>92580</v>
      </c>
      <c r="D514" s="161" t="s">
        <v>6</v>
      </c>
      <c r="E514" s="833" t="str">
        <f>IFERROR(VLOOKUP($C514,'SINAPI FEVEREIRO 2022'!$1:$1048576,2,0),IFERROR(VLOOKUP($C514,'5-COMP. PROPRIA'!$B$38:$I$647,4,0),""))</f>
        <v>TRAMA DE AÇO COMPOSTA POR TERÇAS PARA TELHADOS DE ATÉ 2 ÁGUAS PARA TELHA ONDULADA DE FIBROCIMENTO, METÁLICA, PLÁSTICA OU TERMOACÚSTICA, INCLUSO TRANSPORTE VERTICAL. AF_07/2019</v>
      </c>
      <c r="F514" s="834"/>
      <c r="G514" s="834"/>
      <c r="H514" s="834"/>
      <c r="I514" s="834"/>
      <c r="J514" s="835"/>
      <c r="K514" s="127">
        <f>K516</f>
        <v>1085.6411999999998</v>
      </c>
      <c r="L514" s="39" t="str">
        <f>IFERROR(VLOOKUP($C514,'SINAPI FEVEREIRO 2022'!$1:$1048576,3,0),IFERROR(VLOOKUP($C514,'5-COMP. PROPRIA'!$B$1:$I$647,5,0),""))</f>
        <v>M2</v>
      </c>
      <c r="M514" s="61"/>
      <c r="N514" s="498"/>
      <c r="P514" s="90"/>
    </row>
    <row r="515" spans="2:16" s="353" customFormat="1" ht="15">
      <c r="B515" s="494"/>
      <c r="C515" s="274"/>
      <c r="D515" s="161"/>
      <c r="E515" s="57" t="s">
        <v>7272</v>
      </c>
      <c r="F515" s="419" t="s">
        <v>5523</v>
      </c>
      <c r="G515" s="492"/>
      <c r="H515" s="492"/>
      <c r="I515" s="492"/>
      <c r="J515" s="493"/>
      <c r="K515" s="127"/>
      <c r="L515" s="39"/>
      <c r="M515" s="61"/>
      <c r="N515" s="498"/>
      <c r="P515" s="90"/>
    </row>
    <row r="516" spans="2:16" s="353" customFormat="1" ht="14.25">
      <c r="B516" s="494"/>
      <c r="C516" s="274"/>
      <c r="D516" s="161"/>
      <c r="E516" s="242">
        <v>1080.24</v>
      </c>
      <c r="F516" s="512">
        <v>1.0049999999999999</v>
      </c>
      <c r="G516" s="492"/>
      <c r="H516" s="492"/>
      <c r="I516" s="492"/>
      <c r="J516" s="493"/>
      <c r="K516" s="49">
        <f>E516*F516</f>
        <v>1085.6411999999998</v>
      </c>
      <c r="L516" s="39"/>
      <c r="M516" s="61"/>
      <c r="N516" s="498"/>
      <c r="P516" s="90"/>
    </row>
    <row r="517" spans="2:16" s="353" customFormat="1" ht="15">
      <c r="B517" s="494"/>
      <c r="C517" s="274"/>
      <c r="D517" s="161"/>
      <c r="E517" s="491"/>
      <c r="F517" s="492"/>
      <c r="G517" s="492"/>
      <c r="H517" s="492"/>
      <c r="I517" s="492"/>
      <c r="J517" s="493"/>
      <c r="K517" s="127"/>
      <c r="L517" s="39"/>
      <c r="M517" s="61"/>
      <c r="N517" s="498"/>
      <c r="P517" s="90"/>
    </row>
    <row r="518" spans="2:16" s="353" customFormat="1" ht="32.25" customHeight="1">
      <c r="B518" s="494"/>
      <c r="C518" s="274">
        <v>92602</v>
      </c>
      <c r="D518" s="161" t="s">
        <v>6</v>
      </c>
      <c r="E518" s="833" t="str">
        <f>IFERROR(VLOOKUP($C518,'SINAPI FEVEREIRO 2022'!$1:$1048576,2,0),IFERROR(VLOOKUP($C518,'5-COMP. PROPRIA'!$B$38:$I$647,4,0),""))</f>
        <v>FABRICAÇÃO E INSTALAÇÃO DE TESOURA INTEIRA EM AÇO, VÃO DE 3 M, PARA TELHA ONDULADA DE FIBROCIMENTO, METÁLICA, PLÁSTICA OU TERMOACÚSTICA, INCLUSO IÇAMENTO.. AF_12/2015</v>
      </c>
      <c r="F518" s="834"/>
      <c r="G518" s="834"/>
      <c r="H518" s="834"/>
      <c r="I518" s="834"/>
      <c r="J518" s="835"/>
      <c r="K518" s="127">
        <v>4</v>
      </c>
      <c r="L518" s="39" t="str">
        <f>IFERROR(VLOOKUP($C518,'SINAPI FEVEREIRO 2022'!$1:$1048576,3,0),IFERROR(VLOOKUP($C518,'5-COMP. PROPRIA'!$B$1:$I$647,5,0),""))</f>
        <v>UN</v>
      </c>
      <c r="M518" s="61"/>
      <c r="N518" s="498"/>
      <c r="P518" s="724"/>
    </row>
    <row r="519" spans="2:16" s="353" customFormat="1" ht="32.25" customHeight="1">
      <c r="B519" s="674"/>
      <c r="C519" s="274"/>
      <c r="D519" s="161"/>
      <c r="E519" s="670"/>
      <c r="F519" s="671"/>
      <c r="G519" s="671"/>
      <c r="H519" s="671"/>
      <c r="I519" s="671"/>
      <c r="J519" s="672"/>
      <c r="K519" s="127"/>
      <c r="L519" s="39"/>
      <c r="M519" s="61"/>
      <c r="N519" s="652"/>
      <c r="P519" s="724"/>
    </row>
    <row r="520" spans="2:16" s="353" customFormat="1" ht="32.25" customHeight="1">
      <c r="B520" s="674"/>
      <c r="C520" s="274">
        <v>92604</v>
      </c>
      <c r="D520" s="161" t="s">
        <v>6</v>
      </c>
      <c r="E520" s="833" t="str">
        <f>IFERROR(VLOOKUP($C520,'SINAPI FEVEREIRO 2022'!$1:$1048576,2,0),IFERROR(VLOOKUP($C520,'5-COMP. PROPRIA'!$B$38:$I$647,4,0),""))</f>
        <v>FABRICAÇÃO E INSTALAÇÃO DE TESOURA INTEIRA EM AÇO, VÃO DE 4 M, PARA TELHA ONDULADA DE FIBROCIMENTO, METÁLICA, PLÁSTICA OU TERMOACÚSTICA, INCLUSO IÇAMENTO. AF_12/2015</v>
      </c>
      <c r="F520" s="834"/>
      <c r="G520" s="834"/>
      <c r="H520" s="834"/>
      <c r="I520" s="834"/>
      <c r="J520" s="835"/>
      <c r="K520" s="127">
        <v>1</v>
      </c>
      <c r="L520" s="39" t="str">
        <f>IFERROR(VLOOKUP($C520,'SINAPI FEVEREIRO 2022'!$1:$1048576,3,0),IFERROR(VLOOKUP($C520,'5-COMP. PROPRIA'!$B$1:$I$647,5,0),""))</f>
        <v>UN</v>
      </c>
      <c r="M520" s="61"/>
      <c r="N520" s="652"/>
      <c r="P520" s="724"/>
    </row>
    <row r="521" spans="2:16" s="353" customFormat="1" ht="18" customHeight="1">
      <c r="B521" s="494"/>
      <c r="C521" s="274"/>
      <c r="D521" s="161"/>
      <c r="E521" s="491"/>
      <c r="F521" s="492"/>
      <c r="G521" s="492"/>
      <c r="H521" s="492"/>
      <c r="I521" s="492"/>
      <c r="J521" s="493"/>
      <c r="K521" s="127"/>
      <c r="L521" s="39"/>
      <c r="M521" s="61"/>
      <c r="N521" s="498"/>
      <c r="P521" s="90"/>
    </row>
    <row r="522" spans="2:16" s="353" customFormat="1" ht="42" customHeight="1">
      <c r="B522" s="494"/>
      <c r="C522" s="274">
        <v>92614</v>
      </c>
      <c r="D522" s="161" t="s">
        <v>6</v>
      </c>
      <c r="E522" s="833" t="str">
        <f>IFERROR(VLOOKUP($C522,'SINAPI FEVEREIRO 2022'!$1:$1048576,2,0),IFERROR(VLOOKUP($C522,'5-COMP. PROPRIA'!$B$38:$I$647,4,0),""))</f>
        <v>FABRICAÇÃO E INSTALAÇÃO DE TESOURA INTEIRA EM AÇO, VÃO DE 9 M, PARA TELHA ONDULADA DE FIBROCIMENTO, METÁLICA, PLÁSTICA OU TERMOACÚSTICA, INCLUSO IÇAMENTO. AF_12/2015</v>
      </c>
      <c r="F522" s="834"/>
      <c r="G522" s="834"/>
      <c r="H522" s="834"/>
      <c r="I522" s="834"/>
      <c r="J522" s="835"/>
      <c r="K522" s="127">
        <v>6</v>
      </c>
      <c r="L522" s="39" t="str">
        <f>IFERROR(VLOOKUP($C522,'SINAPI FEVEREIRO 2022'!$1:$1048576,3,0),IFERROR(VLOOKUP($C522,'5-COMP. PROPRIA'!$B$1:$I$647,5,0),""))</f>
        <v>UN</v>
      </c>
      <c r="M522" s="61"/>
      <c r="N522" s="498"/>
      <c r="P522" s="724"/>
    </row>
    <row r="523" spans="2:16" s="353" customFormat="1" ht="15">
      <c r="B523" s="494"/>
      <c r="C523" s="274"/>
      <c r="D523" s="161"/>
      <c r="E523" s="491"/>
      <c r="F523" s="492"/>
      <c r="G523" s="492"/>
      <c r="H523" s="492"/>
      <c r="I523" s="492"/>
      <c r="J523" s="493"/>
      <c r="K523" s="127"/>
      <c r="L523" s="39"/>
      <c r="M523" s="61"/>
      <c r="N523" s="498"/>
      <c r="P523" s="90"/>
    </row>
    <row r="524" spans="2:16" s="353" customFormat="1" ht="28.5" customHeight="1">
      <c r="B524" s="494"/>
      <c r="C524" s="274">
        <v>92616</v>
      </c>
      <c r="D524" s="161" t="s">
        <v>6</v>
      </c>
      <c r="E524" s="833" t="str">
        <f>IFERROR(VLOOKUP($C524,'SINAPI FEVEREIRO 2022'!$1:$1048576,2,0),IFERROR(VLOOKUP($C524,'5-COMP. PROPRIA'!$B$38:$I$647,4,0),""))</f>
        <v>FABRICAÇÃO E INSTALAÇÃO DE TESOURA INTEIRA EM AÇO, VÃO DE 10 M, PARA TELHA ONDULADA DE FIBROCIMENTO, METÁLICA, PLÁSTICA OU TERMOACÚSTICA, INCLUSO IÇAMENTO. AF_12/2015</v>
      </c>
      <c r="F524" s="834"/>
      <c r="G524" s="834"/>
      <c r="H524" s="834"/>
      <c r="I524" s="834"/>
      <c r="J524" s="835"/>
      <c r="K524" s="127">
        <v>21</v>
      </c>
      <c r="L524" s="39" t="str">
        <f>IFERROR(VLOOKUP($C524,'SINAPI FEVEREIRO 2022'!$1:$1048576,3,0),IFERROR(VLOOKUP($C524,'5-COMP. PROPRIA'!$B$1:$I$647,5,0),""))</f>
        <v>UN</v>
      </c>
      <c r="M524" s="61"/>
      <c r="N524" s="498"/>
      <c r="P524" s="724"/>
    </row>
    <row r="525" spans="2:16" s="353" customFormat="1" ht="15">
      <c r="B525" s="494"/>
      <c r="C525" s="274"/>
      <c r="D525" s="161"/>
      <c r="E525" s="491"/>
      <c r="F525" s="492"/>
      <c r="G525" s="492"/>
      <c r="H525" s="492"/>
      <c r="I525" s="492"/>
      <c r="J525" s="493"/>
      <c r="K525" s="127"/>
      <c r="L525" s="39"/>
      <c r="M525" s="61"/>
      <c r="N525" s="498"/>
      <c r="P525" s="90"/>
    </row>
    <row r="526" spans="2:16" s="353" customFormat="1" ht="45.75" customHeight="1">
      <c r="B526" s="494"/>
      <c r="C526" s="274">
        <v>92620</v>
      </c>
      <c r="D526" s="161" t="s">
        <v>6</v>
      </c>
      <c r="E526" s="833" t="str">
        <f>IFERROR(VLOOKUP($C526,'SINAPI FEVEREIRO 2022'!$1:$1048576,2,0),IFERROR(VLOOKUP($C526,'5-COMP. PROPRIA'!$B$38:$I$647,4,0),""))</f>
        <v>FABRICAÇÃO E INSTALAÇÃO DE TESOURA INTEIRA EM AÇO, VÃO DE 12 M, PARA TELHA ONDULADA DE FIBROCIMENTO, METÁLICA, PLÁSTICA OU TERMOACÚSTICA, INCLUSO IÇAMENTO. AF_12/2015</v>
      </c>
      <c r="F526" s="834"/>
      <c r="G526" s="834"/>
      <c r="H526" s="834"/>
      <c r="I526" s="834"/>
      <c r="J526" s="835"/>
      <c r="K526" s="127">
        <v>3</v>
      </c>
      <c r="L526" s="39" t="str">
        <f>IFERROR(VLOOKUP($C526,'SINAPI FEVEREIRO 2022'!$1:$1048576,3,0),IFERROR(VLOOKUP($C526,'5-COMP. PROPRIA'!$B$1:$I$647,5,0),""))</f>
        <v>UN</v>
      </c>
      <c r="M526" s="61"/>
      <c r="N526" s="498"/>
      <c r="P526" s="724"/>
    </row>
    <row r="527" spans="2:16" s="353" customFormat="1" ht="15">
      <c r="B527" s="744"/>
      <c r="C527" s="274"/>
      <c r="D527" s="161"/>
      <c r="E527" s="740"/>
      <c r="F527" s="741"/>
      <c r="G527" s="741"/>
      <c r="H527" s="741"/>
      <c r="I527" s="741"/>
      <c r="J527" s="742"/>
      <c r="K527" s="127"/>
      <c r="L527" s="39"/>
      <c r="M527" s="61"/>
      <c r="N527" s="652"/>
      <c r="P527" s="724"/>
    </row>
    <row r="528" spans="2:16" s="353" customFormat="1" ht="45.75" customHeight="1">
      <c r="B528" s="494"/>
      <c r="C528" s="274">
        <v>100719</v>
      </c>
      <c r="D528" s="161" t="s">
        <v>6</v>
      </c>
      <c r="E528" s="833" t="str">
        <f>IFERROR(VLOOKUP($C528,'SINAPI FEVEREIRO 2022'!$1:$1048576,2,0),IFERROR(VLOOKUP($C528,'5-COMP. PROPRIA'!$B$38:$I$647,4,0),""))</f>
        <v>PINTURA COM TINTA ALQUÍDICA DE FUNDO (TIPO ZARCÃO) PULVERIZADA SOBRE PERFIL METÁLICO EXECUTADO EM FÁBRICA (POR DEMÃO). AF_01/2020_P</v>
      </c>
      <c r="F528" s="834"/>
      <c r="G528" s="834"/>
      <c r="H528" s="834"/>
      <c r="I528" s="834"/>
      <c r="J528" s="835"/>
      <c r="K528" s="127">
        <f>K530+K531+K532</f>
        <v>1072.0577419528618</v>
      </c>
      <c r="L528" s="39" t="str">
        <f>IFERROR(VLOOKUP($C528,'SINAPI FEVEREIRO 2022'!$1:$1048576,3,0),IFERROR(VLOOKUP($C528,'5-COMP. PROPRIA'!$B$1:$I$647,5,0),""))</f>
        <v>M2</v>
      </c>
      <c r="M528" s="61"/>
      <c r="N528" s="498"/>
      <c r="P528" s="724"/>
    </row>
    <row r="529" spans="2:16" s="353" customFormat="1" ht="45.75" customHeight="1">
      <c r="B529" s="411" t="s">
        <v>6948</v>
      </c>
      <c r="C529" s="274"/>
      <c r="D529" s="161"/>
      <c r="E529" s="54" t="s">
        <v>6949</v>
      </c>
      <c r="F529" s="496" t="s">
        <v>6950</v>
      </c>
      <c r="G529" s="875" t="s">
        <v>6951</v>
      </c>
      <c r="H529" s="875"/>
      <c r="I529" s="496" t="s">
        <v>6952</v>
      </c>
      <c r="J529" s="420" t="s">
        <v>616</v>
      </c>
      <c r="K529" s="127"/>
      <c r="L529" s="39"/>
      <c r="M529" s="61"/>
      <c r="N529" s="498"/>
      <c r="P529" s="724"/>
    </row>
    <row r="530" spans="2:16" s="353" customFormat="1" ht="45.75" customHeight="1">
      <c r="B530" s="412" t="s">
        <v>6953</v>
      </c>
      <c r="C530" s="274"/>
      <c r="D530" s="161"/>
      <c r="E530" s="261">
        <f>K514</f>
        <v>1085.6411999999998</v>
      </c>
      <c r="F530" s="457">
        <f>1*(0.2+0.15+0.05)</f>
        <v>0.39999999999999997</v>
      </c>
      <c r="G530" s="876">
        <f>E530*4.4</f>
        <v>4776.8212799999992</v>
      </c>
      <c r="H530" s="876"/>
      <c r="I530" s="497">
        <v>11.04</v>
      </c>
      <c r="J530" s="458">
        <v>2.2999999999999998</v>
      </c>
      <c r="K530" s="413">
        <f>(G530/I530)*F530*J530</f>
        <v>398.0684399999999</v>
      </c>
      <c r="L530" s="39"/>
      <c r="M530" s="61"/>
      <c r="N530" s="498"/>
      <c r="P530" s="724"/>
    </row>
    <row r="531" spans="2:16" s="353" customFormat="1" ht="45.75" customHeight="1">
      <c r="B531" s="412" t="s">
        <v>6954</v>
      </c>
      <c r="C531" s="274"/>
      <c r="D531" s="161"/>
      <c r="E531" s="261">
        <f>K518+K522+K524+K526+K520</f>
        <v>35</v>
      </c>
      <c r="F531" s="457">
        <f>1*(0.127+0.1)</f>
        <v>0.22700000000000001</v>
      </c>
      <c r="G531" s="876">
        <f>E531*133</f>
        <v>4655</v>
      </c>
      <c r="H531" s="876"/>
      <c r="I531" s="497">
        <v>5.13</v>
      </c>
      <c r="J531" s="458">
        <v>2.2999999999999998</v>
      </c>
      <c r="K531" s="413">
        <f t="shared" ref="K531:K532" si="19">(G531/I531)*F531*J531</f>
        <v>473.75740740740741</v>
      </c>
      <c r="L531" s="39"/>
      <c r="M531" s="61"/>
      <c r="N531" s="498"/>
      <c r="P531" s="724"/>
    </row>
    <row r="532" spans="2:16" s="353" customFormat="1" ht="45.75" customHeight="1">
      <c r="B532" s="412" t="s">
        <v>6955</v>
      </c>
      <c r="C532" s="274"/>
      <c r="D532" s="161"/>
      <c r="E532" s="261">
        <f>K518+K522+K524+K526+K520</f>
        <v>35</v>
      </c>
      <c r="F532" s="457">
        <f>0.0127*2</f>
        <v>2.5399999999999999E-2</v>
      </c>
      <c r="G532" s="876">
        <f>E532*53.86</f>
        <v>1885.1</v>
      </c>
      <c r="H532" s="876"/>
      <c r="I532" s="497">
        <v>0.55000000000000004</v>
      </c>
      <c r="J532" s="458">
        <v>2.2999999999999998</v>
      </c>
      <c r="K532" s="413">
        <f t="shared" si="19"/>
        <v>200.23189454545451</v>
      </c>
      <c r="L532" s="39"/>
      <c r="M532" s="61"/>
      <c r="N532" s="498"/>
      <c r="P532" s="724"/>
    </row>
    <row r="533" spans="2:16" s="353" customFormat="1" ht="15.75" thickBot="1">
      <c r="B533" s="528"/>
      <c r="C533" s="274"/>
      <c r="D533" s="161"/>
      <c r="E533" s="525"/>
      <c r="F533" s="526"/>
      <c r="G533" s="526"/>
      <c r="H533" s="526"/>
      <c r="I533" s="526"/>
      <c r="J533" s="527"/>
      <c r="K533" s="127"/>
      <c r="L533" s="39"/>
      <c r="M533" s="61"/>
      <c r="N533" s="529"/>
      <c r="P533" s="724"/>
    </row>
    <row r="534" spans="2:16" s="353" customFormat="1" ht="15.75" thickBot="1">
      <c r="B534" s="528"/>
      <c r="C534" s="274"/>
      <c r="D534" s="161"/>
      <c r="E534" s="836" t="s">
        <v>7939</v>
      </c>
      <c r="F534" s="837"/>
      <c r="G534" s="837"/>
      <c r="H534" s="837"/>
      <c r="I534" s="837"/>
      <c r="J534" s="838"/>
      <c r="K534" s="127"/>
      <c r="L534" s="39"/>
      <c r="M534" s="61"/>
      <c r="N534" s="529"/>
      <c r="P534" s="724"/>
    </row>
    <row r="535" spans="2:16" s="353" customFormat="1" ht="15">
      <c r="B535" s="494"/>
      <c r="C535" s="274"/>
      <c r="D535" s="161"/>
      <c r="E535" s="491"/>
      <c r="F535" s="492"/>
      <c r="G535" s="492"/>
      <c r="H535" s="492"/>
      <c r="I535" s="492"/>
      <c r="J535" s="493"/>
      <c r="K535" s="127"/>
      <c r="L535" s="39"/>
      <c r="M535" s="61"/>
      <c r="N535" s="498"/>
      <c r="P535" s="90"/>
    </row>
    <row r="536" spans="2:16" s="353" customFormat="1" ht="44.25" customHeight="1">
      <c r="B536" s="494"/>
      <c r="C536" s="274">
        <v>94207</v>
      </c>
      <c r="D536" s="161" t="s">
        <v>6</v>
      </c>
      <c r="E536" s="833" t="str">
        <f>IFERROR(VLOOKUP($C536,'SINAPI FEVEREIRO 2022'!$1:$1048576,2,0),IFERROR(VLOOKUP($C536,'5-COMP. PROPRIA'!$B$38:$I$647,4,0),""))</f>
        <v>TELHAMENTO COM TELHA ONDULADA DE FIBROCIMENTO E = 6 MM, COM RECOBRIMENTO LATERAL DE 1/4 DE ONDA PARA TELHADO COM INCLINAÇÃO MAIOR QUE 10°, COM ATÉ 2 ÁGUAS, INCLUSO IÇAMENTO. AF_07/2019</v>
      </c>
      <c r="F536" s="834"/>
      <c r="G536" s="834"/>
      <c r="H536" s="834"/>
      <c r="I536" s="834"/>
      <c r="J536" s="835"/>
      <c r="K536" s="127">
        <f>K538</f>
        <v>1085.6411999999998</v>
      </c>
      <c r="L536" s="39" t="str">
        <f>IFERROR(VLOOKUP($C536,'SINAPI FEVEREIRO 2022'!$1:$1048576,3,0),IFERROR(VLOOKUP($C536,'5-COMP. PROPRIA'!$B$1:$I$647,5,0),""))</f>
        <v>M2</v>
      </c>
      <c r="M536" s="61"/>
      <c r="N536" s="498"/>
      <c r="P536" s="724"/>
    </row>
    <row r="537" spans="2:16" s="353" customFormat="1" ht="15">
      <c r="B537" s="494"/>
      <c r="C537" s="274"/>
      <c r="D537" s="161"/>
      <c r="E537" s="57" t="s">
        <v>7272</v>
      </c>
      <c r="F537" s="419" t="s">
        <v>5523</v>
      </c>
      <c r="G537" s="492"/>
      <c r="H537" s="492"/>
      <c r="I537" s="492"/>
      <c r="J537" s="493"/>
      <c r="K537" s="127"/>
      <c r="L537" s="39"/>
      <c r="M537" s="61"/>
      <c r="N537" s="498"/>
      <c r="P537" s="90"/>
    </row>
    <row r="538" spans="2:16" s="353" customFormat="1" ht="14.25">
      <c r="B538" s="494"/>
      <c r="C538" s="274"/>
      <c r="D538" s="161"/>
      <c r="E538" s="242">
        <f>E516</f>
        <v>1080.24</v>
      </c>
      <c r="F538" s="512">
        <f>F516</f>
        <v>1.0049999999999999</v>
      </c>
      <c r="G538" s="492"/>
      <c r="H538" s="492"/>
      <c r="I538" s="492"/>
      <c r="J538" s="493"/>
      <c r="K538" s="49">
        <f>E538*F538</f>
        <v>1085.6411999999998</v>
      </c>
      <c r="L538" s="39"/>
      <c r="M538" s="61"/>
      <c r="N538" s="498"/>
      <c r="P538" s="724"/>
    </row>
    <row r="539" spans="2:16" s="353" customFormat="1" ht="15">
      <c r="B539" s="494"/>
      <c r="C539" s="274"/>
      <c r="D539" s="161"/>
      <c r="E539" s="491"/>
      <c r="F539" s="492"/>
      <c r="G539" s="492"/>
      <c r="H539" s="492"/>
      <c r="I539" s="492"/>
      <c r="J539" s="493"/>
      <c r="K539" s="127"/>
      <c r="L539" s="39"/>
      <c r="M539" s="61"/>
      <c r="N539" s="498"/>
      <c r="P539" s="90"/>
    </row>
    <row r="540" spans="2:16" s="353" customFormat="1" ht="35.25" customHeight="1">
      <c r="B540" s="494"/>
      <c r="C540" s="274">
        <v>94223</v>
      </c>
      <c r="D540" s="161" t="s">
        <v>6</v>
      </c>
      <c r="E540" s="833" t="str">
        <f>IFERROR(VLOOKUP($C540,'SINAPI FEVEREIRO 2022'!$1:$1048576,2,0),IFERROR(VLOOKUP($C540,'5-COMP. PROPRIA'!$B$38:$I$647,4,0),""))</f>
        <v>CUMEEIRA PARA TELHA DE FIBROCIMENTO ONDULADA E = 6 MM, INCLUSO ACESSÓRIOS DE FIXAÇÃO E IÇAMENTO. AF_07/2019</v>
      </c>
      <c r="F540" s="834"/>
      <c r="G540" s="834"/>
      <c r="H540" s="834"/>
      <c r="I540" s="834"/>
      <c r="J540" s="835"/>
      <c r="K540" s="127">
        <f>E542</f>
        <v>119.64999999999999</v>
      </c>
      <c r="L540" s="39" t="str">
        <f>IFERROR(VLOOKUP($C540,'SINAPI FEVEREIRO 2022'!$1:$1048576,3,0),IFERROR(VLOOKUP($C540,'5-COMP. PROPRIA'!$B$1:$I$647,5,0),""))</f>
        <v>M</v>
      </c>
      <c r="M540" s="61"/>
      <c r="N540" s="498"/>
      <c r="P540" s="724"/>
    </row>
    <row r="541" spans="2:16" s="353" customFormat="1" ht="15">
      <c r="B541" s="674"/>
      <c r="C541" s="274"/>
      <c r="D541" s="161"/>
      <c r="E541" s="57" t="s">
        <v>7911</v>
      </c>
      <c r="F541" s="671"/>
      <c r="G541" s="671"/>
      <c r="H541" s="671"/>
      <c r="I541" s="671"/>
      <c r="J541" s="672"/>
      <c r="K541" s="127"/>
      <c r="L541" s="39"/>
      <c r="M541" s="61"/>
      <c r="N541" s="652"/>
      <c r="P541" s="724"/>
    </row>
    <row r="542" spans="2:16" s="353" customFormat="1" ht="15">
      <c r="B542" s="674"/>
      <c r="C542" s="274"/>
      <c r="D542" s="161"/>
      <c r="E542" s="242">
        <f>SUM(35.97+15.39+47.62+11.98+8.69)</f>
        <v>119.64999999999999</v>
      </c>
      <c r="F542" s="671"/>
      <c r="G542" s="671"/>
      <c r="H542" s="671"/>
      <c r="I542" s="671"/>
      <c r="J542" s="672"/>
      <c r="K542" s="127"/>
      <c r="L542" s="39"/>
      <c r="M542" s="61"/>
      <c r="N542" s="652"/>
      <c r="P542" s="724"/>
    </row>
    <row r="543" spans="2:16" s="353" customFormat="1" ht="15">
      <c r="B543" s="494"/>
      <c r="C543" s="274"/>
      <c r="D543" s="161"/>
      <c r="E543" s="491"/>
      <c r="F543" s="492"/>
      <c r="G543" s="492"/>
      <c r="H543" s="492"/>
      <c r="I543" s="492"/>
      <c r="J543" s="493"/>
      <c r="K543" s="127"/>
      <c r="L543" s="39"/>
      <c r="M543" s="61"/>
      <c r="N543" s="498"/>
      <c r="P543" s="90"/>
    </row>
    <row r="544" spans="2:16" s="353" customFormat="1" ht="21" customHeight="1">
      <c r="B544" s="494"/>
      <c r="C544" s="274" t="str">
        <f>'5-COMP. PROPRIA'!B163</f>
        <v>CP-COB-01</v>
      </c>
      <c r="D544" s="161" t="s">
        <v>641</v>
      </c>
      <c r="E544" s="833" t="str">
        <f>IFERROR(VLOOKUP($C544,'SINAPI FEVEREIRO 2022'!$1:$1048576,2,0),IFERROR(VLOOKUP($C544,'5-COMP. PROPRIA'!$B$38:$I$647,4,0),""))</f>
        <v>ACABAMENTO DE BEIRAL METÁLICO HORIZONTAL L=20CM, COM PINTURA, FORNECIMENTO E INSTALAÇÃO</v>
      </c>
      <c r="F544" s="834"/>
      <c r="G544" s="834"/>
      <c r="H544" s="834"/>
      <c r="I544" s="834"/>
      <c r="J544" s="835"/>
      <c r="K544" s="127">
        <f>E546</f>
        <v>219.54</v>
      </c>
      <c r="L544" s="39" t="str">
        <f>IFERROR(VLOOKUP($C544,'SINAPI FEVEREIRO 2022'!$1:$1048576,3,0),IFERROR(VLOOKUP($C544,'5-COMP. PROPRIA'!$B$1:$I$647,5,0),""))</f>
        <v>M</v>
      </c>
      <c r="M544" s="61"/>
      <c r="N544" s="498"/>
      <c r="P544" s="724"/>
    </row>
    <row r="545" spans="2:16" s="353" customFormat="1" ht="15">
      <c r="B545" s="674"/>
      <c r="C545" s="274"/>
      <c r="D545" s="161"/>
      <c r="E545" s="57" t="s">
        <v>7911</v>
      </c>
      <c r="F545" s="671"/>
      <c r="G545" s="671"/>
      <c r="H545" s="671"/>
      <c r="I545" s="671"/>
      <c r="J545" s="672"/>
      <c r="K545" s="127"/>
      <c r="L545" s="39"/>
      <c r="M545" s="61"/>
      <c r="N545" s="652"/>
      <c r="P545" s="724"/>
    </row>
    <row r="546" spans="2:16" s="353" customFormat="1" ht="15">
      <c r="B546" s="674"/>
      <c r="C546" s="274"/>
      <c r="D546" s="161"/>
      <c r="E546" s="242">
        <f>SUM(9.5+7.78+40.32+20.24+5.96+20.24+5.97+5.97+19.05+0.44+6.15+47.2+6.93+23.79)</f>
        <v>219.54</v>
      </c>
      <c r="F546" s="671"/>
      <c r="G546" s="671"/>
      <c r="H546" s="671"/>
      <c r="I546" s="671"/>
      <c r="J546" s="672"/>
      <c r="K546" s="127"/>
      <c r="L546" s="39"/>
      <c r="M546" s="61"/>
      <c r="N546" s="652"/>
      <c r="P546" s="724"/>
    </row>
    <row r="547" spans="2:16" s="353" customFormat="1" ht="15">
      <c r="B547" s="494"/>
      <c r="C547" s="274"/>
      <c r="D547" s="161"/>
      <c r="E547" s="491"/>
      <c r="F547" s="492"/>
      <c r="G547" s="492"/>
      <c r="H547" s="492"/>
      <c r="I547" s="492"/>
      <c r="J547" s="493"/>
      <c r="K547" s="127"/>
      <c r="L547" s="39"/>
      <c r="M547" s="61"/>
      <c r="N547" s="498"/>
      <c r="P547" s="90"/>
    </row>
    <row r="548" spans="2:16" s="353" customFormat="1" ht="30" customHeight="1">
      <c r="B548" s="494"/>
      <c r="C548" s="274">
        <v>100327</v>
      </c>
      <c r="D548" s="161" t="s">
        <v>6</v>
      </c>
      <c r="E548" s="833" t="str">
        <f>IFERROR(VLOOKUP($C548,'SINAPI FEVEREIRO 2022'!$1:$1048576,2,0),IFERROR(VLOOKUP($C548,'5-COMP. PROPRIA'!$B$38:$I$647,4,0),""))</f>
        <v>RUFO EXTERNO/INTERNO EM CHAPA DE AÇO GALVANIZADO NÚMERO 26, CORTE DE 33 CM, INCLUSO IÇAMENTO. AF_07/2019</v>
      </c>
      <c r="F548" s="834"/>
      <c r="G548" s="834"/>
      <c r="H548" s="834"/>
      <c r="I548" s="834"/>
      <c r="J548" s="835"/>
      <c r="K548" s="127">
        <f>E550</f>
        <v>62.47</v>
      </c>
      <c r="L548" s="39" t="str">
        <f>IFERROR(VLOOKUP($C548,'SINAPI FEVEREIRO 2022'!$1:$1048576,3,0),IFERROR(VLOOKUP($C548,'5-COMP. PROPRIA'!$B$1:$I$647,5,0),""))</f>
        <v>M</v>
      </c>
      <c r="M548" s="80"/>
      <c r="N548" s="498"/>
      <c r="P548" s="724"/>
    </row>
    <row r="549" spans="2:16" s="353" customFormat="1" ht="30" customHeight="1">
      <c r="B549" s="695"/>
      <c r="C549" s="274"/>
      <c r="D549" s="161"/>
      <c r="E549" s="57" t="s">
        <v>7911</v>
      </c>
      <c r="F549" s="689"/>
      <c r="G549" s="689"/>
      <c r="H549" s="689"/>
      <c r="I549" s="689"/>
      <c r="J549" s="690"/>
      <c r="K549" s="127"/>
      <c r="L549" s="39"/>
      <c r="M549" s="80"/>
      <c r="N549" s="652"/>
      <c r="P549" s="724"/>
    </row>
    <row r="550" spans="2:16" s="353" customFormat="1" ht="15">
      <c r="B550" s="695" t="s">
        <v>7934</v>
      </c>
      <c r="C550" s="274"/>
      <c r="D550" s="161"/>
      <c r="E550" s="242">
        <v>62.47</v>
      </c>
      <c r="F550" s="492"/>
      <c r="G550" s="492"/>
      <c r="H550" s="492"/>
      <c r="I550" s="492"/>
      <c r="J550" s="493"/>
      <c r="K550" s="127"/>
      <c r="L550" s="39"/>
      <c r="M550" s="80"/>
      <c r="N550" s="498"/>
      <c r="P550" s="90"/>
    </row>
    <row r="551" spans="2:16" s="353" customFormat="1" ht="18.75" thickBot="1">
      <c r="B551" s="470"/>
      <c r="C551" s="274"/>
      <c r="D551" s="239"/>
      <c r="E551" s="511"/>
      <c r="F551" s="510"/>
      <c r="G551" s="510"/>
      <c r="H551" s="510"/>
      <c r="I551" s="510"/>
      <c r="J551" s="509"/>
      <c r="K551" s="125"/>
      <c r="L551" s="149"/>
      <c r="M551" s="61"/>
      <c r="N551" s="70"/>
      <c r="P551" s="90"/>
    </row>
    <row r="552" spans="2:16" s="353" customFormat="1" ht="15" thickBot="1">
      <c r="B552" s="470"/>
      <c r="C552" s="276"/>
      <c r="D552" s="161"/>
      <c r="E552" s="836" t="s">
        <v>627</v>
      </c>
      <c r="F552" s="837"/>
      <c r="G552" s="837"/>
      <c r="H552" s="837"/>
      <c r="I552" s="837"/>
      <c r="J552" s="838"/>
      <c r="K552" s="125"/>
      <c r="L552" s="43"/>
      <c r="M552" s="92"/>
      <c r="N552" s="480"/>
      <c r="P552" s="90"/>
    </row>
    <row r="553" spans="2:16" s="353" customFormat="1" ht="14.25">
      <c r="B553" s="470"/>
      <c r="C553" s="276"/>
      <c r="D553" s="161"/>
      <c r="E553" s="701"/>
      <c r="F553" s="702"/>
      <c r="G553" s="702"/>
      <c r="H553" s="702"/>
      <c r="I553" s="702"/>
      <c r="J553" s="703"/>
      <c r="K553" s="125"/>
      <c r="L553" s="43"/>
      <c r="M553" s="92"/>
      <c r="N553" s="480"/>
      <c r="P553" s="90"/>
    </row>
    <row r="554" spans="2:16" s="353" customFormat="1" ht="35.25" customHeight="1">
      <c r="B554" s="441"/>
      <c r="C554" s="276">
        <v>96116</v>
      </c>
      <c r="D554" s="161" t="s">
        <v>6</v>
      </c>
      <c r="E554" s="833" t="str">
        <f>IFERROR(VLOOKUP($C554,'SINAPI FEVEREIRO 2022'!$1:$1048576,2,0),IFERROR(VLOOKUP($C554,'5-COMP. PROPRIA'!$B$38:$I$647,4,0),""))</f>
        <v>FORRO EM RÉGUAS DE PVC, FRISADO, PARA AMBIENTES COMERCIAIS, INCLUSIVE ESTRUTURA DE FIXAÇÃO. AF_05/2017_P</v>
      </c>
      <c r="F554" s="834"/>
      <c r="G554" s="834"/>
      <c r="H554" s="834"/>
      <c r="I554" s="834"/>
      <c r="J554" s="835"/>
      <c r="K554" s="175">
        <f>SUM(K556:K556)</f>
        <v>1013.4499999999999</v>
      </c>
      <c r="L554" s="446" t="str">
        <f>IFERROR(VLOOKUP($C554,'SINAPI FEVEREIRO 2022'!$1:$1048576,3,0),IFERROR(VLOOKUP($C554,'5-COMP. PROPRIA'!$B$1:$I$647,5,0),""))</f>
        <v>M2</v>
      </c>
      <c r="M554" s="92"/>
      <c r="N554" s="480"/>
      <c r="P554" s="90"/>
    </row>
    <row r="555" spans="2:16" s="353" customFormat="1" ht="17.25" customHeight="1">
      <c r="B555" s="476"/>
      <c r="C555" s="276"/>
      <c r="D555" s="161"/>
      <c r="E555" s="57" t="s">
        <v>5486</v>
      </c>
      <c r="F555" s="419"/>
      <c r="G555" s="419"/>
      <c r="H555" s="41"/>
      <c r="I555" s="41"/>
      <c r="J555" s="76"/>
      <c r="K555" s="174"/>
      <c r="L555" s="43"/>
      <c r="M555" s="92"/>
      <c r="N555" s="480"/>
      <c r="P555" s="90"/>
    </row>
    <row r="556" spans="2:16" s="353" customFormat="1" ht="17.25" customHeight="1">
      <c r="B556" s="441"/>
      <c r="C556" s="276"/>
      <c r="D556" s="161"/>
      <c r="E556" s="242">
        <f>SUM(594.97+327.34+77.47+3.29+6.93+3.45)</f>
        <v>1013.4499999999999</v>
      </c>
      <c r="F556" s="41"/>
      <c r="G556" s="41"/>
      <c r="H556" s="41"/>
      <c r="I556" s="41"/>
      <c r="J556" s="76"/>
      <c r="K556" s="174">
        <f>E556</f>
        <v>1013.4499999999999</v>
      </c>
      <c r="L556" s="43"/>
      <c r="M556" s="92"/>
      <c r="N556" s="480"/>
      <c r="P556" s="90"/>
    </row>
    <row r="557" spans="2:16" s="353" customFormat="1" ht="18.75" thickBot="1">
      <c r="B557" s="470"/>
      <c r="C557" s="274"/>
      <c r="D557" s="239"/>
      <c r="E557" s="511"/>
      <c r="F557" s="510"/>
      <c r="G557" s="510"/>
      <c r="H557" s="510"/>
      <c r="I557" s="510"/>
      <c r="J557" s="509"/>
      <c r="K557" s="125"/>
      <c r="L557" s="149"/>
      <c r="M557" s="61"/>
      <c r="N557" s="70"/>
      <c r="P557" s="90"/>
    </row>
    <row r="558" spans="2:16" s="353" customFormat="1" ht="17.25" customHeight="1" thickBot="1">
      <c r="B558" s="471"/>
      <c r="C558" s="274"/>
      <c r="D558" s="161"/>
      <c r="E558" s="872" t="s">
        <v>3250</v>
      </c>
      <c r="F558" s="873"/>
      <c r="G558" s="873"/>
      <c r="H558" s="873"/>
      <c r="I558" s="873"/>
      <c r="J558" s="874"/>
      <c r="K558" s="125"/>
      <c r="L558" s="149"/>
      <c r="M558" s="61"/>
      <c r="N558" s="70"/>
      <c r="P558" s="90"/>
    </row>
    <row r="559" spans="2:16" s="353" customFormat="1" ht="17.25" customHeight="1" thickBot="1">
      <c r="B559" s="471"/>
      <c r="C559" s="274"/>
      <c r="D559" s="161"/>
      <c r="E559" s="851" t="s">
        <v>3578</v>
      </c>
      <c r="F559" s="852"/>
      <c r="G559" s="852"/>
      <c r="H559" s="852"/>
      <c r="I559" s="852"/>
      <c r="J559" s="853"/>
      <c r="K559" s="125"/>
      <c r="L559" s="149"/>
      <c r="M559" s="61"/>
      <c r="N559" s="70"/>
      <c r="P559" s="90"/>
    </row>
    <row r="560" spans="2:16" ht="17.25" customHeight="1">
      <c r="B560" s="441"/>
      <c r="C560" s="274"/>
      <c r="D560" s="161"/>
      <c r="E560" s="148"/>
      <c r="F560" s="428"/>
      <c r="G560" s="428"/>
      <c r="H560" s="428"/>
      <c r="I560" s="428"/>
      <c r="J560" s="66"/>
      <c r="K560" s="129"/>
      <c r="L560" s="149"/>
      <c r="M560" s="61"/>
      <c r="N560" s="70"/>
      <c r="P560" s="90"/>
    </row>
    <row r="561" spans="2:16" s="353" customFormat="1" ht="25.5" customHeight="1">
      <c r="B561" s="434" t="s">
        <v>7273</v>
      </c>
      <c r="C561" s="274">
        <v>88485</v>
      </c>
      <c r="D561" s="161" t="s">
        <v>6</v>
      </c>
      <c r="E561" s="833" t="str">
        <f>IFERROR(VLOOKUP($C561,'SINAPI FEVEREIRO 2022'!$1:$1048576,2,0),IFERROR(VLOOKUP($C561,'5-COMP. PROPRIA'!$B$38:$I$647,4,0),""))</f>
        <v>APLICAÇÃO DE FUNDO SELADOR ACRÍLICO EM PAREDES, UMA DEMÃO. AF_06/2014</v>
      </c>
      <c r="F561" s="834"/>
      <c r="G561" s="834"/>
      <c r="H561" s="834"/>
      <c r="I561" s="834"/>
      <c r="J561" s="835"/>
      <c r="K561" s="127">
        <f>K388</f>
        <v>1350.36</v>
      </c>
      <c r="L561" s="39" t="str">
        <f>IFERROR(VLOOKUP($C561,'SINAPI FEVEREIRO 2022'!$1:$1048576,3,0),IFERROR(VLOOKUP($C561,'5-COMP. PROPRIA'!$B$1:$I$647,5,0),""))</f>
        <v>M2</v>
      </c>
      <c r="M561" s="61"/>
      <c r="N561" s="70"/>
      <c r="P561" s="90"/>
    </row>
    <row r="562" spans="2:16" ht="17.25" customHeight="1">
      <c r="B562" s="434"/>
      <c r="C562" s="274"/>
      <c r="D562" s="161"/>
      <c r="E562" s="415"/>
      <c r="F562" s="416"/>
      <c r="G562" s="416"/>
      <c r="H562" s="416"/>
      <c r="I562" s="416"/>
      <c r="J562" s="417"/>
      <c r="K562" s="127"/>
      <c r="L562" s="39"/>
      <c r="M562" s="61"/>
      <c r="N562" s="70"/>
      <c r="P562" s="90"/>
    </row>
    <row r="563" spans="2:16" ht="15">
      <c r="B563" s="503" t="s">
        <v>7273</v>
      </c>
      <c r="C563" s="274">
        <v>96130</v>
      </c>
      <c r="D563" s="161" t="s">
        <v>6</v>
      </c>
      <c r="E563" s="833" t="str">
        <f>IFERROR(VLOOKUP($C563,'SINAPI FEVEREIRO 2022'!$1:$1048576,2,0),IFERROR(VLOOKUP($C563,'5-COMP. PROPRIA'!$B$38:$I$647,4,0),""))</f>
        <v>APLICAÇÃO MANUAL DE MASSA ACRÍLICA EM PAREDES EXTERNAS DE CASAS, UMA DEMÃO. AF_05/2017</v>
      </c>
      <c r="F563" s="834"/>
      <c r="G563" s="834"/>
      <c r="H563" s="834"/>
      <c r="I563" s="834"/>
      <c r="J563" s="835"/>
      <c r="K563" s="127">
        <f>K561</f>
        <v>1350.36</v>
      </c>
      <c r="L563" s="39" t="str">
        <f>IFERROR(VLOOKUP($C563,'SINAPI FEVEREIRO 2022'!$1:$1048576,3,0),IFERROR(VLOOKUP($C563,'5-COMP. PROPRIA'!$B$1:$I$647,5,0),""))</f>
        <v>M2</v>
      </c>
      <c r="M563" s="61"/>
      <c r="N563" s="70"/>
      <c r="P563" s="90"/>
    </row>
    <row r="564" spans="2:16" ht="15">
      <c r="B564" s="434"/>
      <c r="C564" s="274"/>
      <c r="D564" s="161"/>
      <c r="E564" s="415"/>
      <c r="F564" s="416"/>
      <c r="G564" s="416"/>
      <c r="H564" s="416"/>
      <c r="I564" s="416"/>
      <c r="J564" s="417"/>
      <c r="K564" s="127"/>
      <c r="L564" s="39"/>
      <c r="M564" s="61"/>
      <c r="N564" s="70"/>
      <c r="P564" s="724"/>
    </row>
    <row r="565" spans="2:16" s="353" customFormat="1" ht="15" customHeight="1">
      <c r="B565" s="503" t="s">
        <v>7274</v>
      </c>
      <c r="C565" s="274">
        <v>88489</v>
      </c>
      <c r="D565" s="161" t="s">
        <v>6</v>
      </c>
      <c r="E565" s="833" t="str">
        <f>IFERROR(VLOOKUP($C565,'SINAPI FEVEREIRO 2022'!$1:$1048576,2,0),IFERROR(VLOOKUP($C565,'5-COMP. PROPRIA'!$B$38:$I$647,4,0),""))</f>
        <v>APLICAÇÃO MANUAL DE PINTURA COM TINTA LÁTEX ACRÍLICA EM PAREDES, DUAS DEMÃOS. AF_06/2014</v>
      </c>
      <c r="F565" s="834"/>
      <c r="G565" s="834"/>
      <c r="H565" s="834"/>
      <c r="I565" s="834"/>
      <c r="J565" s="835"/>
      <c r="K565" s="127">
        <f>K561</f>
        <v>1350.36</v>
      </c>
      <c r="L565" s="39" t="str">
        <f>IFERROR(VLOOKUP($C565,'SINAPI FEVEREIRO 2022'!$1:$1048576,3,0),IFERROR(VLOOKUP($C565,'5-COMP. PROPRIA'!$B$1:$I$647,5,0),""))</f>
        <v>M2</v>
      </c>
      <c r="M565" s="150"/>
      <c r="N565" s="481"/>
      <c r="P565" s="90"/>
    </row>
    <row r="566" spans="2:16" s="353" customFormat="1" ht="25.5" customHeight="1">
      <c r="B566" s="503"/>
      <c r="C566" s="274"/>
      <c r="D566" s="161"/>
      <c r="E566" s="500"/>
      <c r="F566" s="501"/>
      <c r="G566" s="501"/>
      <c r="H566" s="501"/>
      <c r="I566" s="501"/>
      <c r="J566" s="502"/>
      <c r="K566" s="127"/>
      <c r="L566" s="39"/>
      <c r="M566" s="150"/>
      <c r="N566" s="481"/>
      <c r="P566" s="724"/>
    </row>
    <row r="567" spans="2:16" s="353" customFormat="1" ht="17.25" customHeight="1">
      <c r="B567" s="503" t="s">
        <v>7274</v>
      </c>
      <c r="C567" s="275" t="str">
        <f>'5-COMP. PROPRIA'!B177</f>
        <v>CP-PIN-02</v>
      </c>
      <c r="D567" s="161" t="s">
        <v>641</v>
      </c>
      <c r="E567" s="833" t="str">
        <f>IFERROR(VLOOKUP($C567,'SINAPI FEVEREIRO 2022'!$1:$1048576,2,0),IFERROR(VLOOKUP($C567,'5-COMP. PROPRIA'!$B$38:$I$647,4,0),""))</f>
        <v>PINTURA TINTA DE ACABAMENTO (PIGMENTADA) ESMALTE BRILHANTE BASE B2, 2 DEMÃOS.</v>
      </c>
      <c r="F567" s="834"/>
      <c r="G567" s="834"/>
      <c r="H567" s="834"/>
      <c r="I567" s="834"/>
      <c r="J567" s="835"/>
      <c r="K567" s="127">
        <f>K569</f>
        <v>41.879999999999995</v>
      </c>
      <c r="L567" s="39" t="str">
        <f>IFERROR(VLOOKUP($C567,'SINAPI FEVEREIRO 2022'!$1:$1048576,3,0),IFERROR(VLOOKUP($C567,'5-COMP. PROPRIA'!$B$1:$I$647,5,0),""))</f>
        <v>M2</v>
      </c>
      <c r="M567" s="150"/>
      <c r="N567" s="481"/>
      <c r="P567" s="90"/>
    </row>
    <row r="568" spans="2:16" ht="14.25">
      <c r="B568" s="503"/>
      <c r="C568" s="275"/>
      <c r="D568" s="161"/>
      <c r="E568" s="54" t="s">
        <v>7270</v>
      </c>
      <c r="F568" s="504" t="s">
        <v>7275</v>
      </c>
      <c r="G568" s="875"/>
      <c r="H568" s="875"/>
      <c r="I568" s="504"/>
      <c r="J568" s="502"/>
      <c r="K568" s="49"/>
      <c r="L568" s="39"/>
      <c r="M568" s="150"/>
      <c r="N568" s="481"/>
      <c r="P568" s="724"/>
    </row>
    <row r="569" spans="2:16" s="353" customFormat="1" ht="14.25">
      <c r="B569" s="503" t="s">
        <v>7276</v>
      </c>
      <c r="C569" s="275"/>
      <c r="D569" s="161"/>
      <c r="E569" s="261">
        <v>34.9</v>
      </c>
      <c r="F569" s="457">
        <v>1.2</v>
      </c>
      <c r="G569" s="879"/>
      <c r="H569" s="879"/>
      <c r="I569" s="419"/>
      <c r="J569" s="502"/>
      <c r="K569" s="49">
        <f>E569*F569</f>
        <v>41.879999999999995</v>
      </c>
      <c r="L569" s="39"/>
      <c r="M569" s="150"/>
      <c r="N569" s="481"/>
      <c r="P569" s="90"/>
    </row>
    <row r="570" spans="2:16" s="353" customFormat="1" ht="15">
      <c r="B570" s="434"/>
      <c r="C570" s="275"/>
      <c r="D570" s="161"/>
      <c r="E570" s="415"/>
      <c r="F570" s="416"/>
      <c r="G570" s="416"/>
      <c r="H570" s="416"/>
      <c r="I570" s="416"/>
      <c r="J570" s="417"/>
      <c r="K570" s="127"/>
      <c r="L570" s="39"/>
      <c r="M570" s="67"/>
      <c r="N570" s="478"/>
      <c r="P570" s="724"/>
    </row>
    <row r="571" spans="2:16" s="353" customFormat="1" ht="28.5">
      <c r="B571" s="434" t="s">
        <v>6960</v>
      </c>
      <c r="C571" s="275">
        <v>102513</v>
      </c>
      <c r="D571" s="161" t="s">
        <v>6</v>
      </c>
      <c r="E571" s="833" t="str">
        <f>IFERROR(VLOOKUP($C571,'SINAPI FEVEREIRO 2022'!$1:$1048576,2,0),IFERROR(VLOOKUP($C571,'5-COMP. PROPRIA'!$B$38:$I$647,4,0),""))</f>
        <v>PINTURA DE SÍMBOLOS E TEXTOS COM TINTA ACRÍLICA, DEMARCAÇÃO COM FITA ADESIVA E APLICAÇÃO COM ROLO. AF_05/2021</v>
      </c>
      <c r="F571" s="834"/>
      <c r="G571" s="834"/>
      <c r="H571" s="834"/>
      <c r="I571" s="834"/>
      <c r="J571" s="835"/>
      <c r="K571" s="127">
        <v>30</v>
      </c>
      <c r="L571" s="39" t="str">
        <f>IFERROR(VLOOKUP($C571,'SINAPI FEVEREIRO 2022'!$1:$1048576,3,0),IFERROR(VLOOKUP($C571,'5-COMP. PROPRIA'!$B$1:$I$647,5,0),""))</f>
        <v>M2</v>
      </c>
      <c r="M571" s="67"/>
      <c r="N571" s="478"/>
      <c r="P571" s="90"/>
    </row>
    <row r="572" spans="2:16" s="353" customFormat="1" ht="15.75" thickBot="1">
      <c r="B572" s="434"/>
      <c r="C572" s="275"/>
      <c r="D572" s="161"/>
      <c r="E572" s="148"/>
      <c r="F572" s="416"/>
      <c r="G572" s="416"/>
      <c r="H572" s="416"/>
      <c r="I572" s="416"/>
      <c r="J572" s="417"/>
      <c r="K572" s="127"/>
      <c r="L572" s="39"/>
      <c r="M572" s="67"/>
      <c r="N572" s="478"/>
      <c r="P572" s="90"/>
    </row>
    <row r="573" spans="2:16" s="353" customFormat="1" ht="15" customHeight="1" thickBot="1">
      <c r="B573" s="434"/>
      <c r="C573" s="274"/>
      <c r="D573" s="161"/>
      <c r="E573" s="851" t="s">
        <v>6145</v>
      </c>
      <c r="F573" s="852"/>
      <c r="G573" s="852"/>
      <c r="H573" s="852"/>
      <c r="I573" s="852"/>
      <c r="J573" s="853"/>
      <c r="K573" s="126"/>
      <c r="L573" s="149"/>
      <c r="M573" s="67"/>
      <c r="N573" s="478"/>
      <c r="P573" s="90"/>
    </row>
    <row r="574" spans="2:16" s="353" customFormat="1" ht="14.25">
      <c r="B574" s="434"/>
      <c r="C574" s="274"/>
      <c r="D574" s="161"/>
      <c r="E574" s="148"/>
      <c r="F574" s="428"/>
      <c r="G574" s="428"/>
      <c r="H574" s="428"/>
      <c r="I574" s="428"/>
      <c r="J574" s="66"/>
      <c r="K574" s="126"/>
      <c r="L574" s="149"/>
      <c r="M574" s="67"/>
      <c r="N574" s="478"/>
      <c r="P574" s="724"/>
    </row>
    <row r="575" spans="2:16" s="353" customFormat="1" ht="15">
      <c r="B575" s="434"/>
      <c r="C575" s="275" t="str">
        <f>'5-COMP. PROPRIA'!B173</f>
        <v>CP-PIN-01</v>
      </c>
      <c r="D575" s="161" t="s">
        <v>6172</v>
      </c>
      <c r="E575" s="833" t="str">
        <f>IFERROR(VLOOKUP($C575,'SINAPI FEVEREIRO 2022'!$1:$1048576,2,0),IFERROR(VLOOKUP($C575,'5-COMP. PROPRIA'!$B$38:$I$647,4,0),""))</f>
        <v>LIXAMENTO MANUAL DE ALVENARIA</v>
      </c>
      <c r="F575" s="834"/>
      <c r="G575" s="834"/>
      <c r="H575" s="834"/>
      <c r="I575" s="834"/>
      <c r="J575" s="835"/>
      <c r="K575" s="127">
        <f>SUM(K577:K579)</f>
        <v>1608.6600000000003</v>
      </c>
      <c r="L575" s="39" t="str">
        <f>IFERROR(VLOOKUP($C575,'SINAPI FEVEREIRO 2022'!$1:$1048576,3,0),IFERROR(VLOOKUP($C575,'5-COMP. PROPRIA'!$B$1:$I$647,5,0),""))</f>
        <v>M2</v>
      </c>
      <c r="M575" s="67"/>
      <c r="N575" s="478"/>
      <c r="P575" s="90"/>
    </row>
    <row r="576" spans="2:16" ht="17.25" customHeight="1">
      <c r="B576" s="434"/>
      <c r="C576" s="275"/>
      <c r="D576" s="161"/>
      <c r="E576" s="54" t="s">
        <v>600</v>
      </c>
      <c r="F576" s="418" t="s">
        <v>3091</v>
      </c>
      <c r="G576" s="419" t="s">
        <v>6958</v>
      </c>
      <c r="H576" s="416"/>
      <c r="I576" s="416"/>
      <c r="J576" s="417"/>
      <c r="K576" s="127"/>
      <c r="L576" s="39"/>
      <c r="M576" s="67"/>
      <c r="N576" s="478"/>
      <c r="P576" s="90"/>
    </row>
    <row r="577" spans="2:16" ht="17.25" customHeight="1">
      <c r="B577" s="434" t="s">
        <v>6957</v>
      </c>
      <c r="C577" s="275"/>
      <c r="D577" s="161"/>
      <c r="E577" s="242">
        <f>239.05+18</f>
        <v>257.05</v>
      </c>
      <c r="F577" s="99">
        <v>3</v>
      </c>
      <c r="G577" s="457">
        <f>(2*4*9)+(2.1*0.8*9)</f>
        <v>87.12</v>
      </c>
      <c r="H577" s="416"/>
      <c r="I577" s="416"/>
      <c r="J577" s="417"/>
      <c r="K577" s="49">
        <f>(E577*F577)-G577</f>
        <v>684.03000000000009</v>
      </c>
      <c r="L577" s="39"/>
      <c r="M577" s="67"/>
      <c r="N577" s="478"/>
      <c r="P577" s="90"/>
    </row>
    <row r="578" spans="2:16" ht="51.75" customHeight="1">
      <c r="B578" s="434" t="s">
        <v>6969</v>
      </c>
      <c r="C578" s="275"/>
      <c r="D578" s="161"/>
      <c r="E578" s="242">
        <f>252+12.24+6.2+22.54+18.72+13.25+10.3</f>
        <v>335.25000000000006</v>
      </c>
      <c r="F578" s="99">
        <v>3</v>
      </c>
      <c r="G578" s="457">
        <f>(2*4*9)+(2.1*0.8*9)</f>
        <v>87.12</v>
      </c>
      <c r="H578" s="416"/>
      <c r="I578" s="416"/>
      <c r="J578" s="417"/>
      <c r="K578" s="49">
        <f t="shared" ref="K578:K579" si="20">(E578*F578)-G578</f>
        <v>918.63000000000022</v>
      </c>
      <c r="L578" s="39"/>
      <c r="M578" s="67"/>
      <c r="N578" s="478"/>
      <c r="P578" s="90"/>
    </row>
    <row r="579" spans="2:16" s="353" customFormat="1" ht="14.25">
      <c r="B579" s="434" t="s">
        <v>6959</v>
      </c>
      <c r="C579" s="275"/>
      <c r="D579" s="161"/>
      <c r="E579" s="242">
        <v>12</v>
      </c>
      <c r="F579" s="99">
        <v>0.5</v>
      </c>
      <c r="G579" s="457">
        <v>0</v>
      </c>
      <c r="H579" s="416"/>
      <c r="I579" s="416"/>
      <c r="J579" s="417"/>
      <c r="K579" s="49">
        <f t="shared" si="20"/>
        <v>6</v>
      </c>
      <c r="L579" s="39"/>
      <c r="M579" s="67"/>
      <c r="N579" s="478"/>
      <c r="P579" s="90"/>
    </row>
    <row r="580" spans="2:16" s="353" customFormat="1" ht="15">
      <c r="B580" s="434"/>
      <c r="C580" s="275"/>
      <c r="D580" s="161"/>
      <c r="E580" s="415"/>
      <c r="F580" s="416"/>
      <c r="G580" s="416"/>
      <c r="H580" s="416"/>
      <c r="I580" s="416"/>
      <c r="J580" s="417"/>
      <c r="K580" s="127"/>
      <c r="L580" s="39"/>
      <c r="M580" s="67"/>
      <c r="N580" s="478"/>
      <c r="P580" s="90"/>
    </row>
    <row r="581" spans="2:16" s="353" customFormat="1" ht="28.5">
      <c r="B581" s="434" t="s">
        <v>6968</v>
      </c>
      <c r="C581" s="274">
        <v>88485</v>
      </c>
      <c r="D581" s="161" t="s">
        <v>6</v>
      </c>
      <c r="E581" s="833" t="str">
        <f>IFERROR(VLOOKUP($C581,'SINAPI FEVEREIRO 2022'!$1:$1048576,2,0),IFERROR(VLOOKUP($C581,'5-COMP. PROPRIA'!$B$38:$I$647,4,0),""))</f>
        <v>APLICAÇÃO DE FUNDO SELADOR ACRÍLICO EM PAREDES, UMA DEMÃO. AF_06/2014</v>
      </c>
      <c r="F581" s="834"/>
      <c r="G581" s="834"/>
      <c r="H581" s="834"/>
      <c r="I581" s="834"/>
      <c r="J581" s="835"/>
      <c r="K581" s="127">
        <f>SUM(K575)</f>
        <v>1608.6600000000003</v>
      </c>
      <c r="L581" s="39" t="str">
        <f>IFERROR(VLOOKUP($C581,'SINAPI FEVEREIRO 2022'!$1:$1048576,3,0),IFERROR(VLOOKUP($C581,'5-COMP. PROPRIA'!$B$1:$I$647,5,0),""))</f>
        <v>M2</v>
      </c>
      <c r="M581" s="67"/>
      <c r="N581" s="478"/>
      <c r="P581" s="90"/>
    </row>
    <row r="582" spans="2:16" s="353" customFormat="1" ht="15">
      <c r="B582" s="434"/>
      <c r="C582" s="274"/>
      <c r="D582" s="161"/>
      <c r="E582" s="415"/>
      <c r="F582" s="416"/>
      <c r="G582" s="416"/>
      <c r="H582" s="416"/>
      <c r="I582" s="416"/>
      <c r="J582" s="417"/>
      <c r="K582" s="127"/>
      <c r="L582" s="39"/>
      <c r="M582" s="67"/>
      <c r="N582" s="478"/>
      <c r="P582" s="90"/>
    </row>
    <row r="583" spans="2:16" s="353" customFormat="1" ht="28.5">
      <c r="B583" s="434" t="s">
        <v>6968</v>
      </c>
      <c r="C583" s="274">
        <v>96135</v>
      </c>
      <c r="D583" s="161" t="s">
        <v>6</v>
      </c>
      <c r="E583" s="833" t="str">
        <f>IFERROR(VLOOKUP($C583,'SINAPI FEVEREIRO 2022'!$1:$1048576,2,0),IFERROR(VLOOKUP($C583,'5-COMP. PROPRIA'!$B$38:$I$647,4,0),""))</f>
        <v>APLICAÇÃO MANUAL DE MASSA ACRÍLICA EM PAREDES EXTERNAS DE CASAS, DUAS DEMÃOS. AF_05/2017</v>
      </c>
      <c r="F583" s="834"/>
      <c r="G583" s="834"/>
      <c r="H583" s="834"/>
      <c r="I583" s="834"/>
      <c r="J583" s="835"/>
      <c r="K583" s="127">
        <f>K581</f>
        <v>1608.6600000000003</v>
      </c>
      <c r="L583" s="39" t="str">
        <f>IFERROR(VLOOKUP($C583,'SINAPI FEVEREIRO 2022'!$1:$1048576,3,0),IFERROR(VLOOKUP($C583,'5-COMP. PROPRIA'!$B$1:$I$647,5,0),""))</f>
        <v>M2</v>
      </c>
      <c r="M583" s="67"/>
      <c r="N583" s="478"/>
      <c r="P583" s="90"/>
    </row>
    <row r="584" spans="2:16" ht="30" customHeight="1">
      <c r="B584" s="434"/>
      <c r="C584" s="274"/>
      <c r="D584" s="161"/>
      <c r="E584" s="415"/>
      <c r="F584" s="416"/>
      <c r="G584" s="416"/>
      <c r="H584" s="416"/>
      <c r="I584" s="416"/>
      <c r="J584" s="417"/>
      <c r="K584" s="127"/>
      <c r="L584" s="39"/>
      <c r="M584" s="67"/>
      <c r="N584" s="478"/>
      <c r="P584" s="90"/>
    </row>
    <row r="585" spans="2:16" s="353" customFormat="1" ht="30.75" customHeight="1">
      <c r="B585" s="434" t="s">
        <v>6968</v>
      </c>
      <c r="C585" s="274">
        <v>88489</v>
      </c>
      <c r="D585" s="161" t="s">
        <v>6</v>
      </c>
      <c r="E585" s="833" t="str">
        <f>IFERROR(VLOOKUP($C585,'SINAPI FEVEREIRO 2022'!$1:$1048576,2,0),IFERROR(VLOOKUP($C585,'5-COMP. PROPRIA'!$B$38:$I$647,4,0),""))</f>
        <v>APLICAÇÃO MANUAL DE PINTURA COM TINTA LÁTEX ACRÍLICA EM PAREDES, DUAS DEMÃOS. AF_06/2014</v>
      </c>
      <c r="F585" s="834"/>
      <c r="G585" s="834"/>
      <c r="H585" s="834"/>
      <c r="I585" s="834"/>
      <c r="J585" s="835"/>
      <c r="K585" s="127">
        <f>SUM(K587:K589)</f>
        <v>897.9000000000002</v>
      </c>
      <c r="L585" s="39" t="str">
        <f>IFERROR(VLOOKUP($C585,'SINAPI FEVEREIRO 2022'!$1:$1048576,3,0),IFERROR(VLOOKUP($C585,'5-COMP. PROPRIA'!$B$1:$I$647,5,0),""))</f>
        <v>M2</v>
      </c>
      <c r="M585" s="67"/>
      <c r="N585" s="478"/>
      <c r="P585" s="90"/>
    </row>
    <row r="586" spans="2:16" s="353" customFormat="1" ht="27" customHeight="1">
      <c r="B586" s="503"/>
      <c r="C586" s="274"/>
      <c r="D586" s="161"/>
      <c r="E586" s="54" t="s">
        <v>600</v>
      </c>
      <c r="F586" s="504" t="s">
        <v>3091</v>
      </c>
      <c r="G586" s="419" t="s">
        <v>6958</v>
      </c>
      <c r="H586" s="501"/>
      <c r="I586" s="501"/>
      <c r="J586" s="502"/>
      <c r="K586" s="127"/>
      <c r="L586" s="39"/>
      <c r="M586" s="67"/>
      <c r="N586" s="478"/>
      <c r="P586" s="90"/>
    </row>
    <row r="587" spans="2:16" s="353" customFormat="1" ht="15" customHeight="1">
      <c r="B587" s="503"/>
      <c r="C587" s="274"/>
      <c r="D587" s="161"/>
      <c r="E587" s="242">
        <f>239.05+18</f>
        <v>257.05</v>
      </c>
      <c r="F587" s="505">
        <v>1.8</v>
      </c>
      <c r="G587" s="457">
        <f>(2*4*9)+(2.1*0.8*9)</f>
        <v>87.12</v>
      </c>
      <c r="H587" s="501"/>
      <c r="I587" s="501"/>
      <c r="J587" s="502"/>
      <c r="K587" s="49">
        <f>(E587*F587)-G587</f>
        <v>375.57000000000005</v>
      </c>
      <c r="L587" s="39"/>
      <c r="M587" s="67"/>
      <c r="N587" s="478"/>
      <c r="P587" s="90"/>
    </row>
    <row r="588" spans="2:16" ht="30" customHeight="1">
      <c r="B588" s="503"/>
      <c r="C588" s="274"/>
      <c r="D588" s="161"/>
      <c r="E588" s="242">
        <f>252+12.24+6.2+22.54+18.72+13.25+10.3</f>
        <v>335.25000000000006</v>
      </c>
      <c r="F588" s="505">
        <v>1.8</v>
      </c>
      <c r="G588" s="457">
        <f>(2*4*9)+(2.1*0.8*9)</f>
        <v>87.12</v>
      </c>
      <c r="H588" s="501"/>
      <c r="I588" s="501"/>
      <c r="J588" s="502"/>
      <c r="K588" s="49">
        <f t="shared" ref="K588:K589" si="21">(E588*F588)-G588</f>
        <v>516.33000000000015</v>
      </c>
      <c r="L588" s="39"/>
      <c r="M588" s="67"/>
      <c r="N588" s="478"/>
      <c r="P588" s="90"/>
    </row>
    <row r="589" spans="2:16" s="353" customFormat="1" ht="30" customHeight="1">
      <c r="B589" s="503"/>
      <c r="C589" s="274"/>
      <c r="D589" s="161"/>
      <c r="E589" s="242">
        <v>12</v>
      </c>
      <c r="F589" s="259">
        <v>0.5</v>
      </c>
      <c r="G589" s="457">
        <v>0</v>
      </c>
      <c r="H589" s="501"/>
      <c r="I589" s="501"/>
      <c r="J589" s="502"/>
      <c r="K589" s="49">
        <f t="shared" si="21"/>
        <v>6</v>
      </c>
      <c r="L589" s="39"/>
      <c r="M589" s="67"/>
      <c r="N589" s="478"/>
      <c r="P589" s="90"/>
    </row>
    <row r="590" spans="2:16" s="353" customFormat="1" ht="30" customHeight="1">
      <c r="B590" s="434"/>
      <c r="C590" s="274"/>
      <c r="D590" s="161"/>
      <c r="E590" s="415"/>
      <c r="F590" s="416"/>
      <c r="G590" s="416"/>
      <c r="H590" s="416"/>
      <c r="I590" s="416"/>
      <c r="J590" s="417"/>
      <c r="K590" s="127"/>
      <c r="L590" s="39"/>
      <c r="M590" s="67"/>
      <c r="N590" s="478"/>
      <c r="P590" s="90"/>
    </row>
    <row r="591" spans="2:16" s="353" customFormat="1" ht="40.5" customHeight="1">
      <c r="B591" s="434" t="s">
        <v>7277</v>
      </c>
      <c r="C591" s="275" t="str">
        <f>'5-COMP. PROPRIA'!B177</f>
        <v>CP-PIN-02</v>
      </c>
      <c r="D591" s="161" t="s">
        <v>6172</v>
      </c>
      <c r="E591" s="833" t="str">
        <f>IFERROR(VLOOKUP($C591,'SINAPI FEVEREIRO 2022'!$1:$1048576,2,0),IFERROR(VLOOKUP($C591,'5-COMP. PROPRIA'!$B$38:$I$647,4,0),""))</f>
        <v>PINTURA TINTA DE ACABAMENTO (PIGMENTADA) ESMALTE BRILHANTE BASE B2, 2 DEMÃOS.</v>
      </c>
      <c r="F591" s="834"/>
      <c r="G591" s="834"/>
      <c r="H591" s="834"/>
      <c r="I591" s="834"/>
      <c r="J591" s="835"/>
      <c r="K591" s="127">
        <f>SUM(K593:K594)</f>
        <v>536.52</v>
      </c>
      <c r="L591" s="39" t="str">
        <f>IFERROR(VLOOKUP($C591,'SINAPI FEVEREIRO 2022'!$1:$1048576,3,0),IFERROR(VLOOKUP($C591,'5-COMP. PROPRIA'!$B$1:$I$647,5,0),""))</f>
        <v>M2</v>
      </c>
      <c r="M591" s="67"/>
      <c r="N591" s="478"/>
      <c r="P591" s="90"/>
    </row>
    <row r="592" spans="2:16" s="353" customFormat="1" ht="30" customHeight="1">
      <c r="B592" s="503"/>
      <c r="C592" s="275"/>
      <c r="D592" s="161"/>
      <c r="E592" s="54" t="s">
        <v>600</v>
      </c>
      <c r="F592" s="504" t="s">
        <v>3091</v>
      </c>
      <c r="G592" s="419" t="s">
        <v>6958</v>
      </c>
      <c r="H592" s="501"/>
      <c r="I592" s="501"/>
      <c r="J592" s="502"/>
      <c r="K592" s="127"/>
      <c r="L592" s="39"/>
      <c r="M592" s="67"/>
      <c r="N592" s="478"/>
      <c r="P592" s="90"/>
    </row>
    <row r="593" spans="2:16" s="353" customFormat="1" ht="15" customHeight="1">
      <c r="B593" s="503"/>
      <c r="C593" s="275"/>
      <c r="D593" s="161"/>
      <c r="E593" s="242">
        <f>239.05+18</f>
        <v>257.05</v>
      </c>
      <c r="F593" s="505">
        <v>1.2</v>
      </c>
      <c r="G593" s="457">
        <f>(2*4*9)+(2.1*0.8*9)</f>
        <v>87.12</v>
      </c>
      <c r="H593" s="501"/>
      <c r="I593" s="501"/>
      <c r="J593" s="502"/>
      <c r="K593" s="49">
        <f>(E593*F593)-G593</f>
        <v>221.33999999999997</v>
      </c>
      <c r="L593" s="39"/>
      <c r="M593" s="67"/>
      <c r="N593" s="478"/>
      <c r="P593" s="90"/>
    </row>
    <row r="594" spans="2:16" ht="34.5" customHeight="1">
      <c r="B594" s="503"/>
      <c r="C594" s="275"/>
      <c r="D594" s="161"/>
      <c r="E594" s="242">
        <f>252+12.24+6.2+22.54+18.72+13.25+10.3</f>
        <v>335.25000000000006</v>
      </c>
      <c r="F594" s="505">
        <v>1.2</v>
      </c>
      <c r="G594" s="457">
        <f>(2*4*9)+(2.1*0.8*9)</f>
        <v>87.12</v>
      </c>
      <c r="H594" s="501"/>
      <c r="I594" s="501"/>
      <c r="J594" s="502"/>
      <c r="K594" s="49">
        <f t="shared" ref="K594" si="22">(E594*F594)-G594</f>
        <v>315.18000000000006</v>
      </c>
      <c r="L594" s="39"/>
      <c r="M594" s="67"/>
      <c r="N594" s="478"/>
      <c r="P594" s="90"/>
    </row>
    <row r="595" spans="2:16" s="353" customFormat="1" ht="34.5" customHeight="1">
      <c r="B595" s="434"/>
      <c r="C595" s="275"/>
      <c r="D595" s="161"/>
      <c r="E595" s="415"/>
      <c r="F595" s="416"/>
      <c r="G595" s="416"/>
      <c r="H595" s="416"/>
      <c r="I595" s="416"/>
      <c r="J595" s="417"/>
      <c r="K595" s="127"/>
      <c r="L595" s="39"/>
      <c r="M595" s="67"/>
      <c r="N595" s="478"/>
      <c r="P595" s="90"/>
    </row>
    <row r="596" spans="2:16" s="353" customFormat="1" ht="28.5">
      <c r="B596" s="434" t="s">
        <v>6968</v>
      </c>
      <c r="C596" s="275">
        <v>102491</v>
      </c>
      <c r="D596" s="161" t="s">
        <v>6</v>
      </c>
      <c r="E596" s="833" t="str">
        <f>IFERROR(VLOOKUP($C596,'SINAPI FEVEREIRO 2022'!$1:$1048576,2,0),IFERROR(VLOOKUP($C596,'5-COMP. PROPRIA'!$B$38:$I$647,4,0),""))</f>
        <v>PINTURA DE PISO COM TINTA ACRÍLICA, APLICAÇÃO MANUAL, 2 DEMÃOS, INCLUSO FUNDO PREPARADOR. AF_05/2021</v>
      </c>
      <c r="F596" s="834"/>
      <c r="G596" s="834"/>
      <c r="H596" s="834"/>
      <c r="I596" s="834"/>
      <c r="J596" s="835"/>
      <c r="K596" s="127">
        <f>K575</f>
        <v>1608.6600000000003</v>
      </c>
      <c r="L596" s="39" t="str">
        <f>IFERROR(VLOOKUP($C596,'SINAPI FEVEREIRO 2022'!$1:$1048576,3,0),IFERROR(VLOOKUP($C596,'5-COMP. PROPRIA'!$B$1:$I$647,5,0),""))</f>
        <v>M2</v>
      </c>
      <c r="M596" s="67"/>
      <c r="N596" s="478"/>
      <c r="P596" s="90"/>
    </row>
    <row r="597" spans="2:16" s="353" customFormat="1" ht="15.75" thickBot="1">
      <c r="B597" s="434"/>
      <c r="C597" s="275"/>
      <c r="D597" s="161"/>
      <c r="E597" s="415"/>
      <c r="F597" s="416"/>
      <c r="G597" s="416"/>
      <c r="H597" s="416"/>
      <c r="I597" s="416"/>
      <c r="J597" s="417"/>
      <c r="K597" s="127"/>
      <c r="L597" s="39"/>
      <c r="M597" s="67"/>
      <c r="N597" s="478"/>
      <c r="P597" s="90"/>
    </row>
    <row r="598" spans="2:16" s="353" customFormat="1" ht="18.75" customHeight="1" thickBot="1">
      <c r="B598" s="441"/>
      <c r="C598" s="276"/>
      <c r="D598" s="161"/>
      <c r="E598" s="851" t="s">
        <v>5757</v>
      </c>
      <c r="F598" s="852"/>
      <c r="G598" s="852"/>
      <c r="H598" s="852"/>
      <c r="I598" s="852"/>
      <c r="J598" s="853"/>
      <c r="K598" s="130"/>
      <c r="L598" s="43"/>
      <c r="M598" s="92"/>
      <c r="N598" s="480"/>
      <c r="P598" s="90"/>
    </row>
    <row r="599" spans="2:16" ht="29.25" customHeight="1">
      <c r="B599" s="441"/>
      <c r="C599" s="276"/>
      <c r="D599" s="161"/>
      <c r="E599" s="81"/>
      <c r="F599" s="41"/>
      <c r="G599" s="41"/>
      <c r="H599" s="41"/>
      <c r="I599" s="41"/>
      <c r="J599" s="432"/>
      <c r="K599" s="130"/>
      <c r="L599" s="43"/>
      <c r="M599" s="92"/>
      <c r="N599" s="480"/>
      <c r="P599" s="90"/>
    </row>
    <row r="600" spans="2:16" s="353" customFormat="1" ht="17.25" customHeight="1">
      <c r="B600" s="878" t="s">
        <v>6961</v>
      </c>
      <c r="C600" s="275" t="str">
        <f>'5-COMP. PROPRIA'!B173</f>
        <v>CP-PIN-01</v>
      </c>
      <c r="D600" s="161" t="s">
        <v>6172</v>
      </c>
      <c r="E600" s="833" t="str">
        <f>IFERROR(VLOOKUP($C600,'SINAPI FEVEREIRO 2022'!$1:$1048576,2,0),IFERROR(VLOOKUP($C600,'5-COMP. PROPRIA'!$B$38:$I$647,4,0),""))</f>
        <v>LIXAMENTO MANUAL DE ALVENARIA</v>
      </c>
      <c r="F600" s="834"/>
      <c r="G600" s="834"/>
      <c r="H600" s="834"/>
      <c r="I600" s="834"/>
      <c r="J600" s="835"/>
      <c r="K600" s="127">
        <v>65.599999999999994</v>
      </c>
      <c r="L600" s="39" t="str">
        <f>IFERROR(VLOOKUP($C600,'SINAPI FEVEREIRO 2022'!$1:$1048576,3,0),IFERROR(VLOOKUP($C600,'5-COMP. PROPRIA'!$B$1:$I$647,5,0),""))</f>
        <v>M2</v>
      </c>
      <c r="M600" s="67"/>
      <c r="N600" s="478"/>
      <c r="P600" s="90"/>
    </row>
    <row r="601" spans="2:16" s="90" customFormat="1" ht="17.25" customHeight="1">
      <c r="B601" s="878"/>
      <c r="C601" s="275"/>
      <c r="D601" s="161"/>
      <c r="E601" s="415"/>
      <c r="F601" s="416"/>
      <c r="G601" s="416"/>
      <c r="H601" s="416"/>
      <c r="I601" s="416"/>
      <c r="J601" s="417"/>
      <c r="K601" s="127"/>
      <c r="L601" s="39"/>
      <c r="M601" s="67"/>
      <c r="N601" s="478"/>
    </row>
    <row r="602" spans="2:16" s="90" customFormat="1" ht="17.25" customHeight="1">
      <c r="B602" s="878"/>
      <c r="C602" s="274">
        <v>88485</v>
      </c>
      <c r="D602" s="161" t="s">
        <v>6</v>
      </c>
      <c r="E602" s="833" t="str">
        <f>IFERROR(VLOOKUP($C602,'SINAPI FEVEREIRO 2022'!$1:$1048576,2,0),IFERROR(VLOOKUP($C602,'5-COMP. PROPRIA'!$B$38:$I$647,4,0),""))</f>
        <v>APLICAÇÃO DE FUNDO SELADOR ACRÍLICO EM PAREDES, UMA DEMÃO. AF_06/2014</v>
      </c>
      <c r="F602" s="834"/>
      <c r="G602" s="834"/>
      <c r="H602" s="834"/>
      <c r="I602" s="834"/>
      <c r="J602" s="835"/>
      <c r="K602" s="127">
        <f>K600</f>
        <v>65.599999999999994</v>
      </c>
      <c r="L602" s="39" t="str">
        <f>IFERROR(VLOOKUP($C602,'SINAPI FEVEREIRO 2022'!$1:$1048576,3,0),IFERROR(VLOOKUP($C602,'5-COMP. PROPRIA'!$B$1:$I$647,5,0),""))</f>
        <v>M2</v>
      </c>
      <c r="M602" s="67"/>
      <c r="N602" s="478"/>
    </row>
    <row r="603" spans="2:16" ht="17.25" customHeight="1">
      <c r="B603" s="878"/>
      <c r="C603" s="274"/>
      <c r="D603" s="161"/>
      <c r="E603" s="415"/>
      <c r="F603" s="416"/>
      <c r="G603" s="416"/>
      <c r="H603" s="416"/>
      <c r="I603" s="416"/>
      <c r="J603" s="417"/>
      <c r="K603" s="127"/>
      <c r="L603" s="39"/>
      <c r="M603" s="67"/>
      <c r="N603" s="478"/>
      <c r="P603" s="90"/>
    </row>
    <row r="604" spans="2:16" s="353" customFormat="1" ht="17.25" customHeight="1">
      <c r="B604" s="878"/>
      <c r="C604" s="274">
        <v>96135</v>
      </c>
      <c r="D604" s="161" t="s">
        <v>6</v>
      </c>
      <c r="E604" s="833" t="str">
        <f>IFERROR(VLOOKUP($C604,'SINAPI FEVEREIRO 2022'!$1:$1048576,2,0),IFERROR(VLOOKUP($C604,'5-COMP. PROPRIA'!$B$38:$I$647,4,0),""))</f>
        <v>APLICAÇÃO MANUAL DE MASSA ACRÍLICA EM PAREDES EXTERNAS DE CASAS, DUAS DEMÃOS. AF_05/2017</v>
      </c>
      <c r="F604" s="834"/>
      <c r="G604" s="834"/>
      <c r="H604" s="834"/>
      <c r="I604" s="834"/>
      <c r="J604" s="835"/>
      <c r="K604" s="127">
        <f>K602</f>
        <v>65.599999999999994</v>
      </c>
      <c r="L604" s="39" t="str">
        <f>IFERROR(VLOOKUP($C604,'SINAPI FEVEREIRO 2022'!$1:$1048576,3,0),IFERROR(VLOOKUP($C604,'5-COMP. PROPRIA'!$B$1:$I$647,5,0),""))</f>
        <v>M2</v>
      </c>
      <c r="M604" s="67"/>
      <c r="N604" s="478"/>
      <c r="P604" s="90"/>
    </row>
    <row r="605" spans="2:16" s="353" customFormat="1" ht="17.25" customHeight="1">
      <c r="B605" s="878"/>
      <c r="C605" s="274"/>
      <c r="D605" s="161"/>
      <c r="E605" s="415"/>
      <c r="F605" s="416"/>
      <c r="G605" s="416"/>
      <c r="H605" s="416"/>
      <c r="I605" s="416"/>
      <c r="J605" s="417"/>
      <c r="K605" s="127"/>
      <c r="L605" s="39"/>
      <c r="M605" s="67"/>
      <c r="N605" s="478"/>
      <c r="P605" s="90"/>
    </row>
    <row r="606" spans="2:16" s="353" customFormat="1" ht="17.25" customHeight="1">
      <c r="B606" s="878"/>
      <c r="C606" s="274">
        <v>88489</v>
      </c>
      <c r="D606" s="161" t="s">
        <v>6</v>
      </c>
      <c r="E606" s="833" t="str">
        <f>IFERROR(VLOOKUP($C606,'SINAPI FEVEREIRO 2022'!$1:$1048576,2,0),IFERROR(VLOOKUP($C606,'5-COMP. PROPRIA'!$B$38:$I$647,4,0),""))</f>
        <v>APLICAÇÃO MANUAL DE PINTURA COM TINTA LÁTEX ACRÍLICA EM PAREDES, DUAS DEMÃOS. AF_06/2014</v>
      </c>
      <c r="F606" s="834"/>
      <c r="G606" s="834"/>
      <c r="H606" s="834"/>
      <c r="I606" s="834"/>
      <c r="J606" s="835"/>
      <c r="K606" s="127">
        <f>(K600/3)*1.8</f>
        <v>39.359999999999992</v>
      </c>
      <c r="L606" s="39" t="str">
        <f>IFERROR(VLOOKUP($C606,'SINAPI FEVEREIRO 2022'!$1:$1048576,3,0),IFERROR(VLOOKUP($C606,'5-COMP. PROPRIA'!$B$1:$I$647,5,0),""))</f>
        <v>M2</v>
      </c>
      <c r="M606" s="67"/>
      <c r="N606" s="478"/>
      <c r="P606" s="90"/>
    </row>
    <row r="607" spans="2:16" s="353" customFormat="1" ht="27" customHeight="1">
      <c r="B607" s="878"/>
      <c r="C607" s="274"/>
      <c r="D607" s="161"/>
      <c r="E607" s="415"/>
      <c r="F607" s="416"/>
      <c r="G607" s="416"/>
      <c r="H607" s="416"/>
      <c r="I607" s="416"/>
      <c r="J607" s="417"/>
      <c r="K607" s="127"/>
      <c r="L607" s="39"/>
      <c r="M607" s="67"/>
      <c r="N607" s="478"/>
      <c r="P607" s="90"/>
    </row>
    <row r="608" spans="2:16" s="353" customFormat="1" ht="17.25" customHeight="1">
      <c r="B608" s="878"/>
      <c r="C608" s="275" t="str">
        <f>'5-COMP. PROPRIA'!B177</f>
        <v>CP-PIN-02</v>
      </c>
      <c r="D608" s="161" t="s">
        <v>6172</v>
      </c>
      <c r="E608" s="833" t="str">
        <f>IFERROR(VLOOKUP($C608,'SINAPI FEVEREIRO 2022'!$1:$1048576,2,0),IFERROR(VLOOKUP($C608,'5-COMP. PROPRIA'!$B$38:$I$647,4,0),""))</f>
        <v>PINTURA TINTA DE ACABAMENTO (PIGMENTADA) ESMALTE BRILHANTE BASE B2, 2 DEMÃOS.</v>
      </c>
      <c r="F608" s="834"/>
      <c r="G608" s="834"/>
      <c r="H608" s="834"/>
      <c r="I608" s="834"/>
      <c r="J608" s="835"/>
      <c r="K608" s="127">
        <f>K600-K606</f>
        <v>26.240000000000002</v>
      </c>
      <c r="L608" s="39" t="str">
        <f>IFERROR(VLOOKUP($C608,'SINAPI FEVEREIRO 2022'!$1:$1048576,3,0),IFERROR(VLOOKUP($C608,'5-COMP. PROPRIA'!$B$1:$I$647,5,0),""))</f>
        <v>M2</v>
      </c>
      <c r="M608" s="67"/>
      <c r="N608" s="478"/>
      <c r="P608" s="90"/>
    </row>
    <row r="609" spans="2:16" s="353" customFormat="1" ht="25.5" customHeight="1">
      <c r="B609" s="434"/>
      <c r="C609" s="274"/>
      <c r="D609" s="161"/>
      <c r="E609" s="148"/>
      <c r="F609" s="428"/>
      <c r="G609" s="428"/>
      <c r="H609" s="428"/>
      <c r="I609" s="428"/>
      <c r="J609" s="66"/>
      <c r="K609" s="126"/>
      <c r="L609" s="149"/>
      <c r="M609" s="67"/>
      <c r="N609" s="478"/>
      <c r="P609" s="90"/>
    </row>
    <row r="610" spans="2:16" s="353" customFormat="1" ht="48.75" customHeight="1">
      <c r="B610" s="434" t="s">
        <v>6962</v>
      </c>
      <c r="C610" s="274">
        <v>100749</v>
      </c>
      <c r="D610" s="161" t="s">
        <v>6</v>
      </c>
      <c r="E610" s="833" t="str">
        <f>IFERROR(VLOOKUP($C610,'SINAPI FEVEREIRO 2022'!$1:$1048576,2,0),IFERROR(VLOOKUP($C610,'5-COMP. PROPRIA'!$B$38:$I$647,4,0),""))</f>
        <v>PINTURA COM TINTA ALQUÍDICA DE ACABAMENTO (ESMALTE SINTÉTICO FOSCO) PULVERIZADA SOBRE SUPERFÍCIES METÁLICAS (EXCETO PERFIL) EXECUTADO EM OBRA (POR DEMÃO). AF_01/2020_P</v>
      </c>
      <c r="F610" s="834"/>
      <c r="G610" s="834"/>
      <c r="H610" s="834"/>
      <c r="I610" s="834"/>
      <c r="J610" s="835"/>
      <c r="K610" s="127">
        <f>254+381.99</f>
        <v>635.99</v>
      </c>
      <c r="L610" s="39" t="str">
        <f>IFERROR(VLOOKUP($C610,'SINAPI FEVEREIRO 2022'!$1:$1048576,3,0),IFERROR(VLOOKUP($C610,'5-COMP. PROPRIA'!$B$1:$I$647,5,0),""))</f>
        <v>M2</v>
      </c>
      <c r="M610" s="67"/>
      <c r="N610" s="478"/>
      <c r="P610" s="90"/>
    </row>
    <row r="611" spans="2:16" s="353" customFormat="1" ht="17.25" customHeight="1">
      <c r="B611" s="434"/>
      <c r="C611" s="274"/>
      <c r="D611" s="161"/>
      <c r="E611" s="148"/>
      <c r="F611" s="428"/>
      <c r="G611" s="428"/>
      <c r="H611" s="428"/>
      <c r="I611" s="428"/>
      <c r="J611" s="66"/>
      <c r="K611" s="126"/>
      <c r="L611" s="149"/>
      <c r="M611" s="67"/>
      <c r="N611" s="478"/>
      <c r="P611" s="90"/>
    </row>
    <row r="612" spans="2:16" s="353" customFormat="1" ht="30" customHeight="1">
      <c r="B612" s="434"/>
      <c r="C612" s="274">
        <v>102491</v>
      </c>
      <c r="D612" s="161" t="s">
        <v>6</v>
      </c>
      <c r="E612" s="833" t="str">
        <f>IFERROR(VLOOKUP($C612,'SINAPI FEVEREIRO 2022'!$1:$1048576,2,0),IFERROR(VLOOKUP($C612,'5-COMP. PROPRIA'!$B$38:$I$647,4,0),""))</f>
        <v>PINTURA DE PISO COM TINTA ACRÍLICA, APLICAÇÃO MANUAL, 2 DEMÃOS, INCLUSO FUNDO PREPARADOR. AF_05/2021</v>
      </c>
      <c r="F612" s="834"/>
      <c r="G612" s="834"/>
      <c r="H612" s="834"/>
      <c r="I612" s="834"/>
      <c r="J612" s="835"/>
      <c r="K612" s="127">
        <v>254</v>
      </c>
      <c r="L612" s="39" t="str">
        <f>IFERROR(VLOOKUP($C612,'SINAPI FEVEREIRO 2022'!$1:$1048576,3,0),IFERROR(VLOOKUP($C612,'5-COMP. PROPRIA'!$B$1:$I$647,5,0),""))</f>
        <v>M2</v>
      </c>
      <c r="M612" s="67"/>
      <c r="N612" s="478"/>
      <c r="P612" s="90"/>
    </row>
    <row r="613" spans="2:16" s="353" customFormat="1" ht="27" customHeight="1">
      <c r="B613" s="434"/>
      <c r="C613" s="274"/>
      <c r="D613" s="161"/>
      <c r="E613" s="415"/>
      <c r="F613" s="416"/>
      <c r="G613" s="416"/>
      <c r="H613" s="416"/>
      <c r="I613" s="416"/>
      <c r="J613" s="417"/>
      <c r="K613" s="127"/>
      <c r="L613" s="39"/>
      <c r="M613" s="67"/>
      <c r="N613" s="478"/>
      <c r="P613" s="90"/>
    </row>
    <row r="614" spans="2:16" s="353" customFormat="1" ht="26.25" customHeight="1">
      <c r="B614" s="434"/>
      <c r="C614" s="274">
        <v>102506</v>
      </c>
      <c r="D614" s="161" t="s">
        <v>6</v>
      </c>
      <c r="E614" s="833" t="str">
        <f>IFERROR(VLOOKUP($C614,'SINAPI FEVEREIRO 2022'!$1:$1048576,2,0),IFERROR(VLOOKUP($C614,'5-COMP. PROPRIA'!$B$38:$I$647,4,0),""))</f>
        <v>PINTURA DE DEMARCAÇÃO DE QUADRA POLIESPORTIVA COM TINTA EPÓXI, E = 5 CM, APLICAÇÃO MANUAL. AF_05/2021</v>
      </c>
      <c r="F614" s="834"/>
      <c r="G614" s="834"/>
      <c r="H614" s="834"/>
      <c r="I614" s="834"/>
      <c r="J614" s="835"/>
      <c r="K614" s="127">
        <v>193.85</v>
      </c>
      <c r="L614" s="39" t="str">
        <f>IFERROR(VLOOKUP($C614,'SINAPI FEVEREIRO 2022'!$1:$1048576,3,0),IFERROR(VLOOKUP($C614,'5-COMP. PROPRIA'!$B$1:$I$647,5,0),""))</f>
        <v>M</v>
      </c>
      <c r="M614" s="67"/>
      <c r="N614" s="478"/>
      <c r="P614" s="90"/>
    </row>
    <row r="615" spans="2:16" s="353" customFormat="1" ht="29.25" customHeight="1" thickBot="1">
      <c r="B615" s="441"/>
      <c r="C615" s="276"/>
      <c r="D615" s="161"/>
      <c r="E615" s="81"/>
      <c r="F615" s="41"/>
      <c r="G615" s="41"/>
      <c r="H615" s="41"/>
      <c r="I615" s="41"/>
      <c r="J615" s="432"/>
      <c r="K615" s="130"/>
      <c r="L615" s="43"/>
      <c r="M615" s="92"/>
      <c r="N615" s="480"/>
      <c r="P615" s="90"/>
    </row>
    <row r="616" spans="2:16" s="353" customFormat="1" ht="15" thickBot="1">
      <c r="B616" s="434"/>
      <c r="C616" s="274"/>
      <c r="D616" s="161"/>
      <c r="E616" s="848" t="s">
        <v>6146</v>
      </c>
      <c r="F616" s="849"/>
      <c r="G616" s="849"/>
      <c r="H616" s="849"/>
      <c r="I616" s="849"/>
      <c r="J616" s="850"/>
      <c r="K616" s="126"/>
      <c r="L616" s="149"/>
      <c r="M616" s="67"/>
      <c r="N616" s="478"/>
      <c r="P616" s="90"/>
    </row>
    <row r="617" spans="2:16" s="90" customFormat="1" ht="17.25" customHeight="1" thickBot="1">
      <c r="B617" s="434"/>
      <c r="C617" s="274"/>
      <c r="D617" s="161"/>
      <c r="E617" s="845" t="s">
        <v>8288</v>
      </c>
      <c r="F617" s="846"/>
      <c r="G617" s="846"/>
      <c r="H617" s="846"/>
      <c r="I617" s="846"/>
      <c r="J617" s="847"/>
      <c r="K617" s="126"/>
      <c r="L617" s="149"/>
      <c r="M617" s="67"/>
      <c r="N617" s="478"/>
    </row>
    <row r="618" spans="2:16" s="90" customFormat="1" ht="17.25" customHeight="1">
      <c r="B618" s="434"/>
      <c r="C618" s="274"/>
      <c r="D618" s="161"/>
      <c r="E618" s="424"/>
      <c r="F618" s="425"/>
      <c r="G618" s="425"/>
      <c r="H618" s="425"/>
      <c r="I618" s="425"/>
      <c r="J618" s="426"/>
      <c r="K618" s="126"/>
      <c r="L618" s="149"/>
      <c r="M618" s="67"/>
      <c r="N618" s="478"/>
    </row>
    <row r="619" spans="2:16" s="90" customFormat="1" ht="27" customHeight="1">
      <c r="B619" s="636"/>
      <c r="C619" s="274">
        <v>97906</v>
      </c>
      <c r="D619" s="161" t="s">
        <v>6</v>
      </c>
      <c r="E619" s="833" t="str">
        <f>IFERROR(VLOOKUP($C619,'SINAPI FEVEREIRO 2022'!$1:$1048576,2,0),IFERROR(VLOOKUP($C619,'5-COMP. PROPRIA'!$B$38:$I$647,4,0),""))</f>
        <v>CAIXA ENTERRADA HIDRÁULICA RETANGULAR, EM ALVENARIA COM BLOCOS DE CONCRETO, DIMENSÕES INTERNAS: 0,6X0,6X0,6 M PARA REDE DE ESGOTO. AF_12/2020</v>
      </c>
      <c r="F619" s="834"/>
      <c r="G619" s="834"/>
      <c r="H619" s="834"/>
      <c r="I619" s="834"/>
      <c r="J619" s="835"/>
      <c r="K619" s="127">
        <v>1</v>
      </c>
      <c r="L619" s="446" t="str">
        <f>IFERROR(VLOOKUP($C619,'SINAPI FEVEREIRO 2022'!$1:$1048576,3,0),IFERROR(VLOOKUP($C619,'5-COMP. PROPRIA'!$B$1:$I$647,5,0),""))</f>
        <v>UN</v>
      </c>
      <c r="M619" s="67"/>
      <c r="N619" s="478"/>
    </row>
    <row r="620" spans="2:16" s="90" customFormat="1" ht="17.25" customHeight="1">
      <c r="B620" s="636"/>
      <c r="C620" s="274"/>
      <c r="D620" s="161"/>
      <c r="E620" s="637"/>
      <c r="F620" s="638"/>
      <c r="G620" s="638"/>
      <c r="H620" s="638"/>
      <c r="I620" s="638"/>
      <c r="J620" s="639"/>
      <c r="K620" s="126"/>
      <c r="L620" s="149"/>
      <c r="M620" s="67"/>
      <c r="N620" s="478"/>
    </row>
    <row r="621" spans="2:16" s="90" customFormat="1" ht="33.75" customHeight="1">
      <c r="B621" s="434"/>
      <c r="C621" s="274">
        <v>97902</v>
      </c>
      <c r="D621" s="161" t="s">
        <v>6</v>
      </c>
      <c r="E621" s="833" t="str">
        <f>IFERROR(VLOOKUP($C621,'SINAPI FEVEREIRO 2022'!$1:$1048576,2,0),IFERROR(VLOOKUP($C621,'5-COMP. PROPRIA'!$B$38:$I$647,4,0),""))</f>
        <v>CAIXA ENTERRADA HIDRÁULICA RETANGULAR EM ALVENARIA COM TIJOLOS CERÂMICOS MACIÇOS, DIMENSÕES INTERNAS: 0,6X0,6X0,6 M PARA REDE DE ESGOTO. AF_12/2020</v>
      </c>
      <c r="F621" s="834"/>
      <c r="G621" s="834"/>
      <c r="H621" s="834"/>
      <c r="I621" s="834"/>
      <c r="J621" s="835"/>
      <c r="K621" s="127">
        <v>9</v>
      </c>
      <c r="L621" s="446" t="str">
        <f>IFERROR(VLOOKUP($C621,'SINAPI FEVEREIRO 2022'!$1:$1048576,3,0),IFERROR(VLOOKUP($C621,'5-COMP. PROPRIA'!$B$1:$I$647,5,0),""))</f>
        <v>UN</v>
      </c>
      <c r="M621" s="67"/>
      <c r="N621" s="478"/>
    </row>
    <row r="622" spans="2:16" s="90" customFormat="1" ht="15">
      <c r="B622" s="636"/>
      <c r="C622" s="274"/>
      <c r="D622" s="161"/>
      <c r="E622" s="633"/>
      <c r="F622" s="634"/>
      <c r="G622" s="634"/>
      <c r="H622" s="634"/>
      <c r="I622" s="634"/>
      <c r="J622" s="635"/>
      <c r="K622" s="127"/>
      <c r="L622" s="446"/>
      <c r="M622" s="67"/>
      <c r="N622" s="478"/>
    </row>
    <row r="623" spans="2:16" s="90" customFormat="1" ht="39" customHeight="1">
      <c r="B623" s="636"/>
      <c r="C623" s="274">
        <v>89707</v>
      </c>
      <c r="D623" s="161" t="s">
        <v>6</v>
      </c>
      <c r="E623" s="833" t="str">
        <f>IFERROR(VLOOKUP($C623,'SINAPI FEVEREIRO 2022'!$1:$1048576,2,0),IFERROR(VLOOKUP($C623,'5-COMP. PROPRIA'!$B$38:$I$647,4,0),""))</f>
        <v>CAIXA SIFONADA, PVC, DN 100 X 100 X 50 MM, JUNTA ELÁSTICA, FORNECIDA E INSTALADA EM RAMAL DE DESCARGA OU EM RAMAL DE ESGOTO SANITÁRIO. AF_12/2014</v>
      </c>
      <c r="F623" s="834"/>
      <c r="G623" s="834"/>
      <c r="H623" s="834"/>
      <c r="I623" s="834"/>
      <c r="J623" s="835"/>
      <c r="K623" s="127">
        <v>1</v>
      </c>
      <c r="L623" s="446" t="str">
        <f>IFERROR(VLOOKUP($C623,'SINAPI FEVEREIRO 2022'!$1:$1048576,3,0),IFERROR(VLOOKUP($C623,'5-COMP. PROPRIA'!$B$1:$I$647,5,0),""))</f>
        <v>UN</v>
      </c>
      <c r="M623" s="67"/>
      <c r="N623" s="478"/>
    </row>
    <row r="624" spans="2:16" s="90" customFormat="1" ht="14.25">
      <c r="B624" s="434"/>
      <c r="C624" s="274"/>
      <c r="D624" s="161"/>
      <c r="E624" s="424"/>
      <c r="F624" s="425"/>
      <c r="G624" s="520"/>
      <c r="H624" s="425"/>
      <c r="I624" s="425"/>
      <c r="J624" s="426"/>
      <c r="K624" s="126"/>
      <c r="L624" s="149"/>
      <c r="M624" s="67"/>
      <c r="N624" s="478"/>
    </row>
    <row r="625" spans="2:16" s="90" customFormat="1" ht="35.25" customHeight="1">
      <c r="B625" s="434"/>
      <c r="C625" s="275" t="str">
        <f>'5-COMP. PROPRIA'!B194</f>
        <v>CP-HIDR-1</v>
      </c>
      <c r="D625" s="161" t="s">
        <v>641</v>
      </c>
      <c r="E625" s="833" t="str">
        <f>IFERROR(VLOOKUP($C625,'SINAPI FEVEREIRO 2022'!$1:$1048576,2,0),IFERROR(VLOOKUP($C625,'5-COMP. PROPRIA'!$B$38:$I$647,4,0),""))</f>
        <v>CAIXA SIFONADA PVC, 150X150X50 MM, COM GRELHA QUADRADA BRANCA - NBR 5688 - FORNECIMENTO E INSTALAÇÃO</v>
      </c>
      <c r="F625" s="834"/>
      <c r="G625" s="834"/>
      <c r="H625" s="834"/>
      <c r="I625" s="834"/>
      <c r="J625" s="835"/>
      <c r="K625" s="127">
        <v>4</v>
      </c>
      <c r="L625" s="446" t="str">
        <f>IFERROR(VLOOKUP($C625,'SINAPI FEVEREIRO 2022'!$1:$1048576,3,0),IFERROR(VLOOKUP($C625,'5-COMP. PROPRIA'!$B$1:$I$647,5,0),""))</f>
        <v xml:space="preserve">UN    </v>
      </c>
      <c r="M625" s="67"/>
      <c r="N625" s="478"/>
    </row>
    <row r="626" spans="2:16" s="90" customFormat="1" ht="14.25">
      <c r="B626" s="434"/>
      <c r="C626" s="274"/>
      <c r="D626" s="161"/>
      <c r="E626" s="424"/>
      <c r="F626" s="425"/>
      <c r="G626" s="520"/>
      <c r="H626" s="520"/>
      <c r="I626" s="425"/>
      <c r="J626" s="426"/>
      <c r="K626" s="126"/>
      <c r="L626" s="149"/>
      <c r="M626" s="67"/>
      <c r="N626" s="478"/>
    </row>
    <row r="627" spans="2:16" s="90" customFormat="1" ht="25.5" customHeight="1">
      <c r="B627" s="434"/>
      <c r="C627" s="274">
        <v>89708</v>
      </c>
      <c r="D627" s="161" t="s">
        <v>6</v>
      </c>
      <c r="E627" s="833" t="str">
        <f>IFERROR(VLOOKUP($C627,'SINAPI FEVEREIRO 2022'!$1:$1048576,2,0),IFERROR(VLOOKUP($C627,'5-COMP. PROPRIA'!$B$38:$I$647,4,0),""))</f>
        <v>CAIXA SIFONADA, PVC, DN 150 X 185 X 75 MM, JUNTA ELÁSTICA, FORNECIDA E INSTALADA EM RAMAL DE DESCARGA OU EM RAMAL DE ESGOTO SANITÁRIO. AF_12/2014</v>
      </c>
      <c r="F627" s="834"/>
      <c r="G627" s="834"/>
      <c r="H627" s="834"/>
      <c r="I627" s="834"/>
      <c r="J627" s="835"/>
      <c r="K627" s="127">
        <v>2</v>
      </c>
      <c r="L627" s="446" t="str">
        <f>IFERROR(VLOOKUP($C627,'SINAPI FEVEREIRO 2022'!$1:$1048576,3,0),IFERROR(VLOOKUP($C627,'5-COMP. PROPRIA'!$B$1:$I$647,5,0),""))</f>
        <v>UN</v>
      </c>
      <c r="M627" s="67"/>
      <c r="N627" s="478"/>
    </row>
    <row r="628" spans="2:16" s="90" customFormat="1" ht="14.25">
      <c r="B628" s="434"/>
      <c r="C628" s="274"/>
      <c r="D628" s="161"/>
      <c r="E628" s="424"/>
      <c r="F628" s="425"/>
      <c r="G628" s="425"/>
      <c r="H628" s="520"/>
      <c r="I628" s="520"/>
      <c r="J628" s="521"/>
      <c r="K628" s="126"/>
      <c r="L628" s="149"/>
      <c r="M628" s="67"/>
      <c r="N628" s="478"/>
    </row>
    <row r="629" spans="2:16" ht="28.5" customHeight="1">
      <c r="B629" s="434"/>
      <c r="C629" s="274">
        <v>89709</v>
      </c>
      <c r="D629" s="161" t="s">
        <v>6</v>
      </c>
      <c r="E629" s="833" t="str">
        <f>IFERROR(VLOOKUP($C629,'SINAPI FEVEREIRO 2022'!$1:$1048576,2,0),IFERROR(VLOOKUP($C629,'5-COMP. PROPRIA'!$B$38:$I$647,4,0),""))</f>
        <v>RALO SIFONADO, PVC, DN 100 X 40 MM, JUNTA SOLDÁVEL, FORNECIDO E INSTALADO EM RAMAL DE DESCARGA OU EM RAMAL DE ESGOTO SANITÁRIO. AF_12/2014</v>
      </c>
      <c r="F629" s="834"/>
      <c r="G629" s="834"/>
      <c r="H629" s="834"/>
      <c r="I629" s="834"/>
      <c r="J629" s="835"/>
      <c r="K629" s="127">
        <v>2</v>
      </c>
      <c r="L629" s="446" t="str">
        <f>IFERROR(VLOOKUP($C629,'SINAPI FEVEREIRO 2022'!$1:$1048576,3,0),IFERROR(VLOOKUP($C629,'5-COMP. PROPRIA'!$B$1:$I$647,5,0),""))</f>
        <v>UN</v>
      </c>
      <c r="M629" s="67"/>
      <c r="N629" s="478"/>
      <c r="O629" s="90"/>
      <c r="P629" s="90"/>
    </row>
    <row r="630" spans="2:16" s="353" customFormat="1" ht="29.25" customHeight="1">
      <c r="B630" s="434"/>
      <c r="C630" s="274"/>
      <c r="D630" s="161"/>
      <c r="E630" s="415"/>
      <c r="F630" s="416"/>
      <c r="G630" s="516"/>
      <c r="H630" s="516"/>
      <c r="I630" s="416"/>
      <c r="J630" s="417"/>
      <c r="K630" s="127"/>
      <c r="L630" s="446"/>
      <c r="M630" s="67"/>
      <c r="N630" s="478"/>
      <c r="O630" s="90"/>
      <c r="P630" s="90"/>
    </row>
    <row r="631" spans="2:16" s="90" customFormat="1" ht="15" customHeight="1">
      <c r="B631" s="434"/>
      <c r="C631" s="275" t="str">
        <f>'5-COMP. PROPRIA'!B204</f>
        <v>CP-HIDR-2</v>
      </c>
      <c r="D631" s="161" t="s">
        <v>641</v>
      </c>
      <c r="E631" s="833" t="str">
        <f>IFERROR(VLOOKUP($C631,'SINAPI FEVEREIRO 2022'!$1:$1048576,2,0),IFERROR(VLOOKUP($C631,'5-COMP. PROPRIA'!$B$38:$I$647,4,0),""))</f>
        <v>SIFÃO DE COPO PARA PIA E LAVATORIO 1" - 1/.1/2"  - FORNECIMENTO E INSTALAÇÃO</v>
      </c>
      <c r="F631" s="834"/>
      <c r="G631" s="834"/>
      <c r="H631" s="834"/>
      <c r="I631" s="834"/>
      <c r="J631" s="835"/>
      <c r="K631" s="127">
        <v>9</v>
      </c>
      <c r="L631" s="446" t="str">
        <f>IFERROR(VLOOKUP($C631,'SINAPI FEVEREIRO 2022'!$1:$1048576,3,0),IFERROR(VLOOKUP($C631,'5-COMP. PROPRIA'!$B$1:$I$647,5,0),""))</f>
        <v xml:space="preserve">UN    </v>
      </c>
      <c r="M631" s="67"/>
      <c r="N631" s="478"/>
    </row>
    <row r="632" spans="2:16" s="90" customFormat="1" ht="27.75" customHeight="1">
      <c r="B632" s="434"/>
      <c r="C632" s="274"/>
      <c r="D632" s="161"/>
      <c r="E632" s="415"/>
      <c r="F632" s="416"/>
      <c r="G632" s="416"/>
      <c r="H632" s="416"/>
      <c r="I632" s="416"/>
      <c r="J632" s="417"/>
      <c r="K632" s="127"/>
      <c r="L632" s="446"/>
      <c r="M632" s="67"/>
      <c r="N632" s="478"/>
    </row>
    <row r="633" spans="2:16" s="90" customFormat="1" ht="15">
      <c r="B633" s="434"/>
      <c r="C633" s="275" t="str">
        <f>'5-COMP. PROPRIA'!B210</f>
        <v>CP-HIDR-3</v>
      </c>
      <c r="D633" s="161" t="s">
        <v>641</v>
      </c>
      <c r="E633" s="833" t="str">
        <f>IFERROR(VLOOKUP($C633,'SINAPI FEVEREIRO 2022'!$1:$1048576,2,0),IFERROR(VLOOKUP($C633,'5-COMP. PROPRIA'!$B$38:$I$647,4,0),""))</f>
        <v>SIFÃO DE COPO PARA PIA E LAVATORIO 1" - 2"  - FORNECIMENTO E INSTALAÇÃO</v>
      </c>
      <c r="F633" s="834"/>
      <c r="G633" s="834"/>
      <c r="H633" s="834"/>
      <c r="I633" s="834"/>
      <c r="J633" s="835"/>
      <c r="K633" s="127">
        <v>3</v>
      </c>
      <c r="L633" s="446" t="str">
        <f>IFERROR(VLOOKUP($C633,'SINAPI FEVEREIRO 2022'!$1:$1048576,3,0),IFERROR(VLOOKUP($C633,'5-COMP. PROPRIA'!$B$1:$I$647,5,0),""))</f>
        <v xml:space="preserve">UN    </v>
      </c>
      <c r="M633" s="67"/>
      <c r="N633" s="478"/>
    </row>
    <row r="634" spans="2:16" s="90" customFormat="1" ht="28.5" customHeight="1">
      <c r="B634" s="434"/>
      <c r="C634" s="274"/>
      <c r="D634" s="161"/>
      <c r="E634" s="415"/>
      <c r="F634" s="416"/>
      <c r="G634" s="416"/>
      <c r="H634" s="416"/>
      <c r="I634" s="416"/>
      <c r="J634" s="417"/>
      <c r="K634" s="127"/>
      <c r="L634" s="446"/>
      <c r="M634" s="67"/>
      <c r="N634" s="478"/>
    </row>
    <row r="635" spans="2:16" s="90" customFormat="1" ht="15">
      <c r="B635" s="434"/>
      <c r="C635" s="275">
        <v>86883</v>
      </c>
      <c r="D635" s="161" t="s">
        <v>6</v>
      </c>
      <c r="E635" s="833" t="str">
        <f>IFERROR(VLOOKUP($C635,'SINAPI FEVEREIRO 2022'!$1:$1048576,2,0),IFERROR(VLOOKUP($C635,'5-COMP. PROPRIA'!$B$38:$I$647,4,0),""))</f>
        <v>SIFÃO DO TIPO FLEXÍVEL EM PVC 1  X 1.1/2  - FORNECIMENTO E INSTALAÇÃO. AF_01/2020</v>
      </c>
      <c r="F635" s="834"/>
      <c r="G635" s="834"/>
      <c r="H635" s="834"/>
      <c r="I635" s="834"/>
      <c r="J635" s="835"/>
      <c r="K635" s="127">
        <v>2</v>
      </c>
      <c r="L635" s="446" t="str">
        <f>IFERROR(VLOOKUP($C635,'SINAPI FEVEREIRO 2022'!$1:$1048576,3,0),IFERROR(VLOOKUP($C635,'5-COMP. PROPRIA'!$B$1:$I$647,5,0),""))</f>
        <v>UN</v>
      </c>
      <c r="M635" s="67"/>
      <c r="N635" s="478"/>
    </row>
    <row r="636" spans="2:16" s="90" customFormat="1" ht="15">
      <c r="B636" s="434"/>
      <c r="C636" s="275"/>
      <c r="D636" s="161"/>
      <c r="E636" s="415"/>
      <c r="F636" s="516"/>
      <c r="G636" s="516"/>
      <c r="H636" s="516"/>
      <c r="I636" s="516"/>
      <c r="J636" s="417"/>
      <c r="K636" s="127"/>
      <c r="L636" s="446"/>
      <c r="M636" s="67"/>
      <c r="N636" s="478"/>
    </row>
    <row r="637" spans="2:16" s="90" customFormat="1" ht="29.25" customHeight="1">
      <c r="B637" s="434"/>
      <c r="C637" s="275">
        <v>86879</v>
      </c>
      <c r="D637" s="161" t="s">
        <v>6</v>
      </c>
      <c r="E637" s="833" t="str">
        <f>IFERROR(VLOOKUP($C637,'SINAPI FEVEREIRO 2022'!$1:$1048576,2,0),IFERROR(VLOOKUP($C637,'5-COMP. PROPRIA'!$B$38:$I$647,4,0),""))</f>
        <v>VÁLVULA EM PLÁSTICO 1 PARA PIA, TANQUE OU LAVATÓRIO, COM OU SEM LADRÃO - FORNECIMENTO E INSTALAÇÃO. AF_01/2020</v>
      </c>
      <c r="F637" s="834"/>
      <c r="G637" s="834"/>
      <c r="H637" s="834"/>
      <c r="I637" s="834"/>
      <c r="J637" s="835"/>
      <c r="K637" s="127">
        <v>14</v>
      </c>
      <c r="L637" s="446" t="str">
        <f>IFERROR(VLOOKUP($C637,'SINAPI FEVEREIRO 2022'!$1:$1048576,3,0),IFERROR(VLOOKUP($C637,'5-COMP. PROPRIA'!$B$1:$I$647,5,0),""))</f>
        <v>UN</v>
      </c>
      <c r="M637" s="67"/>
      <c r="N637" s="478"/>
    </row>
    <row r="638" spans="2:16" s="90" customFormat="1" ht="15">
      <c r="B638" s="434"/>
      <c r="C638" s="275"/>
      <c r="D638" s="161"/>
      <c r="E638" s="415"/>
      <c r="F638" s="416"/>
      <c r="G638" s="416"/>
      <c r="H638" s="416"/>
      <c r="I638" s="416"/>
      <c r="J638" s="417"/>
      <c r="K638" s="127"/>
      <c r="L638" s="446"/>
      <c r="M638" s="67"/>
      <c r="N638" s="478"/>
    </row>
    <row r="639" spans="2:16" ht="27" customHeight="1">
      <c r="B639" s="434"/>
      <c r="C639" s="275">
        <v>89728</v>
      </c>
      <c r="D639" s="161" t="s">
        <v>6</v>
      </c>
      <c r="E639" s="833" t="str">
        <f>IFERROR(VLOOKUP($C639,'SINAPI FEVEREIRO 2022'!$1:$1048576,2,0),IFERROR(VLOOKUP($C639,'5-COMP. PROPRIA'!$B$38:$I$647,4,0),""))</f>
        <v>CURVA CURTA 90 GRAUS, PVC, SERIE NORMAL, ESGOTO PREDIAL, DN 40 MM, JUNTA SOLDÁVEL, FORNECIDO E INSTALADO EM RAMAL DE DESCARGA OU RAMAL DE ESGOTO SANITÁRIO. AF_12/2014</v>
      </c>
      <c r="F639" s="834"/>
      <c r="G639" s="834"/>
      <c r="H639" s="834"/>
      <c r="I639" s="834"/>
      <c r="J639" s="835"/>
      <c r="K639" s="127">
        <v>12</v>
      </c>
      <c r="L639" s="446" t="str">
        <f>IFERROR(VLOOKUP($C639,'SINAPI FEVEREIRO 2022'!$1:$1048576,3,0),IFERROR(VLOOKUP($C639,'5-COMP. PROPRIA'!$B$1:$I$647,5,0),""))</f>
        <v>UN</v>
      </c>
      <c r="M639" s="67"/>
      <c r="N639" s="478"/>
      <c r="O639" s="90"/>
      <c r="P639" s="90"/>
    </row>
    <row r="640" spans="2:16" s="353" customFormat="1" ht="15" customHeight="1">
      <c r="B640" s="434"/>
      <c r="C640" s="274"/>
      <c r="D640" s="161"/>
      <c r="E640" s="415"/>
      <c r="F640" s="416"/>
      <c r="G640" s="416"/>
      <c r="H640" s="416"/>
      <c r="I640" s="416"/>
      <c r="J640" s="417"/>
      <c r="K640" s="127"/>
      <c r="L640" s="446"/>
      <c r="M640" s="67"/>
      <c r="N640" s="478"/>
      <c r="O640" s="90"/>
      <c r="P640" s="90"/>
    </row>
    <row r="641" spans="2:16" ht="32.25" customHeight="1">
      <c r="B641" s="434"/>
      <c r="C641" s="275">
        <v>89746</v>
      </c>
      <c r="D641" s="161" t="s">
        <v>6</v>
      </c>
      <c r="E641" s="833" t="str">
        <f>IFERROR(VLOOKUP($C641,'SINAPI FEVEREIRO 2022'!$1:$1048576,2,0),IFERROR(VLOOKUP($C641,'5-COMP. PROPRIA'!$B$38:$I$647,4,0),""))</f>
        <v>JOELHO 45 GRAUS, PVC, SERIE NORMAL, ESGOTO PREDIAL, DN 100 MM, JUNTA ELÁSTICA, FORNECIDO E INSTALADO EM RAMAL DE DESCARGA OU RAMAL DE ESGOTO SANITÁRIO. AF_12/2014</v>
      </c>
      <c r="F641" s="834"/>
      <c r="G641" s="834"/>
      <c r="H641" s="834"/>
      <c r="I641" s="834"/>
      <c r="J641" s="835"/>
      <c r="K641" s="127">
        <v>3</v>
      </c>
      <c r="L641" s="446" t="str">
        <f>IFERROR(VLOOKUP($C641,'SINAPI FEVEREIRO 2022'!$1:$1048576,3,0),IFERROR(VLOOKUP($C641,'5-COMP. PROPRIA'!$B$1:$I$647,5,0),""))</f>
        <v>UN</v>
      </c>
      <c r="M641" s="67"/>
      <c r="N641" s="478"/>
      <c r="O641" s="90"/>
      <c r="P641" s="90"/>
    </row>
    <row r="642" spans="2:16" s="353" customFormat="1" ht="15">
      <c r="B642" s="434"/>
      <c r="C642" s="274"/>
      <c r="D642" s="161"/>
      <c r="E642" s="515"/>
      <c r="F642" s="516"/>
      <c r="G642" s="516"/>
      <c r="H642" s="516"/>
      <c r="I642" s="516"/>
      <c r="J642" s="517"/>
      <c r="K642" s="127"/>
      <c r="L642" s="446"/>
      <c r="M642" s="67"/>
      <c r="N642" s="478"/>
      <c r="O642" s="90"/>
      <c r="P642" s="90"/>
    </row>
    <row r="643" spans="2:16" ht="27.75" customHeight="1">
      <c r="B643" s="434"/>
      <c r="C643" s="275">
        <v>89726</v>
      </c>
      <c r="D643" s="161" t="s">
        <v>6</v>
      </c>
      <c r="E643" s="833" t="str">
        <f>IFERROR(VLOOKUP($C643,'SINAPI FEVEREIRO 2022'!$1:$1048576,2,0),IFERROR(VLOOKUP($C643,'5-COMP. PROPRIA'!$B$38:$I$647,4,0),""))</f>
        <v>JOELHO 45 GRAUS, PVC, SERIE NORMAL, ESGOTO PREDIAL, DN 40 MM, JUNTA SOLDÁVEL, FORNECIDO E INSTALADO EM RAMAL DE DESCARGA OU RAMAL DE ESGOTO SANITÁRIO. AF_12/2014</v>
      </c>
      <c r="F643" s="834"/>
      <c r="G643" s="834"/>
      <c r="H643" s="834"/>
      <c r="I643" s="834"/>
      <c r="J643" s="835"/>
      <c r="K643" s="127">
        <v>9</v>
      </c>
      <c r="L643" s="446" t="str">
        <f>IFERROR(VLOOKUP($C643,'SINAPI FEVEREIRO 2022'!$1:$1048576,3,0),IFERROR(VLOOKUP($C643,'5-COMP. PROPRIA'!$B$1:$I$647,5,0),""))</f>
        <v>UN</v>
      </c>
      <c r="M643" s="67"/>
      <c r="N643" s="478"/>
      <c r="O643" s="90"/>
      <c r="P643" s="90"/>
    </row>
    <row r="644" spans="2:16" s="353" customFormat="1" ht="15">
      <c r="B644" s="434"/>
      <c r="C644" s="275"/>
      <c r="D644" s="161"/>
      <c r="E644" s="415"/>
      <c r="F644" s="416"/>
      <c r="G644" s="416"/>
      <c r="H644" s="416"/>
      <c r="I644" s="416"/>
      <c r="J644" s="417"/>
      <c r="K644" s="127"/>
      <c r="L644" s="446"/>
      <c r="M644" s="67"/>
      <c r="N644" s="478"/>
      <c r="O644" s="90"/>
      <c r="P644" s="90"/>
    </row>
    <row r="645" spans="2:16" ht="30.75" customHeight="1">
      <c r="B645" s="434"/>
      <c r="C645" s="275">
        <v>89732</v>
      </c>
      <c r="D645" s="161" t="s">
        <v>6</v>
      </c>
      <c r="E645" s="833" t="str">
        <f>IFERROR(VLOOKUP($C645,'SINAPI FEVEREIRO 2022'!$1:$1048576,2,0),IFERROR(VLOOKUP($C645,'5-COMP. PROPRIA'!$B$38:$I$647,4,0),""))</f>
        <v>JOELHO 45 GRAUS, PVC, SERIE NORMAL, ESGOTO PREDIAL, DN 50 MM, JUNTA ELÁSTICA, FORNECIDO E INSTALADO EM RAMAL DE DESCARGA OU RAMAL DE ESGOTO SANITÁRIO. AF_12/2014</v>
      </c>
      <c r="F645" s="834"/>
      <c r="G645" s="834"/>
      <c r="H645" s="834"/>
      <c r="I645" s="834"/>
      <c r="J645" s="835"/>
      <c r="K645" s="127">
        <v>3</v>
      </c>
      <c r="L645" s="446" t="str">
        <f>IFERROR(VLOOKUP($C645,'SINAPI FEVEREIRO 2022'!$1:$1048576,3,0),IFERROR(VLOOKUP($C645,'5-COMP. PROPRIA'!$B$1:$I$647,5,0),""))</f>
        <v>UN</v>
      </c>
      <c r="M645" s="67"/>
      <c r="N645" s="478"/>
      <c r="O645" s="90"/>
      <c r="P645" s="90"/>
    </row>
    <row r="646" spans="2:16" s="353" customFormat="1" ht="15">
      <c r="B646" s="434"/>
      <c r="C646" s="275"/>
      <c r="D646" s="161"/>
      <c r="E646" s="415"/>
      <c r="F646" s="416"/>
      <c r="G646" s="516"/>
      <c r="H646" s="516"/>
      <c r="I646" s="516"/>
      <c r="J646" s="417"/>
      <c r="K646" s="127"/>
      <c r="L646" s="446"/>
      <c r="M646" s="67"/>
      <c r="N646" s="478"/>
      <c r="O646" s="90"/>
      <c r="P646" s="90"/>
    </row>
    <row r="647" spans="2:16" s="90" customFormat="1" ht="32.25" customHeight="1">
      <c r="B647" s="434"/>
      <c r="C647" s="275">
        <v>89739</v>
      </c>
      <c r="D647" s="161" t="s">
        <v>6</v>
      </c>
      <c r="E647" s="833" t="str">
        <f>IFERROR(VLOOKUP($C647,'SINAPI FEVEREIRO 2022'!$1:$1048576,2,0),IFERROR(VLOOKUP($C647,'5-COMP. PROPRIA'!$B$38:$I$647,4,0),""))</f>
        <v>JOELHO 45 GRAUS, PVC, SERIE NORMAL, ESGOTO PREDIAL, DN 75 MM, JUNTA ELÁSTICA, FORNECIDO E INSTALADO EM RAMAL DE DESCARGA OU RAMAL DE ESGOTO SANITÁRIO. AF_12/2014</v>
      </c>
      <c r="F647" s="834"/>
      <c r="G647" s="834"/>
      <c r="H647" s="834"/>
      <c r="I647" s="834"/>
      <c r="J647" s="835"/>
      <c r="K647" s="127">
        <v>2</v>
      </c>
      <c r="L647" s="446" t="str">
        <f>IFERROR(VLOOKUP($C647,'SINAPI FEVEREIRO 2022'!$1:$1048576,3,0),IFERROR(VLOOKUP($C647,'5-COMP. PROPRIA'!$B$1:$I$647,5,0),""))</f>
        <v>UN</v>
      </c>
      <c r="M647" s="67"/>
      <c r="N647" s="478"/>
    </row>
    <row r="648" spans="2:16" s="90" customFormat="1" ht="15">
      <c r="B648" s="434"/>
      <c r="C648" s="275"/>
      <c r="D648" s="161"/>
      <c r="E648" s="415"/>
      <c r="F648" s="416"/>
      <c r="G648" s="416"/>
      <c r="H648" s="416"/>
      <c r="I648" s="416"/>
      <c r="J648" s="417"/>
      <c r="K648" s="127"/>
      <c r="L648" s="446"/>
      <c r="M648" s="67"/>
      <c r="N648" s="478"/>
    </row>
    <row r="649" spans="2:16" ht="30.75" customHeight="1">
      <c r="B649" s="434"/>
      <c r="C649" s="275">
        <v>89809</v>
      </c>
      <c r="D649" s="161" t="s">
        <v>6</v>
      </c>
      <c r="E649" s="833" t="str">
        <f>IFERROR(VLOOKUP($C649,'SINAPI FEVEREIRO 2022'!$1:$1048576,2,0),IFERROR(VLOOKUP($C649,'5-COMP. PROPRIA'!$B$38:$I$647,4,0),""))</f>
        <v>JOELHO 90 GRAUS, PVC, SERIE NORMAL, ESGOTO PREDIAL, DN 100 MM, JUNTA ELÁSTICA, FORNECIDO E INSTALADO EM PRUMADA DE ESGOTO SANITÁRIO OU VENTILAÇÃO. AF_12/2014</v>
      </c>
      <c r="F649" s="834"/>
      <c r="G649" s="834"/>
      <c r="H649" s="834"/>
      <c r="I649" s="834"/>
      <c r="J649" s="835"/>
      <c r="K649" s="127">
        <v>10</v>
      </c>
      <c r="L649" s="446" t="str">
        <f>IFERROR(VLOOKUP($C649,'SINAPI FEVEREIRO 2022'!$1:$1048576,3,0),IFERROR(VLOOKUP($C649,'5-COMP. PROPRIA'!$B$1:$I$647,5,0),""))</f>
        <v>UN</v>
      </c>
      <c r="M649" s="67"/>
      <c r="N649" s="478"/>
      <c r="O649" s="445"/>
      <c r="P649" s="90"/>
    </row>
    <row r="650" spans="2:16" ht="15">
      <c r="B650" s="434"/>
      <c r="C650" s="275"/>
      <c r="D650" s="161"/>
      <c r="E650" s="515"/>
      <c r="F650" s="516"/>
      <c r="G650" s="516"/>
      <c r="H650" s="516"/>
      <c r="I650" s="516"/>
      <c r="J650" s="417"/>
      <c r="K650" s="127"/>
      <c r="L650" s="446"/>
      <c r="M650" s="67"/>
      <c r="N650" s="478"/>
      <c r="O650" s="445"/>
      <c r="P650" s="90"/>
    </row>
    <row r="651" spans="2:16" ht="28.5" customHeight="1">
      <c r="B651" s="434"/>
      <c r="C651" s="275">
        <v>89801</v>
      </c>
      <c r="D651" s="161" t="s">
        <v>6</v>
      </c>
      <c r="E651" s="833" t="str">
        <f>IFERROR(VLOOKUP($C651,'SINAPI FEVEREIRO 2022'!$1:$1048576,2,0),IFERROR(VLOOKUP($C651,'5-COMP. PROPRIA'!$B$38:$I$647,4,0),""))</f>
        <v>JOELHO 90 GRAUS, PVC, SERIE NORMAL, ESGOTO PREDIAL, DN 50 MM, JUNTA ELÁSTICA, FORNECIDO E INSTALADO EM PRUMADA DE ESGOTO SANITÁRIO OU VENTILAÇÃO. AF_12/2014</v>
      </c>
      <c r="F651" s="834"/>
      <c r="G651" s="834"/>
      <c r="H651" s="834"/>
      <c r="I651" s="834"/>
      <c r="J651" s="835"/>
      <c r="K651" s="127">
        <v>10</v>
      </c>
      <c r="L651" s="446" t="str">
        <f>IFERROR(VLOOKUP($C651,'SINAPI FEVEREIRO 2022'!$1:$1048576,3,0),IFERROR(VLOOKUP($C651,'5-COMP. PROPRIA'!$B$1:$I$647,5,0),""))</f>
        <v>UN</v>
      </c>
      <c r="M651" s="67"/>
      <c r="N651" s="478"/>
      <c r="O651" s="445"/>
      <c r="P651" s="90"/>
    </row>
    <row r="652" spans="2:16" ht="15">
      <c r="B652" s="434"/>
      <c r="C652" s="275"/>
      <c r="D652" s="161"/>
      <c r="E652" s="415"/>
      <c r="F652" s="516"/>
      <c r="G652" s="416"/>
      <c r="H652" s="416"/>
      <c r="I652" s="416"/>
      <c r="J652" s="417"/>
      <c r="K652" s="127"/>
      <c r="L652" s="446"/>
      <c r="M652" s="67"/>
      <c r="N652" s="478"/>
      <c r="O652" s="445"/>
      <c r="P652" s="90"/>
    </row>
    <row r="653" spans="2:16" ht="33.75" customHeight="1">
      <c r="B653" s="434"/>
      <c r="C653" s="275">
        <v>89724</v>
      </c>
      <c r="D653" s="161" t="s">
        <v>6</v>
      </c>
      <c r="E653" s="833" t="str">
        <f>IFERROR(VLOOKUP($C653,'SINAPI FEVEREIRO 2022'!$1:$1048576,2,0),IFERROR(VLOOKUP($C653,'5-COMP. PROPRIA'!$B$38:$I$647,4,0),""))</f>
        <v>JOELHO 90 GRAUS, PVC, SERIE NORMAL, ESGOTO PREDIAL, DN 40 MM, JUNTA SOLDÁVEL, FORNECIDO E INSTALADO EM RAMAL DE DESCARGA OU RAMAL DE ESGOTO SANITÁRIO. AF_12/2014</v>
      </c>
      <c r="F653" s="834"/>
      <c r="G653" s="834"/>
      <c r="H653" s="834"/>
      <c r="I653" s="834"/>
      <c r="J653" s="835"/>
      <c r="K653" s="127">
        <v>10</v>
      </c>
      <c r="L653" s="446" t="str">
        <f>IFERROR(VLOOKUP($C653,'SINAPI FEVEREIRO 2022'!$1:$1048576,3,0),IFERROR(VLOOKUP($C653,'5-COMP. PROPRIA'!$B$1:$I$647,5,0),""))</f>
        <v>UN</v>
      </c>
      <c r="M653" s="67"/>
      <c r="N653" s="478"/>
      <c r="O653" s="445"/>
      <c r="P653" s="90"/>
    </row>
    <row r="654" spans="2:16" s="353" customFormat="1" ht="15">
      <c r="B654" s="434"/>
      <c r="C654" s="275"/>
      <c r="D654" s="161"/>
      <c r="E654" s="415"/>
      <c r="F654" s="516"/>
      <c r="G654" s="516"/>
      <c r="H654" s="516"/>
      <c r="I654" s="516"/>
      <c r="J654" s="417"/>
      <c r="K654" s="127"/>
      <c r="L654" s="446"/>
      <c r="M654" s="67"/>
      <c r="N654" s="478"/>
      <c r="O654" s="445"/>
      <c r="P654" s="90"/>
    </row>
    <row r="655" spans="2:16" s="353" customFormat="1" ht="35.25" customHeight="1">
      <c r="B655" s="434"/>
      <c r="C655" s="275" t="str">
        <f>'5-COMP. PROPRIA'!B216</f>
        <v>CP-HIDR-4</v>
      </c>
      <c r="D655" s="161" t="s">
        <v>641</v>
      </c>
      <c r="E655" s="833" t="str">
        <f>IFERROR(VLOOKUP($C655,'SINAPI FEVEREIRO 2022'!$1:$1048576,2,0),IFERROR(VLOOKUP($C655,'5-COMP. PROPRIA'!$B$38:$I$647,4,0),""))</f>
        <v>JUNCAO SIMPLES, PVC, DN 100 X 50 MM, SERIE NORMAL PARA ESGOTO PREDIAL -  FORNECIMENTO E INSTALAÇÃO</v>
      </c>
      <c r="F655" s="834"/>
      <c r="G655" s="834"/>
      <c r="H655" s="834"/>
      <c r="I655" s="834"/>
      <c r="J655" s="835"/>
      <c r="K655" s="127">
        <v>3</v>
      </c>
      <c r="L655" s="446" t="str">
        <f>IFERROR(VLOOKUP($C655,'SINAPI FEVEREIRO 2022'!$1:$1048576,3,0),IFERROR(VLOOKUP($C655,'5-COMP. PROPRIA'!$B$1:$I$647,5,0),""))</f>
        <v>UN</v>
      </c>
      <c r="M655" s="67"/>
      <c r="N655" s="478"/>
      <c r="O655" s="445"/>
      <c r="P655" s="90"/>
    </row>
    <row r="656" spans="2:16" ht="15">
      <c r="B656" s="434"/>
      <c r="C656" s="275"/>
      <c r="D656" s="161"/>
      <c r="E656" s="515"/>
      <c r="F656" s="516"/>
      <c r="G656" s="416"/>
      <c r="H656" s="416"/>
      <c r="I656" s="416"/>
      <c r="J656" s="417"/>
      <c r="K656" s="127"/>
      <c r="L656" s="446"/>
      <c r="M656" s="67"/>
      <c r="N656" s="478"/>
      <c r="P656" s="90"/>
    </row>
    <row r="657" spans="2:16" s="353" customFormat="1" ht="29.25" customHeight="1">
      <c r="B657" s="434"/>
      <c r="C657" s="275" t="str">
        <f>'5-COMP. PROPRIA'!B223</f>
        <v>CP-HIDR-5</v>
      </c>
      <c r="D657" s="161" t="s">
        <v>641</v>
      </c>
      <c r="E657" s="833" t="str">
        <f>IFERROR(VLOOKUP($C657,'SINAPI FEVEREIRO 2022'!$1:$1048576,2,0),IFERROR(VLOOKUP($C657,'5-COMP. PROPRIA'!$B$38:$I$647,4,0),""))</f>
        <v>JUNCAO SIMPLES, PVC, DN 100 X 75 MM, SERIE NORMAL PARA ESGOTO PREDIAL -  FORNECIMENTO E INSTALAÇÃO</v>
      </c>
      <c r="F657" s="834"/>
      <c r="G657" s="834"/>
      <c r="H657" s="834"/>
      <c r="I657" s="834"/>
      <c r="J657" s="835"/>
      <c r="K657" s="127">
        <v>2</v>
      </c>
      <c r="L657" s="446" t="str">
        <f>IFERROR(VLOOKUP($C657,'SINAPI FEVEREIRO 2022'!$1:$1048576,3,0),IFERROR(VLOOKUP($C657,'5-COMP. PROPRIA'!$B$1:$I$647,5,0),""))</f>
        <v>UN</v>
      </c>
      <c r="M657" s="67"/>
      <c r="N657" s="478"/>
      <c r="P657" s="90"/>
    </row>
    <row r="658" spans="2:16" ht="15">
      <c r="B658" s="434"/>
      <c r="C658" s="275"/>
      <c r="D658" s="161"/>
      <c r="E658" s="515"/>
      <c r="F658" s="516"/>
      <c r="G658" s="516"/>
      <c r="H658" s="416"/>
      <c r="I658" s="416"/>
      <c r="J658" s="417"/>
      <c r="K658" s="127"/>
      <c r="L658" s="446"/>
      <c r="M658" s="67"/>
      <c r="N658" s="478"/>
      <c r="P658" s="90"/>
    </row>
    <row r="659" spans="2:16" s="353" customFormat="1" ht="34.5" customHeight="1">
      <c r="B659" s="434"/>
      <c r="C659" s="275">
        <v>89797</v>
      </c>
      <c r="D659" s="161" t="s">
        <v>6</v>
      </c>
      <c r="E659" s="833" t="str">
        <f>IFERROR(VLOOKUP($C659,'SINAPI FEVEREIRO 2022'!$1:$1048576,2,0),IFERROR(VLOOKUP($C659,'5-COMP. PROPRIA'!$B$38:$I$647,4,0),""))</f>
        <v>JUNÇÃO SIMPLES, PVC, SERIE NORMAL, ESGOTO PREDIAL, DN 100 X 100 MM, JUNTA ELÁSTICA, FORNECIDO E INSTALADO EM RAMAL DE DESCARGA OU RAMAL DE ESGOTO SANITÁRIO. AF_12/2014</v>
      </c>
      <c r="F659" s="834"/>
      <c r="G659" s="834"/>
      <c r="H659" s="834"/>
      <c r="I659" s="834"/>
      <c r="J659" s="835"/>
      <c r="K659" s="127">
        <v>5</v>
      </c>
      <c r="L659" s="446" t="str">
        <f>IFERROR(VLOOKUP($C659,'SINAPI FEVEREIRO 2022'!$1:$1048576,3,0),IFERROR(VLOOKUP($C659,'5-COMP. PROPRIA'!$B$1:$I$647,5,0),""))</f>
        <v>UN</v>
      </c>
      <c r="M659" s="67"/>
      <c r="N659" s="478"/>
    </row>
    <row r="660" spans="2:16" s="353" customFormat="1" ht="25.5" customHeight="1">
      <c r="B660" s="434"/>
      <c r="C660" s="275"/>
      <c r="D660" s="161"/>
      <c r="E660" s="515"/>
      <c r="F660" s="516"/>
      <c r="G660" s="516"/>
      <c r="H660" s="416"/>
      <c r="I660" s="416"/>
      <c r="J660" s="417"/>
      <c r="K660" s="127"/>
      <c r="L660" s="446"/>
      <c r="M660" s="67"/>
      <c r="N660" s="478"/>
      <c r="P660" s="90"/>
    </row>
    <row r="661" spans="2:16" s="353" customFormat="1" ht="28.5" customHeight="1">
      <c r="B661" s="434"/>
      <c r="C661" s="275" t="str">
        <f>'5-COMP. PROPRIA'!B230</f>
        <v>CP-HIDR-6</v>
      </c>
      <c r="D661" s="161" t="s">
        <v>641</v>
      </c>
      <c r="E661" s="833" t="str">
        <f>IFERROR(VLOOKUP($C661,'SINAPI FEVEREIRO 2022'!$1:$1048576,2,0),IFERROR(VLOOKUP($C661,'5-COMP. PROPRIA'!$B$38:$I$647,4,0),""))</f>
        <v>CURVA LONGA 45 GRAUS, PVC, SERIE NORMAL, ESGOTO PREDIAL, DN 50 MM, JUNTA ELÁSTICA, FORNECIDO E INSTALADO EM RAMAL DE DESCARGA OU RAMAL DE ESGOTO SANITÁRIO</v>
      </c>
      <c r="F661" s="834"/>
      <c r="G661" s="834"/>
      <c r="H661" s="834"/>
      <c r="I661" s="834"/>
      <c r="J661" s="835"/>
      <c r="K661" s="127">
        <v>2</v>
      </c>
      <c r="L661" s="446" t="str">
        <f>IFERROR(VLOOKUP($C661,'SINAPI FEVEREIRO 2022'!$1:$1048576,3,0),IFERROR(VLOOKUP($C661,'5-COMP. PROPRIA'!$B$1:$I$647,5,0),""))</f>
        <v>UN</v>
      </c>
      <c r="M661" s="67"/>
      <c r="N661" s="478"/>
      <c r="P661" s="90"/>
    </row>
    <row r="662" spans="2:16" s="353" customFormat="1" ht="15">
      <c r="B662" s="434"/>
      <c r="C662" s="275"/>
      <c r="D662" s="161"/>
      <c r="E662" s="415"/>
      <c r="F662" s="416"/>
      <c r="G662" s="416"/>
      <c r="H662" s="416"/>
      <c r="I662" s="416"/>
      <c r="J662" s="417"/>
      <c r="K662" s="127"/>
      <c r="L662" s="446"/>
      <c r="M662" s="67"/>
      <c r="N662" s="478"/>
      <c r="P662" s="90"/>
    </row>
    <row r="663" spans="2:16" s="353" customFormat="1" ht="36.75" customHeight="1">
      <c r="B663" s="434"/>
      <c r="C663" s="275">
        <v>89714</v>
      </c>
      <c r="D663" s="161" t="s">
        <v>6</v>
      </c>
      <c r="E663" s="833" t="str">
        <f>IFERROR(VLOOKUP($C663,'SINAPI FEVEREIRO 2022'!$1:$1048576,2,0),IFERROR(VLOOKUP($C663,'5-COMP. PROPRIA'!$B$38:$I$647,4,0),""))</f>
        <v>TUBO PVC, SERIE NORMAL, ESGOTO PREDIAL, DN 100 MM, FORNECIDO E INSTALADO EM RAMAL DE DESCARGA OU RAMAL DE ESGOTO SANITÁRIO. AF_12/2014</v>
      </c>
      <c r="F663" s="834"/>
      <c r="G663" s="834"/>
      <c r="H663" s="834"/>
      <c r="I663" s="834"/>
      <c r="J663" s="835"/>
      <c r="K663" s="127">
        <v>114.33</v>
      </c>
      <c r="L663" s="446" t="str">
        <f>IFERROR(VLOOKUP($C663,'SINAPI FEVEREIRO 2022'!$1:$1048576,3,0),IFERROR(VLOOKUP($C663,'5-COMP. PROPRIA'!$B$1:$I$647,5,0),""))</f>
        <v>M</v>
      </c>
      <c r="M663" s="67"/>
      <c r="N663" s="478"/>
      <c r="P663" s="90"/>
    </row>
    <row r="664" spans="2:16" s="353" customFormat="1" ht="15">
      <c r="B664" s="695"/>
      <c r="C664" s="275"/>
      <c r="D664" s="161"/>
      <c r="E664" s="688"/>
      <c r="F664" s="689"/>
      <c r="G664" s="689"/>
      <c r="H664" s="689"/>
      <c r="I664" s="689"/>
      <c r="J664" s="690"/>
      <c r="K664" s="127"/>
      <c r="L664" s="446"/>
      <c r="M664" s="67"/>
      <c r="N664" s="478"/>
      <c r="P664" s="90"/>
    </row>
    <row r="665" spans="2:16" s="353" customFormat="1" ht="30" customHeight="1">
      <c r="B665" s="434"/>
      <c r="C665" s="275">
        <v>89711</v>
      </c>
      <c r="D665" s="161" t="s">
        <v>6</v>
      </c>
      <c r="E665" s="833" t="str">
        <f>IFERROR(VLOOKUP($C665,'SINAPI FEVEREIRO 2022'!$1:$1048576,2,0),IFERROR(VLOOKUP($C665,'5-COMP. PROPRIA'!$B$38:$I$647,4,0),""))</f>
        <v>TUBO PVC, SERIE NORMAL, ESGOTO PREDIAL, DN 40 MM, FORNECIDO E INSTALADO EM RAMAL DE DESCARGA OU RAMAL DE ESGOTO SANITÁRIO. AF_12/2014</v>
      </c>
      <c r="F665" s="834"/>
      <c r="G665" s="834"/>
      <c r="H665" s="834"/>
      <c r="I665" s="834"/>
      <c r="J665" s="835"/>
      <c r="K665" s="127">
        <v>18.12</v>
      </c>
      <c r="L665" s="446" t="str">
        <f>IFERROR(VLOOKUP($C665,'SINAPI FEVEREIRO 2022'!$1:$1048576,3,0),IFERROR(VLOOKUP($C665,'5-COMP. PROPRIA'!$B$1:$I$647,5,0),""))</f>
        <v>M</v>
      </c>
      <c r="M665" s="67"/>
      <c r="N665" s="478"/>
      <c r="P665" s="90"/>
    </row>
    <row r="666" spans="2:16" s="353" customFormat="1" ht="27" customHeight="1">
      <c r="B666" s="434"/>
      <c r="C666" s="275"/>
      <c r="D666" s="161"/>
      <c r="E666" s="515"/>
      <c r="F666" s="516"/>
      <c r="G666" s="416"/>
      <c r="H666" s="416"/>
      <c r="I666" s="416"/>
      <c r="J666" s="417"/>
      <c r="K666" s="127"/>
      <c r="L666" s="446"/>
      <c r="M666" s="67"/>
      <c r="N666" s="478"/>
      <c r="P666" s="90"/>
    </row>
    <row r="667" spans="2:16" s="353" customFormat="1" ht="27" customHeight="1">
      <c r="B667" s="434"/>
      <c r="C667" s="275">
        <v>89712</v>
      </c>
      <c r="D667" s="161" t="s">
        <v>6</v>
      </c>
      <c r="E667" s="833" t="str">
        <f>IFERROR(VLOOKUP($C667,'SINAPI FEVEREIRO 2022'!$1:$1048576,2,0),IFERROR(VLOOKUP($C667,'5-COMP. PROPRIA'!$B$38:$I$647,4,0),""))</f>
        <v>TUBO PVC, SERIE NORMAL, ESGOTO PREDIAL, DN 50 MM, FORNECIDO E INSTALADO EM RAMAL DE DESCARGA OU RAMAL DE ESGOTO SANITÁRIO. AF_12/2014</v>
      </c>
      <c r="F667" s="834"/>
      <c r="G667" s="834"/>
      <c r="H667" s="834"/>
      <c r="I667" s="834"/>
      <c r="J667" s="835"/>
      <c r="K667" s="127">
        <v>25.27</v>
      </c>
      <c r="L667" s="446" t="str">
        <f>IFERROR(VLOOKUP($C667,'SINAPI FEVEREIRO 2022'!$1:$1048576,3,0),IFERROR(VLOOKUP($C667,'5-COMP. PROPRIA'!$B$1:$I$647,5,0),""))</f>
        <v>M</v>
      </c>
      <c r="M667" s="67"/>
      <c r="N667" s="478"/>
      <c r="P667" s="90"/>
    </row>
    <row r="668" spans="2:16" s="353" customFormat="1" ht="27" customHeight="1">
      <c r="B668" s="434"/>
      <c r="C668" s="275"/>
      <c r="D668" s="161"/>
      <c r="E668" s="415"/>
      <c r="F668" s="416"/>
      <c r="G668" s="516"/>
      <c r="H668" s="416"/>
      <c r="I668" s="416"/>
      <c r="J668" s="417"/>
      <c r="K668" s="127"/>
      <c r="L668" s="446"/>
      <c r="M668" s="67"/>
      <c r="N668" s="478"/>
      <c r="P668" s="90"/>
    </row>
    <row r="669" spans="2:16" s="353" customFormat="1" ht="27" customHeight="1">
      <c r="B669" s="434"/>
      <c r="C669" s="275">
        <v>89713</v>
      </c>
      <c r="D669" s="161" t="s">
        <v>6</v>
      </c>
      <c r="E669" s="833" t="str">
        <f>IFERROR(VLOOKUP($C669,'SINAPI FEVEREIRO 2022'!$1:$1048576,2,0),IFERROR(VLOOKUP($C669,'5-COMP. PROPRIA'!$B$38:$I$647,4,0),""))</f>
        <v>TUBO PVC, SERIE NORMAL, ESGOTO PREDIAL, DN 75 MM, FORNECIDO E INSTALADO EM RAMAL DE DESCARGA OU RAMAL DE ESGOTO SANITÁRIO. AF_12/2014</v>
      </c>
      <c r="F669" s="834"/>
      <c r="G669" s="834"/>
      <c r="H669" s="834"/>
      <c r="I669" s="834"/>
      <c r="J669" s="835"/>
      <c r="K669" s="127">
        <v>4.13</v>
      </c>
      <c r="L669" s="446" t="str">
        <f>IFERROR(VLOOKUP($C669,'SINAPI FEVEREIRO 2022'!$1:$1048576,3,0),IFERROR(VLOOKUP($C669,'5-COMP. PROPRIA'!$B$1:$I$647,5,0),""))</f>
        <v>M</v>
      </c>
      <c r="M669" s="67"/>
      <c r="N669" s="478"/>
      <c r="P669" s="90"/>
    </row>
    <row r="670" spans="2:16" s="353" customFormat="1" ht="27" customHeight="1">
      <c r="B670" s="434"/>
      <c r="C670" s="275"/>
      <c r="D670" s="161"/>
      <c r="E670" s="415"/>
      <c r="F670" s="416"/>
      <c r="G670" s="416"/>
      <c r="H670" s="416"/>
      <c r="I670" s="416"/>
      <c r="J670" s="417"/>
      <c r="K670" s="127"/>
      <c r="L670" s="446"/>
      <c r="M670" s="67"/>
      <c r="N670" s="478"/>
      <c r="P670" s="90"/>
    </row>
    <row r="671" spans="2:16" s="353" customFormat="1" ht="27" customHeight="1">
      <c r="B671" s="434"/>
      <c r="C671" s="275">
        <v>98065</v>
      </c>
      <c r="D671" s="161" t="s">
        <v>6</v>
      </c>
      <c r="E671" s="833" t="str">
        <f>IFERROR(VLOOKUP($C671,'SINAPI FEVEREIRO 2022'!$1:$1048576,2,0),IFERROR(VLOOKUP($C671,'5-COMP. PROPRIA'!$B$38:$I$647,4,0),""))</f>
        <v>SUMIDOURO CIRCULAR, EM CONCRETO PRÉ-MOLDADO, DIÂMETRO INTERNO = 2,88 M, ALTURA INTERNA = 3,0 M, ÁREA DE INFILTRAÇÃO: 31,4 M² (PARA 12 CONTRIBUINTES). AF_12/2020</v>
      </c>
      <c r="F671" s="834"/>
      <c r="G671" s="834"/>
      <c r="H671" s="834"/>
      <c r="I671" s="834"/>
      <c r="J671" s="835"/>
      <c r="K671" s="127">
        <v>2</v>
      </c>
      <c r="L671" s="446" t="str">
        <f>IFERROR(VLOOKUP($C671,'SINAPI FEVEREIRO 2022'!$1:$1048576,3,0),IFERROR(VLOOKUP($C671,'5-COMP. PROPRIA'!$B$1:$I$647,5,0),""))</f>
        <v>UN</v>
      </c>
      <c r="M671" s="67"/>
      <c r="N671" s="478"/>
      <c r="P671" s="90"/>
    </row>
    <row r="672" spans="2:16" s="353" customFormat="1" ht="27" customHeight="1">
      <c r="B672" s="434"/>
      <c r="C672" s="275"/>
      <c r="D672" s="161"/>
      <c r="E672" s="415"/>
      <c r="F672" s="416"/>
      <c r="G672" s="416"/>
      <c r="H672" s="416"/>
      <c r="I672" s="416"/>
      <c r="J672" s="417"/>
      <c r="K672" s="127"/>
      <c r="L672" s="446"/>
      <c r="M672" s="67"/>
      <c r="N672" s="478"/>
      <c r="P672" s="90"/>
    </row>
    <row r="673" spans="2:16" s="353" customFormat="1" ht="27" customHeight="1">
      <c r="B673" s="434"/>
      <c r="C673" s="275">
        <v>98061</v>
      </c>
      <c r="D673" s="161" t="s">
        <v>6</v>
      </c>
      <c r="E673" s="833" t="str">
        <f>IFERROR(VLOOKUP($C673,'SINAPI FEVEREIRO 2022'!$1:$1048576,2,0),IFERROR(VLOOKUP($C673,'5-COMP. PROPRIA'!$B$38:$I$647,4,0),""))</f>
        <v>FILTRO ANAERÓBIO CIRCULAR, EM CONCRETO PRÉ-MOLDADO, DIÂMETRO INTERNO = 2,88 M, ALTURA INTERNA = 1,50 M, VOLUME ÚTIL: 7817,3 L (PARA 75 CONTRIBUINTES). AF_12/2020</v>
      </c>
      <c r="F673" s="834"/>
      <c r="G673" s="834"/>
      <c r="H673" s="834"/>
      <c r="I673" s="834"/>
      <c r="J673" s="835"/>
      <c r="K673" s="127">
        <v>2</v>
      </c>
      <c r="L673" s="446" t="str">
        <f>IFERROR(VLOOKUP($C673,'SINAPI FEVEREIRO 2022'!$1:$1048576,3,0),IFERROR(VLOOKUP($C673,'5-COMP. PROPRIA'!$B$1:$I$647,5,0),""))</f>
        <v>UN</v>
      </c>
      <c r="M673" s="67"/>
      <c r="N673" s="478"/>
      <c r="P673" s="90"/>
    </row>
    <row r="674" spans="2:16" s="353" customFormat="1" ht="15">
      <c r="B674" s="434"/>
      <c r="C674" s="275"/>
      <c r="D674" s="161"/>
      <c r="E674" s="415"/>
      <c r="F674" s="416"/>
      <c r="G674" s="416"/>
      <c r="H674" s="416"/>
      <c r="I674" s="516"/>
      <c r="J674" s="417"/>
      <c r="K674" s="127"/>
      <c r="L674" s="446"/>
      <c r="M674" s="67"/>
      <c r="N674" s="478"/>
    </row>
    <row r="675" spans="2:16" s="353" customFormat="1" ht="27" customHeight="1">
      <c r="B675" s="434"/>
      <c r="C675" s="275">
        <v>98057</v>
      </c>
      <c r="D675" s="161" t="s">
        <v>6</v>
      </c>
      <c r="E675" s="833" t="str">
        <f>IFERROR(VLOOKUP($C675,'SINAPI FEVEREIRO 2022'!$1:$1048576,2,0),IFERROR(VLOOKUP($C675,'5-COMP. PROPRIA'!$B$38:$I$647,4,0),""))</f>
        <v>TANQUE SÉPTICO CIRCULAR, EM CONCRETO PRÉ-MOLDADO, DIÂMETRO INTERNO = 2,88 M, ALTURA INTERNA = 2,50 M, VOLUME ÚTIL: 14657,4 L (PARA 105 CONTRIBUINTES). AF_12/2020</v>
      </c>
      <c r="F675" s="834"/>
      <c r="G675" s="834"/>
      <c r="H675" s="834"/>
      <c r="I675" s="834"/>
      <c r="J675" s="835"/>
      <c r="K675" s="127">
        <v>2</v>
      </c>
      <c r="L675" s="446" t="str">
        <f>IFERROR(VLOOKUP($C675,'SINAPI FEVEREIRO 2022'!$1:$1048576,3,0),IFERROR(VLOOKUP($C675,'5-COMP. PROPRIA'!$B$1:$I$647,5,0),""))</f>
        <v>UN</v>
      </c>
      <c r="M675" s="67"/>
      <c r="N675" s="478"/>
    </row>
    <row r="676" spans="2:16" s="353" customFormat="1" ht="26.25" customHeight="1" thickBot="1">
      <c r="B676" s="434"/>
      <c r="C676" s="275"/>
      <c r="D676" s="161"/>
      <c r="E676" s="415"/>
      <c r="F676" s="416"/>
      <c r="G676" s="416"/>
      <c r="H676" s="416"/>
      <c r="I676" s="416"/>
      <c r="J676" s="417"/>
      <c r="K676" s="127"/>
      <c r="L676" s="446"/>
      <c r="M676" s="67"/>
      <c r="N676" s="478"/>
    </row>
    <row r="677" spans="2:16" s="353" customFormat="1" ht="15.75" thickBot="1">
      <c r="B677" s="434"/>
      <c r="C677" s="275"/>
      <c r="D677" s="161"/>
      <c r="E677" s="845" t="s">
        <v>7396</v>
      </c>
      <c r="F677" s="846"/>
      <c r="G677" s="846"/>
      <c r="H677" s="846"/>
      <c r="I677" s="846"/>
      <c r="J677" s="847"/>
      <c r="K677" s="127"/>
      <c r="L677" s="446"/>
      <c r="M677" s="67"/>
      <c r="N677" s="478"/>
    </row>
    <row r="678" spans="2:16" s="353" customFormat="1" ht="27" customHeight="1">
      <c r="B678" s="434"/>
      <c r="C678" s="275"/>
      <c r="D678" s="161"/>
      <c r="E678" s="415"/>
      <c r="F678" s="416"/>
      <c r="G678" s="518"/>
      <c r="H678" s="416"/>
      <c r="I678" s="416"/>
      <c r="J678" s="417"/>
      <c r="K678" s="127"/>
      <c r="L678" s="446"/>
      <c r="M678" s="67"/>
      <c r="N678" s="478"/>
    </row>
    <row r="679" spans="2:16" s="353" customFormat="1" ht="27" customHeight="1">
      <c r="B679" s="636"/>
      <c r="C679" s="275">
        <v>89803</v>
      </c>
      <c r="D679" s="161" t="s">
        <v>6</v>
      </c>
      <c r="E679" s="833" t="str">
        <f>IFERROR(VLOOKUP($C679,'SINAPI FEVEREIRO 2022'!$1:$1048576,2,0),IFERROR(VLOOKUP($C679,'5-COMP. PROPRIA'!$B$38:$I$647,4,0),""))</f>
        <v>CURVA CURTA 90 GRAUS, PVC, SERIE NORMAL, ESGOTO PREDIAL, DN 50 MM, JUNTA ELÁSTICA, FORNECIDO E INSTALADO EM PRUMADA DE ESGOTO SANITÁRIO OU VENTILAÇÃO. AF_12/2014</v>
      </c>
      <c r="F679" s="834"/>
      <c r="G679" s="834"/>
      <c r="H679" s="834"/>
      <c r="I679" s="834"/>
      <c r="J679" s="835"/>
      <c r="K679" s="127">
        <v>6</v>
      </c>
      <c r="L679" s="446" t="str">
        <f>IFERROR(VLOOKUP($C679,'SINAPI FEVEREIRO 2022'!$1:$1048576,3,0),IFERROR(VLOOKUP($C679,'5-COMP. PROPRIA'!$B$1:$I$647,5,0),""))</f>
        <v>UN</v>
      </c>
      <c r="M679" s="67"/>
      <c r="N679" s="478"/>
    </row>
    <row r="680" spans="2:16" s="353" customFormat="1" ht="15">
      <c r="B680" s="636"/>
      <c r="C680" s="275"/>
      <c r="D680" s="161"/>
      <c r="E680" s="633"/>
      <c r="F680" s="634"/>
      <c r="G680" s="634"/>
      <c r="H680" s="634"/>
      <c r="I680" s="634"/>
      <c r="J680" s="635"/>
      <c r="K680" s="127"/>
      <c r="L680" s="446"/>
      <c r="M680" s="67"/>
      <c r="N680" s="478"/>
    </row>
    <row r="681" spans="2:16" s="353" customFormat="1" ht="27" customHeight="1">
      <c r="B681" s="434"/>
      <c r="C681" s="275">
        <v>89732</v>
      </c>
      <c r="D681" s="161" t="s">
        <v>6</v>
      </c>
      <c r="E681" s="833" t="str">
        <f>IFERROR(VLOOKUP($C681,'SINAPI FEVEREIRO 2022'!$1:$1048576,2,0),IFERROR(VLOOKUP($C681,'5-COMP. PROPRIA'!$B$38:$I$647,4,0),""))</f>
        <v>JOELHO 45 GRAUS, PVC, SERIE NORMAL, ESGOTO PREDIAL, DN 50 MM, JUNTA ELÁSTICA, FORNECIDO E INSTALADO EM RAMAL DE DESCARGA OU RAMAL DE ESGOTO SANITÁRIO. AF_12/2014</v>
      </c>
      <c r="F681" s="834"/>
      <c r="G681" s="834"/>
      <c r="H681" s="834"/>
      <c r="I681" s="834"/>
      <c r="J681" s="835"/>
      <c r="K681" s="127">
        <v>2</v>
      </c>
      <c r="L681" s="446" t="str">
        <f>IFERROR(VLOOKUP($C681,'SINAPI FEVEREIRO 2022'!$1:$1048576,3,0),IFERROR(VLOOKUP($C681,'5-COMP. PROPRIA'!$B$1:$I$647,5,0),""))</f>
        <v>UN</v>
      </c>
      <c r="M681" s="67"/>
      <c r="N681" s="478"/>
    </row>
    <row r="682" spans="2:16" s="353" customFormat="1" ht="27" customHeight="1">
      <c r="B682" s="434"/>
      <c r="C682" s="275"/>
      <c r="D682" s="161"/>
      <c r="E682" s="415"/>
      <c r="F682" s="416"/>
      <c r="G682" s="416"/>
      <c r="H682" s="416"/>
      <c r="I682" s="416"/>
      <c r="J682" s="417"/>
      <c r="K682" s="127"/>
      <c r="L682" s="446"/>
      <c r="M682" s="67"/>
      <c r="N682" s="478"/>
      <c r="P682" s="90"/>
    </row>
    <row r="683" spans="2:16" s="353" customFormat="1" ht="27" customHeight="1">
      <c r="B683" s="434"/>
      <c r="C683" s="275">
        <v>89801</v>
      </c>
      <c r="D683" s="161" t="s">
        <v>6</v>
      </c>
      <c r="E683" s="833" t="str">
        <f>IFERROR(VLOOKUP($C683,'SINAPI FEVEREIRO 2022'!$1:$1048576,2,0),IFERROR(VLOOKUP($C683,'5-COMP. PROPRIA'!$B$38:$I$647,4,0),""))</f>
        <v>JOELHO 90 GRAUS, PVC, SERIE NORMAL, ESGOTO PREDIAL, DN 50 MM, JUNTA ELÁSTICA, FORNECIDO E INSTALADO EM PRUMADA DE ESGOTO SANITÁRIO OU VENTILAÇÃO. AF_12/2014</v>
      </c>
      <c r="F683" s="834"/>
      <c r="G683" s="834"/>
      <c r="H683" s="834"/>
      <c r="I683" s="834"/>
      <c r="J683" s="835"/>
      <c r="K683" s="127">
        <v>5</v>
      </c>
      <c r="L683" s="446" t="str">
        <f>IFERROR(VLOOKUP($C683,'SINAPI FEVEREIRO 2022'!$1:$1048576,3,0),IFERROR(VLOOKUP($C683,'5-COMP. PROPRIA'!$B$1:$I$647,5,0),""))</f>
        <v>UN</v>
      </c>
      <c r="M683" s="67"/>
      <c r="N683" s="478"/>
      <c r="P683" s="90"/>
    </row>
    <row r="684" spans="2:16" s="353" customFormat="1" ht="27" customHeight="1">
      <c r="B684" s="434"/>
      <c r="C684" s="275"/>
      <c r="D684" s="161"/>
      <c r="E684" s="415"/>
      <c r="F684" s="416"/>
      <c r="G684" s="416"/>
      <c r="H684" s="416"/>
      <c r="I684" s="416"/>
      <c r="J684" s="417"/>
      <c r="K684" s="127"/>
      <c r="L684" s="446"/>
      <c r="M684" s="67"/>
      <c r="N684" s="478"/>
      <c r="P684" s="90"/>
    </row>
    <row r="685" spans="2:16" s="353" customFormat="1" ht="27" customHeight="1">
      <c r="B685" s="434"/>
      <c r="C685" s="275" t="str">
        <f>'5-COMP. PROPRIA'!B237</f>
        <v>CP-HIDR-7</v>
      </c>
      <c r="D685" s="161" t="s">
        <v>641</v>
      </c>
      <c r="E685" s="833" t="str">
        <f>IFERROR(VLOOKUP($C685,'SINAPI FEVEREIRO 2022'!$1:$1048576,2,0),IFERROR(VLOOKUP($C685,'5-COMP. PROPRIA'!$B$38:$I$647,4,0),""))</f>
        <v>JUNCAO SIMPLES, PVC, DN 75 X 50 MM, SERIE NORMAL PARA ESGOTO PREDIAL -  FORNECIMENTO E INSTALAÇÃO</v>
      </c>
      <c r="F685" s="834"/>
      <c r="G685" s="834"/>
      <c r="H685" s="834"/>
      <c r="I685" s="834"/>
      <c r="J685" s="835"/>
      <c r="K685" s="127">
        <v>1</v>
      </c>
      <c r="L685" s="446" t="str">
        <f>IFERROR(VLOOKUP($C685,'SINAPI FEVEREIRO 2022'!$1:$1048576,3,0),IFERROR(VLOOKUP($C685,'5-COMP. PROPRIA'!$B$1:$I$647,5,0),""))</f>
        <v>UN</v>
      </c>
      <c r="M685" s="67"/>
      <c r="N685" s="478"/>
      <c r="P685" s="90"/>
    </row>
    <row r="686" spans="2:16" s="353" customFormat="1" ht="27" customHeight="1">
      <c r="B686" s="434"/>
      <c r="C686" s="275"/>
      <c r="D686" s="161"/>
      <c r="E686" s="415"/>
      <c r="F686" s="416"/>
      <c r="G686" s="416"/>
      <c r="H686" s="416"/>
      <c r="I686" s="416"/>
      <c r="J686" s="417"/>
      <c r="K686" s="127"/>
      <c r="L686" s="446"/>
      <c r="M686" s="67"/>
      <c r="N686" s="478"/>
      <c r="P686" s="90"/>
    </row>
    <row r="687" spans="2:16" s="353" customFormat="1" ht="27" customHeight="1">
      <c r="B687" s="434"/>
      <c r="C687" s="275">
        <v>89798</v>
      </c>
      <c r="D687" s="161" t="s">
        <v>6</v>
      </c>
      <c r="E687" s="833" t="str">
        <f>IFERROR(VLOOKUP($C687,'SINAPI FEVEREIRO 2022'!$1:$1048576,2,0),IFERROR(VLOOKUP($C687,'5-COMP. PROPRIA'!$B$38:$I$647,4,0),""))</f>
        <v>TUBO PVC, SERIE NORMAL, ESGOTO PREDIAL, DN 50 MM, FORNECIDO E INSTALADO EM PRUMADA DE ESGOTO SANITÁRIO OU VENTILAÇÃO. AF_12/2014</v>
      </c>
      <c r="F687" s="834"/>
      <c r="G687" s="834"/>
      <c r="H687" s="834"/>
      <c r="I687" s="834"/>
      <c r="J687" s="835"/>
      <c r="K687" s="127">
        <v>3.5</v>
      </c>
      <c r="L687" s="446" t="str">
        <f>IFERROR(VLOOKUP($C687,'SINAPI FEVEREIRO 2022'!$1:$1048576,3,0),IFERROR(VLOOKUP($C687,'5-COMP. PROPRIA'!$B$1:$I$647,5,0),""))</f>
        <v>M</v>
      </c>
      <c r="M687" s="67"/>
      <c r="N687" s="478"/>
      <c r="P687" s="90"/>
    </row>
    <row r="688" spans="2:16" s="353" customFormat="1" ht="27" customHeight="1">
      <c r="B688" s="434"/>
      <c r="C688" s="275"/>
      <c r="D688" s="161"/>
      <c r="E688" s="415"/>
      <c r="F688" s="416"/>
      <c r="G688" s="416"/>
      <c r="H688" s="416"/>
      <c r="I688" s="416"/>
      <c r="J688" s="417"/>
      <c r="K688" s="127"/>
      <c r="L688" s="446"/>
      <c r="M688" s="67"/>
      <c r="N688" s="478"/>
      <c r="P688" s="90"/>
    </row>
    <row r="689" spans="2:16" s="353" customFormat="1" ht="27" customHeight="1">
      <c r="B689" s="434"/>
      <c r="C689" s="275">
        <v>89825</v>
      </c>
      <c r="D689" s="161" t="s">
        <v>6</v>
      </c>
      <c r="E689" s="833" t="str">
        <f>IFERROR(VLOOKUP($C689,'SINAPI FEVEREIRO 2022'!$1:$1048576,2,0),IFERROR(VLOOKUP($C689,'5-COMP. PROPRIA'!$B$38:$I$647,4,0),""))</f>
        <v>TE, PVC, SERIE NORMAL, ESGOTO PREDIAL, DN 50 X 50 MM, JUNTA ELÁSTICA, FORNECIDO E INSTALADO EM PRUMADA DE ESGOTO SANITÁRIO OU VENTILAÇÃO. AF_12/2014</v>
      </c>
      <c r="F689" s="834"/>
      <c r="G689" s="834"/>
      <c r="H689" s="834"/>
      <c r="I689" s="834"/>
      <c r="J689" s="835"/>
      <c r="K689" s="127">
        <v>4</v>
      </c>
      <c r="L689" s="446" t="str">
        <f>IFERROR(VLOOKUP($C689,'SINAPI FEVEREIRO 2022'!$1:$1048576,3,0),IFERROR(VLOOKUP($C689,'5-COMP. PROPRIA'!$B$1:$I$647,5,0),""))</f>
        <v>UN</v>
      </c>
      <c r="M689" s="67"/>
      <c r="N689" s="478"/>
      <c r="P689" s="90"/>
    </row>
    <row r="690" spans="2:16" s="353" customFormat="1" ht="27" customHeight="1">
      <c r="B690" s="434"/>
      <c r="C690" s="275"/>
      <c r="D690" s="161"/>
      <c r="E690" s="415"/>
      <c r="F690" s="516"/>
      <c r="G690" s="416"/>
      <c r="H690" s="416"/>
      <c r="I690" s="416"/>
      <c r="J690" s="417"/>
      <c r="K690" s="127"/>
      <c r="L690" s="446"/>
      <c r="M690" s="67"/>
      <c r="N690" s="478"/>
      <c r="P690" s="90"/>
    </row>
    <row r="691" spans="2:16" s="353" customFormat="1" ht="27" customHeight="1">
      <c r="B691" s="434"/>
      <c r="C691" s="275" t="str">
        <f>'5-COMP. PROPRIA'!B244</f>
        <v>CP-HIDR-8</v>
      </c>
      <c r="D691" s="161" t="s">
        <v>641</v>
      </c>
      <c r="E691" s="833" t="str">
        <f>IFERROR(VLOOKUP($C691,'SINAPI FEVEREIRO 2022'!$1:$1048576,2,0),IFERROR(VLOOKUP($C691,'5-COMP. PROPRIA'!$B$38:$I$647,4,0),""))</f>
        <v>TE, PVC, SERIE NORMAL, ESGOTO PREDIAL, DN 75 X 50 MM, JUNTA ELÁSTICA, FORNECIDO E INSTALADO VENTILAÇÃO</v>
      </c>
      <c r="F691" s="834"/>
      <c r="G691" s="834"/>
      <c r="H691" s="834"/>
      <c r="I691" s="834"/>
      <c r="J691" s="835"/>
      <c r="K691" s="127">
        <v>1</v>
      </c>
      <c r="L691" s="446" t="str">
        <f>IFERROR(VLOOKUP($C691,'SINAPI FEVEREIRO 2022'!$1:$1048576,3,0),IFERROR(VLOOKUP($C691,'5-COMP. PROPRIA'!$B$1:$I$647,5,0),""))</f>
        <v>UN</v>
      </c>
      <c r="M691" s="67"/>
      <c r="N691" s="478"/>
      <c r="P691" s="90"/>
    </row>
    <row r="692" spans="2:16" s="353" customFormat="1" ht="27" customHeight="1" thickBot="1">
      <c r="B692" s="434"/>
      <c r="C692" s="275"/>
      <c r="D692" s="161"/>
      <c r="E692" s="415"/>
      <c r="F692" s="416"/>
      <c r="G692" s="416"/>
      <c r="H692" s="416"/>
      <c r="I692" s="416"/>
      <c r="J692" s="417"/>
      <c r="K692" s="127"/>
      <c r="L692" s="446"/>
      <c r="M692" s="67"/>
      <c r="N692" s="478"/>
      <c r="P692" s="90"/>
    </row>
    <row r="693" spans="2:16" s="353" customFormat="1" ht="15.75" thickBot="1">
      <c r="B693" s="434"/>
      <c r="C693" s="275"/>
      <c r="D693" s="161"/>
      <c r="E693" s="845" t="s">
        <v>7940</v>
      </c>
      <c r="F693" s="846"/>
      <c r="G693" s="846"/>
      <c r="H693" s="846"/>
      <c r="I693" s="846"/>
      <c r="J693" s="847"/>
      <c r="K693" s="127"/>
      <c r="L693" s="446" t="str">
        <f>IFERROR(VLOOKUP($C693,'SINAPI FEVEREIRO 2022'!$1:$1048576,3,0),IFERROR(VLOOKUP($C693,'5-COMP. PROPRIA'!$B$1:$I$647,5,0),""))</f>
        <v/>
      </c>
      <c r="M693" s="67"/>
      <c r="N693" s="478"/>
      <c r="P693" s="90"/>
    </row>
    <row r="694" spans="2:16" s="353" customFormat="1" ht="15">
      <c r="B694" s="434"/>
      <c r="C694" s="275"/>
      <c r="D694" s="161"/>
      <c r="E694" s="415"/>
      <c r="F694" s="518"/>
      <c r="G694" s="416"/>
      <c r="H694" s="416"/>
      <c r="I694" s="416"/>
      <c r="J694" s="417"/>
      <c r="K694" s="127"/>
      <c r="L694" s="446"/>
      <c r="M694" s="67"/>
      <c r="N694" s="478"/>
      <c r="P694" s="90"/>
    </row>
    <row r="695" spans="2:16" s="353" customFormat="1" ht="27" customHeight="1">
      <c r="B695" s="636"/>
      <c r="C695" s="275">
        <v>94495</v>
      </c>
      <c r="D695" s="161" t="s">
        <v>6</v>
      </c>
      <c r="E695" s="833" t="str">
        <f>IFERROR(VLOOKUP($C695,'SINAPI FEVEREIRO 2022'!$1:$1048576,2,0),IFERROR(VLOOKUP($C695,'5-COMP. PROPRIA'!$B$38:$I$647,4,0),""))</f>
        <v>REGISTRO DE GAVETA BRUTO, LATÃO, ROSCÁVEL, 1" - FORNECIMENTO E INSTALAÇÃO. AF_08/2021</v>
      </c>
      <c r="F695" s="834"/>
      <c r="G695" s="834"/>
      <c r="H695" s="834"/>
      <c r="I695" s="834"/>
      <c r="J695" s="835"/>
      <c r="K695" s="127">
        <v>1</v>
      </c>
      <c r="L695" s="446" t="str">
        <f>IFERROR(VLOOKUP($C695,'SINAPI FEVEREIRO 2022'!$1:$1048576,3,0),IFERROR(VLOOKUP($C695,'5-COMP. PROPRIA'!$B$1:$I$647,5,0),""))</f>
        <v>UN</v>
      </c>
      <c r="M695" s="67"/>
      <c r="N695" s="478"/>
      <c r="P695" s="90"/>
    </row>
    <row r="696" spans="2:16" s="353" customFormat="1" ht="15">
      <c r="B696" s="636"/>
      <c r="C696" s="275"/>
      <c r="D696" s="161"/>
      <c r="E696" s="633"/>
      <c r="F696" s="634"/>
      <c r="G696" s="634"/>
      <c r="H696" s="634"/>
      <c r="I696" s="634"/>
      <c r="J696" s="635"/>
      <c r="K696" s="127"/>
      <c r="L696" s="446"/>
      <c r="M696" s="67"/>
      <c r="N696" s="478"/>
      <c r="P696" s="90"/>
    </row>
    <row r="697" spans="2:16" s="353" customFormat="1" ht="27" customHeight="1">
      <c r="B697" s="434"/>
      <c r="C697" s="275">
        <v>94497</v>
      </c>
      <c r="D697" s="161" t="s">
        <v>6</v>
      </c>
      <c r="E697" s="833" t="str">
        <f>IFERROR(VLOOKUP($C697,'SINAPI FEVEREIRO 2022'!$1:$1048576,2,0),IFERROR(VLOOKUP($C697,'5-COMP. PROPRIA'!$B$38:$I$647,4,0),""))</f>
        <v>REGISTRO DE GAVETA BRUTO, LATÃO, ROSCÁVEL, 1 1/2" - FORNECIMENTO E INSTALAÇÃO. AF_08/2021</v>
      </c>
      <c r="F697" s="834"/>
      <c r="G697" s="834"/>
      <c r="H697" s="834"/>
      <c r="I697" s="834"/>
      <c r="J697" s="835"/>
      <c r="K697" s="127">
        <v>2</v>
      </c>
      <c r="L697" s="446" t="str">
        <f>IFERROR(VLOOKUP($C697,'SINAPI FEVEREIRO 2022'!$1:$1048576,3,0),IFERROR(VLOOKUP($C697,'5-COMP. PROPRIA'!$B$1:$I$647,5,0),""))</f>
        <v>UN</v>
      </c>
      <c r="M697" s="67"/>
      <c r="N697" s="478"/>
      <c r="P697" s="90"/>
    </row>
    <row r="698" spans="2:16" s="353" customFormat="1" ht="29.25" customHeight="1">
      <c r="B698" s="434"/>
      <c r="C698" s="275"/>
      <c r="D698" s="161"/>
      <c r="E698" s="415"/>
      <c r="F698" s="416"/>
      <c r="G698" s="416"/>
      <c r="H698" s="416"/>
      <c r="I698" s="416"/>
      <c r="J698" s="417"/>
      <c r="K698" s="127"/>
      <c r="L698" s="446"/>
      <c r="M698" s="67"/>
      <c r="N698" s="478"/>
      <c r="P698" s="90"/>
    </row>
    <row r="699" spans="2:16" s="353" customFormat="1" ht="27" customHeight="1">
      <c r="B699" s="434"/>
      <c r="C699" s="275">
        <v>94498</v>
      </c>
      <c r="D699" s="161" t="s">
        <v>6</v>
      </c>
      <c r="E699" s="833" t="str">
        <f>IFERROR(VLOOKUP($C699,'SINAPI FEVEREIRO 2022'!$1:$1048576,2,0),IFERROR(VLOOKUP($C699,'5-COMP. PROPRIA'!$B$38:$I$647,4,0),""))</f>
        <v>REGISTRO DE GAVETA BRUTO, LATÃO, ROSCÁVEL, 2" - FORNECIMENTO E INSTALAÇÃO. AF_08/2021</v>
      </c>
      <c r="F699" s="834"/>
      <c r="G699" s="834"/>
      <c r="H699" s="834"/>
      <c r="I699" s="834"/>
      <c r="J699" s="835"/>
      <c r="K699" s="127">
        <v>3</v>
      </c>
      <c r="L699" s="446" t="str">
        <f>IFERROR(VLOOKUP($C699,'SINAPI FEVEREIRO 2022'!$1:$1048576,3,0),IFERROR(VLOOKUP($C699,'5-COMP. PROPRIA'!$B$1:$I$647,5,0),""))</f>
        <v>UN</v>
      </c>
      <c r="M699" s="67"/>
      <c r="N699" s="478"/>
      <c r="P699" s="90"/>
    </row>
    <row r="700" spans="2:16" s="353" customFormat="1" ht="27" customHeight="1">
      <c r="B700" s="434"/>
      <c r="C700" s="275"/>
      <c r="D700" s="161"/>
      <c r="E700" s="415"/>
      <c r="F700" s="416"/>
      <c r="G700" s="416"/>
      <c r="H700" s="416"/>
      <c r="I700" s="416"/>
      <c r="J700" s="417"/>
      <c r="K700" s="127"/>
      <c r="L700" s="446"/>
      <c r="M700" s="67"/>
      <c r="N700" s="478"/>
      <c r="P700" s="90"/>
    </row>
    <row r="701" spans="2:16" s="353" customFormat="1" ht="27" customHeight="1">
      <c r="B701" s="434"/>
      <c r="C701" s="275">
        <v>89353</v>
      </c>
      <c r="D701" s="161" t="s">
        <v>6</v>
      </c>
      <c r="E701" s="833" t="str">
        <f>IFERROR(VLOOKUP($C701,'SINAPI FEVEREIRO 2022'!$1:$1048576,2,0),IFERROR(VLOOKUP($C701,'5-COMP. PROPRIA'!$B$38:$I$647,4,0),""))</f>
        <v>REGISTRO DE GAVETA BRUTO, LATÃO, ROSCÁVEL, 3/4" - FORNECIMENTO E INSTALAÇÃO. AF_08/2021</v>
      </c>
      <c r="F701" s="834"/>
      <c r="G701" s="834"/>
      <c r="H701" s="834"/>
      <c r="I701" s="834"/>
      <c r="J701" s="835"/>
      <c r="K701" s="127">
        <v>10</v>
      </c>
      <c r="L701" s="446" t="str">
        <f>IFERROR(VLOOKUP($C701,'SINAPI FEVEREIRO 2022'!$1:$1048576,3,0),IFERROR(VLOOKUP($C701,'5-COMP. PROPRIA'!$B$1:$I$647,5,0),""))</f>
        <v>UN</v>
      </c>
      <c r="M701" s="67"/>
      <c r="N701" s="478"/>
      <c r="P701" s="90"/>
    </row>
    <row r="702" spans="2:16" s="353" customFormat="1" ht="27" customHeight="1">
      <c r="B702" s="434"/>
      <c r="C702" s="275"/>
      <c r="D702" s="161"/>
      <c r="E702" s="415"/>
      <c r="F702" s="416"/>
      <c r="G702" s="416"/>
      <c r="H702" s="416"/>
      <c r="I702" s="416"/>
      <c r="J702" s="417"/>
      <c r="K702" s="127"/>
      <c r="L702" s="446"/>
      <c r="M702" s="67"/>
      <c r="N702" s="478"/>
      <c r="P702" s="90"/>
    </row>
    <row r="703" spans="2:16" s="353" customFormat="1" ht="27" customHeight="1">
      <c r="B703" s="636"/>
      <c r="C703" s="275">
        <v>94794</v>
      </c>
      <c r="D703" s="161" t="s">
        <v>6</v>
      </c>
      <c r="E703" s="833" t="str">
        <f>IFERROR(VLOOKUP($C703,'SINAPI FEVEREIRO 2022'!$1:$1048576,2,0),IFERROR(VLOOKUP($C703,'5-COMP. PROPRIA'!$B$38:$I$647,4,0),""))</f>
        <v>REGISTRO DE GAVETA BRUTO, LATÃO, ROSCÁVEL, 1 1/2", COM ACABAMENTO E CANOPLA CROMADOS - FORNECIMENTO E INSTALAÇÃO. AF_08/2021</v>
      </c>
      <c r="F703" s="834"/>
      <c r="G703" s="834"/>
      <c r="H703" s="834"/>
      <c r="I703" s="834"/>
      <c r="J703" s="835"/>
      <c r="K703" s="127">
        <v>7</v>
      </c>
      <c r="L703" s="446" t="str">
        <f>IFERROR(VLOOKUP($C703,'SINAPI FEVEREIRO 2022'!$1:$1048576,3,0),IFERROR(VLOOKUP($C703,'5-COMP. PROPRIA'!$B$1:$I$647,5,0),""))</f>
        <v>UN</v>
      </c>
      <c r="M703" s="67"/>
      <c r="N703" s="478"/>
      <c r="P703" s="90"/>
    </row>
    <row r="704" spans="2:16" s="353" customFormat="1" ht="27" customHeight="1">
      <c r="B704" s="636"/>
      <c r="C704" s="275"/>
      <c r="D704" s="161"/>
      <c r="E704" s="633"/>
      <c r="F704" s="634"/>
      <c r="G704" s="634"/>
      <c r="H704" s="634"/>
      <c r="I704" s="634"/>
      <c r="J704" s="635"/>
      <c r="K704" s="127"/>
      <c r="L704" s="446"/>
      <c r="M704" s="67"/>
      <c r="N704" s="478"/>
      <c r="P704" s="90"/>
    </row>
    <row r="705" spans="2:16" s="353" customFormat="1" ht="27" customHeight="1">
      <c r="B705" s="636"/>
      <c r="C705" s="275">
        <v>89987</v>
      </c>
      <c r="D705" s="161" t="s">
        <v>6</v>
      </c>
      <c r="E705" s="833" t="str">
        <f>IFERROR(VLOOKUP($C705,'SINAPI FEVEREIRO 2022'!$1:$1048576,2,0),IFERROR(VLOOKUP($C705,'5-COMP. PROPRIA'!$B$38:$I$647,4,0),""))</f>
        <v>REGISTRO DE GAVETA BRUTO, LATÃO, ROSCÁVEL, 3/4", COM ACABAMENTO E CANOPLA CROMADOS - FORNECIMENTO E INSTALAÇÃO. AF_08/2021</v>
      </c>
      <c r="F705" s="834"/>
      <c r="G705" s="834"/>
      <c r="H705" s="834"/>
      <c r="I705" s="834"/>
      <c r="J705" s="835"/>
      <c r="K705" s="127">
        <v>9</v>
      </c>
      <c r="L705" s="446" t="str">
        <f>IFERROR(VLOOKUP($C705,'SINAPI FEVEREIRO 2022'!$1:$1048576,3,0),IFERROR(VLOOKUP($C705,'5-COMP. PROPRIA'!$B$1:$I$647,5,0),""))</f>
        <v>UN</v>
      </c>
      <c r="M705" s="67"/>
      <c r="N705" s="478"/>
      <c r="P705" s="90"/>
    </row>
    <row r="706" spans="2:16" s="353" customFormat="1" ht="27" customHeight="1">
      <c r="B706" s="636"/>
      <c r="C706" s="275"/>
      <c r="D706" s="161"/>
      <c r="E706" s="633"/>
      <c r="F706" s="634"/>
      <c r="G706" s="634"/>
      <c r="H706" s="634"/>
      <c r="I706" s="634"/>
      <c r="J706" s="635"/>
      <c r="K706" s="127"/>
      <c r="L706" s="446"/>
      <c r="M706" s="67"/>
      <c r="N706" s="478"/>
      <c r="P706" s="90"/>
    </row>
    <row r="707" spans="2:16" s="353" customFormat="1" ht="27" customHeight="1">
      <c r="B707" s="434"/>
      <c r="C707" s="275">
        <v>89985</v>
      </c>
      <c r="D707" s="161" t="s">
        <v>6</v>
      </c>
      <c r="E707" s="833" t="str">
        <f>IFERROR(VLOOKUP($C707,'SINAPI FEVEREIRO 2022'!$1:$1048576,2,0),IFERROR(VLOOKUP($C707,'5-COMP. PROPRIA'!$B$38:$I$647,4,0),""))</f>
        <v>REGISTRO DE PRESSÃO BRUTO, LATÃO, ROSCÁVEL, 3/4", COM ACABAMENTO E CANOPLA CROMADOS - FORNECIMENTO E INSTALAÇÃO. AF_08/2021</v>
      </c>
      <c r="F707" s="834"/>
      <c r="G707" s="834"/>
      <c r="H707" s="834"/>
      <c r="I707" s="834"/>
      <c r="J707" s="835"/>
      <c r="K707" s="127">
        <v>3</v>
      </c>
      <c r="L707" s="446" t="str">
        <f>IFERROR(VLOOKUP($C707,'SINAPI FEVEREIRO 2022'!$1:$1048576,3,0),IFERROR(VLOOKUP($C707,'5-COMP. PROPRIA'!$B$1:$I$647,5,0),""))</f>
        <v>UN</v>
      </c>
      <c r="M707" s="67"/>
      <c r="N707" s="478"/>
    </row>
    <row r="708" spans="2:16" s="353" customFormat="1" ht="27" customHeight="1">
      <c r="B708" s="434"/>
      <c r="C708" s="275"/>
      <c r="D708" s="161"/>
      <c r="E708" s="415"/>
      <c r="F708" s="516"/>
      <c r="G708" s="416"/>
      <c r="H708" s="416"/>
      <c r="I708" s="416"/>
      <c r="J708" s="417"/>
      <c r="K708" s="127"/>
      <c r="L708" s="446"/>
      <c r="M708" s="67"/>
      <c r="N708" s="478"/>
      <c r="P708" s="90"/>
    </row>
    <row r="709" spans="2:16" s="353" customFormat="1" ht="27" customHeight="1">
      <c r="B709" s="636"/>
      <c r="C709" s="275">
        <v>103042</v>
      </c>
      <c r="D709" s="161" t="s">
        <v>6</v>
      </c>
      <c r="E709" s="833" t="str">
        <f>IFERROR(VLOOKUP($C709,'SINAPI FEVEREIRO 2022'!$1:$1048576,2,0),IFERROR(VLOOKUP($C709,'5-COMP. PROPRIA'!$B$38:$I$647,4,0),""))</f>
        <v>REGISTRO DE ESFERA, PVC, ROSCÁVEL, COM BORBOLETA, 3/4" - FORNECIMENTO E INSTALAÇÃO. AF_08/2021</v>
      </c>
      <c r="F709" s="834"/>
      <c r="G709" s="834"/>
      <c r="H709" s="834"/>
      <c r="I709" s="834"/>
      <c r="J709" s="835"/>
      <c r="K709" s="127">
        <v>1</v>
      </c>
      <c r="L709" s="446" t="str">
        <f>IFERROR(VLOOKUP($C709,'SINAPI FEVEREIRO 2022'!$1:$1048576,3,0),IFERROR(VLOOKUP($C709,'5-COMP. PROPRIA'!$B$1:$I$647,5,0),""))</f>
        <v>UN</v>
      </c>
      <c r="M709" s="67"/>
      <c r="N709" s="478"/>
      <c r="P709" s="90"/>
    </row>
    <row r="710" spans="2:16" s="353" customFormat="1" ht="27" customHeight="1">
      <c r="B710" s="636"/>
      <c r="C710" s="275"/>
      <c r="D710" s="161"/>
      <c r="E710" s="633"/>
      <c r="F710" s="634"/>
      <c r="G710" s="634"/>
      <c r="H710" s="634"/>
      <c r="I710" s="634"/>
      <c r="J710" s="635"/>
      <c r="K710" s="127"/>
      <c r="L710" s="446"/>
      <c r="M710" s="67"/>
      <c r="N710" s="478"/>
      <c r="P710" s="90"/>
    </row>
    <row r="711" spans="2:16" s="353" customFormat="1" ht="27" customHeight="1">
      <c r="B711" s="434"/>
      <c r="C711" s="275">
        <v>99635</v>
      </c>
      <c r="D711" s="161" t="s">
        <v>6</v>
      </c>
      <c r="E711" s="833" t="str">
        <f>IFERROR(VLOOKUP($C711,'SINAPI FEVEREIRO 2022'!$1:$1048576,2,0),IFERROR(VLOOKUP($C711,'5-COMP. PROPRIA'!$B$38:$I$647,4,0),""))</f>
        <v>VÁLVULA DE DESCARGA METÁLICA, BASE 1 1/2", ACABAMENTO METALICO CROMADO - FORNECIMENTO E INSTALAÇÃO. AF_08/2021</v>
      </c>
      <c r="F711" s="834"/>
      <c r="G711" s="834"/>
      <c r="H711" s="834"/>
      <c r="I711" s="834"/>
      <c r="J711" s="835"/>
      <c r="K711" s="127">
        <v>7</v>
      </c>
      <c r="L711" s="446" t="str">
        <f>IFERROR(VLOOKUP($C711,'SINAPI FEVEREIRO 2022'!$1:$1048576,3,0),IFERROR(VLOOKUP($C711,'5-COMP. PROPRIA'!$B$1:$I$647,5,0),""))</f>
        <v>UN</v>
      </c>
      <c r="M711" s="67"/>
      <c r="N711" s="478"/>
      <c r="P711" s="90"/>
    </row>
    <row r="712" spans="2:16" s="353" customFormat="1" ht="27" customHeight="1">
      <c r="B712" s="434"/>
      <c r="C712" s="275"/>
      <c r="D712" s="161"/>
      <c r="E712" s="415"/>
      <c r="F712" s="416"/>
      <c r="G712" s="416"/>
      <c r="H712" s="416"/>
      <c r="I712" s="416"/>
      <c r="J712" s="417"/>
      <c r="K712" s="127"/>
      <c r="L712" s="446"/>
      <c r="M712" s="67"/>
      <c r="N712" s="478"/>
      <c r="P712" s="90"/>
    </row>
    <row r="713" spans="2:16" s="353" customFormat="1" ht="27" customHeight="1">
      <c r="B713" s="694"/>
      <c r="C713" s="275">
        <v>86884</v>
      </c>
      <c r="D713" s="161" t="s">
        <v>6</v>
      </c>
      <c r="E713" s="833" t="str">
        <f>IFERROR(VLOOKUP($C713,'SINAPI FEVEREIRO 2022'!$1:$1048576,2,0),IFERROR(VLOOKUP($C713,'5-COMP. PROPRIA'!$B$38:$I$647,4,0),""))</f>
        <v>ENGATE FLEXÍVEL EM PLÁSTICO BRANCO, 1/2 X 30CM - FORNECIMENTO E INSTALAÇÃO. AF_01/2020</v>
      </c>
      <c r="F713" s="834"/>
      <c r="G713" s="834"/>
      <c r="H713" s="834"/>
      <c r="I713" s="834"/>
      <c r="J713" s="835"/>
      <c r="K713" s="127">
        <v>11</v>
      </c>
      <c r="L713" s="446" t="str">
        <f>IFERROR(VLOOKUP($C713,'SINAPI FEVEREIRO 2022'!$1:$1048576,3,0),IFERROR(VLOOKUP($C713,'5-COMP. PROPRIA'!$B$1:$I$647,5,0),""))</f>
        <v>UN</v>
      </c>
      <c r="M713" s="67"/>
      <c r="N713" s="478"/>
      <c r="P713" s="90"/>
    </row>
    <row r="714" spans="2:16" s="353" customFormat="1" ht="27" customHeight="1">
      <c r="B714" s="434"/>
      <c r="C714" s="275"/>
      <c r="D714" s="161"/>
      <c r="E714" s="415"/>
      <c r="F714" s="416"/>
      <c r="G714" s="416"/>
      <c r="H714" s="416"/>
      <c r="I714" s="416"/>
      <c r="J714" s="417"/>
      <c r="K714" s="127"/>
      <c r="L714" s="446"/>
      <c r="M714" s="67"/>
      <c r="N714" s="478"/>
      <c r="P714" s="90"/>
    </row>
    <row r="715" spans="2:16" s="353" customFormat="1" ht="27" customHeight="1">
      <c r="B715" s="434"/>
      <c r="C715" s="275" t="str">
        <f>'5-COMP. PROPRIA'!B251</f>
        <v>CP-HIDR-10</v>
      </c>
      <c r="D715" s="161" t="s">
        <v>641</v>
      </c>
      <c r="E715" s="833" t="str">
        <f>IFERROR(VLOOKUP($C715,'SINAPI FEVEREIRO 2022'!$1:$1048576,2,0),IFERROR(VLOOKUP($C715,'5-COMP. PROPRIA'!$B$38:$I$647,4,0),""))</f>
        <v>TUBO DE DESCARGA VDE 38 MM. FORNECIMENTO E INSTALAÇÃO</v>
      </c>
      <c r="F715" s="834"/>
      <c r="G715" s="834"/>
      <c r="H715" s="834"/>
      <c r="I715" s="834"/>
      <c r="J715" s="835"/>
      <c r="K715" s="127">
        <v>7</v>
      </c>
      <c r="L715" s="446" t="str">
        <f>IFERROR(VLOOKUP($C715,'SINAPI FEVEREIRO 2022'!$1:$1048576,3,0),IFERROR(VLOOKUP($C715,'5-COMP. PROPRIA'!$B$1:$I$647,5,0),""))</f>
        <v>UN</v>
      </c>
      <c r="M715" s="67"/>
      <c r="N715" s="478"/>
      <c r="P715" s="90"/>
    </row>
    <row r="716" spans="2:16" s="353" customFormat="1" ht="27" customHeight="1">
      <c r="B716" s="434"/>
      <c r="C716" s="275"/>
      <c r="D716" s="161"/>
      <c r="E716" s="415"/>
      <c r="F716" s="416"/>
      <c r="G716" s="416"/>
      <c r="H716" s="416"/>
      <c r="I716" s="416"/>
      <c r="J716" s="417"/>
      <c r="K716" s="127"/>
      <c r="L716" s="446"/>
      <c r="M716" s="67"/>
      <c r="N716" s="478"/>
      <c r="P716" s="90"/>
    </row>
    <row r="717" spans="2:16" s="353" customFormat="1" ht="27" customHeight="1">
      <c r="B717" s="434"/>
      <c r="C717" s="275" t="str">
        <f>'5-COMP. PROPRIA'!B257</f>
        <v>CP-HIDR-11</v>
      </c>
      <c r="D717" s="161" t="s">
        <v>641</v>
      </c>
      <c r="E717" s="833" t="str">
        <f>IFERROR(VLOOKUP($C717,'SINAPI FEVEREIRO 2022'!$1:$1048576,2,0),IFERROR(VLOOKUP($C717,'5-COMP. PROPRIA'!$B$38:$I$647,4,0),""))</f>
        <v>TUBO DE LIGAÇÃO LATÃO CROMADO C/ CANOPLA CROMADA P/ VASO SANITARIO 38 MM. FORNECIMENTO E INSTALAÇÃO.</v>
      </c>
      <c r="F717" s="834"/>
      <c r="G717" s="834"/>
      <c r="H717" s="834"/>
      <c r="I717" s="834"/>
      <c r="J717" s="835"/>
      <c r="K717" s="127">
        <v>7</v>
      </c>
      <c r="L717" s="446" t="str">
        <f>IFERROR(VLOOKUP($C717,'SINAPI FEVEREIRO 2022'!$1:$1048576,3,0),IFERROR(VLOOKUP($C717,'5-COMP. PROPRIA'!$B$1:$I$647,5,0),""))</f>
        <v>UN</v>
      </c>
      <c r="M717" s="67"/>
      <c r="N717" s="478"/>
      <c r="P717" s="90"/>
    </row>
    <row r="718" spans="2:16" s="353" customFormat="1" ht="27" customHeight="1">
      <c r="B718" s="434"/>
      <c r="C718" s="275"/>
      <c r="D718" s="161"/>
      <c r="E718" s="415"/>
      <c r="F718" s="416"/>
      <c r="G718" s="416"/>
      <c r="H718" s="416"/>
      <c r="I718" s="416"/>
      <c r="J718" s="417"/>
      <c r="K718" s="127"/>
      <c r="L718" s="446"/>
      <c r="M718" s="67"/>
      <c r="N718" s="478"/>
      <c r="P718" s="90"/>
    </row>
    <row r="719" spans="2:16" s="353" customFormat="1" ht="44.25" customHeight="1">
      <c r="B719" s="636"/>
      <c r="C719" s="275">
        <v>94704</v>
      </c>
      <c r="D719" s="161" t="s">
        <v>6</v>
      </c>
      <c r="E719" s="833" t="str">
        <f>IFERROR(VLOOKUP($C719,'SINAPI FEVEREIRO 2022'!$1:$1048576,2,0),IFERROR(VLOOKUP($C719,'5-COMP. PROPRIA'!$B$38:$I$647,4,0),""))</f>
        <v>ADAPTADOR COM FLANGE E ANEL DE VEDAÇÃO, PVC, SOLDÁVEL, DN 32 MM X 1 , INSTALADO EM RESERVAÇÃO DE ÁGUA DE EDIFICAÇÃO QUE POSSUA RESERVATÓRIO DE FIBRA/FIBROCIMENTO   FORNECIMENTO E INSTALAÇÃO. AF_06/2016</v>
      </c>
      <c r="F719" s="834"/>
      <c r="G719" s="834"/>
      <c r="H719" s="834"/>
      <c r="I719" s="834"/>
      <c r="J719" s="835"/>
      <c r="K719" s="127">
        <v>1</v>
      </c>
      <c r="L719" s="446" t="str">
        <f>IFERROR(VLOOKUP($C719,'SINAPI FEVEREIRO 2022'!$1:$1048576,3,0),IFERROR(VLOOKUP($C719,'5-COMP. PROPRIA'!$B$1:$I$647,5,0),""))</f>
        <v>UN</v>
      </c>
      <c r="M719" s="67"/>
      <c r="N719" s="478"/>
      <c r="P719" s="90"/>
    </row>
    <row r="720" spans="2:16" s="353" customFormat="1" ht="27" customHeight="1">
      <c r="B720" s="636"/>
      <c r="C720" s="275"/>
      <c r="D720" s="161"/>
      <c r="E720" s="633"/>
      <c r="F720" s="634"/>
      <c r="G720" s="634"/>
      <c r="H720" s="634"/>
      <c r="I720" s="634"/>
      <c r="J720" s="635"/>
      <c r="K720" s="127"/>
      <c r="L720" s="446"/>
      <c r="M720" s="67"/>
      <c r="N720" s="478"/>
      <c r="P720" s="90"/>
    </row>
    <row r="721" spans="2:16" s="353" customFormat="1" ht="45" customHeight="1">
      <c r="B721" s="636"/>
      <c r="C721" s="275">
        <v>94706</v>
      </c>
      <c r="D721" s="161" t="s">
        <v>6</v>
      </c>
      <c r="E721" s="833" t="str">
        <f>IFERROR(VLOOKUP($C721,'SINAPI FEVEREIRO 2022'!$1:$1048576,2,0),IFERROR(VLOOKUP($C721,'5-COMP. PROPRIA'!$B$38:$I$647,4,0),""))</f>
        <v>ADAPTADOR COM FLANGE E ANEL DE VEDAÇÃO, PVC, SOLDÁVEL, DN 50 MM X 1 1/2 , INSTALADO EM RESERVAÇÃO DE ÁGUA DE EDIFICAÇÃO QUE POSSUA RESERVATÓRIO DE FIBRA/FIBROCIMENTO   FORNECIMENTO E INSTALAÇÃO. AF_06/2016</v>
      </c>
      <c r="F721" s="834"/>
      <c r="G721" s="834"/>
      <c r="H721" s="834"/>
      <c r="I721" s="834"/>
      <c r="J721" s="835"/>
      <c r="K721" s="127">
        <v>3</v>
      </c>
      <c r="L721" s="446" t="str">
        <f>IFERROR(VLOOKUP($C721,'SINAPI FEVEREIRO 2022'!$1:$1048576,3,0),IFERROR(VLOOKUP($C721,'5-COMP. PROPRIA'!$B$1:$I$647,5,0),""))</f>
        <v>UN</v>
      </c>
      <c r="M721" s="67"/>
      <c r="N721" s="478"/>
      <c r="P721" s="90"/>
    </row>
    <row r="722" spans="2:16" s="353" customFormat="1" ht="15">
      <c r="B722" s="636"/>
      <c r="C722" s="275"/>
      <c r="D722" s="161"/>
      <c r="E722" s="633"/>
      <c r="F722" s="634"/>
      <c r="G722" s="634"/>
      <c r="H722" s="634"/>
      <c r="I722" s="634"/>
      <c r="J722" s="635"/>
      <c r="K722" s="127"/>
      <c r="L722" s="446"/>
      <c r="M722" s="67"/>
      <c r="N722" s="478"/>
      <c r="P722" s="90"/>
    </row>
    <row r="723" spans="2:16" s="353" customFormat="1" ht="39" customHeight="1">
      <c r="B723" s="434"/>
      <c r="C723" s="275">
        <v>94707</v>
      </c>
      <c r="D723" s="161" t="s">
        <v>6</v>
      </c>
      <c r="E723" s="833" t="str">
        <f>IFERROR(VLOOKUP($C723,'SINAPI FEVEREIRO 2022'!$1:$1048576,2,0),IFERROR(VLOOKUP($C723,'5-COMP. PROPRIA'!$B$38:$I$647,4,0),""))</f>
        <v>ADAPTADOR COM FLANGE E ANEL DE VEDAÇÃO, PVC, SOLDÁVEL, DN 60 MM X 2 , INSTALADO EM RESERVAÇÃO DE ÁGUA DE EDIFICAÇÃO QUE POSSUA RESERVATÓRIO DE FIBRA/FIBROCIMENTO   FORNECIMENTO E INSTALAÇÃO. AF_06/2016</v>
      </c>
      <c r="F723" s="834"/>
      <c r="G723" s="834"/>
      <c r="H723" s="834"/>
      <c r="I723" s="834"/>
      <c r="J723" s="835"/>
      <c r="K723" s="127">
        <v>3</v>
      </c>
      <c r="L723" s="446" t="str">
        <f>IFERROR(VLOOKUP($C723,'SINAPI FEVEREIRO 2022'!$1:$1048576,3,0),IFERROR(VLOOKUP($C723,'5-COMP. PROPRIA'!$B$1:$I$647,5,0),""))</f>
        <v>UN</v>
      </c>
      <c r="M723" s="67"/>
      <c r="N723" s="478"/>
      <c r="P723" s="90"/>
    </row>
    <row r="724" spans="2:16" s="353" customFormat="1" ht="15">
      <c r="B724" s="434"/>
      <c r="C724" s="275"/>
      <c r="D724" s="161"/>
      <c r="E724" s="415"/>
      <c r="F724" s="416"/>
      <c r="G724" s="416"/>
      <c r="H724" s="416"/>
      <c r="I724" s="416"/>
      <c r="J724" s="417"/>
      <c r="K724" s="127"/>
      <c r="L724" s="446"/>
      <c r="M724" s="67"/>
      <c r="N724" s="478"/>
      <c r="P724" s="90"/>
    </row>
    <row r="725" spans="2:16" s="353" customFormat="1" ht="33.75" customHeight="1">
      <c r="B725" s="636"/>
      <c r="C725" s="275">
        <v>94708</v>
      </c>
      <c r="D725" s="161" t="s">
        <v>6</v>
      </c>
      <c r="E725" s="833" t="str">
        <f>IFERROR(VLOOKUP($C725,'SINAPI FEVEREIRO 2022'!$1:$1048576,2,0),IFERROR(VLOOKUP($C725,'5-COMP. PROPRIA'!$B$38:$I$647,4,0),""))</f>
        <v>ADAPTADOR COM FLANGES LIVRES, PVC, SOLDÁVEL, DN  25 MM X 3/4 , INSTALADO EM RESERVAÇÃO DE ÁGUA DE EDIFICAÇÃO QUE POSSUA RESERVATÓRIO DE FIBRA/FIBROCIMENTO   FORNECIMENTO E INSTALAÇÃO. AF_06/2016</v>
      </c>
      <c r="F725" s="834"/>
      <c r="G725" s="834"/>
      <c r="H725" s="834"/>
      <c r="I725" s="834"/>
      <c r="J725" s="835"/>
      <c r="K725" s="127">
        <v>1</v>
      </c>
      <c r="L725" s="446" t="str">
        <f>IFERROR(VLOOKUP($C725,'SINAPI FEVEREIRO 2022'!$1:$1048576,3,0),IFERROR(VLOOKUP($C725,'5-COMP. PROPRIA'!$B$1:$I$647,5,0),""))</f>
        <v>UN</v>
      </c>
      <c r="M725" s="67"/>
      <c r="N725" s="478"/>
      <c r="P725" s="90"/>
    </row>
    <row r="726" spans="2:16" s="353" customFormat="1" ht="15">
      <c r="B726" s="636"/>
      <c r="C726" s="275"/>
      <c r="D726" s="161"/>
      <c r="E726" s="633"/>
      <c r="F726" s="634"/>
      <c r="G726" s="634"/>
      <c r="H726" s="634"/>
      <c r="I726" s="634"/>
      <c r="J726" s="635"/>
      <c r="K726" s="127"/>
      <c r="L726" s="446"/>
      <c r="M726" s="67"/>
      <c r="N726" s="478"/>
      <c r="P726" s="90"/>
    </row>
    <row r="727" spans="2:16" s="353" customFormat="1" ht="31.5" customHeight="1">
      <c r="B727" s="636"/>
      <c r="C727" s="275">
        <v>94709</v>
      </c>
      <c r="D727" s="161" t="s">
        <v>6</v>
      </c>
      <c r="E727" s="833" t="str">
        <f>IFERROR(VLOOKUP($C727,'SINAPI FEVEREIRO 2022'!$1:$1048576,2,0),IFERROR(VLOOKUP($C727,'5-COMP. PROPRIA'!$B$38:$I$647,4,0),""))</f>
        <v>ADAPTADOR COM FLANGES LIVRES, PVC, SOLDÁVEL, DN 32 MM X 1 , INSTALADO EM RESERVAÇÃO DE ÁGUA DE EDIFICAÇÃO QUE POSSUA RESERVATÓRIO DE FIBRA/FIBROCIMENTO   FORNECIMENTO E INSTALAÇÃO. AF_06/2016</v>
      </c>
      <c r="F727" s="834"/>
      <c r="G727" s="834"/>
      <c r="H727" s="834"/>
      <c r="I727" s="834"/>
      <c r="J727" s="835"/>
      <c r="K727" s="127">
        <v>1</v>
      </c>
      <c r="L727" s="446" t="str">
        <f>IFERROR(VLOOKUP($C727,'SINAPI FEVEREIRO 2022'!$1:$1048576,3,0),IFERROR(VLOOKUP($C727,'5-COMP. PROPRIA'!$B$1:$I$647,5,0),""))</f>
        <v>UN</v>
      </c>
      <c r="M727" s="67"/>
      <c r="N727" s="478"/>
      <c r="P727" s="90"/>
    </row>
    <row r="728" spans="2:16" s="353" customFormat="1" ht="15">
      <c r="B728" s="636"/>
      <c r="C728" s="275"/>
      <c r="D728" s="161"/>
      <c r="E728" s="633"/>
      <c r="F728" s="634"/>
      <c r="G728" s="634"/>
      <c r="H728" s="634"/>
      <c r="I728" s="634"/>
      <c r="J728" s="635"/>
      <c r="K728" s="127"/>
      <c r="L728" s="446"/>
      <c r="M728" s="67"/>
      <c r="N728" s="478"/>
      <c r="P728" s="90"/>
    </row>
    <row r="729" spans="2:16" s="353" customFormat="1" ht="41.25" customHeight="1">
      <c r="B729" s="636"/>
      <c r="C729" s="275">
        <v>94711</v>
      </c>
      <c r="D729" s="161" t="s">
        <v>6</v>
      </c>
      <c r="E729" s="833" t="str">
        <f>IFERROR(VLOOKUP($C729,'SINAPI FEVEREIRO 2022'!$1:$1048576,2,0),IFERROR(VLOOKUP($C729,'5-COMP. PROPRIA'!$B$38:$I$647,4,0),""))</f>
        <v>ADAPTADOR COM FLANGES LIVRES, PVC, SOLDÁVEL, DN 50 MM X 1 1/2 , INSTALADO EM RESERVAÇÃO DE ÁGUA DE EDIFICAÇÃO QUE POSSUA RESERVATÓRIO DE FIBRA/FIBROCIMENTO   FORNECIMENTO E INSTALAÇÃO. AF_06/2016</v>
      </c>
      <c r="F729" s="834"/>
      <c r="G729" s="834"/>
      <c r="H729" s="834"/>
      <c r="I729" s="834"/>
      <c r="J729" s="835"/>
      <c r="K729" s="127">
        <v>1</v>
      </c>
      <c r="L729" s="446" t="str">
        <f>IFERROR(VLOOKUP($C729,'SINAPI FEVEREIRO 2022'!$1:$1048576,3,0),IFERROR(VLOOKUP($C729,'5-COMP. PROPRIA'!$B$1:$I$647,5,0),""))</f>
        <v>UN</v>
      </c>
      <c r="M729" s="67"/>
      <c r="N729" s="478"/>
      <c r="P729" s="90"/>
    </row>
    <row r="730" spans="2:16" s="353" customFormat="1" ht="15">
      <c r="B730" s="636"/>
      <c r="C730" s="275"/>
      <c r="D730" s="161"/>
      <c r="E730" s="633"/>
      <c r="F730" s="634"/>
      <c r="G730" s="634"/>
      <c r="H730" s="634"/>
      <c r="I730" s="634"/>
      <c r="J730" s="635"/>
      <c r="K730" s="127"/>
      <c r="L730" s="446"/>
      <c r="M730" s="67"/>
      <c r="N730" s="478"/>
      <c r="P730" s="90"/>
    </row>
    <row r="731" spans="2:16" s="353" customFormat="1" ht="33" customHeight="1">
      <c r="B731" s="636"/>
      <c r="C731" s="275">
        <v>94712</v>
      </c>
      <c r="D731" s="161" t="s">
        <v>6</v>
      </c>
      <c r="E731" s="833" t="str">
        <f>IFERROR(VLOOKUP($C731,'SINAPI FEVEREIRO 2022'!$1:$1048576,2,0),IFERROR(VLOOKUP($C731,'5-COMP. PROPRIA'!$B$38:$I$647,4,0),""))</f>
        <v>ADAPTADOR COM FLANGES LIVRES, PVC, SOLDÁVEL, DN 60 MM X 2 , INSTALADO EM RESERVAÇÃO DE ÁGUA DE EDIFICAÇÃO QUE POSSUA RESERVATÓRIO DE FIBRA/FIBROCIMENTO   FORNECIMENTO E INSTALAÇÃO. AF_06/2016</v>
      </c>
      <c r="F731" s="834"/>
      <c r="G731" s="834"/>
      <c r="H731" s="834"/>
      <c r="I731" s="834"/>
      <c r="J731" s="835"/>
      <c r="K731" s="127">
        <v>3</v>
      </c>
      <c r="L731" s="446" t="str">
        <f>IFERROR(VLOOKUP($C731,'SINAPI FEVEREIRO 2022'!$1:$1048576,3,0),IFERROR(VLOOKUP($C731,'5-COMP. PROPRIA'!$B$1:$I$647,5,0),""))</f>
        <v>UN</v>
      </c>
      <c r="M731" s="67"/>
      <c r="N731" s="478"/>
      <c r="P731" s="90"/>
    </row>
    <row r="732" spans="2:16" s="353" customFormat="1" ht="15">
      <c r="B732" s="636"/>
      <c r="C732" s="275"/>
      <c r="D732" s="161"/>
      <c r="E732" s="633"/>
      <c r="F732" s="634"/>
      <c r="G732" s="634"/>
      <c r="H732" s="634"/>
      <c r="I732" s="634"/>
      <c r="J732" s="635"/>
      <c r="K732" s="127"/>
      <c r="L732" s="446"/>
      <c r="M732" s="67"/>
      <c r="N732" s="478"/>
      <c r="P732" s="90"/>
    </row>
    <row r="733" spans="2:16" s="353" customFormat="1" ht="45" customHeight="1">
      <c r="B733" s="434"/>
      <c r="C733" s="275">
        <v>94656</v>
      </c>
      <c r="D733" s="161" t="s">
        <v>6</v>
      </c>
      <c r="E733" s="833" t="str">
        <f>IFERROR(VLOOKUP($C733,'SINAPI FEVEREIRO 2022'!$1:$1048576,2,0),IFERROR(VLOOKUP($C733,'5-COMP. PROPRIA'!$B$38:$I$647,4,0),""))</f>
        <v>ADAPTADOR CURTO COM BOLSA E ROSCA PARA REGISTRO, PVC, SOLDÁVEL, DN  25 MM X 3/4 , INSTALADO EM RESERVAÇÃO DE ÁGUA DE EDIFICAÇÃO QUE POSSUA RESERVATÓRIO DE FIBRA/FIBROCIMENTO   FORNECIMENTO E INSTALAÇÃO. AF_06/2016</v>
      </c>
      <c r="F733" s="834"/>
      <c r="G733" s="834"/>
      <c r="H733" s="834"/>
      <c r="I733" s="834"/>
      <c r="J733" s="835"/>
      <c r="K733" s="127">
        <v>22</v>
      </c>
      <c r="L733" s="446" t="str">
        <f>IFERROR(VLOOKUP($C733,'SINAPI FEVEREIRO 2022'!$1:$1048576,3,0),IFERROR(VLOOKUP($C733,'5-COMP. PROPRIA'!$B$1:$I$647,5,0),""))</f>
        <v>UN</v>
      </c>
      <c r="M733" s="67"/>
      <c r="N733" s="478"/>
      <c r="P733" s="90"/>
    </row>
    <row r="734" spans="2:16" s="353" customFormat="1" ht="15">
      <c r="B734" s="636"/>
      <c r="C734" s="275"/>
      <c r="D734" s="161"/>
      <c r="E734" s="633"/>
      <c r="F734" s="634"/>
      <c r="G734" s="634"/>
      <c r="H734" s="634"/>
      <c r="I734" s="634"/>
      <c r="J734" s="635"/>
      <c r="K734" s="127"/>
      <c r="L734" s="446"/>
      <c r="M734" s="67"/>
      <c r="N734" s="478"/>
      <c r="P734" s="90"/>
    </row>
    <row r="735" spans="2:16" s="353" customFormat="1" ht="44.25" customHeight="1">
      <c r="B735" s="636"/>
      <c r="C735" s="275">
        <v>94658</v>
      </c>
      <c r="D735" s="161" t="s">
        <v>6</v>
      </c>
      <c r="E735" s="833" t="str">
        <f>IFERROR(VLOOKUP($C735,'SINAPI FEVEREIRO 2022'!$1:$1048576,2,0),IFERROR(VLOOKUP($C735,'5-COMP. PROPRIA'!$B$38:$I$647,4,0),""))</f>
        <v>ADAPTADOR CURTO COM BOLSA E ROSCA PARA REGISTRO, PVC, SOLDÁVEL, DN 32 MM X 1 , INSTALADO EM RESERVAÇÃO DE ÁGUA DE EDIFICAÇÃO QUE POSSUA RESERVATÓRIO DE FIBRA/FIBROCIMENTO   FORNECIMENTO E INSTALAÇÃO. AF_06/2016</v>
      </c>
      <c r="F735" s="834"/>
      <c r="G735" s="834"/>
      <c r="H735" s="834"/>
      <c r="I735" s="834"/>
      <c r="J735" s="835"/>
      <c r="K735" s="127">
        <v>2</v>
      </c>
      <c r="L735" s="446" t="str">
        <f>IFERROR(VLOOKUP($C735,'SINAPI FEVEREIRO 2022'!$1:$1048576,3,0),IFERROR(VLOOKUP($C735,'5-COMP. PROPRIA'!$B$1:$I$647,5,0),""))</f>
        <v>UN</v>
      </c>
      <c r="M735" s="67"/>
      <c r="N735" s="478"/>
      <c r="P735" s="90"/>
    </row>
    <row r="736" spans="2:16" s="353" customFormat="1" ht="15">
      <c r="B736" s="434"/>
      <c r="C736" s="275"/>
      <c r="D736" s="161"/>
      <c r="E736" s="415"/>
      <c r="F736" s="416"/>
      <c r="G736" s="416"/>
      <c r="H736" s="416"/>
      <c r="I736" s="416"/>
      <c r="J736" s="417"/>
      <c r="K736" s="127"/>
      <c r="L736" s="446"/>
      <c r="M736" s="67"/>
      <c r="N736" s="478"/>
      <c r="P736" s="90"/>
    </row>
    <row r="737" spans="2:16" s="353" customFormat="1" ht="42" customHeight="1">
      <c r="B737" s="434"/>
      <c r="C737" s="275">
        <v>94662</v>
      </c>
      <c r="D737" s="161" t="s">
        <v>6</v>
      </c>
      <c r="E737" s="833" t="str">
        <f>IFERROR(VLOOKUP($C737,'SINAPI FEVEREIRO 2022'!$1:$1048576,2,0),IFERROR(VLOOKUP($C737,'5-COMP. PROPRIA'!$B$38:$I$647,4,0),""))</f>
        <v>ADAPTADOR CURTO COM BOLSA E ROSCA PARA REGISTRO, PVC, SOLDÁVEL, DN 50 MM X 1 1/2 , INSTALADO EM RESERVAÇÃO DE ÁGUA DE EDIFICAÇÃO QUE POSSUA RESERVATÓRIO DE FIBRA/FIBROCIMENTO   FORNECIMENTO E INSTALAÇÃO. AF_06/2016</v>
      </c>
      <c r="F737" s="834"/>
      <c r="G737" s="834"/>
      <c r="H737" s="834"/>
      <c r="I737" s="834"/>
      <c r="J737" s="835"/>
      <c r="K737" s="127">
        <v>11</v>
      </c>
      <c r="L737" s="446" t="str">
        <f>IFERROR(VLOOKUP($C737,'SINAPI FEVEREIRO 2022'!$1:$1048576,3,0),IFERROR(VLOOKUP($C737,'5-COMP. PROPRIA'!$B$1:$I$647,5,0),""))</f>
        <v>UN</v>
      </c>
      <c r="M737" s="67"/>
      <c r="N737" s="478"/>
      <c r="P737" s="90"/>
    </row>
    <row r="738" spans="2:16" s="353" customFormat="1" ht="27.75" customHeight="1">
      <c r="B738" s="434"/>
      <c r="C738" s="275"/>
      <c r="D738" s="161"/>
      <c r="E738" s="415"/>
      <c r="F738" s="416"/>
      <c r="G738" s="416"/>
      <c r="H738" s="416"/>
      <c r="I738" s="416"/>
      <c r="J738" s="417"/>
      <c r="K738" s="127"/>
      <c r="L738" s="446"/>
      <c r="M738" s="67"/>
      <c r="N738" s="478"/>
      <c r="P738" s="90"/>
    </row>
    <row r="739" spans="2:16" s="353" customFormat="1" ht="37.5" customHeight="1">
      <c r="B739" s="434"/>
      <c r="C739" s="275">
        <v>94664</v>
      </c>
      <c r="D739" s="161" t="s">
        <v>6</v>
      </c>
      <c r="E739" s="833" t="str">
        <f>IFERROR(VLOOKUP($C739,'SINAPI FEVEREIRO 2022'!$1:$1048576,2,0),IFERROR(VLOOKUP($C739,'5-COMP. PROPRIA'!$B$38:$I$647,4,0),""))</f>
        <v>ADAPTADOR CURTO COM BOLSA E ROSCA PARA REGISTRO, PVC, SOLDÁVEL, DN 60 MM X 2 , INSTALADO EM RESERVAÇÃO DE ÁGUA DE EDIFICAÇÃO QUE POSSUA RESERVATÓRIO DE FIBRA/FIBROCIMENTO   FORNECIMENTO E INSTALAÇÃO. AF_06/2016</v>
      </c>
      <c r="F739" s="834"/>
      <c r="G739" s="834"/>
      <c r="H739" s="834"/>
      <c r="I739" s="834"/>
      <c r="J739" s="835"/>
      <c r="K739" s="127">
        <v>6</v>
      </c>
      <c r="L739" s="446" t="str">
        <f>IFERROR(VLOOKUP($C739,'SINAPI FEVEREIRO 2022'!$1:$1048576,3,0),IFERROR(VLOOKUP($C739,'5-COMP. PROPRIA'!$B$1:$I$647,5,0),""))</f>
        <v>UN</v>
      </c>
      <c r="M739" s="67"/>
      <c r="N739" s="478"/>
      <c r="P739" s="90"/>
    </row>
    <row r="740" spans="2:16" s="353" customFormat="1" ht="27" customHeight="1">
      <c r="B740" s="434"/>
      <c r="C740" s="275"/>
      <c r="D740" s="161"/>
      <c r="E740" s="415"/>
      <c r="F740" s="416"/>
      <c r="G740" s="416"/>
      <c r="H740" s="416"/>
      <c r="I740" s="416"/>
      <c r="J740" s="417"/>
      <c r="K740" s="127"/>
      <c r="L740" s="446"/>
      <c r="M740" s="67"/>
      <c r="N740" s="478"/>
      <c r="P740" s="90"/>
    </row>
    <row r="741" spans="2:16" s="353" customFormat="1" ht="27" customHeight="1">
      <c r="B741" s="434"/>
      <c r="C741" s="275" t="str">
        <f>'5-COMP. PROPRIA'!B263</f>
        <v>CP-HIDR-12</v>
      </c>
      <c r="D741" s="161" t="s">
        <v>641</v>
      </c>
      <c r="E741" s="833" t="str">
        <f>IFERROR(VLOOKUP($C741,'SINAPI FEVEREIRO 2022'!$1:$1048576,2,0),IFERROR(VLOOKUP($C741,'5-COMP. PROPRIA'!$B$38:$I$647,4,0),""))</f>
        <v>BUCHA DE REDUCAO DE PVC, SOLDAVEL, CURTA, COM 60 X 50 MM, PARA AGUA FRIA PREDIAL -  FORNECIMENTO E INSTALAÇÃO</v>
      </c>
      <c r="F741" s="834"/>
      <c r="G741" s="834"/>
      <c r="H741" s="834"/>
      <c r="I741" s="834"/>
      <c r="J741" s="835"/>
      <c r="K741" s="127">
        <v>7</v>
      </c>
      <c r="L741" s="446" t="str">
        <f>IFERROR(VLOOKUP($C741,'SINAPI FEVEREIRO 2022'!$1:$1048576,3,0),IFERROR(VLOOKUP($C741,'5-COMP. PROPRIA'!$B$1:$I$647,5,0),""))</f>
        <v>UN</v>
      </c>
      <c r="M741" s="67"/>
      <c r="N741" s="478"/>
      <c r="P741" s="90"/>
    </row>
    <row r="742" spans="2:16" s="353" customFormat="1" ht="27" customHeight="1">
      <c r="B742" s="434"/>
      <c r="C742" s="275"/>
      <c r="D742" s="161"/>
      <c r="E742" s="415"/>
      <c r="F742" s="416"/>
      <c r="G742" s="416"/>
      <c r="H742" s="416"/>
      <c r="I742" s="416"/>
      <c r="J742" s="417"/>
      <c r="K742" s="127"/>
      <c r="L742" s="446"/>
      <c r="M742" s="67"/>
      <c r="N742" s="478"/>
      <c r="P742" s="90"/>
    </row>
    <row r="743" spans="2:16" s="353" customFormat="1" ht="27" customHeight="1">
      <c r="B743" s="434"/>
      <c r="C743" s="275" t="str">
        <f>'5-COMP. PROPRIA'!B271</f>
        <v>CP-HIDR-13</v>
      </c>
      <c r="D743" s="161" t="s">
        <v>641</v>
      </c>
      <c r="E743" s="833" t="str">
        <f>IFERROR(VLOOKUP($C743,'SINAPI FEVEREIRO 2022'!$1:$1048576,2,0),IFERROR(VLOOKUP($C743,'5-COMP. PROPRIA'!$B$38:$I$647,4,0),""))</f>
        <v>BUCHA DE REDUCAO DE PVC, SOLDAVEL, LONGA, COM 60 X 25 MM, PARA AGUA FRIA PREDIAL-  FORNECIMENTO E INSTALAÇÃO</v>
      </c>
      <c r="F743" s="834"/>
      <c r="G743" s="834"/>
      <c r="H743" s="834"/>
      <c r="I743" s="834"/>
      <c r="J743" s="835"/>
      <c r="K743" s="127">
        <v>12</v>
      </c>
      <c r="L743" s="446" t="str">
        <f>IFERROR(VLOOKUP($C743,'SINAPI FEVEREIRO 2022'!$1:$1048576,3,0),IFERROR(VLOOKUP($C743,'5-COMP. PROPRIA'!$B$1:$I$647,5,0),""))</f>
        <v>UN</v>
      </c>
      <c r="M743" s="67"/>
      <c r="N743" s="478"/>
      <c r="P743" s="90"/>
    </row>
    <row r="744" spans="2:16" s="353" customFormat="1" ht="27" customHeight="1">
      <c r="B744" s="434"/>
      <c r="C744" s="275"/>
      <c r="D744" s="161"/>
      <c r="E744" s="515"/>
      <c r="F744" s="516"/>
      <c r="G744" s="516"/>
      <c r="H744" s="516"/>
      <c r="I744" s="416"/>
      <c r="J744" s="417"/>
      <c r="K744" s="127"/>
      <c r="L744" s="446"/>
      <c r="M744" s="67"/>
      <c r="N744" s="478"/>
      <c r="P744" s="90"/>
    </row>
    <row r="745" spans="2:16" s="353" customFormat="1" ht="27" customHeight="1">
      <c r="B745" s="434"/>
      <c r="C745" s="275" t="str">
        <f>'5-COMP. PROPRIA'!B279</f>
        <v>CP-HIDR-14</v>
      </c>
      <c r="D745" s="161" t="s">
        <v>641</v>
      </c>
      <c r="E745" s="833" t="str">
        <f>IFERROR(VLOOKUP($C745,'SINAPI FEVEREIRO 2022'!$1:$1048576,2,0),IFERROR(VLOOKUP($C745,'5-COMP. PROPRIA'!$B$38:$I$647,4,0),""))</f>
        <v>BUCHA DE REDUCAO DE PVC, SOLDAVEL, LONGA, COM 50 X 25 MM, PARA AGUA FRIA PREDIAL-  FORNECIMENTO E INSTALAÇÃO</v>
      </c>
      <c r="F745" s="834"/>
      <c r="G745" s="834"/>
      <c r="H745" s="834"/>
      <c r="I745" s="834"/>
      <c r="J745" s="835"/>
      <c r="K745" s="127">
        <v>1</v>
      </c>
      <c r="L745" s="446" t="str">
        <f>IFERROR(VLOOKUP($C745,'SINAPI FEVEREIRO 2022'!$1:$1048576,3,0),IFERROR(VLOOKUP($C745,'5-COMP. PROPRIA'!$B$1:$I$647,5,0),""))</f>
        <v>UN</v>
      </c>
      <c r="M745" s="67"/>
      <c r="N745" s="478"/>
      <c r="P745" s="90"/>
    </row>
    <row r="746" spans="2:16" s="353" customFormat="1" ht="27" customHeight="1">
      <c r="B746" s="434"/>
      <c r="C746" s="275"/>
      <c r="D746" s="161"/>
      <c r="E746" s="415"/>
      <c r="F746" s="416"/>
      <c r="G746" s="416"/>
      <c r="H746" s="416"/>
      <c r="I746" s="416"/>
      <c r="J746" s="417"/>
      <c r="K746" s="127"/>
      <c r="L746" s="446"/>
      <c r="M746" s="67"/>
      <c r="N746" s="478"/>
      <c r="P746" s="90"/>
    </row>
    <row r="747" spans="2:16" s="353" customFormat="1" ht="27" customHeight="1">
      <c r="B747" s="636"/>
      <c r="C747" s="275">
        <v>89364</v>
      </c>
      <c r="D747" s="161" t="s">
        <v>6</v>
      </c>
      <c r="E747" s="833" t="str">
        <f>IFERROR(VLOOKUP($C747,'SINAPI FEVEREIRO 2022'!$1:$1048576,2,0),IFERROR(VLOOKUP($C747,'5-COMP. PROPRIA'!$B$38:$I$647,4,0),""))</f>
        <v>CURVA 90 GRAUS, PVC, SOLDÁVEL, DN 25MM, INSTALADO EM RAMAL OU SUB-RAMAL DE ÁGUA - FORNECIMENTO E INSTALAÇÃO. AF_12/2014</v>
      </c>
      <c r="F747" s="834"/>
      <c r="G747" s="834"/>
      <c r="H747" s="834"/>
      <c r="I747" s="834"/>
      <c r="J747" s="835"/>
      <c r="K747" s="127">
        <v>4</v>
      </c>
      <c r="L747" s="446" t="str">
        <f>IFERROR(VLOOKUP($C747,'SINAPI FEVEREIRO 2022'!$1:$1048576,3,0),IFERROR(VLOOKUP($C747,'5-COMP. PROPRIA'!$B$1:$I$647,5,0),""))</f>
        <v>UN</v>
      </c>
      <c r="M747" s="67"/>
      <c r="N747" s="478"/>
      <c r="P747" s="90"/>
    </row>
    <row r="748" spans="2:16" s="353" customFormat="1" ht="30" customHeight="1">
      <c r="B748" s="636"/>
      <c r="C748" s="275"/>
      <c r="D748" s="161"/>
      <c r="E748" s="633"/>
      <c r="F748" s="634"/>
      <c r="G748" s="634"/>
      <c r="H748" s="634"/>
      <c r="I748" s="634"/>
      <c r="J748" s="635"/>
      <c r="K748" s="127"/>
      <c r="L748" s="446"/>
      <c r="M748" s="67"/>
      <c r="N748" s="478"/>
      <c r="P748" s="90"/>
    </row>
    <row r="749" spans="2:16" s="353" customFormat="1" ht="27" customHeight="1">
      <c r="B749" s="636"/>
      <c r="C749" s="275">
        <v>89415</v>
      </c>
      <c r="D749" s="161" t="s">
        <v>6</v>
      </c>
      <c r="E749" s="833" t="str">
        <f>IFERROR(VLOOKUP($C749,'SINAPI FEVEREIRO 2022'!$1:$1048576,2,0),IFERROR(VLOOKUP($C749,'5-COMP. PROPRIA'!$B$38:$I$647,4,0),""))</f>
        <v>CURVA 90 GRAUS, PVC, SOLDÁVEL, DN 32MM, INSTALADO EM RAMAL DE DISTRIBUIÇÃO DE ÁGUA - FORNECIMENTO E INSTALAÇÃO. AF_12/2014</v>
      </c>
      <c r="F749" s="834"/>
      <c r="G749" s="834"/>
      <c r="H749" s="834"/>
      <c r="I749" s="834"/>
      <c r="J749" s="835"/>
      <c r="K749" s="127">
        <v>2</v>
      </c>
      <c r="L749" s="446" t="str">
        <f>IFERROR(VLOOKUP($C749,'SINAPI FEVEREIRO 2022'!$1:$1048576,3,0),IFERROR(VLOOKUP($C749,'5-COMP. PROPRIA'!$B$1:$I$647,5,0),""))</f>
        <v>UN</v>
      </c>
      <c r="M749" s="67"/>
      <c r="N749" s="478"/>
      <c r="P749" s="90"/>
    </row>
    <row r="750" spans="2:16" s="353" customFormat="1" ht="27" customHeight="1">
      <c r="B750" s="636"/>
      <c r="C750" s="275"/>
      <c r="D750" s="161"/>
      <c r="E750" s="633"/>
      <c r="F750" s="634"/>
      <c r="G750" s="634"/>
      <c r="H750" s="634"/>
      <c r="I750" s="634"/>
      <c r="J750" s="635"/>
      <c r="K750" s="127"/>
      <c r="L750" s="446"/>
      <c r="M750" s="67"/>
      <c r="N750" s="478"/>
      <c r="P750" s="90"/>
    </row>
    <row r="751" spans="2:16" s="353" customFormat="1" ht="27" customHeight="1">
      <c r="B751" s="434"/>
      <c r="C751" s="275">
        <v>89507</v>
      </c>
      <c r="D751" s="161" t="s">
        <v>6</v>
      </c>
      <c r="E751" s="833" t="str">
        <f>IFERROR(VLOOKUP($C751,'SINAPI FEVEREIRO 2022'!$1:$1048576,2,0),IFERROR(VLOOKUP($C751,'5-COMP. PROPRIA'!$B$38:$I$647,4,0),""))</f>
        <v>CURVA 90 GRAUS, PVC, SOLDÁVEL, DN 60MM, INSTALADO EM PRUMADA DE ÁGUA - FORNECIMENTO E INSTALAÇÃO. AF_12/2014</v>
      </c>
      <c r="F751" s="834"/>
      <c r="G751" s="834"/>
      <c r="H751" s="834"/>
      <c r="I751" s="834"/>
      <c r="J751" s="835"/>
      <c r="K751" s="127">
        <v>18</v>
      </c>
      <c r="L751" s="446" t="str">
        <f>IFERROR(VLOOKUP($C751,'SINAPI FEVEREIRO 2022'!$1:$1048576,3,0),IFERROR(VLOOKUP($C751,'5-COMP. PROPRIA'!$B$1:$I$647,5,0),""))</f>
        <v>UN</v>
      </c>
      <c r="M751" s="67"/>
      <c r="N751" s="478"/>
      <c r="P751" s="90"/>
    </row>
    <row r="752" spans="2:16" s="353" customFormat="1" ht="27" customHeight="1">
      <c r="B752" s="434"/>
      <c r="C752" s="275"/>
      <c r="D752" s="161"/>
      <c r="E752" s="415"/>
      <c r="F752" s="416"/>
      <c r="G752" s="416"/>
      <c r="H752" s="416"/>
      <c r="I752" s="416"/>
      <c r="J752" s="417"/>
      <c r="K752" s="127"/>
      <c r="L752" s="446"/>
      <c r="M752" s="67"/>
      <c r="N752" s="478"/>
      <c r="P752" s="90"/>
    </row>
    <row r="753" spans="2:16" s="353" customFormat="1" ht="27" customHeight="1">
      <c r="B753" s="434"/>
      <c r="C753" s="275">
        <v>89409</v>
      </c>
      <c r="D753" s="161" t="s">
        <v>6</v>
      </c>
      <c r="E753" s="833" t="str">
        <f>IFERROR(VLOOKUP($C753,'SINAPI FEVEREIRO 2022'!$1:$1048576,2,0),IFERROR(VLOOKUP($C753,'5-COMP. PROPRIA'!$B$38:$I$647,4,0),""))</f>
        <v>JOELHO 45 GRAUS, PVC, SOLDÁVEL, DN 25MM, INSTALADO EM RAMAL DE DISTRIBUIÇÃO DE ÁGUA - FORNECIMENTO E INSTALAÇÃO. AF_12/2014</v>
      </c>
      <c r="F753" s="834"/>
      <c r="G753" s="834"/>
      <c r="H753" s="834"/>
      <c r="I753" s="834"/>
      <c r="J753" s="835"/>
      <c r="K753" s="127">
        <v>2</v>
      </c>
      <c r="L753" s="446" t="str">
        <f>IFERROR(VLOOKUP($C753,'SINAPI FEVEREIRO 2022'!$1:$1048576,3,0),IFERROR(VLOOKUP($C753,'5-COMP. PROPRIA'!$B$1:$I$647,5,0),""))</f>
        <v>UN</v>
      </c>
      <c r="M753" s="67"/>
      <c r="N753" s="478"/>
      <c r="P753" s="90"/>
    </row>
    <row r="754" spans="2:16" s="353" customFormat="1" ht="27" customHeight="1">
      <c r="B754" s="434"/>
      <c r="C754" s="275"/>
      <c r="D754" s="161"/>
      <c r="E754" s="415"/>
      <c r="F754" s="416"/>
      <c r="G754" s="416"/>
      <c r="H754" s="416"/>
      <c r="I754" s="416"/>
      <c r="J754" s="417"/>
      <c r="K754" s="127"/>
      <c r="L754" s="446"/>
      <c r="M754" s="67"/>
      <c r="N754" s="478"/>
      <c r="P754" s="90"/>
    </row>
    <row r="755" spans="2:16" s="353" customFormat="1" ht="27" customHeight="1">
      <c r="B755" s="434"/>
      <c r="C755" s="275">
        <v>89506</v>
      </c>
      <c r="D755" s="161" t="s">
        <v>6</v>
      </c>
      <c r="E755" s="833" t="str">
        <f>IFERROR(VLOOKUP($C755,'SINAPI FEVEREIRO 2022'!$1:$1048576,2,0),IFERROR(VLOOKUP($C755,'5-COMP. PROPRIA'!$B$38:$I$647,4,0),""))</f>
        <v>JOELHO 45 GRAUS, PVC, SOLDÁVEL, DN 60MM, INSTALADO EM PRUMADA DE ÁGUA - FORNECIMENTO E INSTALAÇÃO. AF_12/2014</v>
      </c>
      <c r="F755" s="834"/>
      <c r="G755" s="834"/>
      <c r="H755" s="834"/>
      <c r="I755" s="834"/>
      <c r="J755" s="835"/>
      <c r="K755" s="127">
        <v>1</v>
      </c>
      <c r="L755" s="446" t="str">
        <f>IFERROR(VLOOKUP($C755,'SINAPI FEVEREIRO 2022'!$1:$1048576,3,0),IFERROR(VLOOKUP($C755,'5-COMP. PROPRIA'!$B$1:$I$647,5,0),""))</f>
        <v>UN</v>
      </c>
      <c r="M755" s="67"/>
      <c r="N755" s="478"/>
      <c r="P755" s="90"/>
    </row>
    <row r="756" spans="2:16" s="353" customFormat="1" ht="27" customHeight="1">
      <c r="B756" s="434"/>
      <c r="C756" s="275"/>
      <c r="D756" s="161"/>
      <c r="E756" s="415"/>
      <c r="F756" s="416"/>
      <c r="G756" s="416"/>
      <c r="H756" s="416"/>
      <c r="I756" s="416"/>
      <c r="J756" s="417"/>
      <c r="K756" s="127"/>
      <c r="L756" s="446"/>
      <c r="M756" s="67"/>
      <c r="N756" s="478"/>
      <c r="P756" s="90"/>
    </row>
    <row r="757" spans="2:16" s="353" customFormat="1" ht="27" customHeight="1">
      <c r="B757" s="434"/>
      <c r="C757" s="275">
        <v>89408</v>
      </c>
      <c r="D757" s="161" t="s">
        <v>6</v>
      </c>
      <c r="E757" s="833" t="str">
        <f>IFERROR(VLOOKUP($C757,'SINAPI FEVEREIRO 2022'!$1:$1048576,2,0),IFERROR(VLOOKUP($C757,'5-COMP. PROPRIA'!$B$38:$I$647,4,0),""))</f>
        <v>JOELHO 90 GRAUS, PVC, SOLDÁVEL, DN 25MM, INSTALADO EM RAMAL DE DISTRIBUIÇÃO DE ÁGUA - FORNECIMENTO E INSTALAÇÃO. AF_12/2014</v>
      </c>
      <c r="F757" s="834"/>
      <c r="G757" s="834"/>
      <c r="H757" s="834"/>
      <c r="I757" s="834"/>
      <c r="J757" s="835"/>
      <c r="K757" s="127">
        <v>34</v>
      </c>
      <c r="L757" s="446" t="str">
        <f>IFERROR(VLOOKUP($C757,'SINAPI FEVEREIRO 2022'!$1:$1048576,3,0),IFERROR(VLOOKUP($C757,'5-COMP. PROPRIA'!$B$1:$I$647,5,0),""))</f>
        <v>UN</v>
      </c>
      <c r="M757" s="67"/>
      <c r="N757" s="478"/>
      <c r="P757" s="90"/>
    </row>
    <row r="758" spans="2:16" s="353" customFormat="1" ht="27" customHeight="1">
      <c r="B758" s="434"/>
      <c r="C758" s="275"/>
      <c r="D758" s="161"/>
      <c r="E758" s="415"/>
      <c r="F758" s="416"/>
      <c r="G758" s="416"/>
      <c r="H758" s="416"/>
      <c r="I758" s="416"/>
      <c r="J758" s="417"/>
      <c r="K758" s="127"/>
      <c r="L758" s="446"/>
      <c r="M758" s="67"/>
      <c r="N758" s="478"/>
      <c r="P758" s="90"/>
    </row>
    <row r="759" spans="2:16" s="353" customFormat="1" ht="27" customHeight="1">
      <c r="B759" s="434"/>
      <c r="C759" s="275">
        <v>89501</v>
      </c>
      <c r="D759" s="161" t="s">
        <v>6</v>
      </c>
      <c r="E759" s="833" t="str">
        <f>IFERROR(VLOOKUP($C759,'SINAPI FEVEREIRO 2022'!$1:$1048576,2,0),IFERROR(VLOOKUP($C759,'5-COMP. PROPRIA'!$B$38:$I$647,4,0),""))</f>
        <v>JOELHO 90 GRAUS, PVC, SOLDÁVEL, DN 50MM, INSTALADO EM PRUMADA DE ÁGUA - FORNECIMENTO E INSTALAÇÃO. AF_12/2014</v>
      </c>
      <c r="F759" s="834"/>
      <c r="G759" s="834"/>
      <c r="H759" s="834"/>
      <c r="I759" s="834"/>
      <c r="J759" s="835"/>
      <c r="K759" s="127">
        <v>3</v>
      </c>
      <c r="L759" s="446" t="str">
        <f>IFERROR(VLOOKUP($C759,'SINAPI FEVEREIRO 2022'!$1:$1048576,3,0),IFERROR(VLOOKUP($C759,'5-COMP. PROPRIA'!$B$1:$I$647,5,0),""))</f>
        <v>UN</v>
      </c>
      <c r="M759" s="67"/>
      <c r="N759" s="478"/>
      <c r="P759" s="90"/>
    </row>
    <row r="760" spans="2:16" s="353" customFormat="1" ht="27" customHeight="1">
      <c r="B760" s="434"/>
      <c r="C760" s="275"/>
      <c r="D760" s="161"/>
      <c r="E760" s="415"/>
      <c r="F760" s="416"/>
      <c r="G760" s="416"/>
      <c r="H760" s="416"/>
      <c r="I760" s="416"/>
      <c r="J760" s="417"/>
      <c r="K760" s="127"/>
      <c r="L760" s="446"/>
      <c r="M760" s="67"/>
      <c r="N760" s="478"/>
      <c r="P760" s="90"/>
    </row>
    <row r="761" spans="2:16" s="353" customFormat="1" ht="27" customHeight="1">
      <c r="B761" s="434"/>
      <c r="C761" s="275">
        <v>89505</v>
      </c>
      <c r="D761" s="161" t="s">
        <v>6</v>
      </c>
      <c r="E761" s="833" t="str">
        <f>IFERROR(VLOOKUP($C761,'SINAPI FEVEREIRO 2022'!$1:$1048576,2,0),IFERROR(VLOOKUP($C761,'5-COMP. PROPRIA'!$B$38:$I$647,4,0),""))</f>
        <v>JOELHO 90 GRAUS, PVC, SOLDÁVEL, DN 60MM, INSTALADO EM PRUMADA DE ÁGUA - FORNECIMENTO E INSTALAÇÃO. AF_12/2014</v>
      </c>
      <c r="F761" s="834"/>
      <c r="G761" s="834"/>
      <c r="H761" s="834"/>
      <c r="I761" s="834"/>
      <c r="J761" s="835"/>
      <c r="K761" s="127">
        <v>5</v>
      </c>
      <c r="L761" s="446" t="str">
        <f>IFERROR(VLOOKUP($C761,'SINAPI FEVEREIRO 2022'!$1:$1048576,3,0),IFERROR(VLOOKUP($C761,'5-COMP. PROPRIA'!$B$1:$I$647,5,0),""))</f>
        <v>UN</v>
      </c>
      <c r="M761" s="67"/>
      <c r="N761" s="478"/>
      <c r="P761" s="90"/>
    </row>
    <row r="762" spans="2:16" s="353" customFormat="1" ht="27" customHeight="1">
      <c r="B762" s="434"/>
      <c r="C762" s="275"/>
      <c r="D762" s="161"/>
      <c r="E762" s="415"/>
      <c r="F762" s="416"/>
      <c r="G762" s="516"/>
      <c r="H762" s="416"/>
      <c r="I762" s="416"/>
      <c r="J762" s="417"/>
      <c r="K762" s="127"/>
      <c r="L762" s="446"/>
      <c r="M762" s="67"/>
      <c r="N762" s="478"/>
      <c r="P762" s="90"/>
    </row>
    <row r="763" spans="2:16" s="353" customFormat="1" ht="27" customHeight="1">
      <c r="B763" s="434"/>
      <c r="C763" s="275">
        <v>89446</v>
      </c>
      <c r="D763" s="161" t="s">
        <v>6</v>
      </c>
      <c r="E763" s="833" t="str">
        <f>IFERROR(VLOOKUP($C763,'SINAPI FEVEREIRO 2022'!$1:$1048576,2,0),IFERROR(VLOOKUP($C763,'5-COMP. PROPRIA'!$B$38:$I$647,4,0),""))</f>
        <v>TUBO, PVC, SOLDÁVEL, DN 25MM, INSTALADO EM PRUMADA DE ÁGUA - FORNECIMENTO E INSTALAÇÃO. AF_12/2014</v>
      </c>
      <c r="F763" s="834"/>
      <c r="G763" s="834"/>
      <c r="H763" s="834"/>
      <c r="I763" s="834"/>
      <c r="J763" s="835"/>
      <c r="K763" s="127">
        <f>SUM(120.99+0.28)</f>
        <v>121.27</v>
      </c>
      <c r="L763" s="446" t="str">
        <f>IFERROR(VLOOKUP($C763,'SINAPI FEVEREIRO 2022'!$1:$1048576,3,0),IFERROR(VLOOKUP($C763,'5-COMP. PROPRIA'!$B$1:$I$647,5,0),""))</f>
        <v>M</v>
      </c>
      <c r="M763" s="67"/>
      <c r="N763" s="478"/>
      <c r="P763" s="90"/>
    </row>
    <row r="764" spans="2:16" s="353" customFormat="1" ht="27" customHeight="1">
      <c r="B764" s="434"/>
      <c r="C764" s="275"/>
      <c r="D764" s="161"/>
      <c r="E764" s="415"/>
      <c r="F764" s="416"/>
      <c r="G764" s="416"/>
      <c r="H764" s="416"/>
      <c r="I764" s="416"/>
      <c r="J764" s="417"/>
      <c r="K764" s="127"/>
      <c r="L764" s="446"/>
      <c r="M764" s="67"/>
      <c r="N764" s="478"/>
      <c r="P764" s="90"/>
    </row>
    <row r="765" spans="2:16" s="353" customFormat="1" ht="27" customHeight="1">
      <c r="B765" s="434"/>
      <c r="C765" s="275">
        <v>89403</v>
      </c>
      <c r="D765" s="161" t="s">
        <v>6</v>
      </c>
      <c r="E765" s="833" t="str">
        <f>IFERROR(VLOOKUP($C765,'SINAPI FEVEREIRO 2022'!$1:$1048576,2,0),IFERROR(VLOOKUP($C765,'5-COMP. PROPRIA'!$B$38:$I$647,4,0),""))</f>
        <v>TUBO, PVC, SOLDÁVEL, DN 32MM, INSTALADO EM RAMAL DE DISTRIBUIÇÃO DE ÁGUA - FORNECIMENTO E INSTALAÇÃO. AF_12/2014</v>
      </c>
      <c r="F765" s="834"/>
      <c r="G765" s="834"/>
      <c r="H765" s="834"/>
      <c r="I765" s="834"/>
      <c r="J765" s="835"/>
      <c r="K765" s="127">
        <v>9.48</v>
      </c>
      <c r="L765" s="446" t="str">
        <f>IFERROR(VLOOKUP($C765,'SINAPI FEVEREIRO 2022'!$1:$1048576,3,0),IFERROR(VLOOKUP($C765,'5-COMP. PROPRIA'!$B$1:$I$647,5,0),""))</f>
        <v>M</v>
      </c>
      <c r="M765" s="67"/>
      <c r="N765" s="478"/>
      <c r="P765" s="90"/>
    </row>
    <row r="766" spans="2:16" s="353" customFormat="1" ht="27" customHeight="1">
      <c r="B766" s="434"/>
      <c r="C766" s="275"/>
      <c r="D766" s="161"/>
      <c r="E766" s="415"/>
      <c r="F766" s="416"/>
      <c r="G766" s="416"/>
      <c r="H766" s="416"/>
      <c r="I766" s="416"/>
      <c r="J766" s="417"/>
      <c r="K766" s="127"/>
      <c r="L766" s="446"/>
      <c r="M766" s="67"/>
      <c r="N766" s="478"/>
      <c r="P766" s="90"/>
    </row>
    <row r="767" spans="2:16" s="353" customFormat="1" ht="27" customHeight="1">
      <c r="B767" s="434"/>
      <c r="C767" s="275">
        <v>89449</v>
      </c>
      <c r="D767" s="161" t="s">
        <v>6</v>
      </c>
      <c r="E767" s="833" t="str">
        <f>IFERROR(VLOOKUP($C767,'SINAPI FEVEREIRO 2022'!$1:$1048576,2,0),IFERROR(VLOOKUP($C767,'5-COMP. PROPRIA'!$B$38:$I$647,4,0),""))</f>
        <v>TUBO, PVC, SOLDÁVEL, DN 50MM, INSTALADO EM PRUMADA DE ÁGUA - FORNECIMENTO E INSTALAÇÃO. AF_12/2014</v>
      </c>
      <c r="F767" s="834"/>
      <c r="G767" s="834"/>
      <c r="H767" s="834"/>
      <c r="I767" s="834"/>
      <c r="J767" s="835"/>
      <c r="K767" s="127">
        <v>22.55</v>
      </c>
      <c r="L767" s="446" t="str">
        <f>IFERROR(VLOOKUP($C767,'SINAPI FEVEREIRO 2022'!$1:$1048576,3,0),IFERROR(VLOOKUP($C767,'5-COMP. PROPRIA'!$B$1:$I$647,5,0),""))</f>
        <v>M</v>
      </c>
      <c r="M767" s="67"/>
      <c r="N767" s="478"/>
      <c r="P767" s="90"/>
    </row>
    <row r="768" spans="2:16" s="353" customFormat="1" ht="27" customHeight="1">
      <c r="B768" s="434"/>
      <c r="C768" s="275"/>
      <c r="D768" s="161"/>
      <c r="E768" s="415"/>
      <c r="F768" s="416"/>
      <c r="G768" s="416"/>
      <c r="H768" s="416"/>
      <c r="I768" s="416"/>
      <c r="J768" s="417"/>
      <c r="K768" s="127"/>
      <c r="L768" s="446"/>
      <c r="M768" s="67"/>
      <c r="N768" s="478"/>
      <c r="P768" s="90"/>
    </row>
    <row r="769" spans="2:16" s="353" customFormat="1" ht="27" customHeight="1">
      <c r="B769" s="434"/>
      <c r="C769" s="275">
        <v>89450</v>
      </c>
      <c r="D769" s="161" t="s">
        <v>6</v>
      </c>
      <c r="E769" s="833" t="str">
        <f>IFERROR(VLOOKUP($C769,'SINAPI FEVEREIRO 2022'!$1:$1048576,2,0),IFERROR(VLOOKUP($C769,'5-COMP. PROPRIA'!$B$38:$I$647,4,0),""))</f>
        <v>TUBO, PVC, SOLDÁVEL, DN 60MM, INSTALADO EM PRUMADA DE ÁGUA - FORNECIMENTO E INSTALAÇÃO. AF_12/2014</v>
      </c>
      <c r="F769" s="834"/>
      <c r="G769" s="834"/>
      <c r="H769" s="834"/>
      <c r="I769" s="834"/>
      <c r="J769" s="835"/>
      <c r="K769" s="127">
        <v>115.03</v>
      </c>
      <c r="L769" s="446" t="str">
        <f>IFERROR(VLOOKUP($C769,'SINAPI FEVEREIRO 2022'!$1:$1048576,3,0),IFERROR(VLOOKUP($C769,'5-COMP. PROPRIA'!$B$1:$I$647,5,0),""))</f>
        <v>M</v>
      </c>
      <c r="M769" s="67"/>
      <c r="N769" s="478"/>
      <c r="P769" s="90"/>
    </row>
    <row r="770" spans="2:16" s="353" customFormat="1" ht="27" customHeight="1">
      <c r="B770" s="434"/>
      <c r="C770" s="275"/>
      <c r="D770" s="161"/>
      <c r="E770" s="415"/>
      <c r="F770" s="416"/>
      <c r="G770" s="516"/>
      <c r="H770" s="416"/>
      <c r="I770" s="416"/>
      <c r="J770" s="417"/>
      <c r="K770" s="127"/>
      <c r="L770" s="446"/>
      <c r="M770" s="67"/>
      <c r="N770" s="478"/>
      <c r="P770" s="90"/>
    </row>
    <row r="771" spans="2:16" s="353" customFormat="1" ht="27" customHeight="1">
      <c r="B771" s="434"/>
      <c r="C771" s="275">
        <v>89440</v>
      </c>
      <c r="D771" s="161" t="s">
        <v>6</v>
      </c>
      <c r="E771" s="833" t="str">
        <f>IFERROR(VLOOKUP($C771,'SINAPI FEVEREIRO 2022'!$1:$1048576,2,0),IFERROR(VLOOKUP($C771,'5-COMP. PROPRIA'!$B$38:$I$647,4,0),""))</f>
        <v>TE, PVC, SOLDÁVEL, DN 25MM, INSTALADO EM RAMAL DE DISTRIBUIÇÃO DE ÁGUA - FORNECIMENTO E INSTALAÇÃO. AF_12/2014</v>
      </c>
      <c r="F771" s="834"/>
      <c r="G771" s="834"/>
      <c r="H771" s="834"/>
      <c r="I771" s="834"/>
      <c r="J771" s="835"/>
      <c r="K771" s="127">
        <v>8</v>
      </c>
      <c r="L771" s="446" t="str">
        <f>IFERROR(VLOOKUP($C771,'SINAPI FEVEREIRO 2022'!$1:$1048576,3,0),IFERROR(VLOOKUP($C771,'5-COMP. PROPRIA'!$B$1:$I$647,5,0),""))</f>
        <v>UN</v>
      </c>
      <c r="M771" s="67"/>
      <c r="N771" s="478"/>
      <c r="P771" s="90"/>
    </row>
    <row r="772" spans="2:16" s="353" customFormat="1" ht="27" customHeight="1">
      <c r="B772" s="434"/>
      <c r="C772" s="275"/>
      <c r="D772" s="161"/>
      <c r="E772" s="415"/>
      <c r="F772" s="416"/>
      <c r="G772" s="416"/>
      <c r="H772" s="416"/>
      <c r="I772" s="416"/>
      <c r="J772" s="417"/>
      <c r="K772" s="127"/>
      <c r="L772" s="446"/>
      <c r="M772" s="67"/>
      <c r="N772" s="478"/>
      <c r="P772" s="90"/>
    </row>
    <row r="773" spans="2:16" s="353" customFormat="1" ht="27" customHeight="1">
      <c r="B773" s="434"/>
      <c r="C773" s="275">
        <v>89625</v>
      </c>
      <c r="D773" s="161" t="s">
        <v>6</v>
      </c>
      <c r="E773" s="833" t="str">
        <f>IFERROR(VLOOKUP($C773,'SINAPI FEVEREIRO 2022'!$1:$1048576,2,0),IFERROR(VLOOKUP($C773,'5-COMP. PROPRIA'!$B$38:$I$647,4,0),""))</f>
        <v>TE, PVC, SOLDÁVEL, DN 50MM, INSTALADO EM PRUMADA DE ÁGUA - FORNECIMENTO E INSTALAÇÃO. AF_12/2014</v>
      </c>
      <c r="F773" s="834"/>
      <c r="G773" s="834"/>
      <c r="H773" s="834"/>
      <c r="I773" s="834"/>
      <c r="J773" s="835"/>
      <c r="K773" s="127">
        <v>1</v>
      </c>
      <c r="L773" s="446" t="str">
        <f>IFERROR(VLOOKUP($C773,'SINAPI FEVEREIRO 2022'!$1:$1048576,3,0),IFERROR(VLOOKUP($C773,'5-COMP. PROPRIA'!$B$1:$I$647,5,0),""))</f>
        <v>UN</v>
      </c>
      <c r="M773" s="67"/>
      <c r="N773" s="478"/>
      <c r="P773" s="90"/>
    </row>
    <row r="774" spans="2:16" s="353" customFormat="1" ht="27" customHeight="1">
      <c r="B774" s="434"/>
      <c r="C774" s="275"/>
      <c r="D774" s="161"/>
      <c r="E774" s="515"/>
      <c r="F774" s="516"/>
      <c r="G774" s="516"/>
      <c r="H774" s="516"/>
      <c r="I774" s="416"/>
      <c r="J774" s="417"/>
      <c r="K774" s="127"/>
      <c r="L774" s="446"/>
      <c r="M774" s="67"/>
      <c r="N774" s="478"/>
      <c r="P774" s="90"/>
    </row>
    <row r="775" spans="2:16" s="353" customFormat="1" ht="27" customHeight="1">
      <c r="B775" s="434"/>
      <c r="C775" s="275">
        <v>89628</v>
      </c>
      <c r="D775" s="161" t="s">
        <v>6</v>
      </c>
      <c r="E775" s="833" t="str">
        <f>IFERROR(VLOOKUP($C775,'SINAPI FEVEREIRO 2022'!$1:$1048576,2,0),IFERROR(VLOOKUP($C775,'5-COMP. PROPRIA'!$B$38:$I$647,4,0),""))</f>
        <v>TE, PVC, SOLDÁVEL, DN 60MM, INSTALADO EM PRUMADA DE ÁGUA - FORNECIMENTO E INSTALAÇÃO. AF_12/2014</v>
      </c>
      <c r="F775" s="834"/>
      <c r="G775" s="834"/>
      <c r="H775" s="834"/>
      <c r="I775" s="834"/>
      <c r="J775" s="835"/>
      <c r="K775" s="127">
        <v>17</v>
      </c>
      <c r="L775" s="446" t="str">
        <f>IFERROR(VLOOKUP($C775,'SINAPI FEVEREIRO 2022'!$1:$1048576,3,0),IFERROR(VLOOKUP($C775,'5-COMP. PROPRIA'!$B$1:$I$647,5,0),""))</f>
        <v>UN</v>
      </c>
      <c r="M775" s="67"/>
      <c r="N775" s="478"/>
      <c r="P775" s="90"/>
    </row>
    <row r="776" spans="2:16" s="353" customFormat="1" ht="27" customHeight="1">
      <c r="B776" s="434"/>
      <c r="C776" s="275"/>
      <c r="D776" s="161"/>
      <c r="E776" s="415"/>
      <c r="F776" s="416"/>
      <c r="G776" s="416"/>
      <c r="H776" s="416"/>
      <c r="I776" s="416"/>
      <c r="J776" s="417"/>
      <c r="K776" s="127"/>
      <c r="L776" s="446"/>
      <c r="M776" s="67"/>
      <c r="N776" s="478"/>
      <c r="P776" s="90"/>
    </row>
    <row r="777" spans="2:16" s="353" customFormat="1" ht="27" customHeight="1">
      <c r="B777" s="434"/>
      <c r="C777" s="275">
        <v>89366</v>
      </c>
      <c r="D777" s="161" t="s">
        <v>6</v>
      </c>
      <c r="E777" s="833" t="str">
        <f>IFERROR(VLOOKUP($C777,'SINAPI FEVEREIRO 2022'!$1:$1048576,2,0),IFERROR(VLOOKUP($C777,'5-COMP. PROPRIA'!$B$38:$I$647,4,0),""))</f>
        <v>JOELHO 90 GRAUS COM BUCHA DE LATÃO, PVC, SOLDÁVEL, DN 25MM, X 3/4 INSTALADO EM RAMAL OU SUB-RAMAL DE ÁGUA - FORNECIMENTO E INSTALAÇÃO. AF_12/2014</v>
      </c>
      <c r="F777" s="834"/>
      <c r="G777" s="834"/>
      <c r="H777" s="834"/>
      <c r="I777" s="834"/>
      <c r="J777" s="835"/>
      <c r="K777" s="127">
        <v>6</v>
      </c>
      <c r="L777" s="446" t="str">
        <f>IFERROR(VLOOKUP($C777,'SINAPI FEVEREIRO 2022'!$1:$1048576,3,0),IFERROR(VLOOKUP($C777,'5-COMP. PROPRIA'!$B$1:$I$647,5,0),""))</f>
        <v>UN</v>
      </c>
      <c r="M777" s="67"/>
      <c r="N777" s="478"/>
      <c r="P777" s="90"/>
    </row>
    <row r="778" spans="2:16" s="353" customFormat="1" ht="27" customHeight="1">
      <c r="B778" s="434"/>
      <c r="C778" s="275"/>
      <c r="D778" s="161"/>
      <c r="E778" s="415"/>
      <c r="F778" s="416"/>
      <c r="G778" s="516"/>
      <c r="H778" s="416"/>
      <c r="I778" s="416"/>
      <c r="J778" s="417"/>
      <c r="K778" s="127"/>
      <c r="L778" s="446"/>
      <c r="M778" s="67"/>
      <c r="N778" s="478"/>
      <c r="P778" s="90"/>
    </row>
    <row r="779" spans="2:16" s="353" customFormat="1" ht="27" customHeight="1">
      <c r="B779" s="434"/>
      <c r="C779" s="275">
        <v>90373</v>
      </c>
      <c r="D779" s="161" t="s">
        <v>6</v>
      </c>
      <c r="E779" s="833" t="str">
        <f>IFERROR(VLOOKUP($C779,'SINAPI FEVEREIRO 2022'!$1:$1048576,2,0),IFERROR(VLOOKUP($C779,'5-COMP. PROPRIA'!$B$38:$I$647,4,0),""))</f>
        <v>JOELHO 90 GRAUS COM BUCHA DE LATÃO, PVC, SOLDÁVEL, DN 25MM, X 1/2 INSTALADO EM RAMAL OU SUB-RAMAL DE ÁGUA - FORNECIMENTO E INSTALAÇÃO. AF_12/2014</v>
      </c>
      <c r="F779" s="834"/>
      <c r="G779" s="834"/>
      <c r="H779" s="834"/>
      <c r="I779" s="834"/>
      <c r="J779" s="835"/>
      <c r="K779" s="127">
        <v>8</v>
      </c>
      <c r="L779" s="446" t="str">
        <f>IFERROR(VLOOKUP($C779,'SINAPI FEVEREIRO 2022'!$1:$1048576,3,0),IFERROR(VLOOKUP($C779,'5-COMP. PROPRIA'!$B$1:$I$647,5,0),""))</f>
        <v>UN</v>
      </c>
      <c r="M779" s="67"/>
      <c r="N779" s="478"/>
      <c r="P779" s="90"/>
    </row>
    <row r="780" spans="2:16" s="353" customFormat="1" ht="27" customHeight="1">
      <c r="B780" s="434"/>
      <c r="C780" s="275"/>
      <c r="D780" s="161"/>
      <c r="E780" s="415"/>
      <c r="F780" s="416"/>
      <c r="G780" s="516"/>
      <c r="H780" s="416"/>
      <c r="I780" s="416"/>
      <c r="J780" s="417"/>
      <c r="K780" s="127"/>
      <c r="L780" s="446"/>
      <c r="M780" s="67"/>
      <c r="N780" s="478"/>
      <c r="P780" s="90"/>
    </row>
    <row r="781" spans="2:16" s="353" customFormat="1" ht="27" customHeight="1">
      <c r="B781" s="434"/>
      <c r="C781" s="275">
        <v>89396</v>
      </c>
      <c r="D781" s="161" t="s">
        <v>6</v>
      </c>
      <c r="E781" s="833" t="str">
        <f>IFERROR(VLOOKUP($C781,'SINAPI FEVEREIRO 2022'!$1:$1048576,2,0),IFERROR(VLOOKUP($C781,'5-COMP. PROPRIA'!$B$38:$I$647,4,0),""))</f>
        <v>TÊ COM BUCHA DE LATÃO NA BOLSA CENTRAL, PVC, SOLDÁVEL, DN 25MM X 1/2, INSTALADO EM RAMAL OU SUB-RAMAL DE ÁGUA - FORNECIMENTO E INSTALAÇÃO. AF_12/2014</v>
      </c>
      <c r="F781" s="834"/>
      <c r="G781" s="834"/>
      <c r="H781" s="834"/>
      <c r="I781" s="834"/>
      <c r="J781" s="835"/>
      <c r="K781" s="127">
        <v>2</v>
      </c>
      <c r="L781" s="446" t="str">
        <f>IFERROR(VLOOKUP($C781,'SINAPI FEVEREIRO 2022'!$1:$1048576,3,0),IFERROR(VLOOKUP($C781,'5-COMP. PROPRIA'!$B$1:$I$647,5,0),""))</f>
        <v>UN</v>
      </c>
      <c r="M781" s="67"/>
      <c r="N781" s="478"/>
      <c r="P781" s="90"/>
    </row>
    <row r="782" spans="2:16" s="353" customFormat="1" ht="27" customHeight="1">
      <c r="B782" s="434"/>
      <c r="C782" s="275"/>
      <c r="D782" s="161"/>
      <c r="E782" s="415"/>
      <c r="F782" s="416"/>
      <c r="G782" s="416"/>
      <c r="H782" s="416"/>
      <c r="I782" s="416"/>
      <c r="J782" s="417"/>
      <c r="K782" s="127"/>
      <c r="L782" s="446"/>
      <c r="M782" s="67"/>
      <c r="N782" s="478"/>
      <c r="P782" s="90"/>
    </row>
    <row r="783" spans="2:16" s="353" customFormat="1" ht="27" customHeight="1">
      <c r="B783" s="434"/>
      <c r="C783" s="275">
        <v>90374</v>
      </c>
      <c r="D783" s="161" t="s">
        <v>6</v>
      </c>
      <c r="E783" s="833" t="str">
        <f>IFERROR(VLOOKUP($C783,'SINAPI FEVEREIRO 2022'!$1:$1048576,2,0),IFERROR(VLOOKUP($C783,'5-COMP. PROPRIA'!$B$38:$I$647,4,0),""))</f>
        <v>TÊ COM BUCHA DE LATÃO NA BOLSA CENTRAL, PVC, SOLDÁVEL, DN 25MM X 3/4, INSTALADO EM RAMAL OU SUB-RAMAL DE ÁGUA - FORNECIMENTO E INSTALAÇÃO. AF_03/2015</v>
      </c>
      <c r="F783" s="834"/>
      <c r="G783" s="834"/>
      <c r="H783" s="834"/>
      <c r="I783" s="834"/>
      <c r="J783" s="835"/>
      <c r="K783" s="127">
        <v>2</v>
      </c>
      <c r="L783" s="446" t="str">
        <f>IFERROR(VLOOKUP($C783,'SINAPI FEVEREIRO 2022'!$1:$1048576,3,0),IFERROR(VLOOKUP($C783,'5-COMP. PROPRIA'!$B$1:$I$647,5,0),""))</f>
        <v>UN</v>
      </c>
      <c r="M783" s="67"/>
      <c r="N783" s="478"/>
      <c r="P783" s="90"/>
    </row>
    <row r="784" spans="2:16" s="353" customFormat="1" ht="27" customHeight="1">
      <c r="B784" s="695"/>
      <c r="C784" s="275"/>
      <c r="D784" s="161"/>
      <c r="E784" s="688"/>
      <c r="F784" s="689"/>
      <c r="G784" s="689"/>
      <c r="H784" s="689"/>
      <c r="I784" s="689"/>
      <c r="J784" s="690"/>
      <c r="K784" s="127"/>
      <c r="L784" s="446"/>
      <c r="M784" s="67"/>
      <c r="N784" s="478"/>
      <c r="P784" s="90"/>
    </row>
    <row r="785" spans="2:16" s="353" customFormat="1" ht="60.75" customHeight="1">
      <c r="B785" s="695"/>
      <c r="C785" s="275" t="str">
        <f>'5-COMP. PROPRIA'!B295</f>
        <v>CP-HIDR-16</v>
      </c>
      <c r="D785" s="161" t="s">
        <v>641</v>
      </c>
      <c r="E785" s="842" t="str">
        <f>IFERROR(VLOOKUP($C785,'SINAPI FEVEREIRO 2022'!$1:$1048576,2,0),IFERROR(VLOOKUP($C785,'5-COMP. PROPRIA'!$B$38:$I$647,4,0),""))</f>
        <v>FORNECIMENTO E MONTAGEM DE RESERVATÓRIO COLUNA CILÍNDRICA TIPO TUBULAR DE CAP.15.000L, COM AS SEGUINTES DIMENSÕES: -COLUNA SECA: Ø 1,27 X 2,80M; -RESERVA: Ø 2,00M x 7,20M; -ALTURA TOTAL: 10,00M; INCLUSO ESCADA TIPO MARINHEIRO COM PROTEÇÃO NA PARTE EXTERNA, GUARDA CORPO PARTE EXTERNA NO TOPO, TAMPA SUPERIOR, DEGRAUS NA PARTE INTERNA, CHUMBADORES TIPO "J" COM ROSCAS, PINTURA EPÓXI DUAS DEMÃOS COM FUNDO ANTICORROSIVO, INCLUSO BLOCO SOBRE ESTACA DE CONCRETO E SPDA</v>
      </c>
      <c r="F785" s="843"/>
      <c r="G785" s="843"/>
      <c r="H785" s="843"/>
      <c r="I785" s="843"/>
      <c r="J785" s="844"/>
      <c r="K785" s="127">
        <v>1</v>
      </c>
      <c r="L785" s="446" t="str">
        <f>IFERROR(VLOOKUP($C785,'SINAPI FEVEREIRO 2022'!$1:$1048576,3,0),IFERROR(VLOOKUP($C785,'5-COMP. PROPRIA'!$B$1:$I$647,5,0),""))</f>
        <v>UN</v>
      </c>
      <c r="M785" s="67"/>
      <c r="N785" s="478"/>
      <c r="P785" s="90"/>
    </row>
    <row r="786" spans="2:16" s="353" customFormat="1" ht="27" customHeight="1">
      <c r="B786" s="695"/>
      <c r="C786" s="275"/>
      <c r="D786" s="161"/>
      <c r="E786" s="688"/>
      <c r="F786" s="689"/>
      <c r="G786" s="689"/>
      <c r="H786" s="689"/>
      <c r="I786" s="689"/>
      <c r="J786" s="690"/>
      <c r="K786" s="127"/>
      <c r="L786" s="446"/>
      <c r="M786" s="67"/>
      <c r="N786" s="478"/>
      <c r="P786" s="90"/>
    </row>
    <row r="787" spans="2:16" s="353" customFormat="1" ht="27" customHeight="1">
      <c r="B787" s="695"/>
      <c r="C787" s="275">
        <v>102619</v>
      </c>
      <c r="D787" s="161" t="s">
        <v>6</v>
      </c>
      <c r="E787" s="833" t="str">
        <f>IFERROR(VLOOKUP($C787,'SINAPI FEVEREIRO 2022'!$1:$1048576,2,0),IFERROR(VLOOKUP($C787,'5-COMP. PROPRIA'!$B$38:$I$647,4,0),""))</f>
        <v>CAIXA D´ÁGUA EM POLIÉSTER REFORÇADO COM FIBRA DE VIDRO, 10000 LITROS - FORNECIMENTO E INSTALAÇÃO. AF_06/2021</v>
      </c>
      <c r="F787" s="834"/>
      <c r="G787" s="834"/>
      <c r="H787" s="834"/>
      <c r="I787" s="834"/>
      <c r="J787" s="835"/>
      <c r="K787" s="127">
        <v>1</v>
      </c>
      <c r="L787" s="446" t="str">
        <f>IFERROR(VLOOKUP($C787,'SINAPI FEVEREIRO 2022'!$1:$1048576,3,0),IFERROR(VLOOKUP($C787,'5-COMP. PROPRIA'!$B$1:$I$647,5,0),""))</f>
        <v>UN</v>
      </c>
      <c r="M787" s="67"/>
      <c r="N787" s="478"/>
      <c r="P787" s="90"/>
    </row>
    <row r="788" spans="2:16" s="353" customFormat="1" ht="15">
      <c r="B788" s="695"/>
      <c r="C788" s="275"/>
      <c r="D788" s="161"/>
      <c r="E788" s="688"/>
      <c r="F788" s="689"/>
      <c r="G788" s="689"/>
      <c r="H788" s="689"/>
      <c r="I788" s="689"/>
      <c r="J788" s="690"/>
      <c r="K788" s="127"/>
      <c r="L788" s="446"/>
      <c r="M788" s="67"/>
      <c r="N788" s="478"/>
      <c r="P788" s="90"/>
    </row>
    <row r="789" spans="2:16" s="353" customFormat="1" ht="27" customHeight="1">
      <c r="B789" s="695"/>
      <c r="C789" s="275">
        <v>102113</v>
      </c>
      <c r="D789" s="161" t="s">
        <v>6</v>
      </c>
      <c r="E789" s="833" t="str">
        <f>IFERROR(VLOOKUP($C789,'SINAPI FEVEREIRO 2022'!$1:$1048576,2,0),IFERROR(VLOOKUP($C789,'5-COMP. PROPRIA'!$B$38:$I$647,4,0),""))</f>
        <v>BOMBA CENTRÍFUGA, TRIFÁSICA, 1 CV OU 0,99 HP, HM 14 A 40 M, Q 0,6 A 8,4 M3/H - FORNECIMENTO E INSTALAÇÃO. AF_12/2020</v>
      </c>
      <c r="F789" s="834"/>
      <c r="G789" s="834"/>
      <c r="H789" s="834"/>
      <c r="I789" s="834"/>
      <c r="J789" s="835"/>
      <c r="K789" s="127">
        <v>1</v>
      </c>
      <c r="L789" s="446" t="str">
        <f>IFERROR(VLOOKUP($C789,'SINAPI FEVEREIRO 2022'!$1:$1048576,3,0),IFERROR(VLOOKUP($C789,'5-COMP. PROPRIA'!$B$1:$I$647,5,0),""))</f>
        <v>UN</v>
      </c>
      <c r="M789" s="67"/>
      <c r="N789" s="478"/>
      <c r="P789" s="90"/>
    </row>
    <row r="790" spans="2:16" s="353" customFormat="1" ht="27" customHeight="1">
      <c r="B790" s="695"/>
      <c r="C790" s="275"/>
      <c r="D790" s="161"/>
      <c r="E790" s="688"/>
      <c r="F790" s="689"/>
      <c r="G790" s="689"/>
      <c r="H790" s="689"/>
      <c r="I790" s="689"/>
      <c r="J790" s="690"/>
      <c r="K790" s="127"/>
      <c r="L790" s="446"/>
      <c r="M790" s="67"/>
      <c r="N790" s="478"/>
      <c r="P790" s="90"/>
    </row>
    <row r="791" spans="2:16" s="353" customFormat="1" ht="27" customHeight="1">
      <c r="B791" s="695"/>
      <c r="C791" s="275" t="str">
        <f>'5-COMP. PROPRIA'!B348</f>
        <v>CP-HIDR-20</v>
      </c>
      <c r="D791" s="161" t="s">
        <v>641</v>
      </c>
      <c r="E791" s="833" t="str">
        <f>IFERROR(VLOOKUP($C791,'SINAPI FEVEREIRO 2022'!$1:$1048576,2,0),IFERROR(VLOOKUP($C791,'5-COMP. PROPRIA'!$B$38:$I$647,4,0),""))</f>
        <v xml:space="preserve">JOELHO DE REDUÇÃO, PVC, ROSCAVEL,  90 GRAUS, 1/2'' - FORNECIMENTO E INSTALAÇÃO. </v>
      </c>
      <c r="F791" s="834"/>
      <c r="G791" s="834"/>
      <c r="H791" s="834"/>
      <c r="I791" s="834"/>
      <c r="J791" s="835"/>
      <c r="K791" s="127">
        <v>1</v>
      </c>
      <c r="L791" s="446" t="str">
        <f>IFERROR(VLOOKUP($C791,'SINAPI FEVEREIRO 2022'!$1:$1048576,3,0),IFERROR(VLOOKUP($C791,'5-COMP. PROPRIA'!$B$1:$I$647,5,0),""))</f>
        <v>UN</v>
      </c>
      <c r="M791" s="67"/>
      <c r="N791" s="478"/>
      <c r="P791" s="90"/>
    </row>
    <row r="792" spans="2:16" s="353" customFormat="1" ht="15.75" thickBot="1">
      <c r="B792" s="434"/>
      <c r="C792" s="275"/>
      <c r="D792" s="161"/>
      <c r="E792" s="415"/>
      <c r="F792" s="416"/>
      <c r="G792" s="416"/>
      <c r="H792" s="416"/>
      <c r="I792" s="416"/>
      <c r="J792" s="417"/>
      <c r="K792" s="127"/>
      <c r="L792" s="446"/>
      <c r="M792" s="67"/>
      <c r="N792" s="478"/>
      <c r="P792" s="90"/>
    </row>
    <row r="793" spans="2:16" s="353" customFormat="1" ht="15.75" thickBot="1">
      <c r="B793" s="434"/>
      <c r="C793" s="275"/>
      <c r="D793" s="161"/>
      <c r="E793" s="845" t="s">
        <v>4122</v>
      </c>
      <c r="F793" s="846"/>
      <c r="G793" s="846"/>
      <c r="H793" s="846"/>
      <c r="I793" s="846"/>
      <c r="J793" s="847"/>
      <c r="K793" s="127"/>
      <c r="L793" s="446"/>
      <c r="M793" s="67"/>
      <c r="N793" s="478"/>
      <c r="P793" s="90"/>
    </row>
    <row r="794" spans="2:16" s="353" customFormat="1" ht="27" customHeight="1">
      <c r="B794" s="434"/>
      <c r="C794" s="275"/>
      <c r="D794" s="161"/>
      <c r="E794" s="415"/>
      <c r="F794" s="416"/>
      <c r="G794" s="416"/>
      <c r="H794" s="416"/>
      <c r="I794" s="416"/>
      <c r="J794" s="417"/>
      <c r="K794" s="127"/>
      <c r="L794" s="446"/>
      <c r="M794" s="67"/>
      <c r="N794" s="478"/>
      <c r="P794" s="90"/>
    </row>
    <row r="795" spans="2:16" s="353" customFormat="1" ht="15">
      <c r="B795" s="434"/>
      <c r="C795" s="275">
        <v>100860</v>
      </c>
      <c r="D795" s="161" t="s">
        <v>6</v>
      </c>
      <c r="E795" s="833" t="str">
        <f>IFERROR(VLOOKUP($C795,'SINAPI FEVEREIRO 2022'!$1:$1048576,2,0),IFERROR(VLOOKUP($C795,'5-COMP. PROPRIA'!$B$38:$I$647,4,0),""))</f>
        <v>CHUVEIRO ELÉTRICO COMUM CORPO PLÁSTICO, TIPO DUCHA  FORNECIMENTO E INSTALAÇÃO. AF_01/2020</v>
      </c>
      <c r="F795" s="834"/>
      <c r="G795" s="834"/>
      <c r="H795" s="834"/>
      <c r="I795" s="834"/>
      <c r="J795" s="835"/>
      <c r="K795" s="127">
        <v>3</v>
      </c>
      <c r="L795" s="446" t="str">
        <f>IFERROR(VLOOKUP($C795,'SINAPI FEVEREIRO 2022'!$1:$1048576,3,0),IFERROR(VLOOKUP($C795,'5-COMP. PROPRIA'!$B$1:$I$647,5,0),""))</f>
        <v>UN</v>
      </c>
      <c r="M795" s="67"/>
      <c r="N795" s="478"/>
      <c r="P795" s="90"/>
    </row>
    <row r="796" spans="2:16" s="353" customFormat="1" ht="15">
      <c r="B796" s="434"/>
      <c r="C796" s="275"/>
      <c r="D796" s="161"/>
      <c r="E796" s="415"/>
      <c r="F796" s="416"/>
      <c r="G796" s="516"/>
      <c r="H796" s="416"/>
      <c r="I796" s="416"/>
      <c r="J796" s="417"/>
      <c r="K796" s="127"/>
      <c r="L796" s="446"/>
      <c r="M796" s="67"/>
      <c r="N796" s="478"/>
      <c r="P796" s="90"/>
    </row>
    <row r="797" spans="2:16" s="353" customFormat="1" ht="28.5" customHeight="1">
      <c r="B797" s="434"/>
      <c r="C797" s="275">
        <v>86910</v>
      </c>
      <c r="D797" s="161" t="s">
        <v>6</v>
      </c>
      <c r="E797" s="833" t="str">
        <f>IFERROR(VLOOKUP($C797,'SINAPI FEVEREIRO 2022'!$1:$1048576,2,0),IFERROR(VLOOKUP($C797,'5-COMP. PROPRIA'!$B$38:$I$647,4,0),""))</f>
        <v>TORNEIRA CROMADA TUBO MÓVEL, DE PAREDE, 1/2 OU 3/4, PARA PIA DE COZINHA, PADRÃO MÉDIO - FORNECIMENTO E INSTALAÇÃO. AF_01/2020</v>
      </c>
      <c r="F797" s="834"/>
      <c r="G797" s="834"/>
      <c r="H797" s="834"/>
      <c r="I797" s="834"/>
      <c r="J797" s="835"/>
      <c r="K797" s="127">
        <v>3</v>
      </c>
      <c r="L797" s="446" t="str">
        <f>IFERROR(VLOOKUP($C797,'SINAPI FEVEREIRO 2022'!$1:$1048576,3,0),IFERROR(VLOOKUP($C797,'5-COMP. PROPRIA'!$B$1:$I$647,5,0),""))</f>
        <v>UN</v>
      </c>
      <c r="M797" s="67"/>
      <c r="N797" s="478"/>
      <c r="P797" s="90"/>
    </row>
    <row r="798" spans="2:16" s="353" customFormat="1" ht="27" customHeight="1">
      <c r="B798" s="434"/>
      <c r="C798" s="275"/>
      <c r="D798" s="161"/>
      <c r="E798" s="415"/>
      <c r="F798" s="516"/>
      <c r="G798" s="516"/>
      <c r="H798" s="516"/>
      <c r="I798" s="416"/>
      <c r="J798" s="417"/>
      <c r="K798" s="127"/>
      <c r="L798" s="446"/>
      <c r="M798" s="67"/>
      <c r="N798" s="478"/>
      <c r="P798" s="90"/>
    </row>
    <row r="799" spans="2:16" s="353" customFormat="1" ht="27" customHeight="1">
      <c r="B799" s="434"/>
      <c r="C799" s="275">
        <v>86914</v>
      </c>
      <c r="D799" s="161" t="s">
        <v>6</v>
      </c>
      <c r="E799" s="833" t="str">
        <f>IFERROR(VLOOKUP($C799,'SINAPI FEVEREIRO 2022'!$1:$1048576,2,0),IFERROR(VLOOKUP($C799,'5-COMP. PROPRIA'!$B$38:$I$647,4,0),""))</f>
        <v>TORNEIRA CROMADA 1/2 OU 3/4 PARA TANQUE, PADRÃO MÉDIO - FORNECIMENTO E INSTALAÇÃO. AF_01/2020</v>
      </c>
      <c r="F799" s="834"/>
      <c r="G799" s="834"/>
      <c r="H799" s="834"/>
      <c r="I799" s="834"/>
      <c r="J799" s="835"/>
      <c r="K799" s="127">
        <v>8</v>
      </c>
      <c r="L799" s="446" t="str">
        <f>IFERROR(VLOOKUP($C799,'SINAPI FEVEREIRO 2022'!$1:$1048576,3,0),IFERROR(VLOOKUP($C799,'5-COMP. PROPRIA'!$B$1:$I$647,5,0),""))</f>
        <v>UN</v>
      </c>
      <c r="M799" s="67"/>
      <c r="N799" s="478"/>
      <c r="P799" s="90"/>
    </row>
    <row r="800" spans="2:16" s="353" customFormat="1" ht="27" customHeight="1">
      <c r="B800" s="434"/>
      <c r="C800" s="275"/>
      <c r="D800" s="161"/>
      <c r="E800" s="415"/>
      <c r="F800" s="416"/>
      <c r="G800" s="416"/>
      <c r="H800" s="416"/>
      <c r="I800" s="416"/>
      <c r="J800" s="417"/>
      <c r="K800" s="127"/>
      <c r="L800" s="446"/>
      <c r="M800" s="67"/>
      <c r="N800" s="478"/>
      <c r="P800" s="90"/>
    </row>
    <row r="801" spans="2:16" s="353" customFormat="1" ht="27" customHeight="1">
      <c r="B801" s="434"/>
      <c r="C801" s="275">
        <v>86906</v>
      </c>
      <c r="D801" s="161" t="s">
        <v>6</v>
      </c>
      <c r="E801" s="833" t="str">
        <f>IFERROR(VLOOKUP($C801,'SINAPI FEVEREIRO 2022'!$1:$1048576,2,0),IFERROR(VLOOKUP($C801,'5-COMP. PROPRIA'!$B$38:$I$647,4,0),""))</f>
        <v>TORNEIRA CROMADA DE MESA, 1/2 OU 3/4, PARA LAVATÓRIO, PADRÃO POPULAR - FORNECIMENTO E INSTALAÇÃO. AF_01/2020</v>
      </c>
      <c r="F801" s="834"/>
      <c r="G801" s="834"/>
      <c r="H801" s="834"/>
      <c r="I801" s="834"/>
      <c r="J801" s="835"/>
      <c r="K801" s="127">
        <v>9</v>
      </c>
      <c r="L801" s="446" t="str">
        <f>IFERROR(VLOOKUP($C801,'SINAPI FEVEREIRO 2022'!$1:$1048576,3,0),IFERROR(VLOOKUP($C801,'5-COMP. PROPRIA'!$B$1:$I$647,5,0),""))</f>
        <v>UN</v>
      </c>
      <c r="M801" s="67"/>
      <c r="N801" s="478"/>
      <c r="P801" s="90"/>
    </row>
    <row r="802" spans="2:16" s="353" customFormat="1" ht="27" customHeight="1">
      <c r="B802" s="434"/>
      <c r="C802" s="275"/>
      <c r="D802" s="161"/>
      <c r="E802" s="415"/>
      <c r="F802" s="416"/>
      <c r="G802" s="516"/>
      <c r="H802" s="416"/>
      <c r="I802" s="416"/>
      <c r="J802" s="417"/>
      <c r="K802" s="127"/>
      <c r="L802" s="446"/>
      <c r="M802" s="67"/>
      <c r="N802" s="478"/>
      <c r="P802" s="90"/>
    </row>
    <row r="803" spans="2:16" s="353" customFormat="1" ht="27" customHeight="1">
      <c r="B803" s="434"/>
      <c r="C803" s="275">
        <v>95470</v>
      </c>
      <c r="D803" s="161" t="s">
        <v>6</v>
      </c>
      <c r="E803" s="833" t="str">
        <f>IFERROR(VLOOKUP($C803,'SINAPI FEVEREIRO 2022'!$1:$1048576,2,0),IFERROR(VLOOKUP($C803,'5-COMP. PROPRIA'!$B$38:$I$647,4,0),""))</f>
        <v>VASO SANITARIO SIFONADO CONVENCIONAL COM LOUÇA BRANCA, INCLUSO CONJUNTO DE LIGAÇÃO PARA BACIA SANITÁRIA AJUSTÁVEL - FORNECIMENTO E INSTALAÇÃO. AF_10/2016</v>
      </c>
      <c r="F803" s="834"/>
      <c r="G803" s="834"/>
      <c r="H803" s="834"/>
      <c r="I803" s="834"/>
      <c r="J803" s="835"/>
      <c r="K803" s="127">
        <v>7</v>
      </c>
      <c r="L803" s="446" t="str">
        <f>IFERROR(VLOOKUP($C803,'SINAPI FEVEREIRO 2022'!$1:$1048576,3,0),IFERROR(VLOOKUP($C803,'5-COMP. PROPRIA'!$B$1:$I$647,5,0),""))</f>
        <v>UN</v>
      </c>
      <c r="M803" s="67"/>
      <c r="N803" s="478"/>
      <c r="P803" s="90"/>
    </row>
    <row r="804" spans="2:16" s="353" customFormat="1" ht="27" customHeight="1">
      <c r="B804" s="434"/>
      <c r="C804" s="275"/>
      <c r="D804" s="161"/>
      <c r="E804" s="415"/>
      <c r="F804" s="416"/>
      <c r="G804" s="416"/>
      <c r="H804" s="416"/>
      <c r="I804" s="416"/>
      <c r="J804" s="417"/>
      <c r="K804" s="127"/>
      <c r="L804" s="446"/>
      <c r="M804" s="67"/>
      <c r="N804" s="478"/>
      <c r="P804" s="90"/>
    </row>
    <row r="805" spans="2:16" s="353" customFormat="1" ht="49.5" customHeight="1">
      <c r="B805" s="434"/>
      <c r="C805" s="275">
        <v>95472</v>
      </c>
      <c r="D805" s="161" t="s">
        <v>6</v>
      </c>
      <c r="E805" s="833" t="str">
        <f>IFERROR(VLOOKUP($C805,'SINAPI FEVEREIRO 2022'!$1:$1048576,2,0),IFERROR(VLOOKUP($C805,'5-COMP. PROPRIA'!$B$38:$I$647,4,0),""))</f>
        <v>VASO SANITARIO SIFONADO CONVENCIONAL PARA PCD SEM FURO FRONTAL COM LOUÇA BRANCA SEM ASSENTO, INCLUSO CONJUNTO DE LIGAÇÃO PARA BACIA SANITÁRIA AJUSTÁVEL - FORNECIMENTO E INSTALAÇÃO. AF_01/2020</v>
      </c>
      <c r="F805" s="834"/>
      <c r="G805" s="834"/>
      <c r="H805" s="834"/>
      <c r="I805" s="834"/>
      <c r="J805" s="835"/>
      <c r="K805" s="127">
        <v>1</v>
      </c>
      <c r="L805" s="446" t="str">
        <f>IFERROR(VLOOKUP($C805,'SINAPI FEVEREIRO 2022'!$1:$1048576,3,0),IFERROR(VLOOKUP($C805,'5-COMP. PROPRIA'!$B$1:$I$647,5,0),""))</f>
        <v>UN</v>
      </c>
      <c r="M805" s="67"/>
      <c r="N805" s="478"/>
      <c r="P805" s="90"/>
    </row>
    <row r="806" spans="2:16" s="353" customFormat="1" ht="27" customHeight="1">
      <c r="B806" s="434"/>
      <c r="C806" s="275"/>
      <c r="D806" s="161"/>
      <c r="E806" s="415"/>
      <c r="F806" s="416"/>
      <c r="G806" s="516"/>
      <c r="H806" s="416"/>
      <c r="I806" s="416"/>
      <c r="J806" s="417"/>
      <c r="K806" s="127"/>
      <c r="L806" s="446"/>
      <c r="M806" s="67"/>
      <c r="N806" s="478"/>
      <c r="P806" s="90"/>
    </row>
    <row r="807" spans="2:16" s="353" customFormat="1" ht="27" customHeight="1">
      <c r="B807" s="434"/>
      <c r="C807" s="275">
        <v>100849</v>
      </c>
      <c r="D807" s="161" t="s">
        <v>6</v>
      </c>
      <c r="E807" s="833" t="str">
        <f>IFERROR(VLOOKUP($C807,'SINAPI FEVEREIRO 2022'!$1:$1048576,2,0),IFERROR(VLOOKUP($C807,'5-COMP. PROPRIA'!$B$38:$I$647,4,0),""))</f>
        <v>ASSENTO SANITÁRIO CONVENCIONAL - FORNECIMENTO E INSTALACAO. AF_01/2020</v>
      </c>
      <c r="F807" s="834"/>
      <c r="G807" s="834"/>
      <c r="H807" s="834"/>
      <c r="I807" s="834"/>
      <c r="J807" s="835"/>
      <c r="K807" s="127">
        <v>7</v>
      </c>
      <c r="L807" s="446" t="str">
        <f>IFERROR(VLOOKUP($C807,'SINAPI FEVEREIRO 2022'!$1:$1048576,3,0),IFERROR(VLOOKUP($C807,'5-COMP. PROPRIA'!$B$1:$I$647,5,0),""))</f>
        <v>UN</v>
      </c>
      <c r="M807" s="67"/>
      <c r="N807" s="478"/>
      <c r="P807" s="90"/>
    </row>
    <row r="808" spans="2:16" s="353" customFormat="1" ht="27" customHeight="1">
      <c r="B808" s="514"/>
      <c r="C808" s="275"/>
      <c r="D808" s="161"/>
      <c r="E808" s="515"/>
      <c r="F808" s="516"/>
      <c r="G808" s="516"/>
      <c r="H808" s="516"/>
      <c r="I808" s="516"/>
      <c r="J808" s="517"/>
      <c r="K808" s="127"/>
      <c r="L808" s="446"/>
      <c r="M808" s="67"/>
      <c r="N808" s="478"/>
      <c r="P808" s="90"/>
    </row>
    <row r="809" spans="2:16" s="353" customFormat="1" ht="27" customHeight="1">
      <c r="B809" s="514"/>
      <c r="C809" s="275" t="str">
        <f>'5-COMP. PROPRIA'!B327</f>
        <v>CP-HIDR-17</v>
      </c>
      <c r="D809" s="161" t="s">
        <v>641</v>
      </c>
      <c r="E809" s="833" t="str">
        <f>IFERROR(VLOOKUP($C809,'SINAPI FEVEREIRO 2022'!$1:$1048576,2,0),IFERROR(VLOOKUP($C809,'5-COMP. PROPRIA'!$B$38:$I$647,4,0),""))</f>
        <v>ASSENTO SANITÁRIO ELEVADO PARA PNE- FORNECIMENTO E INSTALAÇÃO</v>
      </c>
      <c r="F809" s="834"/>
      <c r="G809" s="834"/>
      <c r="H809" s="834"/>
      <c r="I809" s="834"/>
      <c r="J809" s="835"/>
      <c r="K809" s="127">
        <v>1</v>
      </c>
      <c r="L809" s="446" t="str">
        <f>IFERROR(VLOOKUP($C809,'SINAPI FEVEREIRO 2022'!$1:$1048576,3,0),IFERROR(VLOOKUP($C809,'5-COMP. PROPRIA'!$B$1:$I$647,5,0),""))</f>
        <v>UN</v>
      </c>
      <c r="M809" s="67"/>
      <c r="N809" s="478"/>
      <c r="P809" s="90"/>
    </row>
    <row r="810" spans="2:16" s="353" customFormat="1" ht="27" customHeight="1">
      <c r="B810" s="514"/>
      <c r="C810" s="275"/>
      <c r="D810" s="161"/>
      <c r="E810" s="515"/>
      <c r="F810" s="516"/>
      <c r="G810" s="516"/>
      <c r="H810" s="516"/>
      <c r="I810" s="516"/>
      <c r="J810" s="517"/>
      <c r="K810" s="127"/>
      <c r="L810" s="446"/>
      <c r="M810" s="67"/>
      <c r="N810" s="478"/>
      <c r="P810" s="90"/>
    </row>
    <row r="811" spans="2:16" s="353" customFormat="1" ht="27" customHeight="1">
      <c r="B811" s="434"/>
      <c r="C811" s="275">
        <v>100855</v>
      </c>
      <c r="D811" s="161" t="s">
        <v>6</v>
      </c>
      <c r="E811" s="833" t="str">
        <f>IFERROR(VLOOKUP($C811,'SINAPI FEVEREIRO 2022'!$1:$1048576,2,0),IFERROR(VLOOKUP($C811,'5-COMP. PROPRIA'!$B$38:$I$647,4,0),""))</f>
        <v>SABONETEIRA DE PAREDE EM PLASTICO ABS COM ACABAMENTO CROMADO E ACRILICO, INCLUSO FIXAÇÃO. AF_01/2020</v>
      </c>
      <c r="F811" s="834"/>
      <c r="G811" s="834"/>
      <c r="H811" s="834"/>
      <c r="I811" s="834"/>
      <c r="J811" s="835"/>
      <c r="K811" s="175">
        <v>5</v>
      </c>
      <c r="L811" s="39" t="str">
        <f>IFERROR(VLOOKUP($C811,'SINAPI FEVEREIRO 2022'!$1:$1048576,3,0),IFERROR(VLOOKUP($C811,'5-COMP. PROPRIA'!$B$1:$I$647,5,0),""))</f>
        <v>UN</v>
      </c>
      <c r="M811" s="86"/>
      <c r="N811" s="478"/>
      <c r="P811" s="90"/>
    </row>
    <row r="812" spans="2:16" s="353" customFormat="1" ht="27" customHeight="1">
      <c r="B812" s="434"/>
      <c r="C812" s="275"/>
      <c r="D812" s="161"/>
      <c r="E812" s="435"/>
      <c r="F812" s="436"/>
      <c r="G812" s="436"/>
      <c r="H812" s="436"/>
      <c r="I812" s="436"/>
      <c r="J812" s="437"/>
      <c r="K812" s="175"/>
      <c r="L812" s="39"/>
      <c r="M812" s="86"/>
      <c r="N812" s="478"/>
      <c r="P812" s="90"/>
    </row>
    <row r="813" spans="2:16" s="353" customFormat="1" ht="27" customHeight="1">
      <c r="B813" s="434"/>
      <c r="C813" s="275">
        <v>95544</v>
      </c>
      <c r="D813" s="161" t="s">
        <v>6</v>
      </c>
      <c r="E813" s="833" t="str">
        <f>IFERROR(VLOOKUP($C813,'SINAPI FEVEREIRO 2022'!$1:$1048576,2,0),IFERROR(VLOOKUP($C813,'5-COMP. PROPRIA'!$B$38:$I$647,4,0),""))</f>
        <v>PAPELEIRA DE PAREDE EM METAL CROMADO SEM TAMPA, INCLUSO FIXAÇÃO. AF_01/2020</v>
      </c>
      <c r="F813" s="834"/>
      <c r="G813" s="834"/>
      <c r="H813" s="834"/>
      <c r="I813" s="834"/>
      <c r="J813" s="835"/>
      <c r="K813" s="175">
        <v>8</v>
      </c>
      <c r="L813" s="39" t="str">
        <f>IFERROR(VLOOKUP($C813,'SINAPI FEVEREIRO 2022'!$1:$1048576,3,0),IFERROR(VLOOKUP($C813,'5-COMP. PROPRIA'!$B$1:$I$647,5,0),""))</f>
        <v>UN</v>
      </c>
      <c r="M813" s="86"/>
      <c r="N813" s="478"/>
      <c r="P813" s="90"/>
    </row>
    <row r="814" spans="2:16" s="353" customFormat="1" ht="27" customHeight="1">
      <c r="B814" s="514"/>
      <c r="C814" s="275"/>
      <c r="D814" s="161"/>
      <c r="E814" s="515"/>
      <c r="F814" s="516"/>
      <c r="G814" s="516"/>
      <c r="H814" s="516"/>
      <c r="I814" s="516"/>
      <c r="J814" s="517"/>
      <c r="K814" s="175"/>
      <c r="L814" s="39"/>
      <c r="M814" s="86"/>
      <c r="N814" s="478"/>
      <c r="P814" s="90"/>
    </row>
    <row r="815" spans="2:16" s="353" customFormat="1" ht="27" customHeight="1">
      <c r="B815" s="514" t="s">
        <v>7333</v>
      </c>
      <c r="C815" s="275">
        <v>100869</v>
      </c>
      <c r="D815" s="161" t="s">
        <v>6</v>
      </c>
      <c r="E815" s="833" t="str">
        <f>IFERROR(VLOOKUP($C815,'SINAPI FEVEREIRO 2022'!$1:$1048576,2,0),IFERROR(VLOOKUP($C815,'5-COMP. PROPRIA'!$B$38:$I$647,4,0),""))</f>
        <v>BARRA DE APOIO RETA, EM ACO INOX POLIDO, COMPRIMENTO 90 CM,  FIXADA NA PAREDE - FORNECIMENTO E INSTALAÇÃO. AF_01/2020</v>
      </c>
      <c r="F815" s="834"/>
      <c r="G815" s="834"/>
      <c r="H815" s="834"/>
      <c r="I815" s="834"/>
      <c r="J815" s="835"/>
      <c r="K815" s="175">
        <v>2</v>
      </c>
      <c r="L815" s="39" t="str">
        <f>IFERROR(VLOOKUP($C815,'SINAPI FEVEREIRO 2022'!$1:$1048576,3,0),IFERROR(VLOOKUP($C815,'5-COMP. PROPRIA'!$B$1:$I$647,5,0),""))</f>
        <v>UN</v>
      </c>
      <c r="M815" s="86"/>
      <c r="N815" s="478"/>
      <c r="P815" s="90"/>
    </row>
    <row r="816" spans="2:16" s="353" customFormat="1" ht="27" customHeight="1">
      <c r="B816" s="514"/>
      <c r="C816" s="275"/>
      <c r="D816" s="161"/>
      <c r="E816" s="515"/>
      <c r="F816" s="516"/>
      <c r="G816" s="516"/>
      <c r="H816" s="516"/>
      <c r="I816" s="516"/>
      <c r="J816" s="517"/>
      <c r="K816" s="175"/>
      <c r="L816" s="39"/>
      <c r="M816" s="86"/>
      <c r="N816" s="478"/>
      <c r="P816" s="90"/>
    </row>
    <row r="817" spans="2:16" s="353" customFormat="1" ht="15">
      <c r="B817" s="514" t="s">
        <v>7334</v>
      </c>
      <c r="C817" s="275">
        <v>100874</v>
      </c>
      <c r="D817" s="161" t="s">
        <v>6</v>
      </c>
      <c r="E817" s="833" t="str">
        <f>IFERROR(VLOOKUP($C817,'SINAPI FEVEREIRO 2022'!$1:$1048576,2,0),IFERROR(VLOOKUP($C817,'5-COMP. PROPRIA'!$B$38:$I$647,4,0),""))</f>
        <v>PUXADOR PARA PCD, FIXADO NA PORTA - FORNECIMENTO E INSTALAÇÃO. AF_01/2020</v>
      </c>
      <c r="F817" s="834"/>
      <c r="G817" s="834"/>
      <c r="H817" s="834"/>
      <c r="I817" s="834"/>
      <c r="J817" s="835"/>
      <c r="K817" s="175">
        <v>1</v>
      </c>
      <c r="L817" s="39" t="str">
        <f>IFERROR(VLOOKUP($C817,'SINAPI FEVEREIRO 2022'!$1:$1048576,3,0),IFERROR(VLOOKUP($C817,'5-COMP. PROPRIA'!$B$1:$I$647,5,0),""))</f>
        <v>UN</v>
      </c>
      <c r="M817" s="86"/>
      <c r="N817" s="478"/>
      <c r="P817" s="90"/>
    </row>
    <row r="818" spans="2:16" s="353" customFormat="1" ht="27" customHeight="1">
      <c r="B818" s="695"/>
      <c r="C818" s="275"/>
      <c r="D818" s="161"/>
      <c r="E818" s="688"/>
      <c r="F818" s="689"/>
      <c r="G818" s="689"/>
      <c r="H818" s="689"/>
      <c r="I818" s="689"/>
      <c r="J818" s="690"/>
      <c r="K818" s="175"/>
      <c r="L818" s="39"/>
      <c r="M818" s="86"/>
      <c r="N818" s="478"/>
      <c r="P818" s="90"/>
    </row>
    <row r="819" spans="2:16" s="353" customFormat="1" ht="36" customHeight="1">
      <c r="B819" s="695" t="s">
        <v>7917</v>
      </c>
      <c r="C819" s="282">
        <v>86936</v>
      </c>
      <c r="D819" s="161" t="s">
        <v>6</v>
      </c>
      <c r="E819" s="833" t="str">
        <f>IFERROR(VLOOKUP($C819,'SINAPI FEVEREIRO 2022'!$1:$1048576,2,0),IFERROR(VLOOKUP($C819,'5-COMP. PROPRIA'!$B$38:$I$647,4,0),""))</f>
        <v>CUBA DE EMBUTIR DE AÇO INOXIDÁVEL MÉDIA, INCLUSO VÁLVULA TIPO AMERICANA E SIFÃO TIPO GARRAFA EM METAL CROMADO - FORNECIMENTO E INSTALAÇÃO. AF_01/2020</v>
      </c>
      <c r="F819" s="834"/>
      <c r="G819" s="834"/>
      <c r="H819" s="834"/>
      <c r="I819" s="834"/>
      <c r="J819" s="835"/>
      <c r="K819" s="175">
        <v>2</v>
      </c>
      <c r="L819" s="39" t="str">
        <f>IFERROR(VLOOKUP($C819,'SINAPI FEVEREIRO 2022'!$1:$1048576,3,0),IFERROR(VLOOKUP($C819,'5-COMP. PROPRIA'!$B$1:$I$647,5,0),""))</f>
        <v>UN</v>
      </c>
      <c r="M819" s="86"/>
      <c r="N819" s="478"/>
      <c r="P819" s="90"/>
    </row>
    <row r="820" spans="2:16" s="353" customFormat="1" ht="27" customHeight="1">
      <c r="B820" s="695"/>
      <c r="C820" s="282"/>
      <c r="D820" s="161"/>
      <c r="E820" s="688"/>
      <c r="F820" s="689"/>
      <c r="G820" s="689"/>
      <c r="H820" s="689"/>
      <c r="I820" s="689"/>
      <c r="J820" s="690"/>
      <c r="K820" s="175"/>
      <c r="L820" s="39"/>
      <c r="M820" s="86"/>
      <c r="N820" s="478"/>
      <c r="P820" s="90"/>
    </row>
    <row r="821" spans="2:16" s="353" customFormat="1" ht="43.5" customHeight="1">
      <c r="B821" s="695" t="s">
        <v>7917</v>
      </c>
      <c r="C821" s="275">
        <v>86939</v>
      </c>
      <c r="D821" s="161" t="s">
        <v>6</v>
      </c>
      <c r="E821" s="833" t="str">
        <f>IFERROR(VLOOKUP($C821,'SINAPI FEVEREIRO 2022'!$1:$1048576,2,0),IFERROR(VLOOKUP($C821,'5-COMP. PROPRIA'!$B$38:$I$647,4,0),""))</f>
        <v>LAVATÓRIO LOUÇA BRANCA COM COLUNA, *44 X 35,5* CM, PADRÃO POPULAR, INCLUSO SIFÃO FLEXÍVEL EM PVC, VÁLVULA E ENGATE FLEXÍVEL 30CM EM PLÁSTICO E COM TORNEIRA CROMADA PADRÃO POPULAR - FORNECIMENTO E INSTALAÇÃO. AF_01/2020</v>
      </c>
      <c r="F821" s="834"/>
      <c r="G821" s="834"/>
      <c r="H821" s="834"/>
      <c r="I821" s="834"/>
      <c r="J821" s="835"/>
      <c r="K821" s="175">
        <v>1</v>
      </c>
      <c r="L821" s="39" t="str">
        <f>IFERROR(VLOOKUP($C821,'SINAPI FEVEREIRO 2022'!$1:$1048576,3,0),IFERROR(VLOOKUP($C821,'5-COMP. PROPRIA'!$B$1:$I$647,5,0),""))</f>
        <v>UN</v>
      </c>
      <c r="M821" s="86"/>
      <c r="N821" s="478"/>
      <c r="P821" s="90"/>
    </row>
    <row r="822" spans="2:16" s="353" customFormat="1" ht="27" customHeight="1">
      <c r="B822" s="695"/>
      <c r="C822" s="275"/>
      <c r="D822" s="161"/>
      <c r="E822" s="688"/>
      <c r="F822" s="689"/>
      <c r="G822" s="689"/>
      <c r="H822" s="689"/>
      <c r="I822" s="689"/>
      <c r="J822" s="690"/>
      <c r="K822" s="175"/>
      <c r="L822" s="39"/>
      <c r="M822" s="86"/>
      <c r="N822" s="478"/>
      <c r="P822" s="90"/>
    </row>
    <row r="823" spans="2:16" s="353" customFormat="1" ht="27" customHeight="1">
      <c r="B823" s="695" t="s">
        <v>7917</v>
      </c>
      <c r="C823" s="275" t="str">
        <f>'5-COMP. PROPRIA'!B332</f>
        <v>CP-HIDR-18</v>
      </c>
      <c r="D823" s="161" t="s">
        <v>641</v>
      </c>
      <c r="E823" s="833" t="str">
        <f>IFERROR(VLOOKUP($C823,'SINAPI FEVEREIRO 2022'!$1:$1048576,2,0),IFERROR(VLOOKUP($C823,'5-COMP. PROPRIA'!$B$38:$I$647,4,0),""))</f>
        <v>CUBA DE INOX PARA PIA (0,60X0,50X0,50) COM VALVULA EM METAL E SIFÃO EM METAL - FORNECIMENTO E INSTALAÇÃO</v>
      </c>
      <c r="F823" s="834"/>
      <c r="G823" s="834"/>
      <c r="H823" s="834"/>
      <c r="I823" s="834"/>
      <c r="J823" s="835"/>
      <c r="K823" s="175">
        <v>1</v>
      </c>
      <c r="L823" s="39" t="str">
        <f>IFERROR(VLOOKUP($C823,'SINAPI FEVEREIRO 2022'!$1:$1048576,3,0),IFERROR(VLOOKUP($C823,'5-COMP. PROPRIA'!$B$1:$I$647,5,0),""))</f>
        <v>UN</v>
      </c>
      <c r="M823" s="86"/>
      <c r="N823" s="478"/>
      <c r="P823" s="90"/>
    </row>
    <row r="824" spans="2:16" s="353" customFormat="1" ht="15">
      <c r="B824" s="695"/>
      <c r="C824" s="275"/>
      <c r="D824" s="161"/>
      <c r="E824" s="688"/>
      <c r="F824" s="689"/>
      <c r="G824" s="689"/>
      <c r="H824" s="689"/>
      <c r="I824" s="689"/>
      <c r="J824" s="690"/>
      <c r="K824" s="175"/>
      <c r="L824" s="39"/>
      <c r="M824" s="86"/>
      <c r="N824" s="478"/>
      <c r="P824" s="90"/>
    </row>
    <row r="825" spans="2:16" s="353" customFormat="1" ht="27" customHeight="1">
      <c r="B825" s="695" t="s">
        <v>7921</v>
      </c>
      <c r="C825" s="275">
        <v>86937</v>
      </c>
      <c r="D825" s="161" t="s">
        <v>6</v>
      </c>
      <c r="E825" s="833" t="str">
        <f>IFERROR(VLOOKUP($C825,'SINAPI FEVEREIRO 2022'!$1:$1048576,2,0),IFERROR(VLOOKUP($C825,'5-COMP. PROPRIA'!$B$38:$I$647,4,0),""))</f>
        <v>CUBA DE EMBUTIR OVAL EM LOUÇA BRANCA, 35 X 50CM OU EQUIVALENTE, INCLUSO VÁLVULA EM METAL CROMADO E SIFÃO FLEXÍVEL EM PVC - FORNECIMENTO E INSTALAÇÃO. AF_01/2020</v>
      </c>
      <c r="F825" s="834"/>
      <c r="G825" s="834"/>
      <c r="H825" s="834"/>
      <c r="I825" s="834"/>
      <c r="J825" s="835"/>
      <c r="K825" s="175">
        <v>7</v>
      </c>
      <c r="L825" s="39" t="str">
        <f>IFERROR(VLOOKUP($C825,'SINAPI FEVEREIRO 2022'!$1:$1048576,3,0),IFERROR(VLOOKUP($C825,'5-COMP. PROPRIA'!$B$1:$I$647,5,0),""))</f>
        <v>UN</v>
      </c>
      <c r="M825" s="86"/>
      <c r="N825" s="478"/>
      <c r="P825" s="90"/>
    </row>
    <row r="826" spans="2:16" s="353" customFormat="1" ht="15">
      <c r="B826" s="695"/>
      <c r="C826" s="275"/>
      <c r="D826" s="161"/>
      <c r="E826" s="688"/>
      <c r="F826" s="689"/>
      <c r="G826" s="689"/>
      <c r="H826" s="689"/>
      <c r="I826" s="689"/>
      <c r="J826" s="690"/>
      <c r="K826" s="175"/>
      <c r="L826" s="39"/>
      <c r="M826" s="86"/>
      <c r="N826" s="478"/>
      <c r="P826" s="90"/>
    </row>
    <row r="827" spans="2:16" s="353" customFormat="1" ht="27" customHeight="1">
      <c r="B827" s="695" t="s">
        <v>7922</v>
      </c>
      <c r="C827" s="275" t="str">
        <f>'5-COMP. PROPRIA'!B338</f>
        <v>CP-HIDR-19</v>
      </c>
      <c r="D827" s="161" t="s">
        <v>641</v>
      </c>
      <c r="E827" s="833" t="str">
        <f>IFERROR(VLOOKUP($C827,'SINAPI FEVEREIRO 2022'!$1:$1048576,2,0),IFERROR(VLOOKUP($C827,'5-COMP. PROPRIA'!$B$38:$I$647,4,0),""))</f>
        <v>LAVATÓRIO DE CANTO SUSPENSO PCD COM BARRA DE INOX - FORNECIMENTO E INSTALAÇÃO</v>
      </c>
      <c r="F827" s="834"/>
      <c r="G827" s="834"/>
      <c r="H827" s="834"/>
      <c r="I827" s="834"/>
      <c r="J827" s="835"/>
      <c r="K827" s="175">
        <v>1</v>
      </c>
      <c r="L827" s="39" t="str">
        <f>IFERROR(VLOOKUP($C827,'SINAPI FEVEREIRO 2022'!$1:$1048576,3,0),IFERROR(VLOOKUP($C827,'5-COMP. PROPRIA'!$B$1:$I$647,5,0),""))</f>
        <v>UN</v>
      </c>
      <c r="M827" s="86"/>
      <c r="N827" s="478"/>
      <c r="P827" s="90"/>
    </row>
    <row r="828" spans="2:16" s="353" customFormat="1" ht="15">
      <c r="B828" s="695"/>
      <c r="C828" s="275"/>
      <c r="D828" s="161"/>
      <c r="E828" s="688"/>
      <c r="F828" s="689"/>
      <c r="G828" s="689"/>
      <c r="H828" s="689"/>
      <c r="I828" s="689"/>
      <c r="J828" s="690"/>
      <c r="K828" s="175"/>
      <c r="L828" s="39"/>
      <c r="M828" s="86"/>
      <c r="N828" s="478"/>
      <c r="P828" s="90"/>
    </row>
    <row r="829" spans="2:16" s="353" customFormat="1" ht="27" customHeight="1">
      <c r="B829" s="695"/>
      <c r="C829" s="275">
        <v>100875</v>
      </c>
      <c r="D829" s="161" t="s">
        <v>6</v>
      </c>
      <c r="E829" s="833" t="str">
        <f>IFERROR(VLOOKUP($C829,'SINAPI FEVEREIRO 2022'!$1:$1048576,2,0),IFERROR(VLOOKUP($C829,'5-COMP. PROPRIA'!$B$38:$I$647,4,0),""))</f>
        <v>BANCO ARTICULADO, EM ACO INOX, PARA PCD, FIXADO NA PAREDE - FORNECIMENTO E INSTALAÇÃO. AF_01/2020</v>
      </c>
      <c r="F829" s="834"/>
      <c r="G829" s="834"/>
      <c r="H829" s="834"/>
      <c r="I829" s="834"/>
      <c r="J829" s="835"/>
      <c r="K829" s="175">
        <v>1</v>
      </c>
      <c r="L829" s="39" t="str">
        <f>IFERROR(VLOOKUP($C829,'SINAPI FEVEREIRO 2022'!$1:$1048576,3,0),IFERROR(VLOOKUP($C829,'5-COMP. PROPRIA'!$B$1:$I$647,5,0),""))</f>
        <v>UN</v>
      </c>
      <c r="M829" s="86"/>
      <c r="N829" s="478"/>
      <c r="P829" s="90"/>
    </row>
    <row r="830" spans="2:16" s="353" customFormat="1" ht="15.75" thickBot="1">
      <c r="B830" s="695"/>
      <c r="C830" s="275"/>
      <c r="D830" s="161"/>
      <c r="E830" s="688"/>
      <c r="F830" s="689"/>
      <c r="G830" s="689"/>
      <c r="H830" s="689"/>
      <c r="I830" s="689"/>
      <c r="J830" s="690"/>
      <c r="K830" s="175"/>
      <c r="L830" s="39"/>
      <c r="M830" s="86"/>
      <c r="N830" s="478"/>
      <c r="P830" s="90"/>
    </row>
    <row r="831" spans="2:16" s="353" customFormat="1" ht="27" customHeight="1" thickBot="1">
      <c r="B831" s="695"/>
      <c r="C831" s="275"/>
      <c r="D831" s="161"/>
      <c r="E831" s="836" t="s">
        <v>7937</v>
      </c>
      <c r="F831" s="837"/>
      <c r="G831" s="837"/>
      <c r="H831" s="837"/>
      <c r="I831" s="837"/>
      <c r="J831" s="838"/>
      <c r="K831" s="175"/>
      <c r="L831" s="39"/>
      <c r="M831" s="86"/>
      <c r="N831" s="478"/>
      <c r="P831" s="90"/>
    </row>
    <row r="832" spans="2:16" s="353" customFormat="1" ht="27" customHeight="1">
      <c r="B832" s="695"/>
      <c r="C832" s="275"/>
      <c r="D832" s="161"/>
      <c r="E832" s="688"/>
      <c r="F832" s="689"/>
      <c r="G832" s="689"/>
      <c r="H832" s="689"/>
      <c r="I832" s="689"/>
      <c r="J832" s="690"/>
      <c r="K832" s="175"/>
      <c r="L832" s="39"/>
      <c r="M832" s="86"/>
      <c r="N832" s="478"/>
      <c r="P832" s="90"/>
    </row>
    <row r="833" spans="2:16" s="353" customFormat="1" ht="30.75" customHeight="1">
      <c r="B833" s="695" t="s">
        <v>7938</v>
      </c>
      <c r="C833" s="275">
        <v>89578</v>
      </c>
      <c r="D833" s="161" t="s">
        <v>6</v>
      </c>
      <c r="E833" s="833" t="str">
        <f>IFERROR(VLOOKUP($C833,'SINAPI FEVEREIRO 2022'!$1:$1048576,2,0),IFERROR(VLOOKUP($C833,'5-COMP. PROPRIA'!$B$38:$I$647,4,0),""))</f>
        <v>TUBO PVC, SÉRIE R, ÁGUA PLUVIAL, DN 100 MM, FORNECIDO E INSTALADO EM CONDUTORES VERTICAIS DE ÁGUAS PLUVIAIS. AF_12/2014</v>
      </c>
      <c r="F833" s="834"/>
      <c r="G833" s="834"/>
      <c r="H833" s="834"/>
      <c r="I833" s="834"/>
      <c r="J833" s="835"/>
      <c r="K833" s="175">
        <v>1</v>
      </c>
      <c r="L833" s="39" t="str">
        <f>IFERROR(VLOOKUP($C833,'SINAPI FEVEREIRO 2022'!$1:$1048576,3,0),IFERROR(VLOOKUP($C833,'5-COMP. PROPRIA'!$B$1:$I$647,5,0),""))</f>
        <v>M</v>
      </c>
      <c r="M833" s="86"/>
      <c r="N833" s="478"/>
      <c r="P833" s="90"/>
    </row>
    <row r="834" spans="2:16" s="353" customFormat="1" ht="27" customHeight="1">
      <c r="B834" s="695"/>
      <c r="C834" s="275"/>
      <c r="D834" s="161"/>
      <c r="E834" s="688"/>
      <c r="F834" s="689"/>
      <c r="G834" s="689"/>
      <c r="H834" s="689"/>
      <c r="I834" s="689"/>
      <c r="J834" s="690"/>
      <c r="K834" s="175"/>
      <c r="L834" s="39"/>
      <c r="M834" s="86"/>
      <c r="N834" s="478"/>
      <c r="P834" s="90"/>
    </row>
    <row r="835" spans="2:16" s="353" customFormat="1" ht="27" customHeight="1">
      <c r="B835" s="695" t="s">
        <v>7938</v>
      </c>
      <c r="C835" s="275">
        <v>89809</v>
      </c>
      <c r="D835" s="161" t="s">
        <v>6</v>
      </c>
      <c r="E835" s="833" t="str">
        <f>IFERROR(VLOOKUP($C835,'SINAPI FEVEREIRO 2022'!$1:$1048576,2,0),IFERROR(VLOOKUP($C835,'5-COMP. PROPRIA'!$B$38:$I$647,4,0),""))</f>
        <v>JOELHO 90 GRAUS, PVC, SERIE NORMAL, ESGOTO PREDIAL, DN 100 MM, JUNTA ELÁSTICA, FORNECIDO E INSTALADO EM PRUMADA DE ESGOTO SANITÁRIO OU VENTILAÇÃO. AF_12/2014</v>
      </c>
      <c r="F835" s="834"/>
      <c r="G835" s="834"/>
      <c r="H835" s="834"/>
      <c r="I835" s="834"/>
      <c r="J835" s="835"/>
      <c r="K835" s="175">
        <v>1</v>
      </c>
      <c r="L835" s="39" t="str">
        <f>IFERROR(VLOOKUP($C835,'SINAPI FEVEREIRO 2022'!$1:$1048576,3,0),IFERROR(VLOOKUP($C835,'5-COMP. PROPRIA'!$B$1:$I$647,5,0),""))</f>
        <v>UN</v>
      </c>
      <c r="M835" s="86"/>
      <c r="N835" s="478"/>
      <c r="P835" s="90"/>
    </row>
    <row r="836" spans="2:16" s="353" customFormat="1" ht="27" customHeight="1">
      <c r="B836" s="695"/>
      <c r="C836" s="275"/>
      <c r="D836" s="161"/>
      <c r="E836" s="688"/>
      <c r="F836" s="689"/>
      <c r="G836" s="689"/>
      <c r="H836" s="689"/>
      <c r="I836" s="689"/>
      <c r="J836" s="690"/>
      <c r="K836" s="175"/>
      <c r="L836" s="39"/>
      <c r="M836" s="86"/>
      <c r="N836" s="478"/>
      <c r="P836" s="90"/>
    </row>
    <row r="837" spans="2:16" s="353" customFormat="1" ht="27" customHeight="1">
      <c r="B837" s="695" t="s">
        <v>7938</v>
      </c>
      <c r="C837" s="275">
        <v>89671</v>
      </c>
      <c r="D837" s="161" t="s">
        <v>6</v>
      </c>
      <c r="E837" s="833" t="str">
        <f>IFERROR(VLOOKUP($C837,'SINAPI FEVEREIRO 2022'!$1:$1048576,2,0),IFERROR(VLOOKUP($C837,'5-COMP. PROPRIA'!$B$38:$I$647,4,0),""))</f>
        <v>LUVA DE CORRER, PVC, SERIE R, ÁGUA PLUVIAL, DN 100 MM, JUNTA ELÁSTICA, FORNECIDO E INSTALADO EM CONDUTORES VERTICAIS DE ÁGUAS PLUVIAIS. AF_12/2014</v>
      </c>
      <c r="F837" s="834"/>
      <c r="G837" s="834"/>
      <c r="H837" s="834"/>
      <c r="I837" s="834"/>
      <c r="J837" s="835"/>
      <c r="K837" s="175">
        <v>1</v>
      </c>
      <c r="L837" s="39" t="str">
        <f>IFERROR(VLOOKUP($C837,'SINAPI FEVEREIRO 2022'!$1:$1048576,3,0),IFERROR(VLOOKUP($C837,'5-COMP. PROPRIA'!$B$1:$I$647,5,0),""))</f>
        <v>UN</v>
      </c>
      <c r="M837" s="86"/>
      <c r="N837" s="478"/>
      <c r="P837" s="90"/>
    </row>
    <row r="838" spans="2:16" s="353" customFormat="1" ht="27" customHeight="1">
      <c r="B838" s="695"/>
      <c r="C838" s="275"/>
      <c r="D838" s="161"/>
      <c r="E838" s="688"/>
      <c r="F838" s="689"/>
      <c r="G838" s="689"/>
      <c r="H838" s="689"/>
      <c r="I838" s="689"/>
      <c r="J838" s="690"/>
      <c r="K838" s="175"/>
      <c r="L838" s="39"/>
      <c r="M838" s="86"/>
      <c r="N838" s="478"/>
      <c r="P838" s="90"/>
    </row>
    <row r="839" spans="2:16" s="353" customFormat="1" ht="27" customHeight="1">
      <c r="B839" s="494"/>
      <c r="C839" s="274">
        <v>94228</v>
      </c>
      <c r="D839" s="161" t="s">
        <v>6</v>
      </c>
      <c r="E839" s="833" t="str">
        <f>IFERROR(VLOOKUP($C839,'SINAPI FEVEREIRO 2022'!$1:$1048576,2,0),IFERROR(VLOOKUP($C839,'5-COMP. PROPRIA'!$B$38:$I$647,4,0),""))</f>
        <v>CALHA EM CHAPA DE AÇO GALVANIZADO NÚMERO 24, DESENVOLVIMENTO DE 50 CM, INCLUSO TRANSPORTE VERTICAL. AF_07/2019</v>
      </c>
      <c r="F839" s="834"/>
      <c r="G839" s="834"/>
      <c r="H839" s="834"/>
      <c r="I839" s="834"/>
      <c r="J839" s="835"/>
      <c r="K839" s="127">
        <f>SUM(K841:K843)</f>
        <v>147.57999999999998</v>
      </c>
      <c r="L839" s="39" t="str">
        <f>IFERROR(VLOOKUP($C839,'SINAPI FEVEREIRO 2022'!$1:$1048576,3,0),IFERROR(VLOOKUP($C839,'5-COMP. PROPRIA'!$B$1:$I$647,5,0),""))</f>
        <v>M</v>
      </c>
      <c r="M839" s="80"/>
      <c r="N839" s="498"/>
      <c r="P839" s="90"/>
    </row>
    <row r="840" spans="2:16" s="353" customFormat="1" ht="27" customHeight="1">
      <c r="B840" s="674"/>
      <c r="C840" s="274"/>
      <c r="D840" s="161"/>
      <c r="E840" s="57" t="s">
        <v>7911</v>
      </c>
      <c r="F840" s="671"/>
      <c r="G840" s="671"/>
      <c r="H840" s="671"/>
      <c r="I840" s="671"/>
      <c r="J840" s="672"/>
      <c r="K840" s="127"/>
      <c r="L840" s="39"/>
      <c r="M840" s="80"/>
      <c r="N840" s="652"/>
      <c r="P840" s="90"/>
    </row>
    <row r="841" spans="2:16" s="353" customFormat="1" ht="27" customHeight="1">
      <c r="B841" s="674" t="s">
        <v>6145</v>
      </c>
      <c r="C841" s="274"/>
      <c r="D841" s="161"/>
      <c r="E841" s="242">
        <f>SUM(12.91+12.72+13.02+16.63+2.54+2.17+2.62+2.12)</f>
        <v>64.73</v>
      </c>
      <c r="F841" s="671"/>
      <c r="G841" s="671"/>
      <c r="H841" s="671"/>
      <c r="I841" s="671"/>
      <c r="J841" s="672"/>
      <c r="K841" s="49">
        <f>E841</f>
        <v>64.73</v>
      </c>
      <c r="L841" s="39"/>
      <c r="M841" s="80"/>
      <c r="N841" s="652"/>
      <c r="P841" s="90"/>
    </row>
    <row r="842" spans="2:16" s="353" customFormat="1" ht="27" customHeight="1">
      <c r="B842" s="695" t="s">
        <v>7933</v>
      </c>
      <c r="C842" s="274"/>
      <c r="D842" s="161"/>
      <c r="E842" s="242">
        <v>16.649999999999999</v>
      </c>
      <c r="F842" s="492"/>
      <c r="G842" s="492"/>
      <c r="H842" s="492"/>
      <c r="I842" s="492"/>
      <c r="J842" s="493"/>
      <c r="K842" s="49">
        <f t="shared" ref="K842:K843" si="23">E842</f>
        <v>16.649999999999999</v>
      </c>
      <c r="L842" s="39"/>
      <c r="M842" s="80"/>
      <c r="N842" s="498"/>
      <c r="P842" s="90"/>
    </row>
    <row r="843" spans="2:16" s="353" customFormat="1" ht="27" customHeight="1">
      <c r="B843" s="695" t="s">
        <v>5757</v>
      </c>
      <c r="C843" s="274"/>
      <c r="D843" s="161"/>
      <c r="E843" s="242">
        <f>SUM(20.4+20.4+12.7+12.7)</f>
        <v>66.2</v>
      </c>
      <c r="F843" s="689"/>
      <c r="G843" s="689"/>
      <c r="H843" s="689"/>
      <c r="I843" s="689"/>
      <c r="J843" s="690"/>
      <c r="K843" s="49">
        <f t="shared" si="23"/>
        <v>66.2</v>
      </c>
      <c r="L843" s="39"/>
      <c r="M843" s="80"/>
      <c r="N843" s="652"/>
      <c r="P843" s="90"/>
    </row>
    <row r="844" spans="2:16" s="353" customFormat="1" ht="27" customHeight="1">
      <c r="B844" s="494"/>
      <c r="C844" s="274"/>
      <c r="D844" s="161"/>
      <c r="E844" s="491"/>
      <c r="F844" s="492"/>
      <c r="G844" s="492"/>
      <c r="H844" s="492"/>
      <c r="I844" s="492"/>
      <c r="J844" s="493"/>
      <c r="K844" s="127"/>
      <c r="L844" s="39"/>
      <c r="M844" s="80"/>
      <c r="N844" s="498"/>
      <c r="P844" s="90"/>
    </row>
    <row r="845" spans="2:16" s="353" customFormat="1" ht="27" customHeight="1">
      <c r="B845" s="695"/>
      <c r="C845" s="274">
        <v>89580</v>
      </c>
      <c r="D845" s="161" t="s">
        <v>6</v>
      </c>
      <c r="E845" s="833" t="str">
        <f>IFERROR(VLOOKUP($C845,'SINAPI FEVEREIRO 2022'!$1:$1048576,2,0),IFERROR(VLOOKUP($C845,'5-COMP. PROPRIA'!$B$38:$I$647,4,0),""))</f>
        <v>TUBO PVC, SÉRIE R, ÁGUA PLUVIAL, DN 150 MM, FORNECIDO E INSTALADO EM CONDUTORES VERTICAIS DE ÁGUAS PLUVIAIS. AF_12/2014</v>
      </c>
      <c r="F845" s="834"/>
      <c r="G845" s="834"/>
      <c r="H845" s="834"/>
      <c r="I845" s="834"/>
      <c r="J845" s="835"/>
      <c r="K845" s="127">
        <f>3.6*10</f>
        <v>36</v>
      </c>
      <c r="L845" s="39" t="str">
        <f>IFERROR(VLOOKUP($C845,'SINAPI FEVEREIRO 2022'!$1:$1048576,3,0),IFERROR(VLOOKUP($C845,'5-COMP. PROPRIA'!$B$1:$I$647,5,0),""))</f>
        <v>M</v>
      </c>
      <c r="M845" s="80"/>
      <c r="N845" s="652"/>
      <c r="P845" s="90"/>
    </row>
    <row r="846" spans="2:16" s="353" customFormat="1" ht="27" customHeight="1">
      <c r="B846" s="695"/>
      <c r="C846" s="274"/>
      <c r="D846" s="161"/>
      <c r="E846" s="688"/>
      <c r="F846" s="689"/>
      <c r="G846" s="689"/>
      <c r="H846" s="689"/>
      <c r="I846" s="689"/>
      <c r="J846" s="690"/>
      <c r="K846" s="127"/>
      <c r="L846" s="39"/>
      <c r="M846" s="80"/>
      <c r="N846" s="652"/>
      <c r="P846" s="90"/>
    </row>
    <row r="847" spans="2:16" s="353" customFormat="1" ht="27" customHeight="1">
      <c r="B847" s="695"/>
      <c r="C847" s="274">
        <v>89590</v>
      </c>
      <c r="D847" s="161" t="s">
        <v>6</v>
      </c>
      <c r="E847" s="833" t="str">
        <f>IFERROR(VLOOKUP($C847,'SINAPI FEVEREIRO 2022'!$1:$1048576,2,0),IFERROR(VLOOKUP($C847,'5-COMP. PROPRIA'!$B$38:$I$647,4,0),""))</f>
        <v>JOELHO 90 GRAUS, PVC, SERIE R, ÁGUA PLUVIAL, DN 150 MM, JUNTA ELÁSTICA, FORNECIDO E INSTALADO EM CONDUTORES VERTICAIS DE ÁGUAS PLUVIAIS. AF_12/2014</v>
      </c>
      <c r="F847" s="834"/>
      <c r="G847" s="834"/>
      <c r="H847" s="834"/>
      <c r="I847" s="834"/>
      <c r="J847" s="835"/>
      <c r="K847" s="127">
        <f>10*2</f>
        <v>20</v>
      </c>
      <c r="L847" s="39" t="str">
        <f>IFERROR(VLOOKUP($C847,'SINAPI FEVEREIRO 2022'!$1:$1048576,3,0),IFERROR(VLOOKUP($C847,'5-COMP. PROPRIA'!$B$1:$I$647,5,0),""))</f>
        <v>UN</v>
      </c>
      <c r="M847" s="80"/>
      <c r="N847" s="652"/>
      <c r="P847" s="90"/>
    </row>
    <row r="848" spans="2:16" s="353" customFormat="1" ht="27" customHeight="1" thickBot="1">
      <c r="B848" s="441"/>
      <c r="C848" s="282"/>
      <c r="D848" s="161"/>
      <c r="E848" s="58"/>
      <c r="F848" s="41"/>
      <c r="G848" s="41"/>
      <c r="H848" s="272"/>
      <c r="I848" s="272"/>
      <c r="J848" s="273"/>
      <c r="K848" s="174"/>
      <c r="L848" s="43"/>
      <c r="M848" s="92"/>
      <c r="N848" s="480"/>
      <c r="P848" s="90"/>
    </row>
    <row r="849" spans="2:16" s="353" customFormat="1" ht="15" thickBot="1">
      <c r="B849" s="723"/>
      <c r="C849" s="275"/>
      <c r="D849" s="161"/>
      <c r="E849" s="857" t="s">
        <v>3088</v>
      </c>
      <c r="F849" s="858"/>
      <c r="G849" s="858"/>
      <c r="H849" s="858"/>
      <c r="I849" s="858"/>
      <c r="J849" s="859"/>
      <c r="K849" s="126"/>
      <c r="L849" s="43"/>
      <c r="M849" s="92"/>
      <c r="N849" s="480"/>
      <c r="P849" s="90"/>
    </row>
    <row r="850" spans="2:16" s="353" customFormat="1" ht="27" customHeight="1" thickBot="1">
      <c r="B850" s="441"/>
      <c r="C850" s="275"/>
      <c r="D850" s="161"/>
      <c r="E850" s="318"/>
      <c r="F850" s="450"/>
      <c r="G850" s="450"/>
      <c r="H850" s="450"/>
      <c r="I850" s="450"/>
      <c r="J850" s="319"/>
      <c r="K850" s="126"/>
      <c r="L850" s="43"/>
      <c r="M850" s="92"/>
      <c r="N850" s="480"/>
      <c r="P850" s="90"/>
    </row>
    <row r="851" spans="2:16" s="353" customFormat="1" ht="15.75" thickBot="1">
      <c r="B851" s="434"/>
      <c r="C851" s="274"/>
      <c r="D851" s="161"/>
      <c r="E851" s="839" t="s">
        <v>7397</v>
      </c>
      <c r="F851" s="840"/>
      <c r="G851" s="840"/>
      <c r="H851" s="840"/>
      <c r="I851" s="840"/>
      <c r="J851" s="841"/>
      <c r="K851" s="127"/>
      <c r="L851" s="149"/>
      <c r="M851" s="67"/>
      <c r="N851" s="478"/>
      <c r="P851" s="90"/>
    </row>
    <row r="852" spans="2:16" s="353" customFormat="1" ht="15">
      <c r="B852" s="434"/>
      <c r="C852" s="274"/>
      <c r="D852" s="161"/>
      <c r="E852" s="318"/>
      <c r="F852" s="425"/>
      <c r="G852" s="425"/>
      <c r="H852" s="425"/>
      <c r="I852" s="425"/>
      <c r="J852" s="426"/>
      <c r="K852" s="127"/>
      <c r="L852" s="149"/>
      <c r="M852" s="67"/>
      <c r="N852" s="478"/>
      <c r="P852" s="90"/>
    </row>
    <row r="853" spans="2:16" s="353" customFormat="1" ht="27" customHeight="1">
      <c r="B853" s="434"/>
      <c r="C853" s="274">
        <v>91926</v>
      </c>
      <c r="D853" s="161" t="s">
        <v>6</v>
      </c>
      <c r="E853" s="833" t="str">
        <f>IFERROR(VLOOKUP($C853,'SINAPI FEVEREIRO 2022'!$1:$1048576,2,0),IFERROR(VLOOKUP($C853,'5-COMP. PROPRIA'!$B$38:$I$647,4,0),""))</f>
        <v>CABO DE COBRE FLEXÍVEL ISOLADO, 2,5 MM², ANTI-CHAMA 450/750 V, PARA CIRCUITOS TERMINAIS - FORNECIMENTO E INSTALAÇÃO. AF_12/2015</v>
      </c>
      <c r="F853" s="834"/>
      <c r="G853" s="834"/>
      <c r="H853" s="834"/>
      <c r="I853" s="834"/>
      <c r="J853" s="835"/>
      <c r="K853" s="127">
        <v>4901.6000000000004</v>
      </c>
      <c r="L853" s="39" t="str">
        <f>IFERROR(VLOOKUP($C853,'SINAPI FEVEREIRO 2022'!$1:$1048576,3,0),IFERROR(VLOOKUP($C853,'5-COMP. PROPRIA'!$B$1:$I$647,5,0),""))</f>
        <v>M</v>
      </c>
      <c r="M853" s="67"/>
      <c r="N853" s="478"/>
      <c r="P853" s="90"/>
    </row>
    <row r="854" spans="2:16" s="353" customFormat="1" ht="27" customHeight="1">
      <c r="B854" s="434"/>
      <c r="C854" s="274">
        <v>91928</v>
      </c>
      <c r="D854" s="161" t="s">
        <v>6</v>
      </c>
      <c r="E854" s="833" t="str">
        <f>IFERROR(VLOOKUP($C854,'SINAPI FEVEREIRO 2022'!$1:$1048576,2,0),IFERROR(VLOOKUP($C854,'5-COMP. PROPRIA'!$B$38:$I$647,4,0),""))</f>
        <v>CABO DE COBRE FLEXÍVEL ISOLADO, 4 MM², ANTI-CHAMA 450/750 V, PARA CIRCUITOS TERMINAIS - FORNECIMENTO E INSTALAÇÃO. AF_12/2015</v>
      </c>
      <c r="F854" s="834"/>
      <c r="G854" s="834"/>
      <c r="H854" s="834"/>
      <c r="I854" s="834"/>
      <c r="J854" s="835"/>
      <c r="K854" s="127">
        <v>2009</v>
      </c>
      <c r="L854" s="39" t="str">
        <f>IFERROR(VLOOKUP($C854,'SINAPI FEVEREIRO 2022'!$1:$1048576,3,0),IFERROR(VLOOKUP($C854,'5-COMP. PROPRIA'!$B$1:$I$647,5,0),""))</f>
        <v>M</v>
      </c>
      <c r="M854" s="67"/>
      <c r="N854" s="478"/>
      <c r="P854" s="90"/>
    </row>
    <row r="855" spans="2:16" s="353" customFormat="1" ht="27" customHeight="1">
      <c r="B855" s="434"/>
      <c r="C855" s="274">
        <v>92982</v>
      </c>
      <c r="D855" s="161" t="s">
        <v>6</v>
      </c>
      <c r="E855" s="833" t="str">
        <f>IFERROR(VLOOKUP($C855,'SINAPI FEVEREIRO 2022'!$1:$1048576,2,0),IFERROR(VLOOKUP($C855,'5-COMP. PROPRIA'!$B$38:$I$647,4,0),""))</f>
        <v>CABO DE COBRE FLEXÍVEL ISOLADO, 16 MM², ANTI-CHAMA 0,6/1,0 KV, PARA DISTRIBUIÇÃO - FORNECIMENTO E INSTALAÇÃO. AF_12/2015</v>
      </c>
      <c r="F855" s="834"/>
      <c r="G855" s="834"/>
      <c r="H855" s="834"/>
      <c r="I855" s="834"/>
      <c r="J855" s="835"/>
      <c r="K855" s="127">
        <v>30</v>
      </c>
      <c r="L855" s="39" t="str">
        <f>IFERROR(VLOOKUP($C855,'SINAPI FEVEREIRO 2022'!$1:$1048576,3,0),IFERROR(VLOOKUP($C855,'5-COMP. PROPRIA'!$B$1:$I$647,5,0),""))</f>
        <v>M</v>
      </c>
      <c r="M855" s="67"/>
      <c r="N855" s="478"/>
      <c r="P855" s="90"/>
    </row>
    <row r="856" spans="2:16" s="353" customFormat="1" ht="27" customHeight="1">
      <c r="B856" s="434"/>
      <c r="C856" s="274">
        <v>92984</v>
      </c>
      <c r="D856" s="161" t="s">
        <v>6</v>
      </c>
      <c r="E856" s="833" t="str">
        <f>IFERROR(VLOOKUP($C856,'SINAPI FEVEREIRO 2022'!$1:$1048576,2,0),IFERROR(VLOOKUP($C856,'5-COMP. PROPRIA'!$B$38:$I$647,4,0),""))</f>
        <v>CABO DE COBRE FLEXÍVEL ISOLADO, 25 MM², ANTI-CHAMA 0,6/1,0 KV, PARA REDE ENTERRADA DE DISTRIBUIÇÃO DE ENERGIA ELÉTRICA - FORNECIMENTO E INSTALAÇÃO. AF_12/2021</v>
      </c>
      <c r="F856" s="834"/>
      <c r="G856" s="834"/>
      <c r="H856" s="834"/>
      <c r="I856" s="834"/>
      <c r="J856" s="835"/>
      <c r="K856" s="127">
        <v>35.799999999999997</v>
      </c>
      <c r="L856" s="39" t="str">
        <f>IFERROR(VLOOKUP($C856,'SINAPI FEVEREIRO 2022'!$1:$1048576,3,0),IFERROR(VLOOKUP($C856,'5-COMP. PROPRIA'!$B$1:$I$647,5,0),""))</f>
        <v>M</v>
      </c>
      <c r="M856" s="67"/>
      <c r="N856" s="478"/>
      <c r="P856" s="90"/>
    </row>
    <row r="857" spans="2:16" s="353" customFormat="1" ht="27" customHeight="1">
      <c r="B857" s="434"/>
      <c r="C857" s="274">
        <v>92986</v>
      </c>
      <c r="D857" s="161" t="s">
        <v>6</v>
      </c>
      <c r="E857" s="833" t="str">
        <f>IFERROR(VLOOKUP($C857,'SINAPI FEVEREIRO 2022'!$1:$1048576,2,0),IFERROR(VLOOKUP($C857,'5-COMP. PROPRIA'!$B$38:$I$647,4,0),""))</f>
        <v>CABO DE COBRE FLEXÍVEL ISOLADO, 35 MM², ANTI-CHAMA 0,6/1,0 KV, PARA REDE ENTERRADA DE DISTRIBUIÇÃO DE ENERGIA ELÉTRICA - FORNECIMENTO E INSTALAÇÃO. AF_12/2021</v>
      </c>
      <c r="F857" s="834"/>
      <c r="G857" s="834"/>
      <c r="H857" s="834"/>
      <c r="I857" s="834"/>
      <c r="J857" s="835"/>
      <c r="K857" s="127">
        <v>50</v>
      </c>
      <c r="L857" s="39" t="str">
        <f>IFERROR(VLOOKUP($C857,'SINAPI FEVEREIRO 2022'!$1:$1048576,3,0),IFERROR(VLOOKUP($C857,'5-COMP. PROPRIA'!$B$1:$I$647,5,0),""))</f>
        <v>M</v>
      </c>
      <c r="M857" s="67"/>
      <c r="N857" s="478"/>
      <c r="P857" s="90"/>
    </row>
    <row r="858" spans="2:16" s="353" customFormat="1" ht="27" customHeight="1">
      <c r="B858" s="434"/>
      <c r="C858" s="274">
        <v>101564</v>
      </c>
      <c r="D858" s="161" t="s">
        <v>6</v>
      </c>
      <c r="E858" s="833" t="str">
        <f>IFERROR(VLOOKUP($C858,'SINAPI FEVEREIRO 2022'!$1:$1048576,2,0),IFERROR(VLOOKUP($C858,'5-COMP. PROPRIA'!$B$38:$I$647,4,0),""))</f>
        <v>CABO DE COBRE FLEXÍVEL ISOLADO, 50 MM², 0,6/1,0 KV, PARA REDE AÉREA DE DISTRIBUIÇÃO DE ENERGIA ELÉTRICA DE BAIXA TENSÃO - FORNECIMENTO E INSTALAÇÃO. AF_07/2020</v>
      </c>
      <c r="F858" s="834"/>
      <c r="G858" s="834"/>
      <c r="H858" s="834"/>
      <c r="I858" s="834"/>
      <c r="J858" s="835"/>
      <c r="K858" s="127">
        <v>120</v>
      </c>
      <c r="L858" s="39" t="str">
        <f>IFERROR(VLOOKUP($C858,'SINAPI FEVEREIRO 2022'!$1:$1048576,3,0),IFERROR(VLOOKUP($C858,'5-COMP. PROPRIA'!$B$1:$I$647,5,0),""))</f>
        <v>M</v>
      </c>
      <c r="M858" s="67"/>
      <c r="N858" s="478"/>
      <c r="P858" s="90"/>
    </row>
    <row r="859" spans="2:16" s="353" customFormat="1" ht="27" customHeight="1">
      <c r="B859" s="764"/>
      <c r="C859" s="274">
        <v>91930</v>
      </c>
      <c r="D859" s="161" t="s">
        <v>6</v>
      </c>
      <c r="E859" s="833" t="str">
        <f>IFERROR(VLOOKUP($C859,'SINAPI FEVEREIRO 2022'!$1:$1048576,2,0),IFERROR(VLOOKUP($C859,'5-COMP. PROPRIA'!$B$38:$I$647,4,0),""))</f>
        <v>CABO DE COBRE FLEXÍVEL ISOLADO, 6 MM², ANTI-CHAMA 450/750 V, PARA CIRCUITOS TERMINAIS - FORNECIMENTO E INSTALAÇÃO. AF_12/2015</v>
      </c>
      <c r="F859" s="834"/>
      <c r="G859" s="834"/>
      <c r="H859" s="834"/>
      <c r="I859" s="834"/>
      <c r="J859" s="835"/>
      <c r="K859" s="127">
        <v>252</v>
      </c>
      <c r="L859" s="39" t="str">
        <f>IFERROR(VLOOKUP($C859,'SINAPI FEVEREIRO 2022'!$1:$1048576,3,0),IFERROR(VLOOKUP($C859,'5-COMP. PROPRIA'!$B$1:$I$647,5,0),""))</f>
        <v>M</v>
      </c>
      <c r="M859" s="67"/>
      <c r="N859" s="478"/>
      <c r="P859" s="90"/>
    </row>
    <row r="860" spans="2:16" s="353" customFormat="1" ht="27" customHeight="1">
      <c r="B860" s="764"/>
      <c r="C860" s="274">
        <v>92980</v>
      </c>
      <c r="D860" s="161" t="s">
        <v>6</v>
      </c>
      <c r="E860" s="833" t="str">
        <f>IFERROR(VLOOKUP($C860,'SINAPI FEVEREIRO 2022'!$1:$1048576,2,0),IFERROR(VLOOKUP($C860,'5-COMP. PROPRIA'!$B$38:$I$647,4,0),""))</f>
        <v>CABO DE COBRE FLEXÍVEL ISOLADO, 10 MM², ANTI-CHAMA 0,6/1,0 KV, PARA DISTRIBUIÇÃO - FORNECIMENTO E INSTALAÇÃO. AF_12/2015</v>
      </c>
      <c r="F860" s="834"/>
      <c r="G860" s="834"/>
      <c r="H860" s="834"/>
      <c r="I860" s="834"/>
      <c r="J860" s="835"/>
      <c r="K860" s="127">
        <v>170</v>
      </c>
      <c r="L860" s="39" t="str">
        <f>IFERROR(VLOOKUP($C860,'SINAPI FEVEREIRO 2022'!$1:$1048576,3,0),IFERROR(VLOOKUP($C860,'5-COMP. PROPRIA'!$B$1:$I$647,5,0),""))</f>
        <v>M</v>
      </c>
      <c r="M860" s="67"/>
      <c r="N860" s="478"/>
      <c r="P860" s="90"/>
    </row>
    <row r="861" spans="2:16" s="353" customFormat="1" ht="27" customHeight="1">
      <c r="B861" s="764"/>
      <c r="C861" s="274">
        <v>101565</v>
      </c>
      <c r="D861" s="161" t="s">
        <v>6</v>
      </c>
      <c r="E861" s="833" t="str">
        <f>IFERROR(VLOOKUP($C861,'SINAPI FEVEREIRO 2022'!$1:$1048576,2,0),IFERROR(VLOOKUP($C861,'5-COMP. PROPRIA'!$B$38:$I$647,4,0),""))</f>
        <v>CABO DE COBRE FLEXÍVEL ISOLADO, 70 MM², 0,6/1,0 KV, PARA REDE AÉREA DE DISTRIBUIÇÃO DE ENERGIA ELÉTRICA DE BAIXA TENSÃO - FORNECIMENTO E INSTALAÇÃO. AF_07/2020</v>
      </c>
      <c r="F861" s="834"/>
      <c r="G861" s="834"/>
      <c r="H861" s="834"/>
      <c r="I861" s="834"/>
      <c r="J861" s="835"/>
      <c r="K861" s="127">
        <v>150</v>
      </c>
      <c r="L861" s="39" t="str">
        <f>IFERROR(VLOOKUP($C861,'SINAPI FEVEREIRO 2022'!$1:$1048576,3,0),IFERROR(VLOOKUP($C861,'5-COMP. PROPRIA'!$B$1:$I$647,5,0),""))</f>
        <v>M</v>
      </c>
      <c r="M861" s="67"/>
      <c r="N861" s="478"/>
      <c r="P861" s="90"/>
    </row>
    <row r="862" spans="2:16" s="353" customFormat="1" ht="27" customHeight="1" thickBot="1">
      <c r="B862" s="528"/>
      <c r="C862" s="274"/>
      <c r="D862" s="161"/>
      <c r="E862" s="525"/>
      <c r="F862" s="526"/>
      <c r="G862" s="526"/>
      <c r="H862" s="526"/>
      <c r="I862" s="526"/>
      <c r="J862" s="527"/>
      <c r="K862" s="127"/>
      <c r="L862" s="39"/>
      <c r="M862" s="67"/>
      <c r="N862" s="478"/>
      <c r="P862" s="90"/>
    </row>
    <row r="863" spans="2:16" s="353" customFormat="1" ht="27" customHeight="1" thickBot="1">
      <c r="B863" s="528"/>
      <c r="C863" s="274"/>
      <c r="D863" s="161"/>
      <c r="E863" s="839" t="s">
        <v>7398</v>
      </c>
      <c r="F863" s="840"/>
      <c r="G863" s="840"/>
      <c r="H863" s="840"/>
      <c r="I863" s="840"/>
      <c r="J863" s="841"/>
      <c r="K863" s="127"/>
      <c r="L863" s="39"/>
      <c r="M863" s="67"/>
      <c r="N863" s="478"/>
      <c r="P863" s="90"/>
    </row>
    <row r="864" spans="2:16" s="353" customFormat="1" ht="27" customHeight="1">
      <c r="B864" s="434"/>
      <c r="C864" s="274"/>
      <c r="D864" s="161"/>
      <c r="E864" s="415"/>
      <c r="F864" s="416"/>
      <c r="G864" s="416"/>
      <c r="H864" s="416"/>
      <c r="I864" s="416"/>
      <c r="J864" s="417"/>
      <c r="K864" s="127"/>
      <c r="L864" s="39"/>
      <c r="M864" s="67"/>
      <c r="N864" s="478"/>
      <c r="P864" s="90"/>
    </row>
    <row r="865" spans="2:16" s="353" customFormat="1" ht="27" customHeight="1">
      <c r="B865" s="434"/>
      <c r="C865" s="274">
        <v>91953</v>
      </c>
      <c r="D865" s="161" t="s">
        <v>6</v>
      </c>
      <c r="E865" s="833" t="str">
        <f>IFERROR(VLOOKUP($C865,'SINAPI FEVEREIRO 2022'!$1:$1048576,2,0),IFERROR(VLOOKUP($C865,'5-COMP. PROPRIA'!$B$38:$I$647,4,0),""))</f>
        <v>INTERRUPTOR SIMPLES (1 MÓDULO), 10A/250V, INCLUINDO SUPORTE E PLACA - FORNECIMENTO E INSTALAÇÃO. AF_12/2015</v>
      </c>
      <c r="F865" s="834"/>
      <c r="G865" s="834"/>
      <c r="H865" s="834"/>
      <c r="I865" s="834"/>
      <c r="J865" s="835"/>
      <c r="K865" s="127">
        <v>9</v>
      </c>
      <c r="L865" s="39" t="str">
        <f>IFERROR(VLOOKUP($C865,'SINAPI FEVEREIRO 2022'!$1:$1048576,3,0),IFERROR(VLOOKUP($C865,'5-COMP. PROPRIA'!$B$1:$I$647,5,0),""))</f>
        <v>UN</v>
      </c>
      <c r="M865" s="67"/>
      <c r="N865" s="478"/>
      <c r="P865" s="90"/>
    </row>
    <row r="866" spans="2:16" s="353" customFormat="1" ht="27" customHeight="1">
      <c r="B866" s="434"/>
      <c r="C866" s="274">
        <v>92023</v>
      </c>
      <c r="D866" s="161" t="s">
        <v>6</v>
      </c>
      <c r="E866" s="833" t="str">
        <f>IFERROR(VLOOKUP($C866,'SINAPI FEVEREIRO 2022'!$1:$1048576,2,0),IFERROR(VLOOKUP($C866,'5-COMP. PROPRIA'!$B$38:$I$647,4,0),""))</f>
        <v>INTERRUPTOR SIMPLES (1 MÓDULO) COM 1 TOMADA DE EMBUTIR 2P+T 10 A,  INCLUINDO SUPORTE E PLACA - FORNECIMENTO E INSTALAÇÃO. AF_12/2015</v>
      </c>
      <c r="F866" s="834"/>
      <c r="G866" s="834"/>
      <c r="H866" s="834"/>
      <c r="I866" s="834"/>
      <c r="J866" s="835"/>
      <c r="K866" s="127">
        <v>4</v>
      </c>
      <c r="L866" s="39" t="str">
        <f>IFERROR(VLOOKUP($C866,'SINAPI FEVEREIRO 2022'!$1:$1048576,3,0),IFERROR(VLOOKUP($C866,'5-COMP. PROPRIA'!$B$1:$I$647,5,0),""))</f>
        <v>UN</v>
      </c>
      <c r="M866" s="67"/>
      <c r="N866" s="478"/>
      <c r="P866" s="90"/>
    </row>
    <row r="867" spans="2:16" s="353" customFormat="1" ht="27" customHeight="1">
      <c r="B867" s="434"/>
      <c r="C867" s="274">
        <v>91997</v>
      </c>
      <c r="D867" s="161" t="s">
        <v>6</v>
      </c>
      <c r="E867" s="833" t="str">
        <f>IFERROR(VLOOKUP($C867,'SINAPI FEVEREIRO 2022'!$1:$1048576,2,0),IFERROR(VLOOKUP($C867,'5-COMP. PROPRIA'!$B$38:$I$647,4,0),""))</f>
        <v>TOMADA MÉDIA DE EMBUTIR (1 MÓDULO), 2P+T 20 A, INCLUINDO SUPORTE E PLACA - FORNECIMENTO E INSTALAÇÃO. AF_12/2015</v>
      </c>
      <c r="F867" s="834"/>
      <c r="G867" s="834"/>
      <c r="H867" s="834"/>
      <c r="I867" s="834"/>
      <c r="J867" s="835"/>
      <c r="K867" s="127">
        <v>1</v>
      </c>
      <c r="L867" s="39" t="str">
        <f>IFERROR(VLOOKUP($C867,'SINAPI FEVEREIRO 2022'!$1:$1048576,3,0),IFERROR(VLOOKUP($C867,'5-COMP. PROPRIA'!$B$1:$I$647,5,0),""))</f>
        <v>UN</v>
      </c>
      <c r="M867" s="67"/>
      <c r="N867" s="478"/>
      <c r="P867" s="90"/>
    </row>
    <row r="868" spans="2:16" s="353" customFormat="1" ht="27" customHeight="1">
      <c r="B868" s="434"/>
      <c r="C868" s="274">
        <v>91992</v>
      </c>
      <c r="D868" s="161" t="s">
        <v>6</v>
      </c>
      <c r="E868" s="833" t="str">
        <f>IFERROR(VLOOKUP($C868,'SINAPI FEVEREIRO 2022'!$1:$1048576,2,0),IFERROR(VLOOKUP($C868,'5-COMP. PROPRIA'!$B$38:$I$647,4,0),""))</f>
        <v>TOMADA ALTA DE EMBUTIR (1 MÓDULO), 2P+T 10 A, INCLUINDO SUPORTE E PLACA - FORNECIMENTO E INSTALAÇÃO. AF_12/2015</v>
      </c>
      <c r="F868" s="834"/>
      <c r="G868" s="834"/>
      <c r="H868" s="834"/>
      <c r="I868" s="834"/>
      <c r="J868" s="835"/>
      <c r="K868" s="127">
        <v>27</v>
      </c>
      <c r="L868" s="39" t="str">
        <f>IFERROR(VLOOKUP($C868,'SINAPI FEVEREIRO 2022'!$1:$1048576,3,0),IFERROR(VLOOKUP($C868,'5-COMP. PROPRIA'!$B$1:$I$647,5,0),""))</f>
        <v>UN</v>
      </c>
      <c r="M868" s="67"/>
      <c r="N868" s="478"/>
      <c r="P868" s="90"/>
    </row>
    <row r="869" spans="2:16" s="353" customFormat="1" ht="27" customHeight="1">
      <c r="B869" s="434"/>
      <c r="C869" s="274">
        <v>91996</v>
      </c>
      <c r="D869" s="161" t="s">
        <v>6</v>
      </c>
      <c r="E869" s="833" t="str">
        <f>IFERROR(VLOOKUP($C869,'SINAPI FEVEREIRO 2022'!$1:$1048576,2,0),IFERROR(VLOOKUP($C869,'5-COMP. PROPRIA'!$B$38:$I$647,4,0),""))</f>
        <v>TOMADA MÉDIA DE EMBUTIR (1 MÓDULO), 2P+T 10 A, INCLUINDO SUPORTE E PLACA - FORNECIMENTO E INSTALAÇÃO. AF_12/2015</v>
      </c>
      <c r="F869" s="834"/>
      <c r="G869" s="834"/>
      <c r="H869" s="834"/>
      <c r="I869" s="834"/>
      <c r="J869" s="835"/>
      <c r="K869" s="127">
        <v>10</v>
      </c>
      <c r="L869" s="39" t="str">
        <f>IFERROR(VLOOKUP($C869,'SINAPI FEVEREIRO 2022'!$1:$1048576,3,0),IFERROR(VLOOKUP($C869,'5-COMP. PROPRIA'!$B$1:$I$647,5,0),""))</f>
        <v>UN</v>
      </c>
      <c r="M869" s="67"/>
      <c r="N869" s="478"/>
      <c r="P869" s="90"/>
    </row>
    <row r="870" spans="2:16" s="353" customFormat="1" ht="27" customHeight="1">
      <c r="B870" s="434"/>
      <c r="C870" s="274">
        <v>92004</v>
      </c>
      <c r="D870" s="161" t="s">
        <v>6</v>
      </c>
      <c r="E870" s="833" t="str">
        <f>IFERROR(VLOOKUP($C870,'SINAPI FEVEREIRO 2022'!$1:$1048576,2,0),IFERROR(VLOOKUP($C870,'5-COMP. PROPRIA'!$B$38:$I$647,4,0),""))</f>
        <v>TOMADA MÉDIA DE EMBUTIR (2 MÓDULOS), 2P+T 10 A, INCLUINDO SUPORTE E PLACA - FORNECIMENTO E INSTALAÇÃO. AF_12/2015</v>
      </c>
      <c r="F870" s="834"/>
      <c r="G870" s="834"/>
      <c r="H870" s="834"/>
      <c r="I870" s="834"/>
      <c r="J870" s="835"/>
      <c r="K870" s="127">
        <v>2</v>
      </c>
      <c r="L870" s="39" t="str">
        <f>IFERROR(VLOOKUP($C870,'SINAPI FEVEREIRO 2022'!$1:$1048576,3,0),IFERROR(VLOOKUP($C870,'5-COMP. PROPRIA'!$B$1:$I$647,5,0),""))</f>
        <v>UN</v>
      </c>
      <c r="M870" s="67"/>
      <c r="N870" s="478"/>
      <c r="P870" s="90"/>
    </row>
    <row r="871" spans="2:16" s="353" customFormat="1" ht="27" customHeight="1">
      <c r="B871" s="434"/>
      <c r="C871" s="274">
        <v>92008</v>
      </c>
      <c r="D871" s="161" t="s">
        <v>6</v>
      </c>
      <c r="E871" s="833" t="str">
        <f>IFERROR(VLOOKUP($C871,'SINAPI FEVEREIRO 2022'!$1:$1048576,2,0),IFERROR(VLOOKUP($C871,'5-COMP. PROPRIA'!$B$38:$I$647,4,0),""))</f>
        <v>TOMADA BAIXA DE EMBUTIR (2 MÓDULOS), 2P+T 10 A, INCLUINDO SUPORTE E PLACA - FORNECIMENTO E INSTALAÇÃO. AF_12/2015</v>
      </c>
      <c r="F871" s="834"/>
      <c r="G871" s="834"/>
      <c r="H871" s="834"/>
      <c r="I871" s="834"/>
      <c r="J871" s="835"/>
      <c r="K871" s="127">
        <v>24</v>
      </c>
      <c r="L871" s="39" t="str">
        <f>IFERROR(VLOOKUP($C871,'SINAPI FEVEREIRO 2022'!$1:$1048576,3,0),IFERROR(VLOOKUP($C871,'5-COMP. PROPRIA'!$B$1:$I$647,5,0),""))</f>
        <v>UN</v>
      </c>
      <c r="M871" s="67"/>
      <c r="N871" s="478"/>
      <c r="P871" s="90"/>
    </row>
    <row r="872" spans="2:16" s="353" customFormat="1" ht="27" customHeight="1">
      <c r="B872" s="434"/>
      <c r="C872" s="274">
        <v>91993</v>
      </c>
      <c r="D872" s="161" t="s">
        <v>6</v>
      </c>
      <c r="E872" s="833" t="str">
        <f>IFERROR(VLOOKUP($C872,'SINAPI FEVEREIRO 2022'!$1:$1048576,2,0),IFERROR(VLOOKUP($C872,'5-COMP. PROPRIA'!$B$38:$I$647,4,0),""))</f>
        <v>TOMADA ALTA DE EMBUTIR (1 MÓDULO), 2P+T 20 A, INCLUINDO SUPORTE E PLACA - FORNECIMENTO E INSTALAÇÃO. AF_12/2015</v>
      </c>
      <c r="F872" s="834"/>
      <c r="G872" s="834"/>
      <c r="H872" s="834"/>
      <c r="I872" s="834"/>
      <c r="J872" s="835"/>
      <c r="K872" s="127">
        <v>21</v>
      </c>
      <c r="L872" s="39" t="str">
        <f>IFERROR(VLOOKUP($C872,'SINAPI FEVEREIRO 2022'!$1:$1048576,3,0),IFERROR(VLOOKUP($C872,'5-COMP. PROPRIA'!$B$1:$I$647,5,0),""))</f>
        <v>UN</v>
      </c>
      <c r="M872" s="67"/>
      <c r="N872" s="478"/>
      <c r="P872" s="90"/>
    </row>
    <row r="873" spans="2:16" s="353" customFormat="1" ht="27" customHeight="1">
      <c r="B873" s="434"/>
      <c r="C873" s="274">
        <v>92000</v>
      </c>
      <c r="D873" s="161" t="s">
        <v>6</v>
      </c>
      <c r="E873" s="833" t="str">
        <f>IFERROR(VLOOKUP($C873,'SINAPI FEVEREIRO 2022'!$1:$1048576,2,0),IFERROR(VLOOKUP($C873,'5-COMP. PROPRIA'!$B$38:$I$647,4,0),""))</f>
        <v>TOMADA BAIXA DE EMBUTIR (1 MÓDULO), 2P+T 10 A, INCLUINDO SUPORTE E PLACA - FORNECIMENTO E INSTALAÇÃO. AF_12/2015</v>
      </c>
      <c r="F873" s="834"/>
      <c r="G873" s="834"/>
      <c r="H873" s="834"/>
      <c r="I873" s="834"/>
      <c r="J873" s="835"/>
      <c r="K873" s="127">
        <v>7</v>
      </c>
      <c r="L873" s="39" t="str">
        <f>IFERROR(VLOOKUP($C873,'SINAPI FEVEREIRO 2022'!$1:$1048576,3,0),IFERROR(VLOOKUP($C873,'5-COMP. PROPRIA'!$B$1:$I$647,5,0),""))</f>
        <v>UN</v>
      </c>
      <c r="M873" s="67"/>
      <c r="N873" s="478"/>
      <c r="P873" s="90"/>
    </row>
    <row r="874" spans="2:16" s="353" customFormat="1" ht="27" customHeight="1">
      <c r="B874" s="434"/>
      <c r="C874" s="274">
        <v>91941</v>
      </c>
      <c r="D874" s="161" t="s">
        <v>6</v>
      </c>
      <c r="E874" s="833" t="str">
        <f>IFERROR(VLOOKUP($C874,'SINAPI FEVEREIRO 2022'!$1:$1048576,2,0),IFERROR(VLOOKUP($C874,'5-COMP. PROPRIA'!$B$38:$I$647,4,0),""))</f>
        <v>CAIXA RETANGULAR 4" X 2" BAIXA (0,30 M DO PISO), PVC, INSTALADA EM PAREDE - FORNECIMENTO E INSTALAÇÃO. AF_12/2015</v>
      </c>
      <c r="F874" s="834"/>
      <c r="G874" s="834"/>
      <c r="H874" s="834"/>
      <c r="I874" s="834"/>
      <c r="J874" s="835"/>
      <c r="K874" s="127">
        <v>17</v>
      </c>
      <c r="L874" s="39" t="str">
        <f>IFERROR(VLOOKUP($C874,'SINAPI FEVEREIRO 2022'!$1:$1048576,3,0),IFERROR(VLOOKUP($C874,'5-COMP. PROPRIA'!$B$1:$I$647,5,0),""))</f>
        <v>UN</v>
      </c>
      <c r="M874" s="67"/>
      <c r="N874" s="478"/>
      <c r="P874" s="90"/>
    </row>
    <row r="875" spans="2:16" s="353" customFormat="1" ht="27" customHeight="1">
      <c r="B875" s="434"/>
      <c r="C875" s="274">
        <v>91940</v>
      </c>
      <c r="D875" s="161" t="s">
        <v>6</v>
      </c>
      <c r="E875" s="833" t="str">
        <f>IFERROR(VLOOKUP($C875,'SINAPI FEVEREIRO 2022'!$1:$1048576,2,0),IFERROR(VLOOKUP($C875,'5-COMP. PROPRIA'!$B$38:$I$647,4,0),""))</f>
        <v>CAIXA RETANGULAR 4" X 2" MÉDIA (1,30 M DO PISO), PVC, INSTALADA EM PAREDE - FORNECIMENTO E INSTALAÇÃO. AF_12/2015</v>
      </c>
      <c r="F875" s="834"/>
      <c r="G875" s="834"/>
      <c r="H875" s="834"/>
      <c r="I875" s="834"/>
      <c r="J875" s="835"/>
      <c r="K875" s="127">
        <v>22</v>
      </c>
      <c r="L875" s="39" t="str">
        <f>IFERROR(VLOOKUP($C875,'SINAPI FEVEREIRO 2022'!$1:$1048576,3,0),IFERROR(VLOOKUP($C875,'5-COMP. PROPRIA'!$B$1:$I$647,5,0),""))</f>
        <v>UN</v>
      </c>
      <c r="M875" s="67"/>
      <c r="N875" s="478"/>
      <c r="P875" s="90"/>
    </row>
    <row r="876" spans="2:16" s="353" customFormat="1" ht="27" customHeight="1">
      <c r="B876" s="434"/>
      <c r="C876" s="274">
        <v>92867</v>
      </c>
      <c r="D876" s="161" t="s">
        <v>6</v>
      </c>
      <c r="E876" s="833" t="str">
        <f>IFERROR(VLOOKUP($C876,'SINAPI FEVEREIRO 2022'!$1:$1048576,2,0),IFERROR(VLOOKUP($C876,'5-COMP. PROPRIA'!$B$38:$I$647,4,0),""))</f>
        <v>CAIXA RETANGULAR 4" X 2" ALTA (2,00 M DO PISO), METÁLICA, INSTALADA EM PAREDE - FORNECIMENTO E INSTALAÇÃO. AF_12/2015</v>
      </c>
      <c r="F876" s="834"/>
      <c r="G876" s="834"/>
      <c r="H876" s="834"/>
      <c r="I876" s="834"/>
      <c r="J876" s="835"/>
      <c r="K876" s="127">
        <v>47</v>
      </c>
      <c r="L876" s="39" t="str">
        <f>IFERROR(VLOOKUP($C876,'SINAPI FEVEREIRO 2022'!$1:$1048576,3,0),IFERROR(VLOOKUP($C876,'5-COMP. PROPRIA'!$B$1:$I$647,5,0),""))</f>
        <v>UN</v>
      </c>
      <c r="M876" s="67"/>
      <c r="N876" s="478"/>
      <c r="P876" s="90"/>
    </row>
    <row r="877" spans="2:16" ht="33" customHeight="1">
      <c r="B877" s="586"/>
      <c r="C877" s="274">
        <v>97886</v>
      </c>
      <c r="D877" s="161" t="s">
        <v>6</v>
      </c>
      <c r="E877" s="833" t="str">
        <f>IFERROR(VLOOKUP($C877,'SINAPI FEVEREIRO 2022'!$1:$1048576,2,0),IFERROR(VLOOKUP($C877,'5-COMP. PROPRIA'!$B$38:$I$647,4,0),""))</f>
        <v>CAIXA ENTERRADA ELÉTRICA RETANGULAR, EM ALVENARIA COM TIJOLOS CERÂMICOS MACIÇOS, FUNDO COM BRITA, DIMENSÕES INTERNAS: 0,3X0,3X0,3 M. AF_12/2020</v>
      </c>
      <c r="F877" s="834"/>
      <c r="G877" s="834"/>
      <c r="H877" s="834"/>
      <c r="I877" s="834"/>
      <c r="J877" s="835"/>
      <c r="K877" s="127">
        <v>4</v>
      </c>
      <c r="L877" s="39" t="str">
        <f>IFERROR(VLOOKUP($C877,'SINAPI FEVEREIRO 2022'!$1:$1048576,3,0),IFERROR(VLOOKUP($C877,'5-COMP. PROPRIA'!$B$1:$I$647,5,0),""))</f>
        <v>UN</v>
      </c>
      <c r="M877" s="67"/>
      <c r="N877" s="478"/>
      <c r="P877" s="90"/>
    </row>
    <row r="878" spans="2:16" s="353" customFormat="1" ht="15">
      <c r="B878" s="434"/>
      <c r="C878" s="275" t="s">
        <v>5487</v>
      </c>
      <c r="D878" s="161" t="s">
        <v>641</v>
      </c>
      <c r="E878" s="833" t="str">
        <f>IFERROR(VLOOKUP($C878,'SINAPI FEVEREIRO 2022'!$1:$1048576,2,0),IFERROR(VLOOKUP($C878,'5-COMP. PROPRIA'!$B$38:$I$647,4,0),""))</f>
        <v>VENTILADOR DE PAREDE 50 cm - FORNECIMENTO E INSTALAÇÃO</v>
      </c>
      <c r="F878" s="834"/>
      <c r="G878" s="834"/>
      <c r="H878" s="834"/>
      <c r="I878" s="834"/>
      <c r="J878" s="835"/>
      <c r="K878" s="127">
        <v>5</v>
      </c>
      <c r="L878" s="39" t="str">
        <f>IFERROR(VLOOKUP($C878,'SINAPI FEVEREIRO 2022'!$1:$1048576,3,0),IFERROR(VLOOKUP($C878,'5-COMP. PROPRIA'!$B$1:$I$647,5,0),""))</f>
        <v>UNI</v>
      </c>
      <c r="M878" s="67"/>
      <c r="N878" s="478"/>
      <c r="P878" s="90"/>
    </row>
    <row r="879" spans="2:16" s="353" customFormat="1" ht="15">
      <c r="B879" s="434"/>
      <c r="C879" s="275" t="s">
        <v>5488</v>
      </c>
      <c r="D879" s="161" t="s">
        <v>641</v>
      </c>
      <c r="E879" s="833" t="str">
        <f>IFERROR(VLOOKUP($C879,'SINAPI FEVEREIRO 2022'!$1:$1048576,2,0),IFERROR(VLOOKUP($C879,'5-COMP. PROPRIA'!$B$38:$I$647,4,0),""))</f>
        <v>VENTILADOR DE TETO 98 cm - FORNECIMENTO E INSTALAÇÃO</v>
      </c>
      <c r="F879" s="834"/>
      <c r="G879" s="834"/>
      <c r="H879" s="834"/>
      <c r="I879" s="834"/>
      <c r="J879" s="835"/>
      <c r="K879" s="127">
        <v>38</v>
      </c>
      <c r="L879" s="39" t="str">
        <f>IFERROR(VLOOKUP($C879,'SINAPI FEVEREIRO 2022'!$1:$1048576,3,0),IFERROR(VLOOKUP($C879,'5-COMP. PROPRIA'!$B$1:$I$647,5,0),""))</f>
        <v>UNI</v>
      </c>
      <c r="M879" s="67"/>
      <c r="N879" s="478"/>
      <c r="P879" s="90"/>
    </row>
    <row r="880" spans="2:16" s="353" customFormat="1" ht="15">
      <c r="B880" s="764"/>
      <c r="C880" s="275">
        <v>102137</v>
      </c>
      <c r="D880" s="161" t="s">
        <v>6</v>
      </c>
      <c r="E880" s="833" t="str">
        <f>IFERROR(VLOOKUP($C880,'SINAPI FEVEREIRO 2022'!$1:$1048576,2,0),IFERROR(VLOOKUP($C880,'5-COMP. PROPRIA'!$B$38:$I$647,4,0),""))</f>
        <v>CHAVE DE BOIA AUTOMÁTICA SUPERIOR/INFERIOR 15A/250V - FORNECIMENTO E INSTALAÇÃO. AF_12/2020</v>
      </c>
      <c r="F880" s="834"/>
      <c r="G880" s="834"/>
      <c r="H880" s="834"/>
      <c r="I880" s="834"/>
      <c r="J880" s="835"/>
      <c r="K880" s="127">
        <v>2</v>
      </c>
      <c r="L880" s="39" t="str">
        <f>IFERROR(VLOOKUP($C880,'SINAPI FEVEREIRO 2022'!$1:$1048576,3,0),IFERROR(VLOOKUP($C880,'5-COMP. PROPRIA'!$B$1:$I$647,5,0),""))</f>
        <v>UN</v>
      </c>
      <c r="M880" s="67"/>
      <c r="N880" s="478"/>
      <c r="P880" s="90"/>
    </row>
    <row r="881" spans="2:16" s="353" customFormat="1" ht="15">
      <c r="B881" s="764"/>
      <c r="C881" s="275" t="str">
        <f>'5-COMP. PROPRIA'!B431</f>
        <v>CP-ELE-14</v>
      </c>
      <c r="D881" s="161" t="s">
        <v>641</v>
      </c>
      <c r="E881" s="833" t="str">
        <f>IFERROR(VLOOKUP($C881,'SINAPI FEVEREIRO 2022'!$1:$1048576,2,0),IFERROR(VLOOKUP($C881,'5-COMP. PROPRIA'!$B$38:$I$647,4,0),""))</f>
        <v xml:space="preserve">BOMBA PERIFÉRICA 1,5CV BIFÁSICA   </v>
      </c>
      <c r="F881" s="834"/>
      <c r="G881" s="834"/>
      <c r="H881" s="834"/>
      <c r="I881" s="834"/>
      <c r="J881" s="835"/>
      <c r="K881" s="127">
        <v>1</v>
      </c>
      <c r="L881" s="39" t="str">
        <f>IFERROR(VLOOKUP($C881,'SINAPI FEVEREIRO 2022'!$1:$1048576,3,0),IFERROR(VLOOKUP($C881,'5-COMP. PROPRIA'!$B$1:$I$647,5,0),""))</f>
        <v>UN</v>
      </c>
      <c r="M881" s="67"/>
      <c r="N881" s="478"/>
      <c r="P881" s="90"/>
    </row>
    <row r="882" spans="2:16" s="353" customFormat="1" ht="15.75" thickBot="1">
      <c r="B882" s="434"/>
      <c r="C882" s="275"/>
      <c r="D882" s="161"/>
      <c r="E882" s="515"/>
      <c r="F882" s="516"/>
      <c r="G882" s="516"/>
      <c r="H882" s="516"/>
      <c r="I882" s="516"/>
      <c r="J882" s="517"/>
      <c r="K882" s="127"/>
      <c r="L882" s="39"/>
      <c r="M882" s="67"/>
      <c r="N882" s="478"/>
      <c r="P882" s="90"/>
    </row>
    <row r="883" spans="2:16" s="353" customFormat="1" ht="15.75" thickBot="1">
      <c r="B883" s="434"/>
      <c r="C883" s="274"/>
      <c r="D883" s="161"/>
      <c r="E883" s="839" t="s">
        <v>5490</v>
      </c>
      <c r="F883" s="840"/>
      <c r="G883" s="840"/>
      <c r="H883" s="840"/>
      <c r="I883" s="840"/>
      <c r="J883" s="841"/>
      <c r="K883" s="127"/>
      <c r="L883" s="39"/>
      <c r="M883" s="67"/>
      <c r="N883" s="478"/>
      <c r="P883" s="90"/>
    </row>
    <row r="884" spans="2:16" s="353" customFormat="1" ht="15">
      <c r="B884" s="434"/>
      <c r="C884" s="274"/>
      <c r="D884" s="161"/>
      <c r="E884" s="424"/>
      <c r="F884" s="425"/>
      <c r="G884" s="425"/>
      <c r="H884" s="425"/>
      <c r="I884" s="425"/>
      <c r="J884" s="426"/>
      <c r="K884" s="127"/>
      <c r="L884" s="39"/>
      <c r="M884" s="67"/>
      <c r="N884" s="478"/>
      <c r="P884" s="90"/>
    </row>
    <row r="885" spans="2:16" s="353" customFormat="1" ht="15">
      <c r="B885" s="434"/>
      <c r="C885" s="274">
        <v>90447</v>
      </c>
      <c r="D885" s="161" t="s">
        <v>6</v>
      </c>
      <c r="E885" s="833" t="str">
        <f>IFERROR(VLOOKUP($C885,'SINAPI FEVEREIRO 2022'!$1:$1048576,2,0),IFERROR(VLOOKUP($C885,'5-COMP. PROPRIA'!$B$38:$I$647,4,0),""))</f>
        <v>RASGO EM ALVENARIA PARA ELETRODUTOS COM DIAMETROS MENORES OU IGUAIS A 40 MM. AF_05/2015</v>
      </c>
      <c r="F885" s="834"/>
      <c r="G885" s="834"/>
      <c r="H885" s="834"/>
      <c r="I885" s="834"/>
      <c r="J885" s="835"/>
      <c r="K885" s="127">
        <f>SUM(K887:K890)</f>
        <v>115.9</v>
      </c>
      <c r="L885" s="39" t="str">
        <f>IFERROR(VLOOKUP($C885,'SINAPI FEVEREIRO 2022'!$1:$1048576,3,0),IFERROR(VLOOKUP($C885,'5-COMP. PROPRIA'!$B$1:$I$647,5,0),""))</f>
        <v>M</v>
      </c>
      <c r="M885" s="67"/>
      <c r="N885" s="478"/>
      <c r="P885" s="90"/>
    </row>
    <row r="886" spans="2:16" s="353" customFormat="1" ht="25.5">
      <c r="B886" s="434"/>
      <c r="C886" s="5"/>
      <c r="D886" s="5"/>
      <c r="E886" s="57" t="s">
        <v>5503</v>
      </c>
      <c r="F886" s="47" t="s">
        <v>5504</v>
      </c>
      <c r="G886" s="47" t="s">
        <v>5505</v>
      </c>
      <c r="H886" s="47" t="s">
        <v>5506</v>
      </c>
      <c r="I886" s="47" t="s">
        <v>5507</v>
      </c>
      <c r="J886" s="248" t="s">
        <v>5508</v>
      </c>
      <c r="K886" s="5"/>
      <c r="L886" s="39"/>
      <c r="M886" s="67"/>
      <c r="N886" s="478"/>
      <c r="P886" s="90"/>
    </row>
    <row r="887" spans="2:16" s="353" customFormat="1" ht="15.75">
      <c r="B887" s="265" t="s">
        <v>5499</v>
      </c>
      <c r="C887" s="274"/>
      <c r="D887" s="161"/>
      <c r="E887" s="261">
        <v>47</v>
      </c>
      <c r="F887" s="457">
        <f>3-2.2</f>
        <v>0.79999999999999982</v>
      </c>
      <c r="G887" s="457">
        <f>E887*F887</f>
        <v>37.599999999999994</v>
      </c>
      <c r="H887" s="457">
        <v>7.0000000000000007E-2</v>
      </c>
      <c r="I887" s="457">
        <v>7.0000000000000007E-2</v>
      </c>
      <c r="J887" s="459">
        <f>G887*H887*I887</f>
        <v>0.18423999999999999</v>
      </c>
      <c r="K887" s="49">
        <f>G887</f>
        <v>37.599999999999994</v>
      </c>
      <c r="L887" s="149"/>
      <c r="M887" s="67"/>
      <c r="N887" s="478"/>
      <c r="P887" s="90"/>
    </row>
    <row r="888" spans="2:16" s="353" customFormat="1" ht="29.25" customHeight="1">
      <c r="B888" s="265" t="s">
        <v>5500</v>
      </c>
      <c r="C888" s="274"/>
      <c r="D888" s="161"/>
      <c r="E888" s="261">
        <v>18</v>
      </c>
      <c r="F888" s="457">
        <f>3-1.2</f>
        <v>1.8</v>
      </c>
      <c r="G888" s="457">
        <f>E888*F888</f>
        <v>32.4</v>
      </c>
      <c r="H888" s="457">
        <v>7.0000000000000007E-2</v>
      </c>
      <c r="I888" s="457">
        <v>7.0000000000000007E-2</v>
      </c>
      <c r="J888" s="459">
        <f>G888*H888*I888</f>
        <v>0.15876000000000004</v>
      </c>
      <c r="K888" s="49">
        <f t="shared" ref="K888:K890" si="24">G888</f>
        <v>32.4</v>
      </c>
      <c r="L888" s="149"/>
      <c r="M888" s="67"/>
      <c r="N888" s="478"/>
      <c r="P888" s="90"/>
    </row>
    <row r="889" spans="2:16" s="353" customFormat="1" ht="15.75">
      <c r="B889" s="265" t="s">
        <v>5501</v>
      </c>
      <c r="C889" s="274"/>
      <c r="D889" s="161"/>
      <c r="E889" s="261">
        <v>15</v>
      </c>
      <c r="F889" s="457">
        <f>3-0.3</f>
        <v>2.7</v>
      </c>
      <c r="G889" s="457">
        <f>E889*F889</f>
        <v>40.5</v>
      </c>
      <c r="H889" s="457">
        <v>7.0000000000000007E-2</v>
      </c>
      <c r="I889" s="457">
        <v>7.0000000000000007E-2</v>
      </c>
      <c r="J889" s="459">
        <f>G889*H889*I889</f>
        <v>0.19845000000000004</v>
      </c>
      <c r="K889" s="49">
        <f t="shared" si="24"/>
        <v>40.5</v>
      </c>
      <c r="L889" s="149"/>
      <c r="M889" s="67"/>
      <c r="N889" s="478"/>
      <c r="P889" s="90"/>
    </row>
    <row r="890" spans="2:16" s="353" customFormat="1" ht="31.5">
      <c r="B890" s="265" t="s">
        <v>5502</v>
      </c>
      <c r="C890" s="274"/>
      <c r="D890" s="161"/>
      <c r="E890" s="261">
        <v>3</v>
      </c>
      <c r="F890" s="457">
        <f>3-1.2</f>
        <v>1.8</v>
      </c>
      <c r="G890" s="457">
        <f>E890*F890</f>
        <v>5.4</v>
      </c>
      <c r="H890" s="457">
        <v>7.0000000000000007E-2</v>
      </c>
      <c r="I890" s="457">
        <v>7.0000000000000007E-2</v>
      </c>
      <c r="J890" s="459">
        <f>G890*H890*I890</f>
        <v>2.6460000000000008E-2</v>
      </c>
      <c r="K890" s="49">
        <f t="shared" si="24"/>
        <v>5.4</v>
      </c>
      <c r="L890" s="149"/>
      <c r="M890" s="67"/>
      <c r="N890" s="478"/>
      <c r="P890" s="90"/>
    </row>
    <row r="891" spans="2:16" s="353" customFormat="1" ht="28.5" customHeight="1">
      <c r="B891" s="434"/>
      <c r="C891" s="274">
        <v>91222</v>
      </c>
      <c r="D891" s="161" t="s">
        <v>6</v>
      </c>
      <c r="E891" s="833" t="str">
        <f>IFERROR(VLOOKUP($C891,'SINAPI FEVEREIRO 2022'!$1:$1048576,2,0),IFERROR(VLOOKUP($C891,'5-COMP. PROPRIA'!$B$38:$I$647,4,0),""))</f>
        <v>RASGO EM ALVENARIA PARA RAMAIS/ DISTRIBUIÇÃO COM DIÂMETROS MAIORES QUE 40 MM E MENORES OU IGUAIS A 75 MM. AF_05/2015</v>
      </c>
      <c r="F891" s="834"/>
      <c r="G891" s="834"/>
      <c r="H891" s="834"/>
      <c r="I891" s="834"/>
      <c r="J891" s="835"/>
      <c r="K891" s="127">
        <f>SUM(K893:K894)</f>
        <v>3</v>
      </c>
      <c r="L891" s="39" t="str">
        <f>IFERROR(VLOOKUP($C891,'SINAPI FEVEREIRO 2022'!$1:$1048576,3,0),IFERROR(VLOOKUP($C891,'5-COMP. PROPRIA'!$B$1:$I$647,5,0),""))</f>
        <v>M</v>
      </c>
      <c r="M891" s="67"/>
      <c r="N891" s="478"/>
      <c r="P891" s="90"/>
    </row>
    <row r="892" spans="2:16" s="353" customFormat="1" ht="25.5">
      <c r="B892" s="434"/>
      <c r="C892" s="5"/>
      <c r="D892" s="5"/>
      <c r="E892" s="57" t="s">
        <v>5503</v>
      </c>
      <c r="F892" s="47" t="s">
        <v>5504</v>
      </c>
      <c r="G892" s="47" t="s">
        <v>5505</v>
      </c>
      <c r="H892" s="47" t="s">
        <v>5506</v>
      </c>
      <c r="I892" s="47" t="s">
        <v>5507</v>
      </c>
      <c r="J892" s="248" t="s">
        <v>5508</v>
      </c>
      <c r="K892" s="127"/>
      <c r="L892" s="39"/>
      <c r="M892" s="67"/>
      <c r="N892" s="478"/>
      <c r="P892" s="90"/>
    </row>
    <row r="893" spans="2:16" s="353" customFormat="1" ht="15.75">
      <c r="B893" s="265" t="s">
        <v>5509</v>
      </c>
      <c r="C893" s="274"/>
      <c r="D893" s="161"/>
      <c r="E893" s="261">
        <v>1</v>
      </c>
      <c r="F893" s="457">
        <f>3-1.5</f>
        <v>1.5</v>
      </c>
      <c r="G893" s="457">
        <f>E893*F893</f>
        <v>1.5</v>
      </c>
      <c r="H893" s="457">
        <v>0.1</v>
      </c>
      <c r="I893" s="457">
        <v>0.1</v>
      </c>
      <c r="J893" s="460">
        <f>G893*H893*I893</f>
        <v>1.5000000000000003E-2</v>
      </c>
      <c r="K893" s="49">
        <f>G893</f>
        <v>1.5</v>
      </c>
      <c r="L893" s="149"/>
      <c r="M893" s="67"/>
      <c r="N893" s="478"/>
      <c r="P893" s="90"/>
    </row>
    <row r="894" spans="2:16" s="353" customFormat="1" ht="37.5" customHeight="1">
      <c r="B894" s="265" t="s">
        <v>5510</v>
      </c>
      <c r="C894" s="274"/>
      <c r="D894" s="161"/>
      <c r="E894" s="261">
        <v>1</v>
      </c>
      <c r="F894" s="457">
        <f>3-1.5</f>
        <v>1.5</v>
      </c>
      <c r="G894" s="457">
        <f>E894*F894</f>
        <v>1.5</v>
      </c>
      <c r="H894" s="457">
        <v>0.1</v>
      </c>
      <c r="I894" s="457">
        <v>0.1</v>
      </c>
      <c r="J894" s="460">
        <f>G894*H894*I894</f>
        <v>1.5000000000000003E-2</v>
      </c>
      <c r="K894" s="49">
        <f>G894</f>
        <v>1.5</v>
      </c>
      <c r="L894" s="149"/>
      <c r="M894" s="67"/>
      <c r="N894" s="478"/>
      <c r="P894" s="90"/>
    </row>
    <row r="895" spans="2:16" s="353" customFormat="1" ht="15">
      <c r="B895" s="434"/>
      <c r="C895" s="274">
        <v>90456</v>
      </c>
      <c r="D895" s="161" t="s">
        <v>6</v>
      </c>
      <c r="E895" s="833" t="str">
        <f>IFERROR(VLOOKUP($C895,'SINAPI FEVEREIRO 2022'!$1:$1048576,2,0),IFERROR(VLOOKUP($C895,'5-COMP. PROPRIA'!$B$38:$I$647,4,0),""))</f>
        <v>QUEBRA EM ALVENARIA PARA INSTALAÇÃO DE CAIXA DE TOMADA (4X4 OU 4X2). AF_05/2015</v>
      </c>
      <c r="F895" s="834"/>
      <c r="G895" s="834"/>
      <c r="H895" s="834"/>
      <c r="I895" s="834"/>
      <c r="J895" s="835"/>
      <c r="K895" s="127">
        <v>86</v>
      </c>
      <c r="L895" s="39" t="str">
        <f>IFERROR(VLOOKUP($C895,'SINAPI FEVEREIRO 2022'!$1:$1048576,3,0),IFERROR(VLOOKUP($C895,'5-COMP. PROPRIA'!$B$1:$I$647,5,0),""))</f>
        <v>UN</v>
      </c>
      <c r="M895" s="67"/>
      <c r="N895" s="478"/>
      <c r="P895" s="90"/>
    </row>
    <row r="896" spans="2:16" s="353" customFormat="1" ht="30" customHeight="1">
      <c r="B896" s="434"/>
      <c r="C896" s="274">
        <v>90444</v>
      </c>
      <c r="D896" s="161" t="s">
        <v>6</v>
      </c>
      <c r="E896" s="833" t="str">
        <f>IFERROR(VLOOKUP($C896,'SINAPI FEVEREIRO 2022'!$1:$1048576,2,0),IFERROR(VLOOKUP($C896,'5-COMP. PROPRIA'!$B$38:$I$647,4,0),""))</f>
        <v>RASGO EM CONTRAPISO PARA RAMAIS/ DISTRIBUIÇÃO COM DIÂMETROS MENORES OU IGUAIS A 40 MM. AF_05/2015</v>
      </c>
      <c r="F896" s="834"/>
      <c r="G896" s="834"/>
      <c r="H896" s="834"/>
      <c r="I896" s="834"/>
      <c r="J896" s="835"/>
      <c r="K896" s="127">
        <v>20</v>
      </c>
      <c r="L896" s="39" t="str">
        <f>IFERROR(VLOOKUP($C896,'SINAPI FEVEREIRO 2022'!$1:$1048576,3,0),IFERROR(VLOOKUP($C896,'5-COMP. PROPRIA'!$B$1:$I$647,5,0),""))</f>
        <v>M</v>
      </c>
      <c r="M896" s="67"/>
      <c r="N896" s="478"/>
      <c r="P896" s="90"/>
    </row>
    <row r="897" spans="2:16" s="353" customFormat="1" ht="15">
      <c r="B897" s="434"/>
      <c r="C897" s="275" t="s">
        <v>5489</v>
      </c>
      <c r="D897" s="161" t="s">
        <v>641</v>
      </c>
      <c r="E897" s="833" t="str">
        <f>IFERROR(VLOOKUP($C897,'SINAPI FEVEREIRO 2022'!$1:$1048576,2,0),IFERROR(VLOOKUP($C897,'5-COMP. PROPRIA'!$B$38:$I$647,4,0),""))</f>
        <v>REPARO EM RASGO DE PAREDE</v>
      </c>
      <c r="F897" s="834"/>
      <c r="G897" s="834"/>
      <c r="H897" s="834"/>
      <c r="I897" s="834"/>
      <c r="J897" s="835"/>
      <c r="K897" s="127">
        <v>8.41</v>
      </c>
      <c r="L897" s="39" t="str">
        <f>IFERROR(VLOOKUP($C897,'SINAPI FEVEREIRO 2022'!$1:$1048576,3,0),IFERROR(VLOOKUP($C897,'5-COMP. PROPRIA'!$B$1:$I$647,5,0),""))</f>
        <v>M2</v>
      </c>
      <c r="M897" s="67"/>
      <c r="N897" s="478"/>
      <c r="P897" s="90"/>
    </row>
    <row r="898" spans="2:16" s="353" customFormat="1" ht="15">
      <c r="B898" s="434"/>
      <c r="C898" s="274">
        <v>90458</v>
      </c>
      <c r="D898" s="161" t="s">
        <v>6</v>
      </c>
      <c r="E898" s="833" t="str">
        <f>IFERROR(VLOOKUP($C898,'SINAPI FEVEREIRO 2022'!$1:$1048576,2,0),IFERROR(VLOOKUP($C898,'5-COMP. PROPRIA'!$B$38:$I$647,4,0),""))</f>
        <v>QUEBRA EM ALVENARIA PARA INSTALAÇÃO DE QUADRO DISTRIBUIÇÃO GRANDE (76X40 CM). AF_05/2015</v>
      </c>
      <c r="F898" s="834"/>
      <c r="G898" s="834"/>
      <c r="H898" s="834"/>
      <c r="I898" s="834"/>
      <c r="J898" s="835"/>
      <c r="K898" s="127">
        <v>2</v>
      </c>
      <c r="L898" s="39" t="str">
        <f>IFERROR(VLOOKUP($C898,'SINAPI FEVEREIRO 2022'!$1:$1048576,3,0),IFERROR(VLOOKUP($C898,'5-COMP. PROPRIA'!$B$1:$I$647,5,0),""))</f>
        <v>UN</v>
      </c>
      <c r="M898" s="67"/>
      <c r="N898" s="478"/>
      <c r="P898" s="90"/>
    </row>
    <row r="899" spans="2:16" s="353" customFormat="1" ht="15.75" thickBot="1">
      <c r="B899" s="434"/>
      <c r="C899" s="275"/>
      <c r="D899" s="161"/>
      <c r="E899" s="415"/>
      <c r="F899" s="416"/>
      <c r="G899" s="416"/>
      <c r="H899" s="416"/>
      <c r="I899" s="416"/>
      <c r="J899" s="417"/>
      <c r="K899" s="127"/>
      <c r="L899" s="39"/>
      <c r="M899" s="67"/>
      <c r="N899" s="478"/>
      <c r="P899" s="90"/>
    </row>
    <row r="900" spans="2:16" s="353" customFormat="1" ht="15" thickBot="1">
      <c r="B900" s="434"/>
      <c r="C900" s="5"/>
      <c r="D900" s="5"/>
      <c r="E900" s="839" t="s">
        <v>5491</v>
      </c>
      <c r="F900" s="840"/>
      <c r="G900" s="840"/>
      <c r="H900" s="840"/>
      <c r="I900" s="840"/>
      <c r="J900" s="841"/>
      <c r="K900" s="5"/>
      <c r="L900" s="5"/>
      <c r="M900" s="67"/>
      <c r="N900" s="478"/>
      <c r="P900" s="90"/>
    </row>
    <row r="901" spans="2:16" s="353" customFormat="1" ht="15">
      <c r="B901" s="434"/>
      <c r="C901" s="274"/>
      <c r="D901" s="161"/>
      <c r="E901" s="424"/>
      <c r="F901" s="425"/>
      <c r="G901" s="425"/>
      <c r="H901" s="425"/>
      <c r="I901" s="425"/>
      <c r="J901" s="426"/>
      <c r="K901" s="127"/>
      <c r="L901" s="39"/>
      <c r="M901" s="67"/>
      <c r="N901" s="478"/>
      <c r="P901" s="90"/>
    </row>
    <row r="902" spans="2:16" s="353" customFormat="1" ht="15">
      <c r="B902" s="434"/>
      <c r="C902" s="274">
        <v>93653</v>
      </c>
      <c r="D902" s="161" t="s">
        <v>6</v>
      </c>
      <c r="E902" s="833" t="str">
        <f>IFERROR(VLOOKUP($C902,'SINAPI FEVEREIRO 2022'!$1:$1048576,2,0),IFERROR(VLOOKUP($C902,'5-COMP. PROPRIA'!$B$38:$I$647,4,0),""))</f>
        <v>DISJUNTOR MONOPOLAR TIPO DIN, CORRENTE NOMINAL DE 10A - FORNECIMENTO E INSTALAÇÃO. AF_10/2020</v>
      </c>
      <c r="F902" s="834"/>
      <c r="G902" s="834"/>
      <c r="H902" s="834"/>
      <c r="I902" s="834"/>
      <c r="J902" s="835"/>
      <c r="K902" s="127">
        <v>10</v>
      </c>
      <c r="L902" s="39" t="str">
        <f>IFERROR(VLOOKUP($C902,'SINAPI FEVEREIRO 2022'!$1:$1048576,3,0),IFERROR(VLOOKUP($C902,'5-COMP. PROPRIA'!$B$1:$I$647,5,0),""))</f>
        <v>UN</v>
      </c>
      <c r="M902" s="67"/>
      <c r="N902" s="478"/>
      <c r="P902" s="90"/>
    </row>
    <row r="903" spans="2:16" s="353" customFormat="1" ht="15">
      <c r="B903" s="434"/>
      <c r="C903" s="274">
        <v>93654</v>
      </c>
      <c r="D903" s="161" t="s">
        <v>6</v>
      </c>
      <c r="E903" s="833" t="str">
        <f>IFERROR(VLOOKUP($C903,'SINAPI FEVEREIRO 2022'!$1:$1048576,2,0),IFERROR(VLOOKUP($C903,'5-COMP. PROPRIA'!$B$38:$I$647,4,0),""))</f>
        <v>DISJUNTOR MONOPOLAR TIPO DIN, CORRENTE NOMINAL DE 16A - FORNECIMENTO E INSTALAÇÃO. AF_10/2020</v>
      </c>
      <c r="F903" s="834"/>
      <c r="G903" s="834"/>
      <c r="H903" s="834"/>
      <c r="I903" s="834"/>
      <c r="J903" s="835"/>
      <c r="K903" s="127">
        <v>20</v>
      </c>
      <c r="L903" s="39" t="str">
        <f>IFERROR(VLOOKUP($C903,'SINAPI FEVEREIRO 2022'!$1:$1048576,3,0),IFERROR(VLOOKUP($C903,'5-COMP. PROPRIA'!$B$1:$I$647,5,0),""))</f>
        <v>UN</v>
      </c>
      <c r="M903" s="67"/>
      <c r="N903" s="478"/>
      <c r="P903" s="90"/>
    </row>
    <row r="904" spans="2:16" s="353" customFormat="1" ht="15">
      <c r="B904" s="434"/>
      <c r="C904" s="274">
        <v>93655</v>
      </c>
      <c r="D904" s="161" t="s">
        <v>6</v>
      </c>
      <c r="E904" s="833" t="str">
        <f>IFERROR(VLOOKUP($C904,'SINAPI FEVEREIRO 2022'!$1:$1048576,2,0),IFERROR(VLOOKUP($C904,'5-COMP. PROPRIA'!$B$38:$I$647,4,0),""))</f>
        <v>DISJUNTOR MONOPOLAR TIPO DIN, CORRENTE NOMINAL DE 20A - FORNECIMENTO E INSTALAÇÃO. AF_10/2020</v>
      </c>
      <c r="F904" s="834"/>
      <c r="G904" s="834"/>
      <c r="H904" s="834"/>
      <c r="I904" s="834"/>
      <c r="J904" s="835"/>
      <c r="K904" s="127">
        <v>1</v>
      </c>
      <c r="L904" s="39" t="str">
        <f>IFERROR(VLOOKUP($C904,'SINAPI FEVEREIRO 2022'!$1:$1048576,3,0),IFERROR(VLOOKUP($C904,'5-COMP. PROPRIA'!$B$1:$I$647,5,0),""))</f>
        <v>UN</v>
      </c>
      <c r="M904" s="67"/>
      <c r="N904" s="478"/>
      <c r="P904" s="90"/>
    </row>
    <row r="905" spans="2:16" s="353" customFormat="1" ht="15">
      <c r="B905" s="434"/>
      <c r="C905" s="274">
        <v>93656</v>
      </c>
      <c r="D905" s="161" t="s">
        <v>6</v>
      </c>
      <c r="E905" s="833" t="str">
        <f>IFERROR(VLOOKUP($C905,'SINAPI FEVEREIRO 2022'!$1:$1048576,2,0),IFERROR(VLOOKUP($C905,'5-COMP. PROPRIA'!$B$38:$I$647,4,0),""))</f>
        <v>DISJUNTOR MONOPOLAR TIPO DIN, CORRENTE NOMINAL DE 25A - FORNECIMENTO E INSTALAÇÃO. AF_10/2020</v>
      </c>
      <c r="F905" s="834"/>
      <c r="G905" s="834"/>
      <c r="H905" s="834"/>
      <c r="I905" s="834"/>
      <c r="J905" s="835"/>
      <c r="K905" s="127">
        <v>1</v>
      </c>
      <c r="L905" s="39" t="str">
        <f>IFERROR(VLOOKUP($C905,'SINAPI FEVEREIRO 2022'!$1:$1048576,3,0),IFERROR(VLOOKUP($C905,'5-COMP. PROPRIA'!$B$1:$I$647,5,0),""))</f>
        <v>UN</v>
      </c>
      <c r="M905" s="67"/>
      <c r="N905" s="478"/>
      <c r="P905" s="90"/>
    </row>
    <row r="906" spans="2:16" s="353" customFormat="1" ht="15">
      <c r="B906" s="434"/>
      <c r="C906" s="274">
        <v>93660</v>
      </c>
      <c r="D906" s="161" t="s">
        <v>6</v>
      </c>
      <c r="E906" s="833" t="str">
        <f>IFERROR(VLOOKUP($C906,'SINAPI FEVEREIRO 2022'!$1:$1048576,2,0),IFERROR(VLOOKUP($C906,'5-COMP. PROPRIA'!$B$38:$I$647,4,0),""))</f>
        <v>DISJUNTOR BIPOLAR TIPO DIN, CORRENTE NOMINAL DE 10A - FORNECIMENTO E INSTALAÇÃO. AF_10/2020</v>
      </c>
      <c r="F906" s="834"/>
      <c r="G906" s="834"/>
      <c r="H906" s="834"/>
      <c r="I906" s="834"/>
      <c r="J906" s="835"/>
      <c r="K906" s="127">
        <v>2</v>
      </c>
      <c r="L906" s="39" t="str">
        <f>IFERROR(VLOOKUP($C906,'SINAPI FEVEREIRO 2022'!$1:$1048576,3,0),IFERROR(VLOOKUP($C906,'5-COMP. PROPRIA'!$B$1:$I$647,5,0),""))</f>
        <v>UN</v>
      </c>
      <c r="M906" s="67"/>
      <c r="N906" s="478"/>
      <c r="P906" s="90"/>
    </row>
    <row r="907" spans="2:16" s="353" customFormat="1" ht="15">
      <c r="B907" s="586"/>
      <c r="C907" s="274">
        <v>93663</v>
      </c>
      <c r="D907" s="161" t="s">
        <v>6</v>
      </c>
      <c r="E907" s="833" t="str">
        <f>IFERROR(VLOOKUP($C907,'SINAPI FEVEREIRO 2022'!$1:$1048576,2,0),IFERROR(VLOOKUP($C907,'5-COMP. PROPRIA'!$B$38:$I$647,4,0),""))</f>
        <v>DISJUNTOR BIPOLAR TIPO DIN, CORRENTE NOMINAL DE 25A - FORNECIMENTO E INSTALAÇÃO. AF_10/2020</v>
      </c>
      <c r="F907" s="834"/>
      <c r="G907" s="834"/>
      <c r="H907" s="834"/>
      <c r="I907" s="834"/>
      <c r="J907" s="835"/>
      <c r="K907" s="127">
        <v>26</v>
      </c>
      <c r="L907" s="39" t="str">
        <f>IFERROR(VLOOKUP($C907,'SINAPI FEVEREIRO 2022'!$1:$1048576,3,0),IFERROR(VLOOKUP($C907,'5-COMP. PROPRIA'!$B$1:$I$647,5,0),""))</f>
        <v>UN</v>
      </c>
      <c r="M907" s="67"/>
      <c r="N907" s="478"/>
      <c r="P907" s="90"/>
    </row>
    <row r="908" spans="2:16" s="353" customFormat="1" ht="15">
      <c r="B908" s="586"/>
      <c r="C908" s="274">
        <v>93671</v>
      </c>
      <c r="D908" s="161" t="s">
        <v>6</v>
      </c>
      <c r="E908" s="833" t="str">
        <f>IFERROR(VLOOKUP($C908,'SINAPI FEVEREIRO 2022'!$1:$1048576,2,0),IFERROR(VLOOKUP($C908,'5-COMP. PROPRIA'!$B$38:$I$647,4,0),""))</f>
        <v>DISJUNTOR TRIPOLAR TIPO DIN, CORRENTE NOMINAL DE 32A - FORNECIMENTO E INSTALAÇÃO. AF_10/2020</v>
      </c>
      <c r="F908" s="834"/>
      <c r="G908" s="834"/>
      <c r="H908" s="834"/>
      <c r="I908" s="834"/>
      <c r="J908" s="835"/>
      <c r="K908" s="127">
        <v>2</v>
      </c>
      <c r="L908" s="39" t="str">
        <f>IFERROR(VLOOKUP($C908,'SINAPI FEVEREIRO 2022'!$1:$1048576,3,0),IFERROR(VLOOKUP($C908,'5-COMP. PROPRIA'!$B$1:$I$647,5,0),""))</f>
        <v>UN</v>
      </c>
      <c r="M908" s="67"/>
      <c r="N908" s="478"/>
      <c r="P908" s="90"/>
    </row>
    <row r="909" spans="2:16" s="353" customFormat="1" ht="15">
      <c r="B909" s="434"/>
      <c r="C909" s="275" t="s">
        <v>5521</v>
      </c>
      <c r="D909" s="161" t="s">
        <v>641</v>
      </c>
      <c r="E909" s="833" t="str">
        <f>IFERROR(VLOOKUP($C909,'SINAPI FEVEREIRO 2022'!$1:$1048576,2,0),IFERROR(VLOOKUP($C909,'5-COMP. PROPRIA'!$B$38:$I$647,4,0),""))</f>
        <v>DISJUNTOR TERMOMAGNETICO TRIPOLAR DIN 150A</v>
      </c>
      <c r="F909" s="834"/>
      <c r="G909" s="834"/>
      <c r="H909" s="834"/>
      <c r="I909" s="834"/>
      <c r="J909" s="835"/>
      <c r="K909" s="127">
        <v>2</v>
      </c>
      <c r="L909" s="39" t="str">
        <f>IFERROR(VLOOKUP($C909,'SINAPI FEVEREIRO 2022'!$1:$1048576,3,0),IFERROR(VLOOKUP($C909,'5-COMP. PROPRIA'!$B$1:$I$647,5,0),""))</f>
        <v>UN</v>
      </c>
      <c r="M909" s="67"/>
      <c r="N909" s="478"/>
      <c r="P909" s="90"/>
    </row>
    <row r="910" spans="2:16" s="353" customFormat="1" ht="15">
      <c r="B910" s="434"/>
      <c r="C910" s="275" t="s">
        <v>5520</v>
      </c>
      <c r="D910" s="161" t="s">
        <v>641</v>
      </c>
      <c r="E910" s="833" t="str">
        <f>IFERROR(VLOOKUP($C910,'SINAPI FEVEREIRO 2022'!$1:$1048576,2,0),IFERROR(VLOOKUP($C910,'5-COMP. PROPRIA'!$B$38:$I$647,4,0),""))</f>
        <v>DISJUNTOR EM CAIXA MOLDADA TRIPOLAR 175A</v>
      </c>
      <c r="F910" s="834"/>
      <c r="G910" s="834"/>
      <c r="H910" s="834"/>
      <c r="I910" s="834"/>
      <c r="J910" s="835"/>
      <c r="K910" s="127">
        <v>2</v>
      </c>
      <c r="L910" s="39" t="str">
        <f>IFERROR(VLOOKUP($C910,'SINAPI FEVEREIRO 2022'!$1:$1048576,3,0),IFERROR(VLOOKUP($C910,'5-COMP. PROPRIA'!$B$1:$I$647,5,0),""))</f>
        <v>UN</v>
      </c>
      <c r="M910" s="67"/>
      <c r="N910" s="478"/>
      <c r="P910" s="90"/>
    </row>
    <row r="911" spans="2:16" s="353" customFormat="1" ht="15">
      <c r="B911" s="434"/>
      <c r="C911" s="275" t="s">
        <v>5519</v>
      </c>
      <c r="D911" s="161" t="s">
        <v>641</v>
      </c>
      <c r="E911" s="833" t="str">
        <f>IFERROR(VLOOKUP($C911,'SINAPI FEVEREIRO 2022'!$1:$1048576,2,0),IFERROR(VLOOKUP($C911,'5-COMP. PROPRIA'!$B$38:$I$647,4,0),""))</f>
        <v xml:space="preserve">DISPOSITIVO DE PROTEÇÃO CONTRA SURTO - 175V - 40KA </v>
      </c>
      <c r="F911" s="834"/>
      <c r="G911" s="834"/>
      <c r="H911" s="834"/>
      <c r="I911" s="834"/>
      <c r="J911" s="835"/>
      <c r="K911" s="127">
        <v>12</v>
      </c>
      <c r="L911" s="39" t="str">
        <f>IFERROR(VLOOKUP($C911,'SINAPI FEVEREIRO 2022'!$1:$1048576,3,0),IFERROR(VLOOKUP($C911,'5-COMP. PROPRIA'!$B$1:$I$647,5,0),""))</f>
        <v>UNI</v>
      </c>
      <c r="M911" s="67"/>
      <c r="N911" s="478"/>
      <c r="P911" s="90"/>
    </row>
    <row r="912" spans="2:16" s="353" customFormat="1" ht="15">
      <c r="B912" s="586"/>
      <c r="C912" s="275" t="str">
        <f>'5-COMP. PROPRIA'!B416</f>
        <v>CP-ELE-11</v>
      </c>
      <c r="D912" s="161" t="s">
        <v>641</v>
      </c>
      <c r="E912" s="833" t="str">
        <f>IFERROR(VLOOKUP($C912,'SINAPI FEVEREIRO 2022'!$1:$1048576,2,0),IFERROR(VLOOKUP($C912,'5-COMP. PROPRIA'!$B$38:$I$647,4,0),""))</f>
        <v xml:space="preserve">DISPOSITIVO DR, 2 POLOS, SENSIBILIDADE DE 30 MA, CORRENTE DE 25 A   </v>
      </c>
      <c r="F912" s="834"/>
      <c r="G912" s="834"/>
      <c r="H912" s="834"/>
      <c r="I912" s="834"/>
      <c r="J912" s="835"/>
      <c r="K912" s="127">
        <v>1</v>
      </c>
      <c r="L912" s="39" t="str">
        <f>IFERROR(VLOOKUP($C912,'SINAPI FEVEREIRO 2022'!$1:$1048576,3,0),IFERROR(VLOOKUP($C912,'5-COMP. PROPRIA'!$B$1:$I$647,5,0),""))</f>
        <v>UN</v>
      </c>
      <c r="M912" s="67"/>
      <c r="N912" s="478"/>
      <c r="P912" s="90"/>
    </row>
    <row r="913" spans="2:16" s="353" customFormat="1" ht="15">
      <c r="B913" s="586"/>
      <c r="C913" s="275" t="str">
        <f>'5-COMP. PROPRIA'!B421</f>
        <v>CP-ELE-12</v>
      </c>
      <c r="D913" s="161" t="s">
        <v>641</v>
      </c>
      <c r="E913" s="833" t="str">
        <f>IFERROR(VLOOKUP($C913,'SINAPI FEVEREIRO 2022'!$1:$1048576,2,0),IFERROR(VLOOKUP($C913,'5-COMP. PROPRIA'!$B$38:$I$647,4,0),""))</f>
        <v>DISPOSITIVO DR, 2 POLOS, SENSIBILIDADE DE 30 MA, CORRENTE DE 40 A</v>
      </c>
      <c r="F913" s="834"/>
      <c r="G913" s="834"/>
      <c r="H913" s="834"/>
      <c r="I913" s="834"/>
      <c r="J913" s="835"/>
      <c r="K913" s="127">
        <v>1</v>
      </c>
      <c r="L913" s="39" t="str">
        <f>IFERROR(VLOOKUP($C913,'SINAPI FEVEREIRO 2022'!$1:$1048576,3,0),IFERROR(VLOOKUP($C913,'5-COMP. PROPRIA'!$B$1:$I$647,5,0),""))</f>
        <v>UN</v>
      </c>
      <c r="M913" s="67"/>
      <c r="N913" s="478"/>
      <c r="P913" s="90"/>
    </row>
    <row r="914" spans="2:16" s="353" customFormat="1" ht="15">
      <c r="B914" s="764"/>
      <c r="C914" s="275">
        <v>101902</v>
      </c>
      <c r="D914" s="161" t="s">
        <v>6</v>
      </c>
      <c r="E914" s="833" t="str">
        <f>IFERROR(VLOOKUP($C914,'SINAPI FEVEREIRO 2022'!$1:$1048576,2,0),IFERROR(VLOOKUP($C914,'5-COMP. PROPRIA'!$B$38:$I$647,4,0),""))</f>
        <v>CONTATOR TRIPOLAR I NOMINAL 22A - FORNECIMENTO E INSTALAÇÃO. AF_10/2020</v>
      </c>
      <c r="F914" s="834"/>
      <c r="G914" s="834"/>
      <c r="H914" s="834"/>
      <c r="I914" s="834"/>
      <c r="J914" s="835"/>
      <c r="K914" s="127">
        <v>1</v>
      </c>
      <c r="L914" s="39" t="str">
        <f>IFERROR(VLOOKUP($C914,'SINAPI FEVEREIRO 2022'!$1:$1048576,3,0),IFERROR(VLOOKUP($C914,'5-COMP. PROPRIA'!$B$1:$I$647,5,0),""))</f>
        <v>UN</v>
      </c>
      <c r="M914" s="67"/>
      <c r="N914" s="478"/>
      <c r="P914" s="90"/>
    </row>
    <row r="915" spans="2:16" s="353" customFormat="1" ht="15">
      <c r="B915" s="764"/>
      <c r="C915" s="275" t="str">
        <f>'5-COMP. PROPRIA'!B426</f>
        <v>CP-ELE-13</v>
      </c>
      <c r="D915" s="161" t="s">
        <v>641</v>
      </c>
      <c r="E915" s="833" t="str">
        <f>IFERROR(VLOOKUP($C915,'SINAPI FEVEREIRO 2022'!$1:$1048576,2,0),IFERROR(VLOOKUP($C915,'5-COMP. PROPRIA'!$B$38:$I$647,4,0),""))</f>
        <v xml:space="preserve">DISJUNTOR MOTOR DE 4A A 6A      </v>
      </c>
      <c r="F915" s="834"/>
      <c r="G915" s="834"/>
      <c r="H915" s="834"/>
      <c r="I915" s="834"/>
      <c r="J915" s="835"/>
      <c r="K915" s="127">
        <v>1</v>
      </c>
      <c r="L915" s="39" t="str">
        <f>IFERROR(VLOOKUP($C915,'SINAPI FEVEREIRO 2022'!$1:$1048576,3,0),IFERROR(VLOOKUP($C915,'5-COMP. PROPRIA'!$B$1:$I$647,5,0),""))</f>
        <v>UN</v>
      </c>
      <c r="M915" s="67"/>
      <c r="N915" s="478"/>
      <c r="P915" s="90"/>
    </row>
    <row r="916" spans="2:16" s="353" customFormat="1" ht="15.75" thickBot="1">
      <c r="B916" s="586"/>
      <c r="C916" s="275"/>
      <c r="D916" s="161"/>
      <c r="E916" s="587"/>
      <c r="F916" s="588"/>
      <c r="G916" s="588"/>
      <c r="H916" s="588"/>
      <c r="I916" s="588"/>
      <c r="J916" s="589"/>
      <c r="K916" s="127"/>
      <c r="L916" s="39"/>
      <c r="M916" s="67"/>
      <c r="N916" s="478"/>
      <c r="P916" s="90"/>
    </row>
    <row r="917" spans="2:16" s="353" customFormat="1" ht="15" thickBot="1">
      <c r="B917" s="434"/>
      <c r="C917" s="5"/>
      <c r="D917" s="5"/>
      <c r="E917" s="839" t="s">
        <v>5492</v>
      </c>
      <c r="F917" s="840"/>
      <c r="G917" s="840"/>
      <c r="H917" s="840"/>
      <c r="I917" s="840"/>
      <c r="J917" s="841"/>
      <c r="K917" s="5"/>
      <c r="L917" s="5"/>
      <c r="M917" s="67"/>
      <c r="N917" s="478"/>
      <c r="P917" s="90"/>
    </row>
    <row r="918" spans="2:16" s="353" customFormat="1" ht="15">
      <c r="B918" s="434"/>
      <c r="C918" s="275"/>
      <c r="D918" s="161"/>
      <c r="E918" s="424"/>
      <c r="F918" s="425"/>
      <c r="G918" s="425"/>
      <c r="H918" s="425"/>
      <c r="I918" s="425"/>
      <c r="J918" s="426"/>
      <c r="K918" s="127"/>
      <c r="L918" s="39"/>
      <c r="M918" s="67"/>
      <c r="N918" s="478"/>
      <c r="P918" s="90"/>
    </row>
    <row r="919" spans="2:16" s="353" customFormat="1" ht="30.75" customHeight="1">
      <c r="B919" s="441"/>
      <c r="C919" s="274">
        <v>91834</v>
      </c>
      <c r="D919" s="161" t="s">
        <v>6</v>
      </c>
      <c r="E919" s="833" t="str">
        <f>IFERROR(VLOOKUP($C919,'SINAPI FEVEREIRO 2022'!$1:$1048576,2,0),IFERROR(VLOOKUP($C919,'5-COMP. PROPRIA'!$B$38:$I$647,4,0),""))</f>
        <v>ELETRODUTO FLEXÍVEL CORRUGADO, PVC, DN 25 MM (3/4"), PARA CIRCUITOS TERMINAIS, INSTALADO EM FORRO - FORNECIMENTO E INSTALAÇÃO. AF_12/2015</v>
      </c>
      <c r="F919" s="834"/>
      <c r="G919" s="834"/>
      <c r="H919" s="834"/>
      <c r="I919" s="834"/>
      <c r="J919" s="835"/>
      <c r="K919" s="127">
        <v>1400</v>
      </c>
      <c r="L919" s="39" t="str">
        <f>IFERROR(VLOOKUP($C919,'SINAPI FEVEREIRO 2022'!$1:$1048576,3,0),IFERROR(VLOOKUP($C919,'5-COMP. PROPRIA'!$B$1:$I$647,5,0),""))</f>
        <v>M</v>
      </c>
      <c r="M919" s="92"/>
      <c r="N919" s="480"/>
      <c r="P919" s="90"/>
    </row>
    <row r="920" spans="2:16" s="353" customFormat="1" ht="28.5" customHeight="1">
      <c r="B920" s="434"/>
      <c r="C920" s="274">
        <v>91836</v>
      </c>
      <c r="D920" s="161" t="s">
        <v>6</v>
      </c>
      <c r="E920" s="833" t="str">
        <f>IFERROR(VLOOKUP($C920,'SINAPI FEVEREIRO 2022'!$1:$1048576,2,0),IFERROR(VLOOKUP($C920,'5-COMP. PROPRIA'!$B$38:$I$647,4,0),""))</f>
        <v>ELETRODUTO FLEXÍVEL CORRUGADO, PVC, DN 32 MM (1"), PARA CIRCUITOS TERMINAIS, INSTALADO EM FORRO - FORNECIMENTO E INSTALAÇÃO. AF_12/2015</v>
      </c>
      <c r="F920" s="834"/>
      <c r="G920" s="834"/>
      <c r="H920" s="834"/>
      <c r="I920" s="834"/>
      <c r="J920" s="835"/>
      <c r="K920" s="127">
        <v>100</v>
      </c>
      <c r="L920" s="39" t="str">
        <f>IFERROR(VLOOKUP($C920,'SINAPI FEVEREIRO 2022'!$1:$1048576,3,0),IFERROR(VLOOKUP($C920,'5-COMP. PROPRIA'!$B$1:$I$647,5,0),""))</f>
        <v>M</v>
      </c>
      <c r="M920" s="67"/>
      <c r="N920" s="478"/>
      <c r="P920" s="90"/>
    </row>
    <row r="921" spans="2:16" s="353" customFormat="1" ht="27.75" customHeight="1">
      <c r="B921" s="434"/>
      <c r="C921" s="274">
        <v>97669</v>
      </c>
      <c r="D921" s="161" t="s">
        <v>6</v>
      </c>
      <c r="E921" s="833" t="str">
        <f>IFERROR(VLOOKUP($C921,'SINAPI FEVEREIRO 2022'!$1:$1048576,2,0),IFERROR(VLOOKUP($C921,'5-COMP. PROPRIA'!$B$38:$I$647,4,0),""))</f>
        <v>ELETRODUTO FLEXÍVEL CORRUGADO, PEAD, DN 90 (3"), PARA REDE ENTERRADA DE DISTRIBUIÇÃO DE ENERGIA ELÉTRICA - FORNECIMENTO E INSTALAÇÃO. AF_12/2021</v>
      </c>
      <c r="F921" s="834"/>
      <c r="G921" s="834"/>
      <c r="H921" s="834"/>
      <c r="I921" s="834"/>
      <c r="J921" s="835"/>
      <c r="K921" s="127">
        <v>65</v>
      </c>
      <c r="L921" s="39" t="str">
        <f>IFERROR(VLOOKUP($C921,'SINAPI FEVEREIRO 2022'!$1:$1048576,3,0),IFERROR(VLOOKUP($C921,'5-COMP. PROPRIA'!$B$1:$I$647,5,0),""))</f>
        <v>M</v>
      </c>
      <c r="M921" s="67"/>
      <c r="N921" s="478"/>
      <c r="P921" s="90"/>
    </row>
    <row r="922" spans="2:16" s="90" customFormat="1" ht="25.5" customHeight="1" thickBot="1">
      <c r="B922" s="434"/>
      <c r="C922" s="5"/>
      <c r="D922" s="5"/>
      <c r="E922" s="415"/>
      <c r="F922" s="416"/>
      <c r="G922" s="416"/>
      <c r="H922" s="416"/>
      <c r="I922" s="416"/>
      <c r="J922" s="417"/>
      <c r="K922" s="127"/>
      <c r="L922" s="39"/>
      <c r="M922" s="67"/>
      <c r="N922" s="478"/>
    </row>
    <row r="923" spans="2:16" s="90" customFormat="1" ht="15.75" thickBot="1">
      <c r="B923" s="434"/>
      <c r="C923" s="274"/>
      <c r="D923" s="161"/>
      <c r="E923" s="839" t="s">
        <v>5493</v>
      </c>
      <c r="F923" s="840"/>
      <c r="G923" s="840"/>
      <c r="H923" s="840"/>
      <c r="I923" s="840"/>
      <c r="J923" s="841"/>
      <c r="K923" s="175"/>
      <c r="L923" s="43"/>
      <c r="M923" s="92"/>
      <c r="N923" s="480"/>
    </row>
    <row r="924" spans="2:16" s="90" customFormat="1" ht="15">
      <c r="B924" s="434"/>
      <c r="C924" s="274"/>
      <c r="D924" s="161"/>
      <c r="E924" s="424"/>
      <c r="F924" s="425"/>
      <c r="G924" s="425"/>
      <c r="H924" s="425"/>
      <c r="I924" s="425"/>
      <c r="J924" s="426"/>
      <c r="K924" s="175"/>
      <c r="L924" s="43"/>
      <c r="M924" s="92"/>
      <c r="N924" s="480"/>
    </row>
    <row r="925" spans="2:16" ht="27.75" customHeight="1">
      <c r="B925" s="441"/>
      <c r="C925" s="275" t="s">
        <v>5494</v>
      </c>
      <c r="D925" s="161" t="s">
        <v>641</v>
      </c>
      <c r="E925" s="833" t="str">
        <f>IFERROR(VLOOKUP($C925,'SINAPI FEVEREIRO 2022'!$1:$1048576,2,0),IFERROR(VLOOKUP($C925,'5-COMP. PROPRIA'!$B$38:$I$647,4,0),""))</f>
        <v>LUMINARIA DE TETO PLAFON/PLAFONIER EM PLASTICO COM BASE E27, POTENCIA 40 W (INCLUI LAMPADA LED) - FORNECIMENTO E INSTALAÇÃO</v>
      </c>
      <c r="F925" s="834"/>
      <c r="G925" s="834"/>
      <c r="H925" s="834"/>
      <c r="I925" s="834"/>
      <c r="J925" s="835"/>
      <c r="K925" s="127">
        <v>100</v>
      </c>
      <c r="L925" s="39" t="str">
        <f>IFERROR(VLOOKUP($C925,'SINAPI FEVEREIRO 2022'!$1:$1048576,3,0),IFERROR(VLOOKUP($C925,'5-COMP. PROPRIA'!$B$1:$I$647,5,0),""))</f>
        <v>UNI</v>
      </c>
      <c r="M925" s="67"/>
      <c r="N925" s="478"/>
      <c r="P925" s="90"/>
    </row>
    <row r="926" spans="2:16" ht="15">
      <c r="B926" s="434"/>
      <c r="C926" s="275" t="s">
        <v>5495</v>
      </c>
      <c r="D926" s="161" t="s">
        <v>641</v>
      </c>
      <c r="E926" s="833" t="str">
        <f>IFERROR(VLOOKUP($C926,'SINAPI FEVEREIRO 2022'!$1:$1048576,2,0),IFERROR(VLOOKUP($C926,'5-COMP. PROPRIA'!$B$38:$I$647,4,0),""))</f>
        <v>LUMINARIA Á PROVA DE EXPLOSÃO LED 20 W (INCLUI LAMPADA) - FORNECIMENTO E INSTALAÇÃO</v>
      </c>
      <c r="F926" s="834"/>
      <c r="G926" s="834"/>
      <c r="H926" s="834"/>
      <c r="I926" s="834"/>
      <c r="J926" s="835"/>
      <c r="K926" s="127">
        <v>4</v>
      </c>
      <c r="L926" s="39" t="str">
        <f>IFERROR(VLOOKUP($C926,'SINAPI FEVEREIRO 2022'!$1:$1048576,3,0),IFERROR(VLOOKUP($C926,'5-COMP. PROPRIA'!$B$1:$I$647,5,0),""))</f>
        <v>UNI</v>
      </c>
      <c r="M926" s="67"/>
      <c r="N926" s="478"/>
      <c r="P926" s="90"/>
    </row>
    <row r="927" spans="2:16" ht="28.5" customHeight="1">
      <c r="B927" s="434"/>
      <c r="C927" s="274">
        <v>97599</v>
      </c>
      <c r="D927" s="161" t="s">
        <v>6</v>
      </c>
      <c r="E927" s="833" t="str">
        <f>IFERROR(VLOOKUP($C927,'SINAPI FEVEREIRO 2022'!$1:$1048576,2,0),IFERROR(VLOOKUP($C927,'5-COMP. PROPRIA'!$B$38:$I$647,4,0),""))</f>
        <v>LUMINÁRIA DE EMERGÊNCIA, COM 30 LÂMPADAS LED DE 2 W, SEM REATOR - FORNECIMENTO E INSTALAÇÃO. AF_02/2020</v>
      </c>
      <c r="F927" s="834"/>
      <c r="G927" s="834"/>
      <c r="H927" s="834"/>
      <c r="I927" s="834"/>
      <c r="J927" s="835"/>
      <c r="K927" s="127">
        <v>20</v>
      </c>
      <c r="L927" s="39" t="str">
        <f>IFERROR(VLOOKUP($C927,'SINAPI FEVEREIRO 2022'!$1:$1048576,3,0),IFERROR(VLOOKUP($C927,'5-COMP. PROPRIA'!$B$1:$I$647,5,0),""))</f>
        <v>UN</v>
      </c>
      <c r="M927" s="67"/>
      <c r="N927" s="478"/>
      <c r="P927" s="90"/>
    </row>
    <row r="928" spans="2:16" ht="15">
      <c r="B928" s="434"/>
      <c r="C928" s="275" t="s">
        <v>5496</v>
      </c>
      <c r="D928" s="161" t="s">
        <v>641</v>
      </c>
      <c r="E928" s="833" t="str">
        <f>IFERROR(VLOOKUP($C928,'SINAPI FEVEREIRO 2022'!$1:$1048576,2,0),IFERROR(VLOOKUP($C928,'5-COMP. PROPRIA'!$B$38:$I$647,4,0),""))</f>
        <v>REFLETOR LED 50 W - FORNECIMENTO E INSTALAÇÃO</v>
      </c>
      <c r="F928" s="834"/>
      <c r="G928" s="834"/>
      <c r="H928" s="834"/>
      <c r="I928" s="834"/>
      <c r="J928" s="835"/>
      <c r="K928" s="127">
        <v>21</v>
      </c>
      <c r="L928" s="39" t="str">
        <f>IFERROR(VLOOKUP($C928,'SINAPI FEVEREIRO 2022'!$1:$1048576,3,0),IFERROR(VLOOKUP($C928,'5-COMP. PROPRIA'!$B$1:$I$647,5,0),""))</f>
        <v>UNI</v>
      </c>
      <c r="M928" s="67"/>
      <c r="N928" s="478"/>
      <c r="P928" s="90"/>
    </row>
    <row r="929" spans="2:16" ht="15">
      <c r="B929" s="434"/>
      <c r="C929" s="274">
        <v>91937</v>
      </c>
      <c r="D929" s="161" t="s">
        <v>6</v>
      </c>
      <c r="E929" s="833" t="str">
        <f>IFERROR(VLOOKUP($C929,'SINAPI FEVEREIRO 2022'!$1:$1048576,2,0),IFERROR(VLOOKUP($C929,'5-COMP. PROPRIA'!$B$38:$I$647,4,0),""))</f>
        <v>CAIXA OCTOGONAL 3" X 3", PVC, INSTALADA EM LAJE - FORNECIMENTO E INSTALAÇÃO. AF_12/2015</v>
      </c>
      <c r="F929" s="834"/>
      <c r="G929" s="834"/>
      <c r="H929" s="834"/>
      <c r="I929" s="834"/>
      <c r="J929" s="835"/>
      <c r="K929" s="127">
        <v>100</v>
      </c>
      <c r="L929" s="39" t="str">
        <f>IFERROR(VLOOKUP($C929,'SINAPI FEVEREIRO 2022'!$1:$1048576,3,0),IFERROR(VLOOKUP($C929,'5-COMP. PROPRIA'!$B$1:$I$647,5,0),""))</f>
        <v>UN</v>
      </c>
      <c r="M929" s="67"/>
      <c r="N929" s="478"/>
      <c r="P929" s="90"/>
    </row>
    <row r="930" spans="2:16" ht="15">
      <c r="B930" s="586"/>
      <c r="C930" s="275" t="str">
        <f>'5-COMP. PROPRIA'!B411</f>
        <v>CP-ELE-10</v>
      </c>
      <c r="D930" s="161" t="s">
        <v>641</v>
      </c>
      <c r="E930" s="833" t="str">
        <f>IFERROR(VLOOKUP($C930,'SINAPI FEVEREIRO 2022'!$1:$1048576,2,0),IFERROR(VLOOKUP($C930,'5-COMP. PROPRIA'!$B$38:$I$647,4,0),""))</f>
        <v>REFLETOR LED 100 W - FORNECIMENTO E INSTALAÇÃO</v>
      </c>
      <c r="F930" s="834"/>
      <c r="G930" s="834"/>
      <c r="H930" s="834"/>
      <c r="I930" s="834"/>
      <c r="J930" s="835"/>
      <c r="K930" s="127">
        <v>6</v>
      </c>
      <c r="L930" s="39" t="str">
        <f>IFERROR(VLOOKUP($C930,'SINAPI FEVEREIRO 2022'!$1:$1048576,3,0),IFERROR(VLOOKUP($C930,'5-COMP. PROPRIA'!$B$1:$I$647,5,0),""))</f>
        <v>UN</v>
      </c>
      <c r="M930" s="67"/>
      <c r="N930" s="478"/>
      <c r="P930" s="90"/>
    </row>
    <row r="931" spans="2:16" s="353" customFormat="1" ht="15.75" thickBot="1">
      <c r="B931" s="434"/>
      <c r="C931" s="274"/>
      <c r="D931" s="161"/>
      <c r="E931" s="415"/>
      <c r="F931" s="416"/>
      <c r="G931" s="416"/>
      <c r="H931" s="416"/>
      <c r="I931" s="416"/>
      <c r="J931" s="417"/>
      <c r="K931" s="127"/>
      <c r="L931" s="39"/>
      <c r="M931" s="67"/>
      <c r="N931" s="478"/>
      <c r="P931" s="90"/>
    </row>
    <row r="932" spans="2:16" s="353" customFormat="1" ht="15.75" thickBot="1">
      <c r="B932" s="434"/>
      <c r="C932" s="274"/>
      <c r="D932" s="161"/>
      <c r="E932" s="839" t="s">
        <v>5497</v>
      </c>
      <c r="F932" s="840"/>
      <c r="G932" s="840"/>
      <c r="H932" s="840"/>
      <c r="I932" s="840"/>
      <c r="J932" s="841"/>
      <c r="K932" s="175"/>
      <c r="L932" s="43"/>
      <c r="M932" s="92"/>
      <c r="N932" s="480"/>
      <c r="P932" s="90"/>
    </row>
    <row r="933" spans="2:16" s="353" customFormat="1" ht="27.75" customHeight="1">
      <c r="B933" s="434"/>
      <c r="C933" s="274"/>
      <c r="D933" s="161"/>
      <c r="E933" s="424"/>
      <c r="F933" s="425"/>
      <c r="G933" s="425"/>
      <c r="H933" s="425"/>
      <c r="I933" s="425"/>
      <c r="J933" s="426"/>
      <c r="K933" s="175"/>
      <c r="L933" s="43"/>
      <c r="M933" s="92"/>
      <c r="N933" s="480"/>
      <c r="P933" s="90"/>
    </row>
    <row r="934" spans="2:16" ht="27.75" customHeight="1">
      <c r="B934" s="434"/>
      <c r="C934" s="274">
        <v>101876</v>
      </c>
      <c r="D934" s="161" t="s">
        <v>6</v>
      </c>
      <c r="E934" s="833" t="str">
        <f>IFERROR(VLOOKUP($C934,'SINAPI FEVEREIRO 2022'!$1:$1048576,2,0),IFERROR(VLOOKUP($C934,'5-COMP. PROPRIA'!$B$38:$I$647,4,0),""))</f>
        <v>QUADRO DE DISTRIBUIÇÃO DE ENERGIA EM PVC, DE EMBUTIR, SEM BARRAMENTO, PARA 6 DISJUNTORES - FORNECIMENTO E INSTALAÇÃO. AF_10/2020</v>
      </c>
      <c r="F934" s="834"/>
      <c r="G934" s="834"/>
      <c r="H934" s="834"/>
      <c r="I934" s="834"/>
      <c r="J934" s="835"/>
      <c r="K934" s="127">
        <v>1</v>
      </c>
      <c r="L934" s="39" t="str">
        <f>IFERROR(VLOOKUP($C934,'SINAPI FEVEREIRO 2022'!$1:$1048576,3,0),IFERROR(VLOOKUP($C934,'5-COMP. PROPRIA'!$B$1:$I$647,5,0),""))</f>
        <v>UN</v>
      </c>
      <c r="M934" s="67"/>
      <c r="N934" s="478"/>
      <c r="P934" s="90"/>
    </row>
    <row r="935" spans="2:16" ht="27.75" customHeight="1">
      <c r="B935" s="586"/>
      <c r="C935" s="274">
        <v>101883</v>
      </c>
      <c r="D935" s="161" t="s">
        <v>6</v>
      </c>
      <c r="E935" s="833" t="str">
        <f>IFERROR(VLOOKUP($C935,'SINAPI FEVEREIRO 2022'!$1:$1048576,2,0),IFERROR(VLOOKUP($C935,'5-COMP. PROPRIA'!$B$38:$I$647,4,0),""))</f>
        <v>QUADRO DE DISTRIBUIÇÃO DE ENERGIA EM CHAPA DE AÇO GALVANIZADO, DE EMBUTIR, COM BARRAMENTO TRIFÁSICO, PARA 18 DISJUNTORES DIN 100A - FORNECIMENTO E INSTALAÇÃO. AF_10/2020</v>
      </c>
      <c r="F935" s="834"/>
      <c r="G935" s="834"/>
      <c r="H935" s="834"/>
      <c r="I935" s="834"/>
      <c r="J935" s="835"/>
      <c r="K935" s="127">
        <v>1</v>
      </c>
      <c r="L935" s="39" t="str">
        <f>IFERROR(VLOOKUP($C935,'SINAPI FEVEREIRO 2022'!$1:$1048576,3,0),IFERROR(VLOOKUP($C935,'5-COMP. PROPRIA'!$B$1:$I$647,5,0),""))</f>
        <v>UN</v>
      </c>
      <c r="M935" s="67"/>
      <c r="N935" s="478"/>
      <c r="P935" s="90"/>
    </row>
    <row r="936" spans="2:16" s="353" customFormat="1" ht="27.75" customHeight="1">
      <c r="B936" s="586"/>
      <c r="C936" s="275" t="str">
        <f>'5-COMP. PROPRIA'!B405</f>
        <v>CP-ELE-09</v>
      </c>
      <c r="D936" s="161" t="s">
        <v>641</v>
      </c>
      <c r="E936" s="833" t="str">
        <f>IFERROR(VLOOKUP($C936,'SINAPI FEVEREIRO 2022'!$1:$1048576,2,0),IFERROR(VLOOKUP($C936,'5-COMP. PROPRIA'!$B$38:$I$647,4,0),""))</f>
        <v xml:space="preserve">QUADRO DE DISTRIBUICAO COM BARRAMENTO TRIFASICO, DE EMBUTIR, EM CHAPA DE ACO GALVANIZADO, PARA 48 DISJUNTORES DIN  </v>
      </c>
      <c r="F936" s="834"/>
      <c r="G936" s="834"/>
      <c r="H936" s="834"/>
      <c r="I936" s="834"/>
      <c r="J936" s="835"/>
      <c r="K936" s="127">
        <v>2</v>
      </c>
      <c r="L936" s="39" t="str">
        <f>IFERROR(VLOOKUP($C936,'SINAPI FEVEREIRO 2022'!$1:$1048576,3,0),IFERROR(VLOOKUP($C936,'5-COMP. PROPRIA'!$B$1:$I$647,5,0),""))</f>
        <v>UN</v>
      </c>
      <c r="M936" s="67"/>
      <c r="N936" s="478"/>
      <c r="P936" s="90"/>
    </row>
    <row r="937" spans="2:16" s="353" customFormat="1" ht="27.75" customHeight="1" thickBot="1">
      <c r="B937" s="764"/>
      <c r="C937" s="275"/>
      <c r="D937" s="161"/>
      <c r="E937" s="760"/>
      <c r="F937" s="761"/>
      <c r="G937" s="761"/>
      <c r="H937" s="761"/>
      <c r="I937" s="761"/>
      <c r="J937" s="762"/>
      <c r="K937" s="127"/>
      <c r="L937" s="39"/>
      <c r="M937" s="67"/>
      <c r="N937" s="478"/>
      <c r="P937" s="90"/>
    </row>
    <row r="938" spans="2:16" s="353" customFormat="1" ht="15.75" thickBot="1">
      <c r="B938" s="764"/>
      <c r="C938" s="275"/>
      <c r="D938" s="161"/>
      <c r="E938" s="854" t="s">
        <v>13303</v>
      </c>
      <c r="F938" s="855"/>
      <c r="G938" s="855"/>
      <c r="H938" s="855"/>
      <c r="I938" s="855"/>
      <c r="J938" s="856"/>
      <c r="K938" s="127"/>
      <c r="L938" s="39"/>
      <c r="M938" s="67"/>
      <c r="N938" s="478"/>
      <c r="P938" s="90"/>
    </row>
    <row r="939" spans="2:16" s="353" customFormat="1" ht="27.75" customHeight="1" thickBot="1">
      <c r="B939" s="764"/>
      <c r="C939" s="275"/>
      <c r="D939" s="161"/>
      <c r="E939" s="760"/>
      <c r="F939" s="761"/>
      <c r="G939" s="761"/>
      <c r="H939" s="761"/>
      <c r="I939" s="761"/>
      <c r="J939" s="762"/>
      <c r="K939" s="127"/>
      <c r="L939" s="39"/>
      <c r="M939" s="67"/>
      <c r="N939" s="478"/>
      <c r="P939" s="90"/>
    </row>
    <row r="940" spans="2:16" s="353" customFormat="1" ht="15.75" thickBot="1">
      <c r="B940" s="764"/>
      <c r="C940" s="275"/>
      <c r="D940" s="161"/>
      <c r="E940" s="839" t="s">
        <v>13304</v>
      </c>
      <c r="F940" s="840"/>
      <c r="G940" s="840"/>
      <c r="H940" s="840"/>
      <c r="I940" s="840"/>
      <c r="J940" s="841"/>
      <c r="K940" s="127"/>
      <c r="L940" s="39"/>
      <c r="M940" s="67"/>
      <c r="N940" s="478"/>
      <c r="P940" s="90"/>
    </row>
    <row r="941" spans="2:16" s="353" customFormat="1" ht="15">
      <c r="B941" s="764"/>
      <c r="C941" s="275"/>
      <c r="D941" s="161"/>
      <c r="E941" s="760"/>
      <c r="F941" s="761"/>
      <c r="G941" s="761"/>
      <c r="H941" s="761"/>
      <c r="I941" s="761"/>
      <c r="J941" s="762"/>
      <c r="K941" s="127"/>
      <c r="L941" s="39"/>
      <c r="M941" s="67"/>
      <c r="N941" s="478"/>
      <c r="P941" s="90"/>
    </row>
    <row r="942" spans="2:16" s="353" customFormat="1" ht="27.75" customHeight="1">
      <c r="B942" s="764"/>
      <c r="C942" s="274">
        <v>90447</v>
      </c>
      <c r="D942" s="161" t="s">
        <v>6</v>
      </c>
      <c r="E942" s="833" t="str">
        <f>IFERROR(VLOOKUP($C942,'SINAPI FEVEREIRO 2022'!$1:$1048576,2,0),IFERROR(VLOOKUP($C942,'5-COMP. PROPRIA'!$B$38:$I$647,4,0),""))</f>
        <v>RASGO EM ALVENARIA PARA ELETRODUTOS COM DIAMETROS MENORES OU IGUAIS A 40 MM. AF_05/2015</v>
      </c>
      <c r="F942" s="834"/>
      <c r="G942" s="834"/>
      <c r="H942" s="834"/>
      <c r="I942" s="834"/>
      <c r="J942" s="835"/>
      <c r="K942" s="127">
        <v>27</v>
      </c>
      <c r="L942" s="39" t="str">
        <f>IFERROR(VLOOKUP($C942,'SINAPI FEVEREIRO 2022'!$1:$1048576,3,0),IFERROR(VLOOKUP($C942,'5-COMP. PROPRIA'!$B$1:$I$647,5,0),""))</f>
        <v>M</v>
      </c>
      <c r="M942" s="67"/>
      <c r="N942" s="478"/>
      <c r="P942" s="90"/>
    </row>
    <row r="943" spans="2:16" s="353" customFormat="1" ht="15">
      <c r="B943" s="764"/>
      <c r="C943" s="275"/>
      <c r="D943" s="161"/>
      <c r="E943" s="760"/>
      <c r="F943" s="761"/>
      <c r="G943" s="761"/>
      <c r="H943" s="761"/>
      <c r="I943" s="761"/>
      <c r="J943" s="762"/>
      <c r="K943" s="127"/>
      <c r="L943" s="39"/>
      <c r="M943" s="67"/>
      <c r="N943" s="478"/>
      <c r="P943" s="90"/>
    </row>
    <row r="944" spans="2:16" s="353" customFormat="1" ht="27.75" customHeight="1">
      <c r="B944" s="764"/>
      <c r="C944" s="275" t="str">
        <f>'5-COMP. PROPRIA'!B359</f>
        <v>CP-ELE-REP-01</v>
      </c>
      <c r="D944" s="161" t="s">
        <v>641</v>
      </c>
      <c r="E944" s="833" t="str">
        <f>IFERROR(VLOOKUP($C944,'SINAPI FEVEREIRO 2022'!$1:$1048576,2,0),IFERROR(VLOOKUP($C944,'5-COMP. PROPRIA'!$B$38:$I$647,4,0),""))</f>
        <v>REPARO EM RASGO DE PAREDE</v>
      </c>
      <c r="F944" s="834"/>
      <c r="G944" s="834"/>
      <c r="H944" s="834"/>
      <c r="I944" s="834"/>
      <c r="J944" s="835"/>
      <c r="K944" s="127">
        <v>2.7</v>
      </c>
      <c r="L944" s="39" t="str">
        <f>IFERROR(VLOOKUP($C944,'SINAPI FEVEREIRO 2022'!$1:$1048576,3,0),IFERROR(VLOOKUP($C944,'5-COMP. PROPRIA'!$B$1:$I$647,5,0),""))</f>
        <v>M2</v>
      </c>
      <c r="M944" s="67"/>
      <c r="N944" s="478"/>
      <c r="P944" s="90"/>
    </row>
    <row r="945" spans="2:16" s="353" customFormat="1" ht="27.75" customHeight="1" thickBot="1">
      <c r="B945" s="764"/>
      <c r="C945" s="275"/>
      <c r="D945" s="161"/>
      <c r="E945" s="760"/>
      <c r="F945" s="761"/>
      <c r="G945" s="761"/>
      <c r="H945" s="761"/>
      <c r="I945" s="761"/>
      <c r="J945" s="762"/>
      <c r="K945" s="127"/>
      <c r="L945" s="39"/>
      <c r="M945" s="67"/>
      <c r="N945" s="478"/>
      <c r="P945" s="90"/>
    </row>
    <row r="946" spans="2:16" s="353" customFormat="1" ht="27.75" customHeight="1" thickBot="1">
      <c r="B946" s="764"/>
      <c r="C946" s="275"/>
      <c r="D946" s="161"/>
      <c r="E946" s="839" t="s">
        <v>13305</v>
      </c>
      <c r="F946" s="840"/>
      <c r="G946" s="840"/>
      <c r="H946" s="840"/>
      <c r="I946" s="840"/>
      <c r="J946" s="841"/>
      <c r="K946" s="127"/>
      <c r="L946" s="39"/>
      <c r="M946" s="67"/>
      <c r="N946" s="478"/>
      <c r="P946" s="90"/>
    </row>
    <row r="947" spans="2:16" s="353" customFormat="1" ht="27.75" customHeight="1">
      <c r="B947" s="764"/>
      <c r="C947" s="275"/>
      <c r="D947" s="161"/>
      <c r="E947" s="760"/>
      <c r="F947" s="761"/>
      <c r="G947" s="761"/>
      <c r="H947" s="761"/>
      <c r="I947" s="761"/>
      <c r="J947" s="762"/>
      <c r="K947" s="127"/>
      <c r="L947" s="39"/>
      <c r="M947" s="67"/>
      <c r="N947" s="478"/>
      <c r="P947" s="90"/>
    </row>
    <row r="948" spans="2:16" s="353" customFormat="1" ht="27.75" customHeight="1">
      <c r="B948" s="764"/>
      <c r="C948" s="275">
        <v>98302</v>
      </c>
      <c r="D948" s="161" t="s">
        <v>6</v>
      </c>
      <c r="E948" s="833" t="str">
        <f>IFERROR(VLOOKUP($C948,'SINAPI FEVEREIRO 2022'!$1:$1048576,2,0),IFERROR(VLOOKUP($C948,'5-COMP. PROPRIA'!$B$38:$I$647,4,0),""))</f>
        <v>PATCH PANEL 24 PORTAS, CATEGORIA 6 - FORNECIMENTO E INSTALAÇÃO. AF_11/2019</v>
      </c>
      <c r="F948" s="834"/>
      <c r="G948" s="834"/>
      <c r="H948" s="834"/>
      <c r="I948" s="834"/>
      <c r="J948" s="835"/>
      <c r="K948" s="127">
        <v>1</v>
      </c>
      <c r="L948" s="39" t="str">
        <f>IFERROR(VLOOKUP($C948,'SINAPI FEVEREIRO 2022'!$1:$1048576,3,0),IFERROR(VLOOKUP($C948,'5-COMP. PROPRIA'!$B$1:$I$647,5,0),""))</f>
        <v>UN</v>
      </c>
      <c r="M948" s="67"/>
      <c r="N948" s="478"/>
      <c r="P948" s="90"/>
    </row>
    <row r="949" spans="2:16" s="353" customFormat="1" ht="27.75" customHeight="1">
      <c r="B949" s="764"/>
      <c r="C949" s="275" t="str">
        <f>'5-COMP. PROPRIA'!B436</f>
        <v>CP-RED-01</v>
      </c>
      <c r="D949" s="161" t="s">
        <v>641</v>
      </c>
      <c r="E949" s="833" t="str">
        <f>IFERROR(VLOOKUP($C949,'SINAPI FEVEREIRO 2022'!$1:$1048576,2,0),IFERROR(VLOOKUP($C949,'5-COMP. PROPRIA'!$B$38:$I$647,4,0),""))</f>
        <v>SWITCH 24P 10/100/1000 2P SFP L2 C/ GER</v>
      </c>
      <c r="F949" s="834"/>
      <c r="G949" s="834"/>
      <c r="H949" s="834"/>
      <c r="I949" s="834"/>
      <c r="J949" s="835"/>
      <c r="K949" s="127">
        <v>1</v>
      </c>
      <c r="L949" s="39" t="str">
        <f>IFERROR(VLOOKUP($C949,'SINAPI FEVEREIRO 2022'!$1:$1048576,3,0),IFERROR(VLOOKUP($C949,'5-COMP. PROPRIA'!$B$1:$I$647,5,0),""))</f>
        <v>UN</v>
      </c>
      <c r="M949" s="67"/>
      <c r="N949" s="478"/>
      <c r="P949" s="90"/>
    </row>
    <row r="950" spans="2:16" s="353" customFormat="1" ht="27.75" customHeight="1">
      <c r="B950" s="764"/>
      <c r="C950" s="275" t="str">
        <f>'5-COMP. PROPRIA'!B441</f>
        <v>CP-RED-02</v>
      </c>
      <c r="D950" s="161" t="s">
        <v>641</v>
      </c>
      <c r="E950" s="833" t="str">
        <f>IFERROR(VLOOKUP($C950,'SINAPI FEVEREIRO 2022'!$1:$1048576,2,0),IFERROR(VLOOKUP($C950,'5-COMP. PROPRIA'!$B$38:$I$647,4,0),""))</f>
        <v xml:space="preserve">GUIA DE CABOS HORIZONTAL FECHADA PADRÃO 19” </v>
      </c>
      <c r="F950" s="834"/>
      <c r="G950" s="834"/>
      <c r="H950" s="834"/>
      <c r="I950" s="834"/>
      <c r="J950" s="835"/>
      <c r="K950" s="127">
        <v>2</v>
      </c>
      <c r="L950" s="39" t="str">
        <f>IFERROR(VLOOKUP($C950,'SINAPI FEVEREIRO 2022'!$1:$1048576,3,0),IFERROR(VLOOKUP($C950,'5-COMP. PROPRIA'!$B$1:$I$647,5,0),""))</f>
        <v>UN</v>
      </c>
      <c r="M950" s="67"/>
      <c r="N950" s="478"/>
      <c r="P950" s="90"/>
    </row>
    <row r="951" spans="2:16" s="353" customFormat="1" ht="27.75" customHeight="1">
      <c r="B951" s="764"/>
      <c r="C951" s="275" t="str">
        <f>'5-COMP. PROPRIA'!B446</f>
        <v>CP-RED-03</v>
      </c>
      <c r="D951" s="161" t="s">
        <v>641</v>
      </c>
      <c r="E951" s="833" t="str">
        <f>IFERROR(VLOOKUP($C951,'SINAPI FEVEREIRO 2022'!$1:$1048576,2,0),IFERROR(VLOOKUP($C951,'5-COMP. PROPRIA'!$B$38:$I$647,4,0),""))</f>
        <v>BANDEJA DESLIZANTE P/ RACK 19"</v>
      </c>
      <c r="F951" s="834"/>
      <c r="G951" s="834"/>
      <c r="H951" s="834"/>
      <c r="I951" s="834"/>
      <c r="J951" s="835"/>
      <c r="K951" s="127">
        <v>2</v>
      </c>
      <c r="L951" s="39" t="str">
        <f>IFERROR(VLOOKUP($C951,'SINAPI FEVEREIRO 2022'!$1:$1048576,3,0),IFERROR(VLOOKUP($C951,'5-COMP. PROPRIA'!$B$1:$I$647,5,0),""))</f>
        <v>UN</v>
      </c>
      <c r="M951" s="67"/>
      <c r="N951" s="478"/>
      <c r="P951" s="90"/>
    </row>
    <row r="952" spans="2:16" s="353" customFormat="1" ht="27.75" customHeight="1">
      <c r="B952" s="764"/>
      <c r="C952" s="275" t="str">
        <f>'5-COMP. PROPRIA'!B451</f>
        <v>CP-RED-04</v>
      </c>
      <c r="D952" s="161" t="s">
        <v>641</v>
      </c>
      <c r="E952" s="833" t="str">
        <f>IFERROR(VLOOKUP($C952,'SINAPI FEVEREIRO 2022'!$1:$1048576,2,0),IFERROR(VLOOKUP($C952,'5-COMP. PROPRIA'!$B$38:$I$647,4,0),""))</f>
        <v>ANEL ORGANIZADOR DE CABOS</v>
      </c>
      <c r="F952" s="834"/>
      <c r="G952" s="834"/>
      <c r="H952" s="834"/>
      <c r="I952" s="834"/>
      <c r="J952" s="835"/>
      <c r="K952" s="127">
        <v>2</v>
      </c>
      <c r="L952" s="39" t="str">
        <f>IFERROR(VLOOKUP($C952,'SINAPI FEVEREIRO 2022'!$1:$1048576,3,0),IFERROR(VLOOKUP($C952,'5-COMP. PROPRIA'!$B$1:$I$647,5,0),""))</f>
        <v>UN</v>
      </c>
      <c r="M952" s="67"/>
      <c r="N952" s="478"/>
      <c r="P952" s="90"/>
    </row>
    <row r="953" spans="2:16" s="353" customFormat="1" ht="27.75" customHeight="1">
      <c r="B953" s="764"/>
      <c r="C953" s="275" t="str">
        <f>'5-COMP. PROPRIA'!B456</f>
        <v>CP-RED-05</v>
      </c>
      <c r="D953" s="161" t="s">
        <v>641</v>
      </c>
      <c r="E953" s="833" t="str">
        <f>IFERROR(VLOOKUP($C953,'SINAPI FEVEREIRO 2022'!$1:$1048576,2,0),IFERROR(VLOOKUP($C953,'5-COMP. PROPRIA'!$B$38:$I$647,4,0),""))</f>
        <v>MINI RACK DE PAREDE PADRÃO 19”</v>
      </c>
      <c r="F953" s="834"/>
      <c r="G953" s="834"/>
      <c r="H953" s="834"/>
      <c r="I953" s="834"/>
      <c r="J953" s="835"/>
      <c r="K953" s="127">
        <v>2</v>
      </c>
      <c r="L953" s="39" t="str">
        <f>IFERROR(VLOOKUP($C953,'SINAPI FEVEREIRO 2022'!$1:$1048576,3,0),IFERROR(VLOOKUP($C953,'5-COMP. PROPRIA'!$B$1:$I$647,5,0),""))</f>
        <v>UN</v>
      </c>
      <c r="M953" s="67"/>
      <c r="N953" s="478"/>
      <c r="P953" s="90"/>
    </row>
    <row r="954" spans="2:16" s="353" customFormat="1" ht="27.75" customHeight="1">
      <c r="B954" s="764"/>
      <c r="C954" s="275" t="str">
        <f>'5-COMP. PROPRIA'!B461</f>
        <v>CP-RED-06</v>
      </c>
      <c r="D954" s="161" t="s">
        <v>641</v>
      </c>
      <c r="E954" s="833" t="str">
        <f>IFERROR(VLOOKUP($C954,'SINAPI FEVEREIRO 2022'!$1:$1048576,2,0),IFERROR(VLOOKUP($C954,'5-COMP. PROPRIA'!$B$38:$I$647,4,0),""))</f>
        <v>CABO DE REDE 1,5 METROS PATCH CORD CAT6 UTP</v>
      </c>
      <c r="F954" s="834"/>
      <c r="G954" s="834"/>
      <c r="H954" s="834"/>
      <c r="I954" s="834"/>
      <c r="J954" s="835"/>
      <c r="K954" s="127">
        <v>4</v>
      </c>
      <c r="L954" s="39" t="str">
        <f>IFERROR(VLOOKUP($C954,'SINAPI FEVEREIRO 2022'!$1:$1048576,3,0),IFERROR(VLOOKUP($C954,'5-COMP. PROPRIA'!$B$1:$I$647,5,0),""))</f>
        <v>UN</v>
      </c>
      <c r="M954" s="67"/>
      <c r="N954" s="478"/>
      <c r="P954" s="90"/>
    </row>
    <row r="955" spans="2:16" s="353" customFormat="1" ht="27.75" customHeight="1">
      <c r="B955" s="764"/>
      <c r="C955" s="275">
        <v>98297</v>
      </c>
      <c r="D955" s="161" t="s">
        <v>6</v>
      </c>
      <c r="E955" s="833" t="str">
        <f>IFERROR(VLOOKUP($C955,'SINAPI FEVEREIRO 2022'!$1:$1048576,2,0),IFERROR(VLOOKUP($C955,'5-COMP. PROPRIA'!$B$38:$I$647,4,0),""))</f>
        <v>CABO ELETRÔNICO CATEGORIA 6, INSTALADO EM EDIFICAÇÃO INSTITUCIONAL - FORNECIMENTO E INSTALAÇÃO. AF_11/2019</v>
      </c>
      <c r="F955" s="834"/>
      <c r="G955" s="834"/>
      <c r="H955" s="834"/>
      <c r="I955" s="834"/>
      <c r="J955" s="835"/>
      <c r="K955" s="127">
        <v>150</v>
      </c>
      <c r="L955" s="39"/>
      <c r="M955" s="67"/>
      <c r="N955" s="478"/>
      <c r="P955" s="90"/>
    </row>
    <row r="956" spans="2:16" s="353" customFormat="1" ht="27.75" customHeight="1">
      <c r="B956" s="764"/>
      <c r="C956" s="275">
        <v>98307</v>
      </c>
      <c r="D956" s="161" t="s">
        <v>6</v>
      </c>
      <c r="E956" s="833" t="str">
        <f>IFERROR(VLOOKUP($C956,'SINAPI FEVEREIRO 2022'!$1:$1048576,2,0),IFERROR(VLOOKUP($C956,'5-COMP. PROPRIA'!$B$38:$I$647,4,0),""))</f>
        <v>TOMADA DE REDE RJ45 - FORNECIMENTO E INSTALAÇÃO. AF_11/2019</v>
      </c>
      <c r="F956" s="834"/>
      <c r="G956" s="834"/>
      <c r="H956" s="834"/>
      <c r="I956" s="834"/>
      <c r="J956" s="835"/>
      <c r="K956" s="127">
        <v>16</v>
      </c>
      <c r="L956" s="39"/>
      <c r="M956" s="67"/>
      <c r="N956" s="478"/>
      <c r="P956" s="90"/>
    </row>
    <row r="957" spans="2:16" s="353" customFormat="1" ht="27.75" customHeight="1">
      <c r="B957" s="764"/>
      <c r="C957" s="275">
        <v>98308</v>
      </c>
      <c r="D957" s="161" t="s">
        <v>6</v>
      </c>
      <c r="E957" s="833" t="str">
        <f>IFERROR(VLOOKUP($C957,'SINAPI FEVEREIRO 2022'!$1:$1048576,2,0),IFERROR(VLOOKUP($C957,'5-COMP. PROPRIA'!$B$38:$I$647,4,0),""))</f>
        <v>TOMADA PARA TELEFONE RJ11 - FORNECIMENTO E INSTALAÇÃO. AF_11/2019</v>
      </c>
      <c r="F957" s="834"/>
      <c r="G957" s="834"/>
      <c r="H957" s="834"/>
      <c r="I957" s="834"/>
      <c r="J957" s="835"/>
      <c r="K957" s="127">
        <v>1</v>
      </c>
      <c r="L957" s="39"/>
      <c r="M957" s="67"/>
      <c r="N957" s="478"/>
      <c r="P957" s="90"/>
    </row>
    <row r="958" spans="2:16" s="353" customFormat="1" ht="27.75" customHeight="1">
      <c r="B958" s="764"/>
      <c r="C958" s="275">
        <v>91941</v>
      </c>
      <c r="D958" s="161" t="s">
        <v>6</v>
      </c>
      <c r="E958" s="833" t="str">
        <f>IFERROR(VLOOKUP($C958,'SINAPI FEVEREIRO 2022'!$1:$1048576,2,0),IFERROR(VLOOKUP($C958,'5-COMP. PROPRIA'!$B$38:$I$647,4,0),""))</f>
        <v>CAIXA RETANGULAR 4" X 2" BAIXA (0,30 M DO PISO), PVC, INSTALADA EM PAREDE - FORNECIMENTO E INSTALAÇÃO. AF_12/2015</v>
      </c>
      <c r="F958" s="834"/>
      <c r="G958" s="834"/>
      <c r="H958" s="834"/>
      <c r="I958" s="834"/>
      <c r="J958" s="835"/>
      <c r="K958" s="127">
        <v>16</v>
      </c>
      <c r="L958" s="39"/>
      <c r="M958" s="67"/>
      <c r="N958" s="478"/>
      <c r="P958" s="90"/>
    </row>
    <row r="959" spans="2:16" s="353" customFormat="1" ht="27.75" customHeight="1">
      <c r="B959" s="764"/>
      <c r="C959" s="275">
        <v>91836</v>
      </c>
      <c r="D959" s="161" t="s">
        <v>6</v>
      </c>
      <c r="E959" s="833" t="str">
        <f>IFERROR(VLOOKUP($C959,'SINAPI FEVEREIRO 2022'!$1:$1048576,2,0),IFERROR(VLOOKUP($C959,'5-COMP. PROPRIA'!$B$38:$I$647,4,0),""))</f>
        <v>ELETRODUTO FLEXÍVEL CORRUGADO, PVC, DN 32 MM (1"), PARA CIRCUITOS TERMINAIS, INSTALADO EM FORRO - FORNECIMENTO E INSTALAÇÃO. AF_12/2015</v>
      </c>
      <c r="F959" s="834"/>
      <c r="G959" s="834"/>
      <c r="H959" s="834"/>
      <c r="I959" s="834"/>
      <c r="J959" s="835"/>
      <c r="K959" s="127">
        <v>50</v>
      </c>
      <c r="L959" s="39"/>
      <c r="M959" s="67"/>
      <c r="N959" s="478"/>
      <c r="P959" s="90"/>
    </row>
    <row r="960" spans="2:16" s="353" customFormat="1" ht="27.75" customHeight="1">
      <c r="B960" s="764"/>
      <c r="C960" s="275">
        <v>91864</v>
      </c>
      <c r="D960" s="161" t="s">
        <v>6</v>
      </c>
      <c r="E960" s="833" t="str">
        <f>IFERROR(VLOOKUP($C960,'SINAPI FEVEREIRO 2022'!$1:$1048576,2,0),IFERROR(VLOOKUP($C960,'5-COMP. PROPRIA'!$B$38:$I$647,4,0),""))</f>
        <v>ELETRODUTO RÍGIDO ROSCÁVEL, PVC, DN 32 MM (1"), PARA CIRCUITOS TERMINAIS, INSTALADO EM FORRO - FORNECIMENTO E INSTALAÇÃO. AF_12/2015</v>
      </c>
      <c r="F960" s="834"/>
      <c r="G960" s="834"/>
      <c r="H960" s="834"/>
      <c r="I960" s="834"/>
      <c r="J960" s="835"/>
      <c r="K960" s="127">
        <v>9</v>
      </c>
      <c r="L960" s="39"/>
      <c r="M960" s="67"/>
      <c r="N960" s="478"/>
      <c r="P960" s="90"/>
    </row>
    <row r="961" spans="2:16" s="353" customFormat="1" ht="15.75" thickBot="1">
      <c r="B961" s="434"/>
      <c r="C961" s="372"/>
      <c r="D961" s="161"/>
      <c r="E961" s="833"/>
      <c r="F961" s="834"/>
      <c r="G961" s="834"/>
      <c r="H961" s="834"/>
      <c r="I961" s="834"/>
      <c r="J961" s="835"/>
      <c r="K961" s="127"/>
      <c r="L961" s="39"/>
      <c r="M961" s="67"/>
      <c r="N961" s="478"/>
      <c r="P961" s="90"/>
    </row>
    <row r="962" spans="2:16" s="353" customFormat="1" ht="15.75" thickBot="1">
      <c r="B962" s="434"/>
      <c r="C962" s="274"/>
      <c r="D962" s="161"/>
      <c r="E962" s="854" t="s">
        <v>5498</v>
      </c>
      <c r="F962" s="855"/>
      <c r="G962" s="855"/>
      <c r="H962" s="855"/>
      <c r="I962" s="855"/>
      <c r="J962" s="856"/>
      <c r="K962" s="175"/>
      <c r="L962" s="43"/>
      <c r="M962" s="92"/>
      <c r="N962" s="480"/>
      <c r="P962" s="90"/>
    </row>
    <row r="963" spans="2:16" s="353" customFormat="1" ht="15">
      <c r="B963" s="434"/>
      <c r="C963" s="274"/>
      <c r="D963" s="161"/>
      <c r="E963" s="424"/>
      <c r="F963" s="425"/>
      <c r="G963" s="425"/>
      <c r="H963" s="425"/>
      <c r="I963" s="425"/>
      <c r="J963" s="426"/>
      <c r="K963" s="175"/>
      <c r="L963" s="43"/>
      <c r="M963" s="92"/>
      <c r="N963" s="480"/>
      <c r="P963" s="90"/>
    </row>
    <row r="964" spans="2:16" ht="33" customHeight="1">
      <c r="B964" s="434"/>
      <c r="C964" s="274">
        <v>89865</v>
      </c>
      <c r="D964" s="161" t="s">
        <v>6</v>
      </c>
      <c r="E964" s="833" t="str">
        <f>IFERROR(VLOOKUP($C964,'SINAPI FEVEREIRO 2022'!$1:$1048576,2,0),IFERROR(VLOOKUP($C964,'5-COMP. PROPRIA'!$B$38:$I$647,4,0),""))</f>
        <v>TUBO, PVC, SOLDÁVEL, DN 25MM, INSTALADO EM DRENO DE AR-CONDICIONADO - FORNECIMENTO E INSTALAÇÃO. AF_12/2014</v>
      </c>
      <c r="F964" s="834"/>
      <c r="G964" s="834"/>
      <c r="H964" s="834"/>
      <c r="I964" s="834"/>
      <c r="J964" s="835"/>
      <c r="K964" s="127">
        <v>90</v>
      </c>
      <c r="L964" s="39" t="str">
        <f>IFERROR(VLOOKUP($C964,'SINAPI FEVEREIRO 2022'!$1:$1048576,3,0),IFERROR(VLOOKUP($C964,'5-COMP. PROPRIA'!$B$1:$I$647,5,0),""))</f>
        <v>M</v>
      </c>
      <c r="M964" s="67"/>
      <c r="N964" s="478"/>
      <c r="P964" s="90"/>
    </row>
    <row r="965" spans="2:16" ht="30" customHeight="1">
      <c r="B965" s="274"/>
      <c r="C965" s="274">
        <v>89866</v>
      </c>
      <c r="D965" s="161" t="s">
        <v>6</v>
      </c>
      <c r="E965" s="833" t="str">
        <f>IFERROR(VLOOKUP($C965,'SINAPI FEVEREIRO 2022'!$1:$1048576,2,0),IFERROR(VLOOKUP($C965,'5-COMP. PROPRIA'!$B$38:$I$647,4,0),""))</f>
        <v>JOELHO 90 GRAUS, PVC, SOLDÁVEL, DN 25MM, INSTALADO EM DRENO DE AR-CONDICIONADO - FORNECIMENTO E INSTALAÇÃO. AF_12/2014</v>
      </c>
      <c r="F965" s="834"/>
      <c r="G965" s="834"/>
      <c r="H965" s="834"/>
      <c r="I965" s="834"/>
      <c r="J965" s="835"/>
      <c r="K965" s="127">
        <v>31</v>
      </c>
      <c r="L965" s="39" t="str">
        <f>IFERROR(VLOOKUP($C965,'SINAPI FEVEREIRO 2022'!$1:$1048576,3,0),IFERROR(VLOOKUP($C965,'5-COMP. PROPRIA'!$B$1:$I$647,5,0),""))</f>
        <v>UN</v>
      </c>
      <c r="M965" s="67"/>
      <c r="N965" s="478"/>
      <c r="P965" s="90"/>
    </row>
    <row r="966" spans="2:16" ht="34.5" customHeight="1">
      <c r="B966" s="274"/>
      <c r="C966" s="274">
        <v>89867</v>
      </c>
      <c r="D966" s="161" t="s">
        <v>6</v>
      </c>
      <c r="E966" s="833" t="str">
        <f>IFERROR(VLOOKUP($C966,'SINAPI FEVEREIRO 2022'!$1:$1048576,2,0),IFERROR(VLOOKUP($C966,'5-COMP. PROPRIA'!$B$38:$I$647,4,0),""))</f>
        <v>JOELHO 45 GRAUS, PVC, SOLDÁVEL, DN 25MM, INSTALADO EM DRENO DE AR-CONDICIONADO - FORNECIMENTO E INSTALAÇÃO. AF_12/2014</v>
      </c>
      <c r="F966" s="834"/>
      <c r="G966" s="834"/>
      <c r="H966" s="834"/>
      <c r="I966" s="834"/>
      <c r="J966" s="835"/>
      <c r="K966" s="127">
        <v>20</v>
      </c>
      <c r="L966" s="39" t="str">
        <f>IFERROR(VLOOKUP($C966,'SINAPI FEVEREIRO 2022'!$1:$1048576,3,0),IFERROR(VLOOKUP($C966,'5-COMP. PROPRIA'!$B$1:$I$647,5,0),""))</f>
        <v>UN</v>
      </c>
      <c r="M966" s="67"/>
      <c r="N966" s="478"/>
      <c r="P966" s="90"/>
    </row>
    <row r="967" spans="2:16" s="353" customFormat="1" ht="34.5" customHeight="1">
      <c r="B967" s="274"/>
      <c r="C967" s="274">
        <v>89869</v>
      </c>
      <c r="D967" s="161" t="s">
        <v>6</v>
      </c>
      <c r="E967" s="833" t="str">
        <f>IFERROR(VLOOKUP($C967,'SINAPI FEVEREIRO 2022'!$1:$1048576,2,0),IFERROR(VLOOKUP($C967,'5-COMP. PROPRIA'!$B$38:$I$647,4,0),""))</f>
        <v>TE, PVC, SOLDÁVEL, DN 25MM, INSTALADO EM DRENO DE AR-CONDICIONADO - FORNECIMENTO E INSTALAÇÃO. AF_12/2014</v>
      </c>
      <c r="F967" s="834"/>
      <c r="G967" s="834"/>
      <c r="H967" s="834"/>
      <c r="I967" s="834"/>
      <c r="J967" s="835"/>
      <c r="K967" s="127">
        <v>9</v>
      </c>
      <c r="L967" s="39" t="str">
        <f>IFERROR(VLOOKUP($C967,'SINAPI FEVEREIRO 2022'!$1:$1048576,3,0),IFERROR(VLOOKUP($C967,'5-COMP. PROPRIA'!$B$1:$I$647,5,0),""))</f>
        <v>UN</v>
      </c>
      <c r="M967" s="67"/>
      <c r="N967" s="478"/>
      <c r="P967" s="90"/>
    </row>
    <row r="968" spans="2:16" ht="15">
      <c r="B968" s="274"/>
      <c r="C968" s="274">
        <v>90447</v>
      </c>
      <c r="D968" s="161" t="s">
        <v>6</v>
      </c>
      <c r="E968" s="833" t="str">
        <f>IFERROR(VLOOKUP($C968,'SINAPI FEVEREIRO 2022'!$1:$1048576,2,0),IFERROR(VLOOKUP($C968,'5-COMP. PROPRIA'!$B$38:$I$647,4,0),""))</f>
        <v>RASGO EM ALVENARIA PARA ELETRODUTOS COM DIAMETROS MENORES OU IGUAIS A 40 MM. AF_05/2015</v>
      </c>
      <c r="F968" s="834"/>
      <c r="G968" s="834"/>
      <c r="H968" s="834"/>
      <c r="I968" s="834"/>
      <c r="J968" s="835"/>
      <c r="K968" s="127">
        <v>90</v>
      </c>
      <c r="L968" s="39" t="str">
        <f>IFERROR(VLOOKUP($C968,'SINAPI FEVEREIRO 2022'!$1:$1048576,3,0),IFERROR(VLOOKUP($C968,'5-COMP. PROPRIA'!$B$1:$I$647,5,0),""))</f>
        <v>M</v>
      </c>
      <c r="M968" s="67"/>
      <c r="N968" s="478"/>
      <c r="P968" s="90"/>
    </row>
    <row r="969" spans="2:16" ht="15">
      <c r="B969" s="276"/>
      <c r="C969" s="275" t="s">
        <v>5489</v>
      </c>
      <c r="D969" s="161" t="s">
        <v>641</v>
      </c>
      <c r="E969" s="833" t="str">
        <f>IFERROR(VLOOKUP($C969,'SINAPI FEVEREIRO 2022'!$1:$1048576,2,0),IFERROR(VLOOKUP($C969,'5-COMP. PROPRIA'!$B$38:$I$647,4,0),""))</f>
        <v>REPARO EM RASGO DE PAREDE</v>
      </c>
      <c r="F969" s="834"/>
      <c r="G969" s="834"/>
      <c r="H969" s="834"/>
      <c r="I969" s="834"/>
      <c r="J969" s="835"/>
      <c r="K969" s="127">
        <v>6.3</v>
      </c>
      <c r="L969" s="39" t="str">
        <f>IFERROR(VLOOKUP($C969,'SINAPI FEVEREIRO 2022'!$1:$1048576,3,0),IFERROR(VLOOKUP($C969,'5-COMP. PROPRIA'!$B$1:$I$647,5,0),""))</f>
        <v>M2</v>
      </c>
      <c r="M969" s="67"/>
      <c r="N969" s="478"/>
      <c r="P969" s="90"/>
    </row>
    <row r="970" spans="2:16" s="353" customFormat="1" ht="15.75" thickBot="1">
      <c r="B970" s="275"/>
      <c r="C970" s="275"/>
      <c r="D970" s="161"/>
      <c r="E970" s="81"/>
      <c r="F970" s="41"/>
      <c r="G970" s="41"/>
      <c r="H970" s="277"/>
      <c r="I970" s="277"/>
      <c r="J970" s="66"/>
      <c r="K970" s="127"/>
      <c r="L970" s="149"/>
      <c r="M970" s="67"/>
      <c r="N970" s="478"/>
      <c r="P970" s="90"/>
    </row>
    <row r="971" spans="2:16" ht="15.75" thickBot="1">
      <c r="B971" s="275"/>
      <c r="C971" s="275"/>
      <c r="D971" s="161"/>
      <c r="E971" s="854" t="s">
        <v>6151</v>
      </c>
      <c r="F971" s="855"/>
      <c r="G971" s="855"/>
      <c r="H971" s="855"/>
      <c r="I971" s="855"/>
      <c r="J971" s="856"/>
      <c r="K971" s="175"/>
      <c r="L971" s="149"/>
      <c r="M971" s="67"/>
      <c r="N971" s="478"/>
      <c r="P971" s="90"/>
    </row>
    <row r="972" spans="2:16" s="353" customFormat="1" ht="15">
      <c r="B972" s="282"/>
      <c r="C972" s="275"/>
      <c r="D972" s="161"/>
      <c r="E972" s="81"/>
      <c r="F972" s="41"/>
      <c r="G972" s="41"/>
      <c r="H972" s="322"/>
      <c r="I972" s="322"/>
      <c r="J972" s="66"/>
      <c r="K972" s="175"/>
      <c r="L972" s="149"/>
      <c r="M972" s="67"/>
      <c r="N972" s="478"/>
      <c r="P972" s="90"/>
    </row>
    <row r="973" spans="2:16" ht="15">
      <c r="B973" s="282"/>
      <c r="C973" s="275">
        <v>96984</v>
      </c>
      <c r="D973" s="161" t="s">
        <v>8351</v>
      </c>
      <c r="E973" s="833" t="str">
        <f>IFERROR(VLOOKUP($C973,'SINAPI FEVEREIRO 2022'!$1:$1048576,2,0),IFERROR(VLOOKUP($C973,'5-COMP. PROPRIA'!$B$38:$I$647,4,0),""))</f>
        <v>ELETRODUTO PVC 40MM (1 ¼ ) PARA SPDA - FORNECIMENTO E INSTALAÇÃO. AF_12/2017</v>
      </c>
      <c r="F973" s="834"/>
      <c r="G973" s="834"/>
      <c r="H973" s="834"/>
      <c r="I973" s="834"/>
      <c r="J973" s="835"/>
      <c r="K973" s="175">
        <v>22</v>
      </c>
      <c r="L973" s="39" t="str">
        <f>IFERROR(VLOOKUP($C973,'SINAPI FEVEREIRO 2022'!$1:$1048576,3,0),IFERROR(VLOOKUP($C973,'5-COMP. PROPRIA'!$B$1:$I$647,5,0),""))</f>
        <v>UN</v>
      </c>
      <c r="M973" s="67"/>
      <c r="N973" s="478"/>
      <c r="P973" s="90"/>
    </row>
    <row r="974" spans="2:16" ht="15">
      <c r="B974" s="594"/>
      <c r="C974" s="275">
        <v>96985</v>
      </c>
      <c r="D974" s="161" t="s">
        <v>8351</v>
      </c>
      <c r="E974" s="833" t="str">
        <f>IFERROR(VLOOKUP($C974,'SINAPI FEVEREIRO 2022'!$1:$1048576,2,0),IFERROR(VLOOKUP($C974,'5-COMP. PROPRIA'!$B$38:$I$647,4,0),""))</f>
        <v>HASTE DE ATERRAMENTO 5/8  PARA SPDA - FORNECIMENTO E INSTALAÇÃO. AF_12/2017</v>
      </c>
      <c r="F974" s="834"/>
      <c r="G974" s="834"/>
      <c r="H974" s="834"/>
      <c r="I974" s="834"/>
      <c r="J974" s="835"/>
      <c r="K974" s="175">
        <v>53</v>
      </c>
      <c r="L974" s="39" t="str">
        <f>IFERROR(VLOOKUP($C974,'SINAPI FEVEREIRO 2022'!$1:$1048576,3,0),IFERROR(VLOOKUP($C974,'5-COMP. PROPRIA'!$B$1:$I$647,5,0),""))</f>
        <v>UN</v>
      </c>
      <c r="M974" s="67"/>
      <c r="N974" s="478"/>
      <c r="P974" s="90"/>
    </row>
    <row r="975" spans="2:16" ht="30" customHeight="1">
      <c r="B975" s="594"/>
      <c r="C975" s="275" t="str">
        <f>'5-COMP. PROPRIA'!B468</f>
        <v>CP-SPDA-01</v>
      </c>
      <c r="D975" s="161" t="s">
        <v>641</v>
      </c>
      <c r="E975" s="833" t="str">
        <f>IFERROR(VLOOKUP($C975,'SINAPI FEVEREIRO 2022'!$1:$1048576,2,0),IFERROR(VLOOKUP($C975,'5-COMP. PROPRIA'!$B$38:$I$647,4,0),""))</f>
        <v>CAIXA DE INSPEÇÃO, PVC DE 12'', COM TAMPA DE FERRO FUNDIDO, CONFORME DETALHE NO PROJETO, FORNECIMENTO E INSTALAÇÃO</v>
      </c>
      <c r="F975" s="834"/>
      <c r="G975" s="834"/>
      <c r="H975" s="834"/>
      <c r="I975" s="834"/>
      <c r="J975" s="835"/>
      <c r="K975" s="175">
        <v>19</v>
      </c>
      <c r="L975" s="39" t="str">
        <f>IFERROR(VLOOKUP($C975,'SINAPI FEVEREIRO 2022'!$1:$1048576,3,0),IFERROR(VLOOKUP($C975,'5-COMP. PROPRIA'!$B$1:$I$647,5,0),""))</f>
        <v>UNI</v>
      </c>
      <c r="M975" s="67"/>
      <c r="N975" s="478"/>
      <c r="P975" s="90"/>
    </row>
    <row r="976" spans="2:16" ht="15">
      <c r="B976" s="594"/>
      <c r="C976" s="275">
        <v>96977</v>
      </c>
      <c r="D976" s="161" t="s">
        <v>6</v>
      </c>
      <c r="E976" s="833" t="str">
        <f>IFERROR(VLOOKUP($C976,'SINAPI FEVEREIRO 2022'!$1:$1048576,2,0),IFERROR(VLOOKUP($C976,'5-COMP. PROPRIA'!$B$38:$I$647,4,0),""))</f>
        <v>CORDOALHA DE COBRE NU 50 MM², ENTERRADA, SEM ISOLADOR - FORNECIMENTO E INSTALAÇÃO. AF_12/2017</v>
      </c>
      <c r="F976" s="834"/>
      <c r="G976" s="834"/>
      <c r="H976" s="834"/>
      <c r="I976" s="834"/>
      <c r="J976" s="835"/>
      <c r="K976" s="175">
        <v>258.04000000000002</v>
      </c>
      <c r="L976" s="39" t="str">
        <f>IFERROR(VLOOKUP($C976,'SINAPI FEVEREIRO 2022'!$1:$1048576,3,0),IFERROR(VLOOKUP($C976,'5-COMP. PROPRIA'!$B$1:$I$647,5,0),""))</f>
        <v>M</v>
      </c>
      <c r="M976" s="67"/>
      <c r="N976" s="478"/>
      <c r="P976" s="90"/>
    </row>
    <row r="977" spans="2:16" ht="34.5" customHeight="1">
      <c r="B977" s="594"/>
      <c r="C977" s="275">
        <v>96974</v>
      </c>
      <c r="D977" s="161" t="s">
        <v>8351</v>
      </c>
      <c r="E977" s="833" t="str">
        <f>IFERROR(VLOOKUP($C977,'SINAPI FEVEREIRO 2022'!$1:$1048576,2,0),IFERROR(VLOOKUP($C977,'5-COMP. PROPRIA'!$B$38:$I$647,4,0),""))</f>
        <v>CORDOALHA DE COBRE NU 50 MM², NÃO ENTERRADA, COM ISOLADOR - FORNECIMENTO E INSTALAÇÃO. AF_12/2017</v>
      </c>
      <c r="F977" s="834"/>
      <c r="G977" s="834"/>
      <c r="H977" s="834"/>
      <c r="I977" s="834"/>
      <c r="J977" s="835"/>
      <c r="K977" s="175">
        <v>106.4</v>
      </c>
      <c r="L977" s="39" t="str">
        <f>IFERROR(VLOOKUP($C977,'SINAPI FEVEREIRO 2022'!$1:$1048576,3,0),IFERROR(VLOOKUP($C977,'5-COMP. PROPRIA'!$B$1:$I$647,5,0),""))</f>
        <v>M</v>
      </c>
      <c r="M977" s="67"/>
      <c r="N977" s="478"/>
      <c r="P977" s="90"/>
    </row>
    <row r="978" spans="2:16" ht="15">
      <c r="B978" s="594"/>
      <c r="C978" s="275" t="str">
        <f>'5-COMP. PROPRIA'!B473</f>
        <v>CP-SPDA-02</v>
      </c>
      <c r="D978" s="161" t="s">
        <v>641</v>
      </c>
      <c r="E978" s="833" t="str">
        <f>IFERROR(VLOOKUP($C978,'SINAPI FEVEREIRO 2022'!$1:$1048576,2,0),IFERROR(VLOOKUP($C978,'5-COMP. PROPRIA'!$B$38:$I$647,4,0),""))</f>
        <v>GRAMPO CONECTOR GTDU PARA HASTE DE ATERRAMENTO DUPLO 5/8'' - 50MM² - FORNECIMENTO E INSTALAÇÃO</v>
      </c>
      <c r="F978" s="834"/>
      <c r="G978" s="834"/>
      <c r="H978" s="834"/>
      <c r="I978" s="834"/>
      <c r="J978" s="835"/>
      <c r="K978" s="175">
        <v>53</v>
      </c>
      <c r="L978" s="39" t="str">
        <f>IFERROR(VLOOKUP($C978,'SINAPI FEVEREIRO 2022'!$1:$1048576,3,0),IFERROR(VLOOKUP($C978,'5-COMP. PROPRIA'!$B$1:$I$647,5,0),""))</f>
        <v>UNI</v>
      </c>
      <c r="M978" s="67"/>
      <c r="N978" s="478"/>
      <c r="P978" s="90"/>
    </row>
    <row r="979" spans="2:16" ht="15">
      <c r="B979" s="594"/>
      <c r="C979" s="275" t="str">
        <f>'5-COMP. PROPRIA'!B478</f>
        <v>CP-SPDA-03</v>
      </c>
      <c r="D979" s="161" t="s">
        <v>641</v>
      </c>
      <c r="E979" s="833" t="str">
        <f>IFERROR(VLOOKUP($C979,'SINAPI FEVEREIRO 2022'!$1:$1048576,2,0),IFERROR(VLOOKUP($C979,'5-COMP. PROPRIA'!$B$38:$I$647,4,0),""))</f>
        <v>GRAMPO CONECTOR MINI-BAR EM BRONZE ESTANHADO TEL-583 - FORNECIMENTO E INSTALAÇÃO</v>
      </c>
      <c r="F979" s="834"/>
      <c r="G979" s="834"/>
      <c r="H979" s="834"/>
      <c r="I979" s="834"/>
      <c r="J979" s="835"/>
      <c r="K979" s="175">
        <v>19</v>
      </c>
      <c r="L979" s="39" t="str">
        <f>IFERROR(VLOOKUP($C979,'SINAPI FEVEREIRO 2022'!$1:$1048576,3,0),IFERROR(VLOOKUP($C979,'5-COMP. PROPRIA'!$B$1:$I$647,5,0),""))</f>
        <v>UNI</v>
      </c>
      <c r="M979" s="67"/>
      <c r="N979" s="478"/>
      <c r="P979" s="90"/>
    </row>
    <row r="980" spans="2:16" ht="28.5" customHeight="1">
      <c r="B980" s="594"/>
      <c r="C980" s="275">
        <v>96973</v>
      </c>
      <c r="D980" s="161" t="s">
        <v>641</v>
      </c>
      <c r="E980" s="833" t="str">
        <f>IFERROR(VLOOKUP($C980,'SINAPI FEVEREIRO 2022'!$1:$1048576,2,0),IFERROR(VLOOKUP($C980,'5-COMP. PROPRIA'!$B$38:$I$647,4,0),""))</f>
        <v>CORDOALHA DE COBRE NU 35 MM², NÃO ENTERRADA, COM ISOLADOR - FORNECIMENTO E INSTALAÇÃO. AF_12/2017</v>
      </c>
      <c r="F980" s="834"/>
      <c r="G980" s="834"/>
      <c r="H980" s="834"/>
      <c r="I980" s="834"/>
      <c r="J980" s="835"/>
      <c r="K980" s="175">
        <v>536.30999999999995</v>
      </c>
      <c r="L980" s="39" t="str">
        <f>IFERROR(VLOOKUP($C980,'SINAPI FEVEREIRO 2022'!$1:$1048576,3,0),IFERROR(VLOOKUP($C980,'5-COMP. PROPRIA'!$B$1:$I$647,5,0),""))</f>
        <v>M</v>
      </c>
      <c r="M980" s="67"/>
      <c r="N980" s="478"/>
      <c r="P980" s="90"/>
    </row>
    <row r="981" spans="2:16" ht="24.75" customHeight="1">
      <c r="B981" s="594"/>
      <c r="C981" s="275" t="str">
        <f>'5-COMP. PROPRIA'!B494</f>
        <v>CP-SPDA-06</v>
      </c>
      <c r="D981" s="161" t="s">
        <v>641</v>
      </c>
      <c r="E981" s="833" t="str">
        <f>IFERROR(VLOOKUP($C981,'SINAPI FEVEREIRO 2022'!$1:$1048576,2,0),IFERROR(VLOOKUP($C981,'5-COMP. PROPRIA'!$B$38:$I$647,4,0),""))</f>
        <v>CAIXA DE EQUALIZAÇÃO DE POTÊNCIAS 200X200MM EM AÇO COM BARRAMENTO, EXPESSURA 9MM - FORNECIMENTO E INSTALAÇÃO</v>
      </c>
      <c r="F981" s="834"/>
      <c r="G981" s="834"/>
      <c r="H981" s="834"/>
      <c r="I981" s="834"/>
      <c r="J981" s="835"/>
      <c r="K981" s="175">
        <v>1</v>
      </c>
      <c r="L981" s="39" t="str">
        <f>IFERROR(VLOOKUP($C981,'SINAPI FEVEREIRO 2022'!$1:$1048576,3,0),IFERROR(VLOOKUP($C981,'5-COMP. PROPRIA'!$B$1:$I$647,5,0),""))</f>
        <v>UNI</v>
      </c>
      <c r="M981" s="67"/>
      <c r="N981" s="478"/>
      <c r="P981" s="90"/>
    </row>
    <row r="982" spans="2:16" ht="15.75" customHeight="1">
      <c r="B982" s="594"/>
      <c r="C982" s="275">
        <v>93358</v>
      </c>
      <c r="D982" s="161" t="s">
        <v>6</v>
      </c>
      <c r="E982" s="833" t="str">
        <f>IFERROR(VLOOKUP($C982,'SINAPI FEVEREIRO 2022'!$1:$1048576,2,0),IFERROR(VLOOKUP($C982,'5-COMP. PROPRIA'!$B$38:$I$647,4,0),""))</f>
        <v>ESCAVAÇÃO MANUAL DE VALA COM PROFUNDIDADE MENOR OU IGUAL A 1,30 M. AF_02/2021</v>
      </c>
      <c r="F982" s="834"/>
      <c r="G982" s="834"/>
      <c r="H982" s="834"/>
      <c r="I982" s="834"/>
      <c r="J982" s="835"/>
      <c r="K982" s="175">
        <v>38.71</v>
      </c>
      <c r="L982" s="39" t="str">
        <f>IFERROR(VLOOKUP($C982,'SINAPI FEVEREIRO 2022'!$1:$1048576,3,0),IFERROR(VLOOKUP($C982,'5-COMP. PROPRIA'!$B$1:$I$647,5,0),""))</f>
        <v>M3</v>
      </c>
      <c r="M982" s="67"/>
      <c r="N982" s="478"/>
      <c r="P982" s="90"/>
    </row>
    <row r="983" spans="2:16" ht="15.75" customHeight="1">
      <c r="B983" s="594"/>
      <c r="C983" s="275">
        <v>96995</v>
      </c>
      <c r="D983" s="161" t="s">
        <v>6</v>
      </c>
      <c r="E983" s="833" t="str">
        <f>IFERROR(VLOOKUP($C983,'SINAPI FEVEREIRO 2022'!$1:$1048576,2,0),IFERROR(VLOOKUP($C983,'5-COMP. PROPRIA'!$B$38:$I$647,4,0),""))</f>
        <v>REATERRO MANUAL APILOADO COM SOQUETE. AF_10/2017</v>
      </c>
      <c r="F983" s="834"/>
      <c r="G983" s="834"/>
      <c r="H983" s="834"/>
      <c r="I983" s="834"/>
      <c r="J983" s="835"/>
      <c r="K983" s="175">
        <v>38.71</v>
      </c>
      <c r="L983" s="39" t="str">
        <f>IFERROR(VLOOKUP($C983,'SINAPI FEVEREIRO 2022'!$1:$1048576,3,0),IFERROR(VLOOKUP($C983,'5-COMP. PROPRIA'!$B$1:$I$647,5,0),""))</f>
        <v>M3</v>
      </c>
      <c r="M983" s="67"/>
      <c r="N983" s="478"/>
      <c r="P983" s="90"/>
    </row>
    <row r="984" spans="2:16" ht="15.75" customHeight="1">
      <c r="B984" s="728"/>
      <c r="C984" s="275" t="str">
        <f>'5-COMP. PROPRIA'!B500</f>
        <v>CP-SPDA-07</v>
      </c>
      <c r="D984" s="161" t="s">
        <v>6</v>
      </c>
      <c r="E984" s="833" t="str">
        <f>IFERROR(VLOOKUP($C984,'SINAPI FEVEREIRO 2022'!$1:$1048576,2,0),IFERROR(VLOOKUP($C984,'5-COMP. PROPRIA'!$B$38:$I$647,4,0),""))</f>
        <v>SPDA CAIXA D'ÁGUA</v>
      </c>
      <c r="F984" s="834"/>
      <c r="G984" s="834"/>
      <c r="H984" s="834"/>
      <c r="I984" s="834"/>
      <c r="J984" s="835"/>
      <c r="K984" s="175">
        <v>1</v>
      </c>
      <c r="L984" s="39" t="str">
        <f>IFERROR(VLOOKUP($C984,'SINAPI FEVEREIRO 2022'!$1:$1048576,3,0),IFERROR(VLOOKUP($C984,'5-COMP. PROPRIA'!$B$1:$I$647,5,0),""))</f>
        <v>UNI</v>
      </c>
      <c r="M984" s="67"/>
      <c r="N984" s="478"/>
      <c r="P984" s="90"/>
    </row>
    <row r="985" spans="2:16" s="353" customFormat="1" ht="15.75" customHeight="1">
      <c r="B985" s="728"/>
      <c r="C985" s="275" t="str">
        <f>'5-COMP. PROPRIA'!B507</f>
        <v>CP-SPDA-08</v>
      </c>
      <c r="D985" s="161" t="s">
        <v>6</v>
      </c>
      <c r="E985" s="833" t="str">
        <f>IFERROR(VLOOKUP($C985,'SINAPI FEVEREIRO 2022'!$1:$1048576,2,0),IFERROR(VLOOKUP($C985,'5-COMP. PROPRIA'!$B$38:$I$647,4,0),""))</f>
        <v>TERMINAL A COMPRESSAO 35 mm²</v>
      </c>
      <c r="F985" s="834"/>
      <c r="G985" s="834"/>
      <c r="H985" s="834"/>
      <c r="I985" s="834"/>
      <c r="J985" s="835"/>
      <c r="K985" s="175">
        <v>11</v>
      </c>
      <c r="L985" s="39" t="str">
        <f>IFERROR(VLOOKUP($C985,'SINAPI FEVEREIRO 2022'!$1:$1048576,3,0),IFERROR(VLOOKUP($C985,'5-COMP. PROPRIA'!$B$1:$I$647,5,0),""))</f>
        <v>UNI</v>
      </c>
      <c r="M985" s="67"/>
      <c r="N985" s="478"/>
      <c r="P985" s="90"/>
    </row>
    <row r="986" spans="2:16" s="353" customFormat="1" ht="15.75" customHeight="1" thickBot="1">
      <c r="B986" s="763"/>
      <c r="C986" s="275"/>
      <c r="D986" s="161"/>
      <c r="E986" s="760"/>
      <c r="F986" s="761"/>
      <c r="G986" s="761"/>
      <c r="H986" s="761"/>
      <c r="I986" s="761"/>
      <c r="J986" s="762"/>
      <c r="K986" s="175"/>
      <c r="L986" s="39"/>
      <c r="M986" s="67"/>
      <c r="N986" s="478"/>
      <c r="P986" s="90"/>
    </row>
    <row r="987" spans="2:16" ht="13.5" thickBot="1">
      <c r="B987" s="531"/>
      <c r="C987" s="275"/>
      <c r="D987" s="161"/>
      <c r="E987" s="836" t="s">
        <v>7046</v>
      </c>
      <c r="F987" s="837"/>
      <c r="G987" s="837"/>
      <c r="H987" s="837"/>
      <c r="I987" s="837"/>
      <c r="J987" s="838"/>
      <c r="K987" s="126"/>
      <c r="L987" s="43"/>
      <c r="M987" s="92"/>
      <c r="N987" s="480"/>
      <c r="P987" s="90"/>
    </row>
    <row r="988" spans="2:16" ht="21.75" customHeight="1">
      <c r="B988" s="441"/>
      <c r="C988" s="282"/>
      <c r="D988" s="161"/>
      <c r="E988" s="318"/>
      <c r="F988" s="297"/>
      <c r="G988" s="297"/>
      <c r="H988" s="297"/>
      <c r="I988" s="297"/>
      <c r="J988" s="319"/>
      <c r="K988" s="174"/>
      <c r="L988" s="43"/>
      <c r="M988" s="92"/>
      <c r="N988" s="480"/>
      <c r="P988" s="90"/>
    </row>
    <row r="989" spans="2:16" ht="33.75" customHeight="1">
      <c r="B989" s="441"/>
      <c r="C989" s="274">
        <v>101905</v>
      </c>
      <c r="D989" s="161" t="s">
        <v>6</v>
      </c>
      <c r="E989" s="833" t="str">
        <f>IFERROR(VLOOKUP($C989,'SINAPI FEVEREIRO 2022'!$1:$1048576,2,0),IFERROR(VLOOKUP($C989,'5-COMP. PROPRIA'!$B$38:$I$647,4,0),""))</f>
        <v>EXTINTOR DE INCÊNDIO PORTÁTIL COM CARGA DE ÁGUA PRESSURIZADA DE 10 L, CLASSE A - FORNECIMENTO E INSTALAÇÃO. AF_10/2020_P</v>
      </c>
      <c r="F989" s="834"/>
      <c r="G989" s="834"/>
      <c r="H989" s="834"/>
      <c r="I989" s="834"/>
      <c r="J989" s="835"/>
      <c r="K989" s="127">
        <v>5</v>
      </c>
      <c r="L989" s="39" t="str">
        <f>IFERROR(VLOOKUP($C989,'SINAPI FEVEREIRO 2022'!$1:$1048576,3,0),IFERROR(VLOOKUP($C989,'5-COMP. PROPRIA'!$B$1:$I$647,5,0),""))</f>
        <v>UN</v>
      </c>
      <c r="M989" s="67"/>
      <c r="N989" s="478"/>
      <c r="P989" s="90"/>
    </row>
    <row r="990" spans="2:16" ht="15.75" customHeight="1">
      <c r="B990" s="434"/>
      <c r="C990" s="282"/>
      <c r="D990" s="161"/>
      <c r="E990" s="296"/>
      <c r="F990" s="297"/>
      <c r="G990" s="297"/>
      <c r="H990" s="297"/>
      <c r="I990" s="297"/>
      <c r="J990" s="298"/>
      <c r="K990" s="174"/>
      <c r="L990" s="43"/>
      <c r="M990" s="92"/>
      <c r="N990" s="480"/>
      <c r="P990" s="90"/>
    </row>
    <row r="991" spans="2:16" ht="36" customHeight="1">
      <c r="B991" s="441"/>
      <c r="C991" s="275">
        <v>101909</v>
      </c>
      <c r="D991" s="161" t="s">
        <v>6</v>
      </c>
      <c r="E991" s="833" t="str">
        <f>IFERROR(VLOOKUP($C991,'SINAPI FEVEREIRO 2022'!$1:$1048576,2,0),IFERROR(VLOOKUP($C991,'5-COMP. PROPRIA'!$B$38:$I$647,4,0),""))</f>
        <v>EXTINTOR DE INCÊNDIO PORTÁTIL COM CARGA DE PQS DE 6 KG, CLASSE BC - FORNECIMENTO E INSTALAÇÃO. AF_10/2020_P</v>
      </c>
      <c r="F991" s="834"/>
      <c r="G991" s="834"/>
      <c r="H991" s="834"/>
      <c r="I991" s="834"/>
      <c r="J991" s="835"/>
      <c r="K991" s="127">
        <v>1</v>
      </c>
      <c r="L991" s="39" t="str">
        <f>IFERROR(VLOOKUP($C991,'SINAPI FEVEREIRO 2022'!$1:$1048576,3,0),IFERROR(VLOOKUP($C991,'5-COMP. PROPRIA'!$B$1:$I$647,5,0),""))</f>
        <v>UN</v>
      </c>
      <c r="M991" s="67"/>
      <c r="N991" s="478"/>
      <c r="P991" s="90"/>
    </row>
    <row r="992" spans="2:16" ht="22.5" customHeight="1">
      <c r="B992" s="434"/>
      <c r="C992" s="485"/>
      <c r="D992" s="321"/>
      <c r="K992" s="320"/>
      <c r="L992" s="149"/>
      <c r="M992" s="67"/>
      <c r="N992" s="478"/>
      <c r="P992" s="90"/>
    </row>
    <row r="993" spans="2:16" ht="44.25" customHeight="1">
      <c r="B993" s="434"/>
      <c r="C993" s="275" t="str">
        <f>'5-COMP. PROPRIA'!B514</f>
        <v>CP-CBI-01</v>
      </c>
      <c r="D993" s="161" t="s">
        <v>641</v>
      </c>
      <c r="E993" s="833" t="str">
        <f>IFERROR(VLOOKUP($C993,'SINAPI FEVEREIRO 2022'!$1:$1048576,2,0),IFERROR(VLOOKUP($C993,'5-COMP. PROPRIA'!$B$38:$I$647,4,0),""))</f>
        <v>PLACA DE SINALIZACAO DE SEGURANCA CONTRA INCENDIO, FOTOLUMINESCENTE, RETANGULAR, *13 X 26* CM, EM PVC *2* MM ANTI-CHAMAS (SIMBOLOS, CORES E PICTOGRAMAS CONFORME NBR 13434) - FORNECIMENTO E INSTALAÇÃO</v>
      </c>
      <c r="F993" s="834"/>
      <c r="G993" s="834"/>
      <c r="H993" s="834"/>
      <c r="I993" s="834"/>
      <c r="J993" s="835"/>
      <c r="K993" s="127">
        <v>12</v>
      </c>
      <c r="L993" s="39" t="str">
        <f>IFERROR(VLOOKUP($C993,'SINAPI FEVEREIRO 2022'!$1:$1048576,3,0),IFERROR(VLOOKUP($C993,'5-COMP. PROPRIA'!$B$1:$I$647,5,0),""))</f>
        <v>UN</v>
      </c>
      <c r="M993" s="67"/>
      <c r="N993" s="478"/>
      <c r="P993" s="90"/>
    </row>
    <row r="994" spans="2:16" s="353" customFormat="1" ht="26.25" customHeight="1" thickBot="1">
      <c r="B994" s="434"/>
      <c r="C994" s="274"/>
      <c r="D994" s="161"/>
      <c r="E994" s="148"/>
      <c r="F994" s="165"/>
      <c r="G994" s="165"/>
      <c r="H994" s="165"/>
      <c r="I994" s="165"/>
      <c r="J994" s="168"/>
      <c r="K994" s="49"/>
      <c r="L994" s="149"/>
      <c r="M994" s="67"/>
      <c r="N994" s="478"/>
      <c r="P994" s="90"/>
    </row>
    <row r="995" spans="2:16" ht="15" thickBot="1">
      <c r="C995" s="274"/>
      <c r="D995" s="161"/>
      <c r="E995" s="836" t="s">
        <v>7047</v>
      </c>
      <c r="F995" s="837"/>
      <c r="G995" s="837"/>
      <c r="H995" s="837"/>
      <c r="I995" s="837"/>
      <c r="J995" s="838"/>
      <c r="K995" s="49"/>
      <c r="L995" s="149"/>
      <c r="M995" s="67"/>
      <c r="N995" s="478"/>
      <c r="P995" s="90"/>
    </row>
    <row r="996" spans="2:16" ht="14.25">
      <c r="B996" s="441"/>
      <c r="C996" s="274"/>
      <c r="D996" s="161"/>
      <c r="E996" s="148"/>
      <c r="F996" s="165"/>
      <c r="G996" s="165"/>
      <c r="H996" s="165"/>
      <c r="I996" s="165"/>
      <c r="J996" s="66"/>
      <c r="K996" s="49"/>
      <c r="L996" s="149"/>
      <c r="M996" s="67"/>
      <c r="N996" s="478"/>
      <c r="P996" s="90"/>
    </row>
    <row r="997" spans="2:16" ht="14.25">
      <c r="B997" s="470"/>
      <c r="C997" s="275" t="str">
        <f>'5-COMP. PROPRIA'!B520</f>
        <v>CP-GAS-1</v>
      </c>
      <c r="D997" s="161" t="s">
        <v>641</v>
      </c>
      <c r="E997" s="833" t="str">
        <f>IFERROR(VLOOKUP($C997,'SINAPI FEVEREIRO 2022'!$1:$1048576,2,0),IFERROR(VLOOKUP($C997,'5-COMP. PROPRIA'!$B$38:$I$647,4,0),""))</f>
        <v>FORNECIMENTO E INSTALAÇÃO DE CASA DE GÁS MODELO PADRÃO DE 2,00X1,00</v>
      </c>
      <c r="F997" s="834"/>
      <c r="G997" s="834"/>
      <c r="H997" s="834"/>
      <c r="I997" s="834"/>
      <c r="J997" s="835"/>
      <c r="K997" s="125">
        <v>1</v>
      </c>
      <c r="L997" s="39" t="str">
        <f>IFERROR(VLOOKUP($C997,'SINAPI FEVEREIRO 2022'!$1:$1048576,3,0),IFERROR(VLOOKUP($C997,'5-COMP. PROPRIA'!$B$1:$I$647,5,0),""))</f>
        <v>UNI</v>
      </c>
      <c r="M997" s="67"/>
      <c r="N997" s="478"/>
      <c r="P997" s="90"/>
    </row>
    <row r="998" spans="2:16" s="353" customFormat="1" ht="14.25">
      <c r="B998" s="470"/>
      <c r="C998" s="275"/>
      <c r="D998" s="161"/>
      <c r="E998" s="415"/>
      <c r="F998" s="416"/>
      <c r="G998" s="416"/>
      <c r="H998" s="416"/>
      <c r="I998" s="416"/>
      <c r="J998" s="417"/>
      <c r="K998" s="125"/>
      <c r="L998" s="39"/>
      <c r="M998" s="67"/>
      <c r="N998" s="478"/>
      <c r="P998" s="90"/>
    </row>
    <row r="999" spans="2:16" ht="14.25">
      <c r="B999" s="434"/>
      <c r="C999" s="275" t="str">
        <f>'5-COMP. PROPRIA'!B544</f>
        <v>CP-GAS-2</v>
      </c>
      <c r="D999" s="161" t="s">
        <v>641</v>
      </c>
      <c r="E999" s="833" t="str">
        <f>IFERROR(VLOOKUP($C999,'SINAPI FEVEREIRO 2022'!$1:$1048576,2,0),IFERROR(VLOOKUP($C999,'5-COMP. PROPRIA'!$B$38:$I$647,4,0),""))</f>
        <v>TELA DE PROTEÇÃO PARA JANELA COM REQUADRO EM ALUMINIO - FORNECIMENTO E INSTALAÇÃO</v>
      </c>
      <c r="F999" s="834"/>
      <c r="G999" s="834"/>
      <c r="H999" s="834"/>
      <c r="I999" s="834"/>
      <c r="J999" s="835"/>
      <c r="K999" s="125">
        <v>2</v>
      </c>
      <c r="L999" s="39" t="str">
        <f>IFERROR(VLOOKUP($C999,'SINAPI FEVEREIRO 2022'!$1:$1048576,3,0),IFERROR(VLOOKUP($C999,'5-COMP. PROPRIA'!$B$1:$I$647,5,0),""))</f>
        <v xml:space="preserve">M2    </v>
      </c>
      <c r="M999" s="67"/>
      <c r="N999" s="478"/>
      <c r="P999" s="90"/>
    </row>
    <row r="1000" spans="2:16" s="353" customFormat="1" ht="14.25">
      <c r="B1000" s="434"/>
      <c r="C1000" s="274"/>
      <c r="D1000" s="161"/>
      <c r="E1000" s="415"/>
      <c r="F1000" s="416"/>
      <c r="G1000" s="416"/>
      <c r="H1000" s="416"/>
      <c r="I1000" s="416"/>
      <c r="J1000" s="417"/>
      <c r="K1000" s="125"/>
      <c r="L1000" s="39"/>
      <c r="M1000" s="67"/>
      <c r="N1000" s="478"/>
      <c r="P1000" s="90"/>
    </row>
    <row r="1001" spans="2:16" ht="27.75" customHeight="1">
      <c r="B1001" s="434"/>
      <c r="C1001" s="275" t="str">
        <f>'5-COMP. PROPRIA'!B550</f>
        <v>CP-GAS-3</v>
      </c>
      <c r="D1001" s="161" t="s">
        <v>641</v>
      </c>
      <c r="E1001" s="833" t="str">
        <f>IFERROR(VLOOKUP($C1001,'SINAPI FEVEREIRO 2022'!$1:$1048576,2,0),IFERROR(VLOOKUP($C1001,'5-COMP. PROPRIA'!$B$38:$I$647,4,0),""))</f>
        <v>INSTALAÇÃO DE GAS GLP TUBOS, CONEXÕES E ACESSÓRIOS - INCLUSO REGULADOR 1º E 2º ESTAGIO E MANÔMETRO</v>
      </c>
      <c r="F1001" s="834"/>
      <c r="G1001" s="834"/>
      <c r="H1001" s="834"/>
      <c r="I1001" s="834"/>
      <c r="J1001" s="835"/>
      <c r="K1001" s="125">
        <v>1</v>
      </c>
      <c r="L1001" s="39" t="str">
        <f>IFERROR(VLOOKUP($C1001,'SINAPI FEVEREIRO 2022'!$1:$1048576,3,0),IFERROR(VLOOKUP($C1001,'5-COMP. PROPRIA'!$B$1:$I$647,5,0),""))</f>
        <v>UNI</v>
      </c>
      <c r="M1001" s="67"/>
      <c r="N1001" s="478"/>
      <c r="P1001" s="90"/>
    </row>
    <row r="1002" spans="2:16" s="353" customFormat="1" ht="15" thickBot="1">
      <c r="B1002" s="434"/>
      <c r="C1002" s="274"/>
      <c r="D1002" s="161"/>
      <c r="E1002" s="415"/>
      <c r="F1002" s="416"/>
      <c r="G1002" s="416"/>
      <c r="H1002" s="416"/>
      <c r="I1002" s="416"/>
      <c r="J1002" s="417"/>
      <c r="K1002" s="125"/>
      <c r="L1002" s="39"/>
      <c r="M1002" s="67"/>
      <c r="N1002" s="478"/>
      <c r="P1002" s="90"/>
    </row>
    <row r="1003" spans="2:16" ht="15.75" thickBot="1">
      <c r="B1003" s="434"/>
      <c r="C1003" s="274"/>
      <c r="D1003" s="161"/>
      <c r="E1003" s="836" t="s">
        <v>7048</v>
      </c>
      <c r="F1003" s="837"/>
      <c r="G1003" s="837"/>
      <c r="H1003" s="837"/>
      <c r="I1003" s="837"/>
      <c r="J1003" s="838"/>
      <c r="K1003" s="175"/>
      <c r="L1003" s="39"/>
      <c r="M1003" s="86"/>
      <c r="N1003" s="478"/>
      <c r="P1003" s="90"/>
    </row>
    <row r="1004" spans="2:16" s="353" customFormat="1" ht="15">
      <c r="B1004" s="434"/>
      <c r="C1004" s="274"/>
      <c r="D1004" s="161"/>
      <c r="E1004" s="435"/>
      <c r="F1004" s="436"/>
      <c r="G1004" s="436"/>
      <c r="H1004" s="436"/>
      <c r="I1004" s="436"/>
      <c r="J1004" s="437"/>
      <c r="K1004" s="175"/>
      <c r="L1004" s="39"/>
      <c r="M1004" s="86"/>
      <c r="N1004" s="478"/>
      <c r="P1004" s="90"/>
    </row>
    <row r="1005" spans="2:16" ht="15">
      <c r="B1005" s="514"/>
      <c r="C1005" s="275" t="str">
        <f>'5-COMP. PROPRIA'!B561</f>
        <v>CP-PAI-01</v>
      </c>
      <c r="D1005" s="161" t="s">
        <v>641</v>
      </c>
      <c r="E1005" s="833" t="str">
        <f>IFERROR(VLOOKUP($C1005,'SINAPI FEVEREIRO 2022'!$1:$1048576,2,0),IFERROR(VLOOKUP($C1005,'5-COMP. PROPRIA'!$B$38:$I$647,4,0),""))</f>
        <v>PEDRA BRITADA N. 1 (9,5 a 19 MM) POSTO PEDREIRA/FORNECEDOR - FORNECIMENTO E INSTALAÇÃO</v>
      </c>
      <c r="F1005" s="834"/>
      <c r="G1005" s="834"/>
      <c r="H1005" s="834"/>
      <c r="I1005" s="834"/>
      <c r="J1005" s="835"/>
      <c r="K1005" s="175">
        <f>K1007</f>
        <v>34.661000000000001</v>
      </c>
      <c r="L1005" s="39" t="str">
        <f>IFERROR(VLOOKUP($C1005,'SINAPI FEVEREIRO 2022'!$1:$1048576,3,0),IFERROR(VLOOKUP($C1005,'5-COMP. PROPRIA'!$B$1:$I$647,5,0),""))</f>
        <v>M3</v>
      </c>
      <c r="M1005" s="86"/>
      <c r="N1005" s="478"/>
      <c r="P1005" s="90"/>
    </row>
    <row r="1006" spans="2:16" s="353" customFormat="1" ht="15">
      <c r="B1006" s="595"/>
      <c r="C1006" s="275"/>
      <c r="D1006" s="161"/>
      <c r="E1006" s="54" t="s">
        <v>7293</v>
      </c>
      <c r="F1006" s="596" t="s">
        <v>7294</v>
      </c>
      <c r="G1006" s="592"/>
      <c r="H1006" s="592"/>
      <c r="I1006" s="592"/>
      <c r="J1006" s="593"/>
      <c r="K1006" s="175"/>
      <c r="L1006" s="39"/>
      <c r="M1006" s="86"/>
      <c r="N1006" s="478"/>
      <c r="P1006" s="90"/>
    </row>
    <row r="1007" spans="2:16" ht="14.25">
      <c r="B1007" s="434"/>
      <c r="C1007" s="274"/>
      <c r="D1007" s="161"/>
      <c r="E1007" s="242">
        <v>346.61</v>
      </c>
      <c r="F1007" s="598">
        <v>0.1</v>
      </c>
      <c r="G1007" s="436"/>
      <c r="H1007" s="436"/>
      <c r="I1007" s="436"/>
      <c r="J1007" s="437"/>
      <c r="K1007" s="130">
        <f>E1007*F1007</f>
        <v>34.661000000000001</v>
      </c>
      <c r="L1007" s="39"/>
      <c r="M1007" s="86"/>
      <c r="N1007" s="478"/>
      <c r="P1007" s="90"/>
    </row>
    <row r="1008" spans="2:16" s="353" customFormat="1" ht="15">
      <c r="B1008" s="595"/>
      <c r="C1008" s="274"/>
      <c r="D1008" s="161"/>
      <c r="E1008" s="81"/>
      <c r="F1008" s="597"/>
      <c r="G1008" s="592"/>
      <c r="H1008" s="592"/>
      <c r="I1008" s="592"/>
      <c r="J1008" s="593"/>
      <c r="K1008" s="175"/>
      <c r="L1008" s="39"/>
      <c r="M1008" s="86"/>
      <c r="N1008" s="478"/>
      <c r="P1008" s="90"/>
    </row>
    <row r="1009" spans="2:16" s="353" customFormat="1" ht="27" customHeight="1">
      <c r="B1009" s="514"/>
      <c r="C1009" s="275">
        <v>98504</v>
      </c>
      <c r="D1009" s="161" t="s">
        <v>6</v>
      </c>
      <c r="E1009" s="833" t="str">
        <f>IFERROR(VLOOKUP($C1009,'SINAPI FEVEREIRO 2022'!$1:$1048576,2,0),IFERROR(VLOOKUP($C1009,'5-COMP. PROPRIA'!$B$38:$I$647,4,0),""))</f>
        <v>PLANTIO DE GRAMA EM PLACAS. AF_05/2018</v>
      </c>
      <c r="F1009" s="834"/>
      <c r="G1009" s="834"/>
      <c r="H1009" s="834"/>
      <c r="I1009" s="834"/>
      <c r="J1009" s="835"/>
      <c r="K1009" s="175">
        <v>35.07</v>
      </c>
      <c r="L1009" s="39" t="str">
        <f>IFERROR(VLOOKUP($C1009,'SINAPI FEVEREIRO 2022'!$1:$1048576,3,0),IFERROR(VLOOKUP($C1009,'5-COMP. PROPRIA'!$B$1:$I$647,5,0),""))</f>
        <v>M2</v>
      </c>
      <c r="M1009" s="86"/>
      <c r="N1009" s="478"/>
      <c r="P1009" s="90"/>
    </row>
    <row r="1010" spans="2:16" ht="15.75" thickBot="1">
      <c r="B1010" s="434"/>
      <c r="C1010" s="274"/>
      <c r="D1010" s="161"/>
      <c r="E1010" s="81"/>
      <c r="F1010" s="41"/>
      <c r="G1010" s="43"/>
      <c r="H1010" s="41"/>
      <c r="I1010" s="332"/>
      <c r="J1010" s="66"/>
      <c r="K1010" s="127"/>
      <c r="L1010" s="39" t="str">
        <f>IFERROR(VLOOKUP(#REF!,'SINAPI FEVEREIRO 2022'!$1:$1048576,3,0),IFERROR(VLOOKUP(#REF!,'5-COMP. PROPRIA'!$B$1:$I$647,5,0),""))</f>
        <v/>
      </c>
      <c r="M1010" s="92"/>
      <c r="N1010" s="480"/>
      <c r="P1010" s="90"/>
    </row>
    <row r="1011" spans="2:16" s="353" customFormat="1" ht="15" thickBot="1">
      <c r="B1011" s="434"/>
      <c r="C1011" s="274"/>
      <c r="D1011" s="161"/>
      <c r="E1011" s="836" t="s">
        <v>27</v>
      </c>
      <c r="F1011" s="837"/>
      <c r="G1011" s="837"/>
      <c r="H1011" s="837"/>
      <c r="I1011" s="837"/>
      <c r="J1011" s="838"/>
      <c r="K1011" s="126"/>
      <c r="L1011" s="149"/>
      <c r="M1011" s="67"/>
      <c r="N1011" s="478"/>
      <c r="P1011" s="90"/>
    </row>
    <row r="1012" spans="2:16" s="353" customFormat="1" ht="14.25">
      <c r="B1012" s="434"/>
      <c r="C1012" s="274"/>
      <c r="D1012" s="161"/>
      <c r="E1012" s="438"/>
      <c r="F1012" s="439"/>
      <c r="G1012" s="439"/>
      <c r="H1012" s="439"/>
      <c r="I1012" s="439"/>
      <c r="J1012" s="440"/>
      <c r="K1012" s="126"/>
      <c r="L1012" s="149"/>
      <c r="M1012" s="67"/>
      <c r="N1012" s="478"/>
      <c r="P1012" s="90"/>
    </row>
    <row r="1013" spans="2:16" s="353" customFormat="1" ht="15">
      <c r="B1013" s="434"/>
      <c r="C1013" s="275" t="str">
        <f>'5-COMP. PROPRIA'!B568</f>
        <v>CP-SD-01</v>
      </c>
      <c r="D1013" s="161" t="s">
        <v>641</v>
      </c>
      <c r="E1013" s="833" t="str">
        <f>IFERROR(VLOOKUP($C1013,'SINAPI FEVEREIRO 2022'!$1:$1048576,2,0),IFERROR(VLOOKUP($C1013,'5-COMP. PROPRIA'!$B$38:$I$647,4,0),""))</f>
        <v>CONJUNTO DE MASTRO PARA TRÊS BANDEIRAS E PEDESTAL - FORNECIMENTO E INSTALAÇÃO</v>
      </c>
      <c r="F1013" s="834"/>
      <c r="G1013" s="834"/>
      <c r="H1013" s="834"/>
      <c r="I1013" s="834"/>
      <c r="J1013" s="835"/>
      <c r="K1013" s="175">
        <v>1</v>
      </c>
      <c r="L1013" s="39" t="str">
        <f>IFERROR(VLOOKUP($C1013,'SINAPI FEVEREIRO 2022'!$1:$1048576,3,0),IFERROR(VLOOKUP($C1013,'5-COMP. PROPRIA'!$B$1:$I$647,5,0),""))</f>
        <v>UNI</v>
      </c>
      <c r="M1013" s="86"/>
      <c r="N1013" s="478"/>
      <c r="P1013" s="90"/>
    </row>
    <row r="1014" spans="2:16" ht="14.25">
      <c r="B1014" s="434"/>
      <c r="C1014" s="274"/>
      <c r="D1014" s="161"/>
      <c r="E1014" s="438"/>
      <c r="F1014" s="439"/>
      <c r="G1014" s="439"/>
      <c r="H1014" s="439"/>
      <c r="I1014" s="439"/>
      <c r="J1014" s="440"/>
      <c r="K1014" s="126"/>
      <c r="L1014" s="149"/>
      <c r="M1014" s="67"/>
      <c r="N1014" s="478"/>
      <c r="P1014" s="90"/>
    </row>
    <row r="1015" spans="2:16" s="353" customFormat="1" ht="15">
      <c r="B1015" s="434"/>
      <c r="C1015" s="275" t="str">
        <f>'5-COMP. PROPRIA'!B596</f>
        <v>CP-SD-02</v>
      </c>
      <c r="D1015" s="161" t="s">
        <v>641</v>
      </c>
      <c r="E1015" s="833" t="str">
        <f>IFERROR(VLOOKUP($C1015,'SINAPI FEVEREIRO 2022'!$1:$1048576,2,0),IFERROR(VLOOKUP($C1015,'5-COMP. PROPRIA'!$B$38:$I$647,4,0),""))</f>
        <v>ESPELHO CRISTAL E = 4 MM COM REQUADRO DE ALUMINIO FORNECIMENTO E INSTALAÇÃO</v>
      </c>
      <c r="F1015" s="834"/>
      <c r="G1015" s="834"/>
      <c r="H1015" s="834"/>
      <c r="I1015" s="834"/>
      <c r="J1015" s="835"/>
      <c r="K1015" s="175">
        <v>9</v>
      </c>
      <c r="L1015" s="39" t="str">
        <f>IFERROR(VLOOKUP($C1015,'SINAPI FEVEREIRO 2022'!$1:$1048576,3,0),IFERROR(VLOOKUP($C1015,'5-COMP. PROPRIA'!$B$1:$I$647,5,0),""))</f>
        <v>UNI</v>
      </c>
      <c r="M1015" s="86"/>
      <c r="N1015" s="478"/>
      <c r="P1015" s="90"/>
    </row>
    <row r="1016" spans="2:16" ht="14.25">
      <c r="B1016" s="434"/>
      <c r="C1016" s="274"/>
      <c r="D1016" s="161"/>
      <c r="E1016" s="438"/>
      <c r="F1016" s="439"/>
      <c r="G1016" s="439"/>
      <c r="H1016" s="439"/>
      <c r="I1016" s="439"/>
      <c r="J1016" s="440"/>
      <c r="K1016" s="126"/>
      <c r="L1016" s="149"/>
      <c r="M1016" s="67"/>
      <c r="N1016" s="478"/>
      <c r="O1016" s="90"/>
      <c r="P1016" s="90"/>
    </row>
    <row r="1017" spans="2:16" ht="15">
      <c r="B1017" s="434"/>
      <c r="C1017" s="275" t="str">
        <f>'5-COMP. PROPRIA'!B603</f>
        <v>CP-SD-03</v>
      </c>
      <c r="D1017" s="161" t="s">
        <v>641</v>
      </c>
      <c r="E1017" s="833" t="str">
        <f>IFERROR(VLOOKUP($C1017,'SINAPI FEVEREIRO 2022'!$1:$1048576,2,0),IFERROR(VLOOKUP($C1017,'5-COMP. PROPRIA'!$B$38:$I$647,4,0),""))</f>
        <v>TELA DE PROTEÇÃO PARA JANELA COM REQUADRO EM ALUMINIO - FORNECIMENTO E INSTALAÇÃO</v>
      </c>
      <c r="F1017" s="834"/>
      <c r="G1017" s="834"/>
      <c r="H1017" s="834"/>
      <c r="I1017" s="834"/>
      <c r="J1017" s="835"/>
      <c r="K1017" s="175">
        <f>SUM(K1019:K1020)</f>
        <v>3.36</v>
      </c>
      <c r="L1017" s="39" t="str">
        <f>IFERROR(VLOOKUP($C1017,'SINAPI FEVEREIRO 2022'!$1:$1048576,3,0),IFERROR(VLOOKUP($C1017,'5-COMP. PROPRIA'!$B$1:$I$647,5,0),""))</f>
        <v xml:space="preserve">M2    </v>
      </c>
      <c r="M1017" s="86"/>
      <c r="N1017" s="478"/>
      <c r="P1017" s="90"/>
    </row>
    <row r="1018" spans="2:16" ht="15">
      <c r="B1018" s="514"/>
      <c r="C1018" s="275"/>
      <c r="D1018" s="161"/>
      <c r="E1018" s="54" t="s">
        <v>7293</v>
      </c>
      <c r="F1018" s="522" t="s">
        <v>7294</v>
      </c>
      <c r="G1018" s="516"/>
      <c r="H1018" s="516"/>
      <c r="I1018" s="516"/>
      <c r="J1018" s="517"/>
      <c r="K1018" s="175"/>
      <c r="L1018" s="39"/>
      <c r="M1018" s="86"/>
      <c r="N1018" s="478"/>
      <c r="P1018" s="90"/>
    </row>
    <row r="1019" spans="2:16" s="353" customFormat="1" ht="12.75" customHeight="1">
      <c r="B1019" s="514" t="s">
        <v>7295</v>
      </c>
      <c r="C1019" s="275"/>
      <c r="D1019" s="161"/>
      <c r="E1019" s="242">
        <v>1.5</v>
      </c>
      <c r="F1019" s="523">
        <v>2</v>
      </c>
      <c r="G1019" s="516"/>
      <c r="H1019" s="516"/>
      <c r="I1019" s="516"/>
      <c r="J1019" s="517"/>
      <c r="K1019" s="130">
        <f>E1019*F1019</f>
        <v>3</v>
      </c>
      <c r="L1019" s="39"/>
      <c r="M1019" s="86"/>
      <c r="N1019" s="478"/>
      <c r="P1019" s="90"/>
    </row>
    <row r="1020" spans="2:16" ht="30.75" customHeight="1">
      <c r="B1020" s="514" t="s">
        <v>7296</v>
      </c>
      <c r="C1020" s="275"/>
      <c r="D1020" s="161"/>
      <c r="E1020" s="242">
        <v>0.36</v>
      </c>
      <c r="F1020" s="523">
        <v>1</v>
      </c>
      <c r="G1020" s="516"/>
      <c r="H1020" s="516"/>
      <c r="I1020" s="516"/>
      <c r="J1020" s="517"/>
      <c r="K1020" s="130">
        <f>E1020*F1020</f>
        <v>0.36</v>
      </c>
      <c r="L1020" s="39"/>
      <c r="M1020" s="86"/>
      <c r="N1020" s="478"/>
      <c r="O1020" s="90"/>
      <c r="P1020" s="90"/>
    </row>
    <row r="1021" spans="2:16" s="353" customFormat="1" ht="14.25">
      <c r="B1021" s="434"/>
      <c r="C1021" s="274"/>
      <c r="D1021" s="161"/>
      <c r="E1021" s="438"/>
      <c r="F1021" s="439"/>
      <c r="G1021" s="439"/>
      <c r="H1021" s="439"/>
      <c r="I1021" s="439"/>
      <c r="J1021" s="440"/>
      <c r="K1021" s="126"/>
      <c r="L1021" s="149"/>
      <c r="M1021" s="67"/>
      <c r="N1021" s="478"/>
      <c r="O1021" s="90"/>
      <c r="P1021" s="90"/>
    </row>
    <row r="1022" spans="2:16" s="353" customFormat="1" ht="15">
      <c r="B1022" s="434"/>
      <c r="C1022" s="275" t="str">
        <f>'5-COMP. PROPRIA'!B609</f>
        <v>CP-SD-04</v>
      </c>
      <c r="D1022" s="161" t="s">
        <v>641</v>
      </c>
      <c r="E1022" s="833" t="str">
        <f>IFERROR(VLOOKUP($C1022,'SINAPI FEVEREIRO 2022'!$1:$1048576,2,0),IFERROR(VLOOKUP($C1022,'5-COMP. PROPRIA'!$B$38:$I$647,4,0),""))</f>
        <v>MOLA AEREA - FORNECIMENTO E INSTALAÇÃO</v>
      </c>
      <c r="F1022" s="834"/>
      <c r="G1022" s="834"/>
      <c r="H1022" s="834"/>
      <c r="I1022" s="834"/>
      <c r="J1022" s="835"/>
      <c r="K1022" s="175">
        <v>2</v>
      </c>
      <c r="L1022" s="39" t="str">
        <f>IFERROR(VLOOKUP($C1022,'SINAPI FEVEREIRO 2022'!$1:$1048576,3,0),IFERROR(VLOOKUP($C1022,'5-COMP. PROPRIA'!$B$1:$I$647,5,0),""))</f>
        <v>UNI</v>
      </c>
      <c r="M1022" s="86"/>
      <c r="N1022" s="478"/>
      <c r="O1022" s="90"/>
      <c r="P1022" s="90"/>
    </row>
    <row r="1023" spans="2:16" s="353" customFormat="1" ht="14.25">
      <c r="B1023" s="434"/>
      <c r="C1023" s="274"/>
      <c r="D1023" s="161"/>
      <c r="E1023" s="438"/>
      <c r="F1023" s="439"/>
      <c r="G1023" s="439"/>
      <c r="H1023" s="439"/>
      <c r="I1023" s="439"/>
      <c r="J1023" s="440"/>
      <c r="K1023" s="126"/>
      <c r="L1023" s="149"/>
      <c r="M1023" s="67"/>
      <c r="N1023" s="478"/>
      <c r="O1023" s="90"/>
      <c r="P1023" s="90"/>
    </row>
    <row r="1024" spans="2:16" s="353" customFormat="1" ht="15">
      <c r="B1024" s="434"/>
      <c r="C1024" s="275" t="str">
        <f>'5-COMP. PROPRIA'!B613</f>
        <v>CP-SD-05</v>
      </c>
      <c r="D1024" s="161" t="s">
        <v>641</v>
      </c>
      <c r="E1024" s="833" t="str">
        <f>IFERROR(VLOOKUP($C1024,'SINAPI FEVEREIRO 2022'!$1:$1048576,2,0),IFERROR(VLOOKUP($C1024,'5-COMP. PROPRIA'!$B$38:$I$647,4,0),""))</f>
        <v>LOUSA DE VIDRO BRANCA 4 X1,20 (FORNECIMENTO E INSTALAÇÃO)</v>
      </c>
      <c r="F1024" s="834"/>
      <c r="G1024" s="834"/>
      <c r="H1024" s="834"/>
      <c r="I1024" s="834"/>
      <c r="J1024" s="835"/>
      <c r="K1024" s="175">
        <v>9</v>
      </c>
      <c r="L1024" s="39" t="str">
        <f>IFERROR(VLOOKUP($C1024,'SINAPI FEVEREIRO 2022'!$1:$1048576,3,0),IFERROR(VLOOKUP($C1024,'5-COMP. PROPRIA'!$B$1:$I$647,5,0),""))</f>
        <v>UNI</v>
      </c>
      <c r="M1024" s="86"/>
      <c r="N1024" s="478"/>
      <c r="O1024" s="90"/>
      <c r="P1024" s="90"/>
    </row>
    <row r="1025" spans="2:16" ht="15">
      <c r="B1025" s="434"/>
      <c r="C1025" s="275"/>
      <c r="D1025" s="161"/>
      <c r="E1025" s="435"/>
      <c r="F1025" s="436"/>
      <c r="G1025" s="436"/>
      <c r="H1025" s="436"/>
      <c r="I1025" s="436"/>
      <c r="J1025" s="437"/>
      <c r="K1025" s="175"/>
      <c r="L1025" s="39"/>
      <c r="M1025" s="86"/>
      <c r="N1025" s="478"/>
      <c r="P1025" s="90"/>
    </row>
    <row r="1026" spans="2:16" s="353" customFormat="1" ht="28.5" customHeight="1">
      <c r="B1026" s="514"/>
      <c r="C1026" s="275" t="str">
        <f>'5-COMP. PROPRIA'!B621</f>
        <v>CP-SD-06</v>
      </c>
      <c r="D1026" s="161" t="s">
        <v>641</v>
      </c>
      <c r="E1026" s="833" t="str">
        <f>IFERROR(VLOOKUP($C1026,'SINAPI FEVEREIRO 2022'!$1:$1048576,2,0),IFERROR(VLOOKUP($C1026,'5-COMP. PROPRIA'!$B$38:$I$647,4,0),""))</f>
        <v xml:space="preserve">COIFA INDUSTRIAL EM INOX (1,30X2,75X0,5) COM EXAUSTORES, DUTOS, CURVAS E CHAPÉUS DE 300MM(30 CM) EM INOX CONFORME PROJETO - FORNECIMENTO E INSTALAÇÃO </v>
      </c>
      <c r="F1026" s="834"/>
      <c r="G1026" s="834"/>
      <c r="H1026" s="834"/>
      <c r="I1026" s="834"/>
      <c r="J1026" s="835"/>
      <c r="K1026" s="175">
        <v>1</v>
      </c>
      <c r="L1026" s="39" t="str">
        <f>IFERROR(VLOOKUP($C1026,'SINAPI FEVEREIRO 2022'!$1:$1048576,3,0),IFERROR(VLOOKUP($C1026,'5-COMP. PROPRIA'!$B$1:$I$647,5,0),""))</f>
        <v>UNI</v>
      </c>
      <c r="M1026" s="86"/>
      <c r="N1026" s="478"/>
      <c r="P1026" s="90"/>
    </row>
    <row r="1027" spans="2:16" ht="15">
      <c r="B1027" s="434"/>
      <c r="C1027" s="275"/>
      <c r="D1027" s="161"/>
      <c r="E1027" s="435"/>
      <c r="F1027" s="436"/>
      <c r="G1027" s="436"/>
      <c r="H1027" s="436"/>
      <c r="I1027" s="436"/>
      <c r="J1027" s="437"/>
      <c r="K1027" s="175"/>
      <c r="L1027" s="39"/>
      <c r="M1027" s="86"/>
      <c r="N1027" s="478"/>
      <c r="P1027" s="90"/>
    </row>
    <row r="1028" spans="2:16" ht="15">
      <c r="B1028" s="514" t="s">
        <v>6967</v>
      </c>
      <c r="C1028" s="275">
        <v>99857</v>
      </c>
      <c r="D1028" s="161" t="s">
        <v>6</v>
      </c>
      <c r="E1028" s="833" t="str">
        <f>IFERROR(VLOOKUP($C1028,'SINAPI FEVEREIRO 2022'!$1:$1048576,2,0),IFERROR(VLOOKUP($C1028,'5-COMP. PROPRIA'!$B$38:$I$647,4,0),""))</f>
        <v>CORRIMÃO SIMPLES, DIÂMETRO EXTERNO = 1 1/2", EM ALUMÍNIO. AF_04/2019_P</v>
      </c>
      <c r="F1028" s="834"/>
      <c r="G1028" s="834"/>
      <c r="H1028" s="834"/>
      <c r="I1028" s="834"/>
      <c r="J1028" s="835"/>
      <c r="K1028" s="175">
        <v>35</v>
      </c>
      <c r="L1028" s="39" t="str">
        <f>IFERROR(VLOOKUP($C1028,'SINAPI FEVEREIRO 2022'!$1:$1048576,3,0),IFERROR(VLOOKUP($C1028,'5-COMP. PROPRIA'!$B$1:$I$647,5,0),""))</f>
        <v>M</v>
      </c>
      <c r="M1028" s="86"/>
      <c r="N1028" s="478"/>
      <c r="P1028" s="90"/>
    </row>
    <row r="1029" spans="2:16" ht="30" customHeight="1">
      <c r="B1029" s="626"/>
      <c r="C1029" s="275"/>
      <c r="D1029" s="161"/>
      <c r="E1029" s="622"/>
      <c r="F1029" s="623"/>
      <c r="G1029" s="623"/>
      <c r="H1029" s="623"/>
      <c r="I1029" s="623"/>
      <c r="J1029" s="624"/>
      <c r="K1029" s="175"/>
      <c r="L1029" s="39"/>
      <c r="M1029" s="86"/>
      <c r="N1029" s="478"/>
      <c r="P1029" s="90"/>
    </row>
    <row r="1030" spans="2:16" s="353" customFormat="1" ht="45.75" customHeight="1">
      <c r="B1030" s="626"/>
      <c r="C1030" s="275">
        <v>102362</v>
      </c>
      <c r="D1030" s="161" t="s">
        <v>6</v>
      </c>
      <c r="E1030" s="833" t="str">
        <f>IFERROR(VLOOKUP($C1030,'SINAPI FEVEREIRO 2022'!$1:$1048576,2,0),IFERROR(VLOOKUP($C1030,'5-COMP. PROPRIA'!$B$38:$I$647,4,0),""))</f>
        <v>ALAMBRADO PARA QUADRA POLIESPORTIVA, ESTRUTURADO POR TUBOS DE ACO GALVANIZADO, (MONTANTES COM DIAMETRO 2", TRAVESSAS E ESCORAS COM DIÂMETRO 1 ¼), COM TELA DE ARAME GALVANIZADO, FIO 14 BWG E MALHA QUADRADA 5X5CM (EXCETO MURETA). AF_03/2021</v>
      </c>
      <c r="F1030" s="834"/>
      <c r="G1030" s="834"/>
      <c r="H1030" s="834"/>
      <c r="I1030" s="834"/>
      <c r="J1030" s="835"/>
      <c r="K1030" s="175">
        <f>SUM(K1032:K1035)</f>
        <v>215.09999999999997</v>
      </c>
      <c r="L1030" s="39" t="str">
        <f>IFERROR(VLOOKUP($C1030,'SINAPI FEVEREIRO 2022'!$1:$1048576,3,0),IFERROR(VLOOKUP($C1030,'5-COMP. PROPRIA'!$B$1:$I$647,5,0),""))</f>
        <v>M2</v>
      </c>
      <c r="M1030" s="86"/>
      <c r="N1030" s="478"/>
      <c r="P1030" s="90"/>
    </row>
    <row r="1031" spans="2:16" ht="15">
      <c r="B1031" s="626"/>
      <c r="C1031" s="275"/>
      <c r="D1031" s="161"/>
      <c r="E1031" s="54" t="s">
        <v>7422</v>
      </c>
      <c r="F1031" s="627" t="s">
        <v>3255</v>
      </c>
      <c r="G1031" s="623"/>
      <c r="H1031" s="623"/>
      <c r="I1031" s="623"/>
      <c r="J1031" s="624"/>
      <c r="K1031" s="175"/>
      <c r="L1031" s="39"/>
      <c r="M1031" s="86"/>
      <c r="N1031" s="478"/>
      <c r="P1031" s="90"/>
    </row>
    <row r="1032" spans="2:16" s="353" customFormat="1" ht="14.25">
      <c r="B1032" s="626"/>
      <c r="C1032" s="275"/>
      <c r="D1032" s="161"/>
      <c r="E1032" s="242">
        <v>20.100000000000001</v>
      </c>
      <c r="F1032" s="630">
        <v>5</v>
      </c>
      <c r="G1032" s="623"/>
      <c r="H1032" s="623"/>
      <c r="I1032" s="623"/>
      <c r="J1032" s="624"/>
      <c r="K1032" s="130">
        <f>E1032*F1032</f>
        <v>100.5</v>
      </c>
      <c r="L1032" s="39"/>
      <c r="M1032" s="86"/>
      <c r="N1032" s="478"/>
      <c r="P1032" s="90"/>
    </row>
    <row r="1033" spans="2:16" s="353" customFormat="1" ht="50.25" customHeight="1">
      <c r="B1033" s="626"/>
      <c r="C1033" s="275"/>
      <c r="D1033" s="161"/>
      <c r="E1033" s="242">
        <v>20.100000000000001</v>
      </c>
      <c r="F1033" s="630">
        <v>2</v>
      </c>
      <c r="G1033" s="623"/>
      <c r="H1033" s="623"/>
      <c r="I1033" s="623"/>
      <c r="J1033" s="624"/>
      <c r="K1033" s="130">
        <f t="shared" ref="K1033:K1035" si="25">E1033*F1033</f>
        <v>40.200000000000003</v>
      </c>
      <c r="L1033" s="39"/>
      <c r="M1033" s="86"/>
      <c r="N1033" s="478"/>
      <c r="P1033" s="90"/>
    </row>
    <row r="1034" spans="2:16" s="353" customFormat="1" ht="14.25">
      <c r="B1034" s="626"/>
      <c r="C1034" s="275"/>
      <c r="D1034" s="161"/>
      <c r="E1034" s="242">
        <v>12.4</v>
      </c>
      <c r="F1034" s="630">
        <v>3</v>
      </c>
      <c r="G1034" s="623"/>
      <c r="H1034" s="623"/>
      <c r="I1034" s="623"/>
      <c r="J1034" s="624"/>
      <c r="K1034" s="130">
        <f t="shared" si="25"/>
        <v>37.200000000000003</v>
      </c>
      <c r="L1034" s="39"/>
      <c r="M1034" s="86"/>
      <c r="N1034" s="478"/>
      <c r="P1034" s="90"/>
    </row>
    <row r="1035" spans="2:16" s="353" customFormat="1" ht="14.25">
      <c r="B1035" s="626"/>
      <c r="C1035" s="275"/>
      <c r="D1035" s="161"/>
      <c r="E1035" s="242">
        <v>12.4</v>
      </c>
      <c r="F1035" s="630">
        <v>3</v>
      </c>
      <c r="G1035" s="623"/>
      <c r="H1035" s="623"/>
      <c r="I1035" s="623"/>
      <c r="J1035" s="624"/>
      <c r="K1035" s="130">
        <f t="shared" si="25"/>
        <v>37.200000000000003</v>
      </c>
      <c r="L1035" s="39"/>
      <c r="M1035" s="86"/>
      <c r="N1035" s="478"/>
      <c r="P1035" s="90"/>
    </row>
    <row r="1036" spans="2:16" s="353" customFormat="1" ht="14.25">
      <c r="B1036" s="626"/>
      <c r="C1036" s="275"/>
      <c r="D1036" s="161"/>
      <c r="E1036" s="81"/>
      <c r="F1036" s="628"/>
      <c r="G1036" s="623"/>
      <c r="H1036" s="623"/>
      <c r="I1036" s="623"/>
      <c r="J1036" s="624"/>
      <c r="K1036" s="130"/>
      <c r="L1036" s="39"/>
      <c r="M1036" s="86"/>
      <c r="N1036" s="478"/>
      <c r="P1036" s="90"/>
    </row>
    <row r="1037" spans="2:16" s="353" customFormat="1" ht="15">
      <c r="B1037" s="626" t="s">
        <v>7425</v>
      </c>
      <c r="C1037" s="275" t="str">
        <f>'5-COMP. PROPRIA'!B625</f>
        <v>CP-SD-07</v>
      </c>
      <c r="D1037" s="161" t="s">
        <v>641</v>
      </c>
      <c r="E1037" s="833" t="str">
        <f>IFERROR(VLOOKUP($C1037,'SINAPI FEVEREIRO 2022'!$1:$1048576,2,0),IFERROR(VLOOKUP($C1037,'5-COMP. PROPRIA'!$B$38:$I$647,4,0),""))</f>
        <v>RECUPERAÇÃO DO PERGOLADO SEM REAPROVEITAMENTO</v>
      </c>
      <c r="F1037" s="834"/>
      <c r="G1037" s="834"/>
      <c r="H1037" s="834"/>
      <c r="I1037" s="834"/>
      <c r="J1037" s="835"/>
      <c r="K1037" s="175">
        <v>2</v>
      </c>
      <c r="L1037" s="39" t="str">
        <f>IFERROR(VLOOKUP($C1037,'SINAPI FEVEREIRO 2022'!$1:$1048576,3,0),IFERROR(VLOOKUP($C1037,'5-COMP. PROPRIA'!$B$1:$I$647,5,0),""))</f>
        <v>UN</v>
      </c>
      <c r="M1037" s="86"/>
      <c r="N1037" s="478"/>
      <c r="P1037" s="90"/>
    </row>
    <row r="1038" spans="2:16" s="353" customFormat="1" ht="15">
      <c r="B1038" s="695"/>
      <c r="C1038" s="275"/>
      <c r="D1038" s="161"/>
      <c r="E1038" s="688"/>
      <c r="F1038" s="689"/>
      <c r="G1038" s="689"/>
      <c r="H1038" s="689"/>
      <c r="I1038" s="689"/>
      <c r="J1038" s="690"/>
      <c r="K1038" s="175"/>
      <c r="L1038" s="39"/>
      <c r="M1038" s="86"/>
      <c r="N1038" s="478"/>
      <c r="P1038" s="90"/>
    </row>
    <row r="1039" spans="2:16" s="353" customFormat="1" ht="35.25" customHeight="1">
      <c r="B1039" s="695"/>
      <c r="C1039" s="275" t="str">
        <f>'5-COMP. PROPRIA'!B631</f>
        <v>CP-SD-08</v>
      </c>
      <c r="D1039" s="161" t="s">
        <v>641</v>
      </c>
      <c r="E1039" s="833" t="str">
        <f>IFERROR(VLOOKUP($C1039,'SINAPI FEVEREIRO 2022'!$1:$1048576,2,0),IFERROR(VLOOKUP($C1039,'5-COMP. PROPRIA'!$B$38:$I$647,4,0),""))</f>
        <v>BEBEDOURO INDUSTRIAL SUSPENSO 200 LITROS INCLUSIVE CUBA DE INOX COM TORNEIRAS, ENGATE FLEXIVEL E SIFÃO - FORNECIMENTO E INSTALAÇÃO</v>
      </c>
      <c r="F1039" s="834"/>
      <c r="G1039" s="834"/>
      <c r="H1039" s="834"/>
      <c r="I1039" s="834"/>
      <c r="J1039" s="835"/>
      <c r="K1039" s="175">
        <v>1</v>
      </c>
      <c r="L1039" s="39" t="str">
        <f>IFERROR(VLOOKUP($C1039,'SINAPI FEVEREIRO 2022'!$1:$1048576,3,0),IFERROR(VLOOKUP($C1039,'5-COMP. PROPRIA'!$B$1:$I$647,5,0),""))</f>
        <v>UN</v>
      </c>
      <c r="M1039" s="86"/>
      <c r="N1039" s="478"/>
      <c r="P1039" s="90"/>
    </row>
    <row r="1040" spans="2:16" s="353" customFormat="1" ht="15">
      <c r="B1040" s="695"/>
      <c r="C1040" s="275"/>
      <c r="D1040" s="161"/>
      <c r="E1040" s="688"/>
      <c r="F1040" s="689"/>
      <c r="G1040" s="689"/>
      <c r="H1040" s="689"/>
      <c r="I1040" s="689"/>
      <c r="J1040" s="690"/>
      <c r="K1040" s="175"/>
      <c r="L1040" s="39"/>
      <c r="M1040" s="86"/>
      <c r="N1040" s="478"/>
      <c r="P1040" s="90"/>
    </row>
    <row r="1041" spans="2:16" s="353" customFormat="1" ht="15">
      <c r="B1041" s="695"/>
      <c r="C1041" s="275" t="str">
        <f>'5-COMP. PROPRIA'!B640</f>
        <v>CP-SD-09</v>
      </c>
      <c r="D1041" s="161" t="s">
        <v>641</v>
      </c>
      <c r="E1041" s="833" t="str">
        <f>IFERROR(VLOOKUP($C1041,'SINAPI FEVEREIRO 2022'!$1:$1048576,2,0),IFERROR(VLOOKUP($C1041,'5-COMP. PROPRIA'!$B$38:$I$647,4,0),""))</f>
        <v>PLACA DE INAUGURACAO METALICA, *40* CM X *60* CM - FORNECIMENTO E INSTALAÇÃO</v>
      </c>
      <c r="F1041" s="834"/>
      <c r="G1041" s="834"/>
      <c r="H1041" s="834"/>
      <c r="I1041" s="834"/>
      <c r="J1041" s="835"/>
      <c r="K1041" s="175">
        <v>1</v>
      </c>
      <c r="L1041" s="39" t="str">
        <f>IFERROR(VLOOKUP($C1041,'SINAPI FEVEREIRO 2022'!$1:$1048576,3,0),IFERROR(VLOOKUP($C1041,'5-COMP. PROPRIA'!$B$1:$I$647,5,0),""))</f>
        <v>UN</v>
      </c>
      <c r="M1041" s="86"/>
      <c r="N1041" s="478"/>
      <c r="P1041" s="90"/>
    </row>
    <row r="1042" spans="2:16" s="353" customFormat="1" ht="15" thickBot="1">
      <c r="B1042" s="441"/>
      <c r="C1042" s="274"/>
      <c r="D1042" s="161"/>
      <c r="E1042" s="148"/>
      <c r="F1042" s="165"/>
      <c r="G1042" s="165"/>
      <c r="H1042" s="165"/>
      <c r="I1042" s="165"/>
      <c r="J1042" s="66"/>
      <c r="K1042" s="126"/>
      <c r="L1042" s="149"/>
      <c r="M1042" s="67"/>
      <c r="N1042" s="478"/>
      <c r="P1042" s="90"/>
    </row>
    <row r="1043" spans="2:16" s="353" customFormat="1" ht="15" thickBot="1">
      <c r="B1043" s="441"/>
      <c r="C1043" s="274"/>
      <c r="D1043" s="161"/>
      <c r="E1043" s="836" t="s">
        <v>625</v>
      </c>
      <c r="F1043" s="837"/>
      <c r="G1043" s="837"/>
      <c r="H1043" s="837"/>
      <c r="I1043" s="837"/>
      <c r="J1043" s="838"/>
      <c r="K1043" s="125"/>
      <c r="L1043" s="149"/>
      <c r="M1043" s="61"/>
      <c r="N1043" s="70"/>
      <c r="P1043" s="90"/>
    </row>
    <row r="1044" spans="2:16" s="353" customFormat="1" ht="14.25">
      <c r="B1044" s="434"/>
      <c r="C1044" s="274"/>
      <c r="D1044" s="161"/>
      <c r="E1044" s="72"/>
      <c r="F1044" s="164"/>
      <c r="G1044" s="164"/>
      <c r="H1044" s="164"/>
      <c r="I1044" s="164"/>
      <c r="J1044" s="168"/>
      <c r="K1044" s="129"/>
      <c r="L1044" s="149"/>
      <c r="M1044" s="61"/>
      <c r="N1044" s="70"/>
      <c r="P1044" s="90"/>
    </row>
    <row r="1045" spans="2:16" s="353" customFormat="1" ht="15">
      <c r="B1045" s="471"/>
      <c r="C1045" s="275" t="s">
        <v>4119</v>
      </c>
      <c r="D1045" s="161" t="s">
        <v>641</v>
      </c>
      <c r="E1045" s="833" t="str">
        <f>IFERROR(VLOOKUP($C1045,'SINAPI FEVEREIRO 2022'!$1:$1048576,2,0),IFERROR(VLOOKUP($C1045,'5-COMP. PROPRIA'!$B$38:$I$647,4,0),""))</f>
        <v>LIMPEZA FINAL DA OBRA</v>
      </c>
      <c r="F1045" s="834"/>
      <c r="G1045" s="834"/>
      <c r="H1045" s="834"/>
      <c r="I1045" s="834"/>
      <c r="J1045" s="835"/>
      <c r="K1045" s="127">
        <v>2495</v>
      </c>
      <c r="L1045" s="39" t="str">
        <f>IFERROR(VLOOKUP($C1045,'SINAPI FEVEREIRO 2022'!$1:$1048576,3,0),IFERROR(VLOOKUP($C1045,'5-COMP. PROPRIA'!$B$1:$I$647,5,0),""))</f>
        <v>M2</v>
      </c>
      <c r="M1045" s="67"/>
      <c r="N1045" s="478"/>
      <c r="P1045" s="90"/>
    </row>
    <row r="1046" spans="2:16" ht="14.25">
      <c r="B1046" s="434"/>
      <c r="C1046" s="274"/>
      <c r="D1046" s="161"/>
      <c r="E1046" s="58"/>
      <c r="F1046" s="41"/>
      <c r="G1046" s="41"/>
      <c r="H1046" s="272"/>
      <c r="I1046" s="272"/>
      <c r="J1046" s="273"/>
      <c r="K1046" s="129"/>
      <c r="L1046" s="149"/>
      <c r="M1046" s="92"/>
      <c r="N1046" s="480"/>
      <c r="P1046" s="90"/>
    </row>
    <row r="1047" spans="2:16" s="353" customFormat="1" ht="15">
      <c r="B1047" s="441"/>
      <c r="C1047" s="275">
        <v>99806</v>
      </c>
      <c r="D1047" s="161" t="s">
        <v>6</v>
      </c>
      <c r="E1047" s="833" t="str">
        <f>IFERROR(VLOOKUP($C1047,'SINAPI FEVEREIRO 2022'!$1:$1048576,2,0),IFERROR(VLOOKUP($C1047,'5-COMP. PROPRIA'!$B$38:$I$647,4,0),""))</f>
        <v>LIMPEZA DE REVESTIMENTO CERÂMICO EM PAREDE COM PANO ÚMIDO AF_04/2019</v>
      </c>
      <c r="F1047" s="834"/>
      <c r="G1047" s="834"/>
      <c r="H1047" s="834"/>
      <c r="I1047" s="834"/>
      <c r="J1047" s="835"/>
      <c r="K1047" s="127">
        <v>227.26</v>
      </c>
      <c r="L1047" s="39" t="str">
        <f>IFERROR(VLOOKUP($C1047,'SINAPI FEVEREIRO 2022'!$1:$1048576,3,0),IFERROR(VLOOKUP($C1047,'5-COMP. PROPRIA'!$B$1:$I$647,5,0),""))</f>
        <v>M2</v>
      </c>
      <c r="M1047" s="127"/>
      <c r="N1047" s="321"/>
      <c r="P1047" s="90"/>
    </row>
    <row r="1048" spans="2:16" ht="14.25">
      <c r="B1048" s="434"/>
      <c r="C1048" s="274"/>
      <c r="D1048" s="161"/>
      <c r="E1048" s="58"/>
      <c r="F1048" s="41"/>
      <c r="G1048" s="41"/>
      <c r="H1048" s="272"/>
      <c r="I1048" s="272"/>
      <c r="J1048" s="273"/>
      <c r="K1048" s="129"/>
      <c r="L1048" s="149"/>
      <c r="M1048" s="92"/>
      <c r="N1048" s="480"/>
      <c r="P1048" s="90"/>
    </row>
    <row r="1049" spans="2:16" s="353" customFormat="1" ht="15">
      <c r="B1049" s="441"/>
      <c r="C1049" s="275">
        <v>99803</v>
      </c>
      <c r="D1049" s="161" t="s">
        <v>6</v>
      </c>
      <c r="E1049" s="833" t="str">
        <f>IFERROR(VLOOKUP($C1049,'SINAPI FEVEREIRO 2022'!$1:$1048576,2,0),IFERROR(VLOOKUP($C1049,'5-COMP. PROPRIA'!$B$38:$I$647,4,0),""))</f>
        <v>LIMPEZA DE PISO CERÂMICO OU PORCELANATO COM PANO ÚMIDO. AF_04/2019</v>
      </c>
      <c r="F1049" s="834"/>
      <c r="G1049" s="834"/>
      <c r="H1049" s="834"/>
      <c r="I1049" s="834"/>
      <c r="J1049" s="835"/>
      <c r="K1049" s="127">
        <v>1010.7</v>
      </c>
      <c r="L1049" s="39" t="str">
        <f>IFERROR(VLOOKUP($C1049,'SINAPI FEVEREIRO 2022'!$1:$1048576,3,0),IFERROR(VLOOKUP($C1049,'5-COMP. PROPRIA'!$B$1:$I$647,5,0),""))</f>
        <v>M2</v>
      </c>
      <c r="M1049" s="127"/>
      <c r="N1049" s="321"/>
      <c r="P1049" s="90"/>
    </row>
    <row r="1050" spans="2:16" ht="14.25">
      <c r="B1050" s="434"/>
      <c r="C1050" s="274"/>
      <c r="D1050" s="161"/>
      <c r="E1050" s="58"/>
      <c r="F1050" s="41"/>
      <c r="G1050" s="41"/>
      <c r="H1050" s="272"/>
      <c r="I1050" s="272"/>
      <c r="J1050" s="273"/>
      <c r="K1050" s="129"/>
      <c r="L1050" s="149"/>
      <c r="M1050" s="92"/>
      <c r="N1050" s="480"/>
      <c r="P1050" s="90"/>
    </row>
    <row r="1051" spans="2:16" s="353" customFormat="1" ht="27.75" customHeight="1">
      <c r="B1051" s="441"/>
      <c r="C1051" s="275">
        <v>99814</v>
      </c>
      <c r="D1051" s="161" t="s">
        <v>6</v>
      </c>
      <c r="E1051" s="833" t="str">
        <f>IFERROR(VLOOKUP($C1051,'SINAPI FEVEREIRO 2022'!$1:$1048576,2,0),IFERROR(VLOOKUP($C1051,'5-COMP. PROPRIA'!$B$38:$I$647,4,0),""))</f>
        <v>LIMPEZA DE SUPERFÍCIE COM JATO DE ALTA PRESSÃO. AF_04/2019</v>
      </c>
      <c r="F1051" s="834"/>
      <c r="G1051" s="834"/>
      <c r="H1051" s="834"/>
      <c r="I1051" s="834"/>
      <c r="J1051" s="835"/>
      <c r="K1051" s="127">
        <v>1200</v>
      </c>
      <c r="L1051" s="39" t="str">
        <f>IFERROR(VLOOKUP($C1051,'SINAPI FEVEREIRO 2022'!$1:$1048576,3,0),IFERROR(VLOOKUP($C1051,'5-COMP. PROPRIA'!$B$1:$I$647,5,0),""))</f>
        <v>M2</v>
      </c>
      <c r="M1051" s="127"/>
      <c r="N1051" s="321"/>
      <c r="P1051" s="90"/>
    </row>
    <row r="1052" spans="2:16" ht="14.25">
      <c r="B1052" s="434"/>
      <c r="C1052" s="275"/>
      <c r="D1052" s="161"/>
      <c r="E1052" s="58"/>
      <c r="F1052" s="41"/>
      <c r="G1052" s="41"/>
      <c r="H1052" s="272"/>
      <c r="I1052" s="272"/>
      <c r="J1052" s="273"/>
    </row>
    <row r="1053" spans="2:16" s="353" customFormat="1" ht="14.25">
      <c r="B1053" s="468"/>
      <c r="C1053" s="237"/>
      <c r="D1053" s="237"/>
      <c r="E1053" s="64"/>
      <c r="F1053" s="36"/>
      <c r="G1053" s="36"/>
      <c r="H1053" s="36"/>
      <c r="I1053" s="36"/>
      <c r="J1053" s="36"/>
      <c r="K1053" s="122"/>
      <c r="L1053" s="36"/>
      <c r="M1053" s="69"/>
      <c r="N1053" s="274"/>
    </row>
    <row r="1054" spans="2:16" s="353" customFormat="1" ht="14.25">
      <c r="B1054" s="468"/>
      <c r="C1054" s="237"/>
      <c r="D1054" s="237"/>
      <c r="E1054" s="64"/>
      <c r="F1054" s="36"/>
      <c r="G1054" s="36"/>
      <c r="H1054" s="36"/>
      <c r="I1054" s="36"/>
      <c r="J1054" s="36"/>
      <c r="K1054" s="122"/>
      <c r="L1054" s="36"/>
      <c r="M1054" s="69"/>
      <c r="N1054" s="274"/>
    </row>
    <row r="1055" spans="2:16" s="353" customFormat="1" ht="14.25">
      <c r="B1055" s="468"/>
      <c r="C1055" s="237"/>
      <c r="D1055" s="237"/>
      <c r="E1055" s="64"/>
      <c r="F1055" s="36"/>
      <c r="G1055" s="36"/>
      <c r="H1055" s="36"/>
      <c r="I1055" s="36"/>
      <c r="J1055" s="36"/>
      <c r="K1055" s="122"/>
      <c r="L1055" s="36"/>
      <c r="M1055" s="69"/>
      <c r="N1055" s="274"/>
    </row>
    <row r="1056" spans="2:16" s="353" customFormat="1" ht="14.25">
      <c r="B1056" s="468"/>
      <c r="C1056" s="237"/>
      <c r="D1056" s="237"/>
      <c r="E1056" s="64"/>
      <c r="F1056" s="36"/>
      <c r="G1056" s="36"/>
      <c r="H1056" s="36"/>
      <c r="I1056" s="36"/>
      <c r="J1056" s="36"/>
      <c r="K1056" s="122"/>
      <c r="L1056" s="36"/>
      <c r="M1056" s="69"/>
      <c r="N1056" s="274"/>
    </row>
    <row r="1057" spans="2:14" s="353" customFormat="1" ht="14.25">
      <c r="B1057" s="468"/>
      <c r="C1057" s="237"/>
      <c r="D1057" s="237"/>
      <c r="E1057" s="64"/>
      <c r="F1057" s="36"/>
      <c r="G1057" s="36"/>
      <c r="H1057" s="36"/>
      <c r="I1057" s="36"/>
      <c r="J1057" s="36"/>
      <c r="K1057" s="122"/>
      <c r="L1057" s="36"/>
      <c r="M1057" s="69"/>
      <c r="N1057" s="274"/>
    </row>
    <row r="1058" spans="2:14" s="353" customFormat="1" ht="14.25">
      <c r="B1058" s="468"/>
      <c r="C1058" s="237"/>
      <c r="D1058" s="237"/>
      <c r="E1058" s="64"/>
      <c r="F1058" s="36"/>
      <c r="G1058" s="36"/>
      <c r="H1058" s="36"/>
      <c r="I1058" s="36"/>
      <c r="J1058" s="36"/>
      <c r="K1058" s="122"/>
      <c r="L1058" s="36"/>
      <c r="M1058" s="69"/>
      <c r="N1058" s="274"/>
    </row>
    <row r="1059" spans="2:14" ht="14.25"/>
    <row r="1060" spans="2:14" s="353" customFormat="1" ht="14.25">
      <c r="B1060" s="468"/>
      <c r="C1060" s="237"/>
      <c r="D1060" s="237"/>
      <c r="E1060" s="64"/>
      <c r="F1060" s="36"/>
      <c r="G1060" s="36"/>
      <c r="H1060" s="36"/>
      <c r="I1060" s="36"/>
      <c r="J1060" s="36"/>
      <c r="K1060" s="122"/>
      <c r="L1060" s="36"/>
      <c r="M1060" s="69"/>
      <c r="N1060" s="274"/>
    </row>
    <row r="1061" spans="2:14" s="353" customFormat="1" ht="14.25">
      <c r="B1061" s="468"/>
      <c r="C1061" s="237"/>
      <c r="D1061" s="237"/>
      <c r="E1061" s="64"/>
      <c r="F1061" s="36"/>
      <c r="G1061" s="36"/>
      <c r="H1061" s="36"/>
      <c r="I1061" s="36"/>
      <c r="J1061" s="36"/>
      <c r="K1061" s="122"/>
      <c r="L1061" s="36"/>
      <c r="M1061" s="69"/>
      <c r="N1061" s="274"/>
    </row>
    <row r="1062" spans="2:14" s="353" customFormat="1" ht="14.25">
      <c r="B1062" s="468"/>
      <c r="C1062" s="237"/>
      <c r="D1062" s="237"/>
      <c r="E1062" s="64"/>
      <c r="F1062" s="36"/>
      <c r="G1062" s="36"/>
      <c r="H1062" s="36"/>
      <c r="I1062" s="36"/>
      <c r="J1062" s="36"/>
      <c r="K1062" s="122"/>
      <c r="L1062" s="36"/>
      <c r="M1062" s="69"/>
      <c r="N1062" s="274"/>
    </row>
    <row r="1063" spans="2:14" s="353" customFormat="1" ht="14.25">
      <c r="B1063" s="468"/>
      <c r="C1063" s="237"/>
      <c r="D1063" s="237"/>
      <c r="E1063" s="64"/>
      <c r="F1063" s="36"/>
      <c r="G1063" s="36"/>
      <c r="H1063" s="36"/>
      <c r="I1063" s="36"/>
      <c r="J1063" s="36"/>
      <c r="K1063" s="122"/>
      <c r="L1063" s="36"/>
      <c r="M1063" s="69"/>
      <c r="N1063" s="274"/>
    </row>
    <row r="1064" spans="2:14" s="353" customFormat="1" ht="14.25">
      <c r="B1064" s="468"/>
      <c r="C1064" s="237"/>
      <c r="D1064" s="237"/>
      <c r="E1064" s="64"/>
      <c r="F1064" s="36"/>
      <c r="G1064" s="36"/>
      <c r="H1064" s="36"/>
      <c r="I1064" s="36"/>
      <c r="J1064" s="36"/>
      <c r="K1064" s="122"/>
      <c r="L1064" s="36"/>
      <c r="M1064" s="69"/>
      <c r="N1064" s="274"/>
    </row>
    <row r="1065" spans="2:14" s="353" customFormat="1" ht="14.25">
      <c r="B1065" s="468"/>
      <c r="C1065" s="237"/>
      <c r="D1065" s="237"/>
      <c r="E1065" s="64"/>
      <c r="F1065" s="36"/>
      <c r="G1065" s="36"/>
      <c r="H1065" s="36"/>
      <c r="I1065" s="36"/>
      <c r="J1065" s="36"/>
      <c r="K1065" s="122"/>
      <c r="L1065" s="36"/>
      <c r="M1065" s="69"/>
      <c r="N1065" s="274"/>
    </row>
    <row r="1066" spans="2:14" s="353" customFormat="1" ht="14.25">
      <c r="B1066" s="468"/>
      <c r="C1066" s="237"/>
      <c r="D1066" s="237"/>
      <c r="E1066" s="64"/>
      <c r="F1066" s="36"/>
      <c r="G1066" s="36"/>
      <c r="H1066" s="36"/>
      <c r="I1066" s="36"/>
      <c r="J1066" s="36"/>
      <c r="K1066" s="122"/>
      <c r="L1066" s="36"/>
      <c r="M1066" s="69"/>
      <c r="N1066" s="274"/>
    </row>
    <row r="1067" spans="2:14" s="353" customFormat="1" ht="14.25">
      <c r="B1067" s="468"/>
      <c r="C1067" s="237"/>
      <c r="D1067" s="237"/>
      <c r="E1067" s="64"/>
      <c r="F1067" s="36"/>
      <c r="G1067" s="36"/>
      <c r="H1067" s="36"/>
      <c r="I1067" s="36"/>
      <c r="J1067" s="36"/>
      <c r="K1067" s="122"/>
      <c r="L1067" s="36"/>
      <c r="M1067" s="69"/>
      <c r="N1067" s="274"/>
    </row>
    <row r="1068" spans="2:14" s="353" customFormat="1" ht="14.25">
      <c r="B1068" s="468"/>
      <c r="C1068" s="237"/>
      <c r="D1068" s="237"/>
      <c r="E1068" s="64"/>
      <c r="F1068" s="36"/>
      <c r="G1068" s="36"/>
      <c r="H1068" s="36"/>
      <c r="I1068" s="36"/>
      <c r="J1068" s="36"/>
      <c r="K1068" s="122"/>
      <c r="L1068" s="36"/>
      <c r="M1068" s="69"/>
      <c r="N1068" s="274"/>
    </row>
    <row r="1069" spans="2:14" s="353" customFormat="1" ht="14.25">
      <c r="B1069" s="468"/>
      <c r="C1069" s="237"/>
      <c r="D1069" s="237"/>
      <c r="E1069" s="64"/>
      <c r="F1069" s="36"/>
      <c r="G1069" s="36"/>
      <c r="H1069" s="36"/>
      <c r="I1069" s="36"/>
      <c r="J1069" s="36"/>
      <c r="K1069" s="122"/>
      <c r="L1069" s="36"/>
      <c r="M1069" s="69"/>
      <c r="N1069" s="274"/>
    </row>
    <row r="1070" spans="2:14" s="353" customFormat="1" ht="28.5" customHeight="1">
      <c r="B1070" s="468"/>
      <c r="C1070" s="237"/>
      <c r="D1070" s="237"/>
      <c r="E1070" s="64"/>
      <c r="F1070" s="36"/>
      <c r="G1070" s="36"/>
      <c r="H1070" s="36"/>
      <c r="I1070" s="36"/>
      <c r="J1070" s="36"/>
      <c r="K1070" s="122"/>
      <c r="L1070" s="36"/>
      <c r="M1070" s="69"/>
      <c r="N1070" s="274"/>
    </row>
    <row r="1071" spans="2:14" s="353" customFormat="1" ht="14.25">
      <c r="B1071" s="468"/>
      <c r="C1071" s="237"/>
      <c r="D1071" s="237"/>
      <c r="E1071" s="64"/>
      <c r="F1071" s="36"/>
      <c r="G1071" s="36"/>
      <c r="H1071" s="36"/>
      <c r="I1071" s="36"/>
      <c r="J1071" s="36"/>
      <c r="K1071" s="122"/>
      <c r="L1071" s="36"/>
      <c r="M1071" s="69"/>
      <c r="N1071" s="274"/>
    </row>
    <row r="1072" spans="2:14" s="353" customFormat="1" ht="30" customHeight="1">
      <c r="B1072" s="468"/>
      <c r="C1072" s="237"/>
      <c r="D1072" s="237"/>
      <c r="E1072" s="64"/>
      <c r="F1072" s="36"/>
      <c r="G1072" s="36"/>
      <c r="H1072" s="36"/>
      <c r="I1072" s="36"/>
      <c r="J1072" s="36"/>
      <c r="K1072" s="122"/>
      <c r="L1072" s="36"/>
      <c r="M1072" s="69"/>
      <c r="N1072" s="274"/>
    </row>
    <row r="1073" spans="2:15" s="353" customFormat="1" ht="14.25">
      <c r="B1073" s="468"/>
      <c r="C1073" s="237"/>
      <c r="D1073" s="237"/>
      <c r="E1073" s="64"/>
      <c r="F1073" s="36"/>
      <c r="G1073" s="36"/>
      <c r="H1073" s="36"/>
      <c r="I1073" s="36"/>
      <c r="J1073" s="36"/>
      <c r="K1073" s="122"/>
      <c r="L1073" s="36"/>
      <c r="M1073" s="69"/>
      <c r="N1073" s="274"/>
    </row>
    <row r="1074" spans="2:15" s="353" customFormat="1" ht="14.25">
      <c r="B1074" s="468"/>
      <c r="C1074" s="237"/>
      <c r="D1074" s="237"/>
      <c r="E1074" s="64"/>
      <c r="F1074" s="36"/>
      <c r="G1074" s="36"/>
      <c r="H1074" s="36"/>
      <c r="I1074" s="36"/>
      <c r="J1074" s="36"/>
      <c r="K1074" s="122"/>
      <c r="L1074" s="36"/>
      <c r="M1074" s="69"/>
      <c r="N1074" s="274"/>
    </row>
    <row r="1075" spans="2:15" s="353" customFormat="1" ht="14.25">
      <c r="B1075" s="468"/>
      <c r="C1075" s="237"/>
      <c r="D1075" s="237"/>
      <c r="E1075" s="64"/>
      <c r="F1075" s="36"/>
      <c r="G1075" s="36"/>
      <c r="H1075" s="36"/>
      <c r="I1075" s="36"/>
      <c r="J1075" s="36"/>
      <c r="K1075" s="122"/>
      <c r="L1075" s="36"/>
      <c r="M1075" s="69"/>
      <c r="N1075" s="274"/>
    </row>
    <row r="1076" spans="2:15" s="353" customFormat="1" ht="14.25">
      <c r="B1076" s="468"/>
      <c r="C1076" s="237"/>
      <c r="D1076" s="237"/>
      <c r="E1076" s="64"/>
      <c r="F1076" s="36"/>
      <c r="G1076" s="36"/>
      <c r="H1076" s="36"/>
      <c r="I1076" s="36"/>
      <c r="J1076" s="36"/>
      <c r="K1076" s="122"/>
      <c r="L1076" s="36"/>
      <c r="M1076" s="69"/>
      <c r="N1076" s="274"/>
    </row>
    <row r="1077" spans="2:15" s="353" customFormat="1" ht="14.25">
      <c r="B1077" s="468"/>
      <c r="C1077" s="237"/>
      <c r="D1077" s="237"/>
      <c r="E1077" s="64"/>
      <c r="F1077" s="36"/>
      <c r="G1077" s="36"/>
      <c r="H1077" s="36"/>
      <c r="I1077" s="36"/>
      <c r="J1077" s="36"/>
      <c r="K1077" s="122"/>
      <c r="L1077" s="36"/>
      <c r="M1077" s="69"/>
      <c r="N1077" s="274"/>
    </row>
    <row r="1078" spans="2:15" s="353" customFormat="1" ht="14.25">
      <c r="B1078" s="468"/>
      <c r="C1078" s="237"/>
      <c r="D1078" s="237"/>
      <c r="E1078" s="64"/>
      <c r="F1078" s="36"/>
      <c r="G1078" s="36"/>
      <c r="H1078" s="36"/>
      <c r="I1078" s="36"/>
      <c r="J1078" s="36"/>
      <c r="K1078" s="122"/>
      <c r="L1078" s="36"/>
      <c r="M1078" s="69"/>
      <c r="N1078" s="274"/>
    </row>
    <row r="1079" spans="2:15" s="353" customFormat="1" ht="14.25">
      <c r="B1079" s="468"/>
      <c r="C1079" s="237"/>
      <c r="D1079" s="237"/>
      <c r="E1079" s="64"/>
      <c r="F1079" s="36"/>
      <c r="G1079" s="36"/>
      <c r="H1079" s="36"/>
      <c r="I1079" s="36"/>
      <c r="J1079" s="36"/>
      <c r="K1079" s="122"/>
      <c r="L1079" s="36"/>
      <c r="M1079" s="69"/>
      <c r="N1079" s="274"/>
    </row>
    <row r="1080" spans="2:15" s="353" customFormat="1" ht="14.25">
      <c r="B1080" s="468"/>
      <c r="C1080" s="237"/>
      <c r="D1080" s="237"/>
      <c r="E1080" s="64"/>
      <c r="F1080" s="36"/>
      <c r="G1080" s="36"/>
      <c r="H1080" s="36"/>
      <c r="I1080" s="36"/>
      <c r="J1080" s="36"/>
      <c r="K1080" s="122"/>
      <c r="L1080" s="36"/>
      <c r="M1080" s="69"/>
      <c r="N1080" s="274"/>
    </row>
    <row r="1081" spans="2:15" ht="17.25" customHeight="1">
      <c r="O1081" s="87"/>
    </row>
    <row r="1082" spans="2:15" s="90" customFormat="1" ht="14.25">
      <c r="B1082" s="468"/>
      <c r="C1082" s="237"/>
      <c r="D1082" s="237"/>
      <c r="E1082" s="64"/>
      <c r="F1082" s="36"/>
      <c r="G1082" s="36"/>
      <c r="H1082" s="36"/>
      <c r="I1082" s="36"/>
      <c r="J1082" s="36"/>
      <c r="K1082" s="122"/>
      <c r="L1082" s="36"/>
      <c r="M1082" s="69"/>
      <c r="N1082" s="274"/>
    </row>
    <row r="1084" spans="2:15" ht="14.25"/>
    <row r="1085" spans="2:15" ht="14.25"/>
    <row r="1086" spans="2:15" ht="14.25"/>
    <row r="1087" spans="2:15" ht="14.25"/>
    <row r="1088" spans="2:15" ht="32.25" customHeight="1"/>
    <row r="1089" spans="2:14" ht="14.25"/>
    <row r="1090" spans="2:14" ht="14.25"/>
    <row r="1091" spans="2:14" s="90" customFormat="1" ht="14.25">
      <c r="B1091" s="468"/>
      <c r="C1091" s="237"/>
      <c r="D1091" s="237"/>
      <c r="E1091" s="64"/>
      <c r="F1091" s="36"/>
      <c r="G1091" s="36"/>
      <c r="H1091" s="36"/>
      <c r="I1091" s="36"/>
      <c r="J1091" s="36"/>
      <c r="K1091" s="122"/>
      <c r="L1091" s="36"/>
      <c r="M1091" s="69"/>
      <c r="N1091" s="274"/>
    </row>
  </sheetData>
  <mergeCells count="438">
    <mergeCell ref="E960:J960"/>
    <mergeCell ref="E861:J861"/>
    <mergeCell ref="E880:J880"/>
    <mergeCell ref="E881:J881"/>
    <mergeCell ref="E914:J914"/>
    <mergeCell ref="E915:J915"/>
    <mergeCell ref="E967:J967"/>
    <mergeCell ref="E938:J938"/>
    <mergeCell ref="E940:J940"/>
    <mergeCell ref="E942:J942"/>
    <mergeCell ref="E944:J944"/>
    <mergeCell ref="E946:J946"/>
    <mergeCell ref="E948:J948"/>
    <mergeCell ref="E950:J950"/>
    <mergeCell ref="E952:J952"/>
    <mergeCell ref="E949:J949"/>
    <mergeCell ref="E951:J951"/>
    <mergeCell ref="E953:J953"/>
    <mergeCell ref="E954:J954"/>
    <mergeCell ref="E955:J955"/>
    <mergeCell ref="E956:J956"/>
    <mergeCell ref="E957:J957"/>
    <mergeCell ref="E958:J958"/>
    <mergeCell ref="E959:J959"/>
    <mergeCell ref="E32:J32"/>
    <mergeCell ref="E514:J514"/>
    <mergeCell ref="E693:J693"/>
    <mergeCell ref="E318:J318"/>
    <mergeCell ref="E292:J292"/>
    <mergeCell ref="E363:J363"/>
    <mergeCell ref="E600:J600"/>
    <mergeCell ref="E608:J608"/>
    <mergeCell ref="E604:J604"/>
    <mergeCell ref="E524:J524"/>
    <mergeCell ref="G568:H568"/>
    <mergeCell ref="G569:H569"/>
    <mergeCell ref="E365:J365"/>
    <mergeCell ref="E473:J473"/>
    <mergeCell ref="E368:J368"/>
    <mergeCell ref="E379:J379"/>
    <mergeCell ref="E554:J554"/>
    <mergeCell ref="E381:J381"/>
    <mergeCell ref="E383:J383"/>
    <mergeCell ref="E390:J390"/>
    <mergeCell ref="E500:J500"/>
    <mergeCell ref="E520:J520"/>
    <mergeCell ref="E388:J388"/>
    <mergeCell ref="E510:J510"/>
    <mergeCell ref="E345:J345"/>
    <mergeCell ref="E282:J282"/>
    <mergeCell ref="E858:J858"/>
    <mergeCell ref="E739:J739"/>
    <mergeCell ref="E741:J741"/>
    <mergeCell ref="E855:J855"/>
    <mergeCell ref="E866:J866"/>
    <mergeCell ref="E633:J633"/>
    <mergeCell ref="E635:J635"/>
    <mergeCell ref="E452:J452"/>
    <mergeCell ref="E496:J496"/>
    <mergeCell ref="E691:J691"/>
    <mergeCell ref="E717:J717"/>
    <mergeCell ref="E689:J689"/>
    <mergeCell ref="E775:J775"/>
    <mergeCell ref="E629:J629"/>
    <mergeCell ref="E751:J751"/>
    <mergeCell ref="E671:J671"/>
    <mergeCell ref="E673:J673"/>
    <mergeCell ref="E675:J675"/>
    <mergeCell ref="E677:J677"/>
    <mergeCell ref="E681:J681"/>
    <mergeCell ref="E859:J859"/>
    <mergeCell ref="E860:J860"/>
    <mergeCell ref="E631:J631"/>
    <mergeCell ref="E617:J617"/>
    <mergeCell ref="E727:J727"/>
    <mergeCell ref="E729:J729"/>
    <mergeCell ref="E731:J731"/>
    <mergeCell ref="E735:J735"/>
    <mergeCell ref="E647:J647"/>
    <mergeCell ref="E649:J649"/>
    <mergeCell ref="E651:J651"/>
    <mergeCell ref="B140:B141"/>
    <mergeCell ref="B143:B146"/>
    <mergeCell ref="B155:B156"/>
    <mergeCell ref="B157:B158"/>
    <mergeCell ref="E504:J504"/>
    <mergeCell ref="E482:J482"/>
    <mergeCell ref="E454:J454"/>
    <mergeCell ref="E456:J456"/>
    <mergeCell ref="E621:J621"/>
    <mergeCell ref="E563:J563"/>
    <mergeCell ref="E591:J591"/>
    <mergeCell ref="E583:J583"/>
    <mergeCell ref="E571:J571"/>
    <mergeCell ref="E602:J602"/>
    <mergeCell ref="E606:J606"/>
    <mergeCell ref="B600:B608"/>
    <mergeCell ref="E353:J353"/>
    <mergeCell ref="E612:J612"/>
    <mergeCell ref="E402:J402"/>
    <mergeCell ref="E403:J403"/>
    <mergeCell ref="E394:J394"/>
    <mergeCell ref="G531:H531"/>
    <mergeCell ref="G532:H532"/>
    <mergeCell ref="E598:J598"/>
    <mergeCell ref="E779:J779"/>
    <mergeCell ref="E663:J663"/>
    <mergeCell ref="E665:J665"/>
    <mergeCell ref="E667:J667"/>
    <mergeCell ref="E669:J669"/>
    <mergeCell ref="E703:J703"/>
    <mergeCell ref="E709:J709"/>
    <mergeCell ref="E749:J749"/>
    <mergeCell ref="E767:J767"/>
    <mergeCell ref="E769:J769"/>
    <mergeCell ref="E771:J771"/>
    <mergeCell ref="E773:J773"/>
    <mergeCell ref="E777:J777"/>
    <mergeCell ref="E753:J753"/>
    <mergeCell ref="E755:J755"/>
    <mergeCell ref="E757:J757"/>
    <mergeCell ref="E721:J721"/>
    <mergeCell ref="E683:J683"/>
    <mergeCell ref="E685:J685"/>
    <mergeCell ref="E687:J687"/>
    <mergeCell ref="E761:J761"/>
    <mergeCell ref="E763:J763"/>
    <mergeCell ref="E765:J765"/>
    <mergeCell ref="E745:J745"/>
    <mergeCell ref="E803:J803"/>
    <mergeCell ref="E817:J817"/>
    <mergeCell ref="E863:J863"/>
    <mergeCell ref="E614:J614"/>
    <mergeCell ref="E655:J655"/>
    <mergeCell ref="E434:J434"/>
    <mergeCell ref="E438:J438"/>
    <mergeCell ref="E440:J440"/>
    <mergeCell ref="E623:J623"/>
    <mergeCell ref="E619:J619"/>
    <mergeCell ref="E759:J759"/>
    <mergeCell ref="E743:J743"/>
    <mergeCell ref="E713:J713"/>
    <mergeCell ref="E715:J715"/>
    <mergeCell ref="E737:J737"/>
    <mergeCell ref="E625:J625"/>
    <mergeCell ref="E627:J627"/>
    <mergeCell ref="E653:J653"/>
    <mergeCell ref="E657:J657"/>
    <mergeCell ref="E679:J679"/>
    <mergeCell ref="E695:J695"/>
    <mergeCell ref="E705:J705"/>
    <mergeCell ref="E492:J492"/>
    <mergeCell ref="E458:J458"/>
    <mergeCell ref="E396:J396"/>
    <mergeCell ref="E442:J442"/>
    <mergeCell ref="E444:J444"/>
    <mergeCell ref="E522:J522"/>
    <mergeCell ref="E528:J528"/>
    <mergeCell ref="G529:H529"/>
    <mergeCell ref="G530:H530"/>
    <mergeCell ref="E398:J398"/>
    <mergeCell ref="E534:J534"/>
    <mergeCell ref="E518:J518"/>
    <mergeCell ref="E526:J526"/>
    <mergeCell ref="E484:J484"/>
    <mergeCell ref="E400:J400"/>
    <mergeCell ref="E446:J446"/>
    <mergeCell ref="E447:J447"/>
    <mergeCell ref="E436:J436"/>
    <mergeCell ref="E464:J464"/>
    <mergeCell ref="E512:J512"/>
    <mergeCell ref="E548:J548"/>
    <mergeCell ref="E540:J540"/>
    <mergeCell ref="E544:J544"/>
    <mergeCell ref="E839:J839"/>
    <mergeCell ref="E795:J795"/>
    <mergeCell ref="E793:J793"/>
    <mergeCell ref="E701:J701"/>
    <mergeCell ref="E707:J707"/>
    <mergeCell ref="E711:J711"/>
    <mergeCell ref="E659:J659"/>
    <mergeCell ref="E661:J661"/>
    <mergeCell ref="E565:J565"/>
    <mergeCell ref="E558:J558"/>
    <mergeCell ref="E561:J561"/>
    <mergeCell ref="E801:J801"/>
    <mergeCell ref="E725:J725"/>
    <mergeCell ref="E733:J733"/>
    <mergeCell ref="E639:J639"/>
    <mergeCell ref="E641:J641"/>
    <mergeCell ref="E643:J643"/>
    <mergeCell ref="E645:J645"/>
    <mergeCell ref="E637:J637"/>
    <mergeCell ref="E610:J610"/>
    <mergeCell ref="E581:J581"/>
    <mergeCell ref="E799:J799"/>
    <mergeCell ref="E36:J36"/>
    <mergeCell ref="E43:J43"/>
    <mergeCell ref="E54:J54"/>
    <mergeCell ref="E75:J75"/>
    <mergeCell ref="E88:J88"/>
    <mergeCell ref="E162:J162"/>
    <mergeCell ref="E79:J79"/>
    <mergeCell ref="E14:J14"/>
    <mergeCell ref="E25:J25"/>
    <mergeCell ref="E96:J96"/>
    <mergeCell ref="E48:J48"/>
    <mergeCell ref="E34:J34"/>
    <mergeCell ref="E71:J71"/>
    <mergeCell ref="E92:J92"/>
    <mergeCell ref="E84:J84"/>
    <mergeCell ref="E169:J169"/>
    <mergeCell ref="E250:J250"/>
    <mergeCell ref="E265:J265"/>
    <mergeCell ref="E115:J115"/>
    <mergeCell ref="E104:J104"/>
    <mergeCell ref="E222:J222"/>
    <mergeCell ref="E246:J246"/>
    <mergeCell ref="E230:J230"/>
    <mergeCell ref="B2:N2"/>
    <mergeCell ref="E23:J23"/>
    <mergeCell ref="B3:N3"/>
    <mergeCell ref="E4:J4"/>
    <mergeCell ref="E21:J21"/>
    <mergeCell ref="E6:J6"/>
    <mergeCell ref="E8:J8"/>
    <mergeCell ref="E12:J12"/>
    <mergeCell ref="E16:J16"/>
    <mergeCell ref="E232:J232"/>
    <mergeCell ref="E234:J234"/>
    <mergeCell ref="E226:J226"/>
    <mergeCell ref="E228:J228"/>
    <mergeCell ref="E182:J182"/>
    <mergeCell ref="E138:J138"/>
    <mergeCell ref="E131:J131"/>
    <mergeCell ref="E110:J110"/>
    <mergeCell ref="E236:J236"/>
    <mergeCell ref="E238:J238"/>
    <mergeCell ref="E240:J240"/>
    <mergeCell ref="E264:J264"/>
    <mergeCell ref="E254:J254"/>
    <mergeCell ref="E849:J849"/>
    <mergeCell ref="E997:J997"/>
    <mergeCell ref="E883:J883"/>
    <mergeCell ref="E1011:J1011"/>
    <mergeCell ref="E971:J971"/>
    <mergeCell ref="E910:J910"/>
    <mergeCell ref="E906:J906"/>
    <mergeCell ref="E902:J902"/>
    <mergeCell ref="E903:J903"/>
    <mergeCell ref="E896:J896"/>
    <mergeCell ref="E981:J981"/>
    <mergeCell ref="E982:J982"/>
    <mergeCell ref="E979:J979"/>
    <mergeCell ref="E983:J983"/>
    <mergeCell ref="E984:J984"/>
    <mergeCell ref="E987:J987"/>
    <mergeCell ref="E895:J895"/>
    <mergeCell ref="E865:J865"/>
    <mergeCell ref="E851:J851"/>
    <mergeCell ref="E366:J366"/>
    <mergeCell ref="E1047:J1047"/>
    <mergeCell ref="E1049:J1049"/>
    <mergeCell ref="E1005:J1005"/>
    <mergeCell ref="E1009:J1009"/>
    <mergeCell ref="E980:J980"/>
    <mergeCell ref="E1030:J1030"/>
    <mergeCell ref="E1037:J1037"/>
    <mergeCell ref="E1039:J1039"/>
    <mergeCell ref="E1045:J1045"/>
    <mergeCell ref="E1043:J1043"/>
    <mergeCell ref="E985:J985"/>
    <mergeCell ref="E1051:J1051"/>
    <mergeCell ref="E964:J964"/>
    <mergeCell ref="E965:J965"/>
    <mergeCell ref="E966:J966"/>
    <mergeCell ref="E968:J968"/>
    <mergeCell ref="E909:J909"/>
    <mergeCell ref="E961:J961"/>
    <mergeCell ref="E969:J969"/>
    <mergeCell ref="E911:J911"/>
    <mergeCell ref="E995:J995"/>
    <mergeCell ref="E1003:J1003"/>
    <mergeCell ref="E1013:J1013"/>
    <mergeCell ref="E1015:J1015"/>
    <mergeCell ref="E1017:J1017"/>
    <mergeCell ref="E1022:J1022"/>
    <mergeCell ref="E1024:J1024"/>
    <mergeCell ref="E999:J999"/>
    <mergeCell ref="E1001:J1001"/>
    <mergeCell ref="E993:J993"/>
    <mergeCell ref="E991:J991"/>
    <mergeCell ref="E989:J989"/>
    <mergeCell ref="E962:J962"/>
    <mergeCell ref="E1026:J1026"/>
    <mergeCell ref="E1028:J1028"/>
    <mergeCell ref="E334:J334"/>
    <mergeCell ref="E339:J339"/>
    <mergeCell ref="E407:J407"/>
    <mergeCell ref="E596:J596"/>
    <mergeCell ref="E585:J585"/>
    <mergeCell ref="E567:J567"/>
    <mergeCell ref="E573:J573"/>
    <mergeCell ref="E575:J575"/>
    <mergeCell ref="E430:J430"/>
    <mergeCell ref="E418:J418"/>
    <mergeCell ref="E370:J370"/>
    <mergeCell ref="E372:J372"/>
    <mergeCell ref="E488:J488"/>
    <mergeCell ref="E468:J468"/>
    <mergeCell ref="E559:J559"/>
    <mergeCell ref="E432:J432"/>
    <mergeCell ref="E335:J335"/>
    <mergeCell ref="E341:J341"/>
    <mergeCell ref="E359:J359"/>
    <mergeCell ref="E552:J552"/>
    <mergeCell ref="E466:J466"/>
    <mergeCell ref="E385:J385"/>
    <mergeCell ref="E536:J536"/>
    <mergeCell ref="E392:J392"/>
    <mergeCell ref="E306:J306"/>
    <mergeCell ref="E310:J310"/>
    <mergeCell ref="E286:J286"/>
    <mergeCell ref="E308:J308"/>
    <mergeCell ref="E314:J314"/>
    <mergeCell ref="E330:J330"/>
    <mergeCell ref="E343:J343"/>
    <mergeCell ref="E361:J361"/>
    <mergeCell ref="E280:J280"/>
    <mergeCell ref="E304:J304"/>
    <mergeCell ref="E320:J320"/>
    <mergeCell ref="E298:J298"/>
    <mergeCell ref="E294:J294"/>
    <mergeCell ref="E284:J284"/>
    <mergeCell ref="E326:J326"/>
    <mergeCell ref="E337:J337"/>
    <mergeCell ref="E302:J302"/>
    <mergeCell ref="E347:J347"/>
    <mergeCell ref="E290:J290"/>
    <mergeCell ref="E312:J312"/>
    <mergeCell ref="E349:J349"/>
    <mergeCell ref="E351:J351"/>
    <mergeCell ref="E355:J355"/>
    <mergeCell ref="E357:J357"/>
    <mergeCell ref="E276:J276"/>
    <mergeCell ref="E220:J220"/>
    <mergeCell ref="E267:J267"/>
    <mergeCell ref="E274:J274"/>
    <mergeCell ref="E278:J278"/>
    <mergeCell ref="E272:J272"/>
    <mergeCell ref="E815:J815"/>
    <mergeCell ref="E809:J809"/>
    <mergeCell ref="E420:J420"/>
    <mergeCell ref="E405:J405"/>
    <mergeCell ref="E811:J811"/>
    <mergeCell ref="E813:J813"/>
    <mergeCell ref="E616:J616"/>
    <mergeCell ref="E697:J697"/>
    <mergeCell ref="E699:J699"/>
    <mergeCell ref="E807:J807"/>
    <mergeCell ref="E797:J797"/>
    <mergeCell ref="E783:J783"/>
    <mergeCell ref="E781:J781"/>
    <mergeCell ref="E747:J747"/>
    <mergeCell ref="E719:J719"/>
    <mergeCell ref="E723:J723"/>
    <mergeCell ref="E224:J224"/>
    <mergeCell ref="E256:J256"/>
    <mergeCell ref="E934:J934"/>
    <mergeCell ref="E877:J877"/>
    <mergeCell ref="E907:J907"/>
    <mergeCell ref="E908:J908"/>
    <mergeCell ref="E912:J912"/>
    <mergeCell ref="E913:J913"/>
    <mergeCell ref="E930:J930"/>
    <mergeCell ref="E923:J923"/>
    <mergeCell ref="E927:J927"/>
    <mergeCell ref="E928:J928"/>
    <mergeCell ref="E868:J868"/>
    <mergeCell ref="E897:J897"/>
    <mergeCell ref="E870:J870"/>
    <mergeCell ref="E872:J872"/>
    <mergeCell ref="E873:J873"/>
    <mergeCell ref="E898:J898"/>
    <mergeCell ref="E876:J876"/>
    <mergeCell ref="E891:J891"/>
    <mergeCell ref="E925:J925"/>
    <mergeCell ref="E875:J875"/>
    <mergeCell ref="E905:J905"/>
    <mergeCell ref="E904:J904"/>
    <mergeCell ref="E316:J316"/>
    <mergeCell ref="E322:J322"/>
    <mergeCell ref="E920:J920"/>
    <mergeCell ref="E932:J932"/>
    <mergeCell ref="E917:J917"/>
    <mergeCell ref="E919:J919"/>
    <mergeCell ref="E921:J921"/>
    <mergeCell ref="E926:J926"/>
    <mergeCell ref="E874:J874"/>
    <mergeCell ref="E885:J885"/>
    <mergeCell ref="E805:J805"/>
    <mergeCell ref="E900:J900"/>
    <mergeCell ref="E879:J879"/>
    <mergeCell ref="E929:J929"/>
    <mergeCell ref="E867:J867"/>
    <mergeCell ref="E853:J853"/>
    <mergeCell ref="E854:J854"/>
    <mergeCell ref="E857:J857"/>
    <mergeCell ref="E871:J871"/>
    <mergeCell ref="E785:J785"/>
    <mergeCell ref="E787:J787"/>
    <mergeCell ref="E789:J789"/>
    <mergeCell ref="E856:J856"/>
    <mergeCell ref="E386:J386"/>
    <mergeCell ref="E819:J819"/>
    <mergeCell ref="E821:J821"/>
    <mergeCell ref="E823:J823"/>
    <mergeCell ref="E825:J825"/>
    <mergeCell ref="E827:J827"/>
    <mergeCell ref="E829:J829"/>
    <mergeCell ref="E791:J791"/>
    <mergeCell ref="E1041:J1041"/>
    <mergeCell ref="E831:J831"/>
    <mergeCell ref="E833:J833"/>
    <mergeCell ref="E835:J835"/>
    <mergeCell ref="E837:J837"/>
    <mergeCell ref="E845:J845"/>
    <mergeCell ref="E847:J847"/>
    <mergeCell ref="E935:J935"/>
    <mergeCell ref="E936:J936"/>
    <mergeCell ref="E973:J973"/>
    <mergeCell ref="E974:J974"/>
    <mergeCell ref="E975:J975"/>
    <mergeCell ref="E976:J976"/>
    <mergeCell ref="E977:J977"/>
    <mergeCell ref="E978:J978"/>
    <mergeCell ref="E869:J869"/>
    <mergeCell ref="E878:J878"/>
  </mergeCells>
  <phoneticPr fontId="29" type="noConversion"/>
  <printOptions horizontalCentered="1"/>
  <pageMargins left="0.11811023622047245" right="0.11811023622047245" top="0.39370078740157483" bottom="0.39370078740157483" header="0.31496062992125984" footer="0.31496062992125984"/>
  <pageSetup paperSize="9" scale="37" orientation="portrait" cellComments="asDisplayed" horizontalDpi="360" verticalDpi="360" r:id="rId1"/>
  <rowBreaks count="6" manualBreakCount="6">
    <brk id="74" min="1" max="14" man="1"/>
    <brk id="141" min="1" max="14" man="1"/>
    <brk id="219" min="1" max="14" man="1"/>
    <brk id="346" min="1" max="14" man="1"/>
    <brk id="558" min="1" max="14" man="1"/>
    <brk id="999" min="1" max="14"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70"/>
  <sheetViews>
    <sheetView view="pageBreakPreview" zoomScale="85" zoomScaleNormal="60" zoomScaleSheetLayoutView="85" workbookViewId="0">
      <selection activeCell="H21" sqref="H21"/>
    </sheetView>
  </sheetViews>
  <sheetFormatPr defaultRowHeight="12.75"/>
  <cols>
    <col min="2" max="2" width="10.85546875" customWidth="1"/>
    <col min="3" max="3" width="62.42578125" customWidth="1"/>
    <col min="4" max="4" width="23.42578125" style="9" bestFit="1" customWidth="1"/>
    <col min="5" max="5" width="12.42578125" bestFit="1" customWidth="1"/>
    <col min="6" max="6" width="18.5703125" customWidth="1"/>
    <col min="7" max="7" width="10.140625" bestFit="1" customWidth="1"/>
  </cols>
  <sheetData>
    <row r="1" spans="2:6" ht="13.5" thickBot="1"/>
    <row r="2" spans="2:6" ht="71.25" customHeight="1" thickBot="1">
      <c r="B2" s="888"/>
      <c r="C2" s="889"/>
      <c r="D2" s="889"/>
      <c r="E2" s="890"/>
    </row>
    <row r="3" spans="2:6" ht="15">
      <c r="B3" s="891" t="str">
        <f>'2-ORÇAMENTO'!B3:G3</f>
        <v xml:space="preserve">OBRA: REFORMA E AMPLIAÇÃO DA ESCOLA MUNICIPAL DE EDUCAÇÃO BASICA </v>
      </c>
      <c r="C3" s="891"/>
      <c r="D3" s="891"/>
      <c r="E3" s="891"/>
    </row>
    <row r="4" spans="2:6" ht="15">
      <c r="B4" s="892" t="str">
        <f>'2-ORÇAMENTO'!B4:G4</f>
        <v>LOCAL: EMEB PROFESSORA LIBIA COSTA RONDON</v>
      </c>
      <c r="C4" s="892"/>
      <c r="D4" s="892"/>
      <c r="E4" s="892"/>
    </row>
    <row r="5" spans="2:6" ht="15">
      <c r="B5" s="893" t="str">
        <f>'2-ORÇAMENTO'!B5:G5</f>
        <v>ENDEREÇO: AVENIDA PRINCIPAL, S/N, BAIRRO 24 DE DEZEMBRO</v>
      </c>
      <c r="C5" s="893"/>
      <c r="D5" s="893"/>
      <c r="E5" s="893"/>
    </row>
    <row r="6" spans="2:6" ht="15">
      <c r="B6" s="893" t="str">
        <f>'2-ORÇAMENTO'!B6:G6</f>
        <v>MUNICÍPIO: VÁRZEA GRANDE - MT</v>
      </c>
      <c r="C6" s="893"/>
      <c r="D6" s="893"/>
      <c r="E6" s="893"/>
    </row>
    <row r="7" spans="2:6" ht="15.75" thickBot="1">
      <c r="B7" s="887" t="str">
        <f>'2-ORÇAMENTO'!B7:K7</f>
        <v>DATA BASE: SINAPI-MT FEVEREIRO 2022 - COM DESONERAÇÃO - BDI - 28,24%</v>
      </c>
      <c r="C7" s="887"/>
      <c r="D7" s="887"/>
      <c r="E7" s="887"/>
    </row>
    <row r="8" spans="2:6" ht="17.25" thickBot="1">
      <c r="B8" s="894" t="s">
        <v>3584</v>
      </c>
      <c r="C8" s="895"/>
      <c r="D8" s="895"/>
      <c r="E8" s="896"/>
    </row>
    <row r="9" spans="2:6" ht="17.25" customHeight="1" thickBot="1">
      <c r="B9" s="897" t="s">
        <v>1</v>
      </c>
      <c r="C9" s="897" t="s">
        <v>8</v>
      </c>
      <c r="D9" s="899" t="s">
        <v>7</v>
      </c>
      <c r="E9" s="900"/>
    </row>
    <row r="10" spans="2:6" ht="16.5" thickBot="1">
      <c r="B10" s="898"/>
      <c r="C10" s="898"/>
      <c r="D10" s="191" t="s">
        <v>10</v>
      </c>
      <c r="E10" s="192" t="s">
        <v>11</v>
      </c>
    </row>
    <row r="11" spans="2:6">
      <c r="B11" s="901" t="str">
        <f>'2-ORÇAMENTO'!B9</f>
        <v>1.0</v>
      </c>
      <c r="C11" s="882" t="str">
        <f>'2-ORÇAMENTO'!E9</f>
        <v xml:space="preserve">ADMINISTRAÇÃO DE OBRA </v>
      </c>
      <c r="D11" s="903">
        <f>'2-ORÇAMENTO'!K14</f>
        <v>103239.48</v>
      </c>
      <c r="E11" s="885">
        <f>D11/$D$63</f>
        <v>4.6157417858774946E-2</v>
      </c>
    </row>
    <row r="12" spans="2:6">
      <c r="B12" s="880"/>
      <c r="C12" s="902"/>
      <c r="D12" s="904"/>
      <c r="E12" s="886"/>
      <c r="F12" s="4"/>
    </row>
    <row r="13" spans="2:6">
      <c r="B13" s="880" t="str">
        <f>'2-ORÇAMENTO'!B15</f>
        <v>2.0</v>
      </c>
      <c r="C13" s="881" t="str">
        <f>'2-ORÇAMENTO'!E15</f>
        <v>INSTALAÇÕES DE CANTEIRO E SERVIÇOS PRELIMINARES</v>
      </c>
      <c r="D13" s="908">
        <f>'2-ORÇAMENTO'!K19</f>
        <v>67228.84</v>
      </c>
      <c r="E13" s="885">
        <f>D13/$D$63</f>
        <v>3.0057393354177328E-2</v>
      </c>
      <c r="F13" s="4"/>
    </row>
    <row r="14" spans="2:6" ht="29.25" customHeight="1">
      <c r="B14" s="880"/>
      <c r="C14" s="882"/>
      <c r="D14" s="903"/>
      <c r="E14" s="886"/>
      <c r="F14" s="4"/>
    </row>
    <row r="15" spans="2:6">
      <c r="B15" s="880" t="str">
        <f>'2-ORÇAMENTO'!B20</f>
        <v>3.0</v>
      </c>
      <c r="C15" s="881" t="str">
        <f>'2-ORÇAMENTO'!E20</f>
        <v>DEMOLIÇÕES E RETIRADAS</v>
      </c>
      <c r="D15" s="908">
        <f>'2-ORÇAMENTO'!K53</f>
        <v>146729.42000000001</v>
      </c>
      <c r="E15" s="885">
        <f>D15/$D$63</f>
        <v>6.5601368305184121E-2</v>
      </c>
      <c r="F15" s="4"/>
    </row>
    <row r="16" spans="2:6">
      <c r="B16" s="880"/>
      <c r="C16" s="882"/>
      <c r="D16" s="903"/>
      <c r="E16" s="886"/>
      <c r="F16" s="4"/>
    </row>
    <row r="17" spans="2:6">
      <c r="B17" s="905" t="str">
        <f>'2-ORÇAMENTO'!B54</f>
        <v>4.0</v>
      </c>
      <c r="C17" s="906" t="str">
        <f>'2-ORÇAMENTO'!E54</f>
        <v xml:space="preserve">TERRAPLENAGEM </v>
      </c>
      <c r="D17" s="908">
        <f>'2-ORÇAMENTO'!K56</f>
        <v>14394.12</v>
      </c>
      <c r="E17" s="885">
        <f>D17/$D$63</f>
        <v>6.4354780898678455E-3</v>
      </c>
      <c r="F17" s="4"/>
    </row>
    <row r="18" spans="2:6">
      <c r="B18" s="905"/>
      <c r="C18" s="907"/>
      <c r="D18" s="903"/>
      <c r="E18" s="886"/>
      <c r="F18" s="4"/>
    </row>
    <row r="19" spans="2:6">
      <c r="B19" s="880" t="str">
        <f>'2-ORÇAMENTO'!B57</f>
        <v>5.0</v>
      </c>
      <c r="C19" s="902" t="str">
        <f>'2-ORÇAMENTO'!E57</f>
        <v>INFRAESTRUTURA</v>
      </c>
      <c r="D19" s="904">
        <f>'2-ORÇAMENTO'!K87</f>
        <v>83957.17</v>
      </c>
      <c r="E19" s="885">
        <f>D19/$D$63</f>
        <v>3.7536475173356197E-2</v>
      </c>
      <c r="F19" s="1"/>
    </row>
    <row r="20" spans="2:6">
      <c r="B20" s="880"/>
      <c r="C20" s="902"/>
      <c r="D20" s="904"/>
      <c r="E20" s="886"/>
      <c r="F20" s="4"/>
    </row>
    <row r="21" spans="2:6">
      <c r="B21" s="880" t="s">
        <v>7064</v>
      </c>
      <c r="C21" s="902" t="str">
        <f>'2-ORÇAMENTO'!E88</f>
        <v xml:space="preserve">SUPERESTRUTURA </v>
      </c>
      <c r="D21" s="904">
        <f>'2-ORÇAMENTO'!K106</f>
        <v>72693.09</v>
      </c>
      <c r="E21" s="885">
        <f>D21/$D$63</f>
        <v>3.2500409054516101E-2</v>
      </c>
    </row>
    <row r="22" spans="2:6">
      <c r="B22" s="880"/>
      <c r="C22" s="902"/>
      <c r="D22" s="904"/>
      <c r="E22" s="886"/>
      <c r="F22" s="4"/>
    </row>
    <row r="23" spans="2:6">
      <c r="B23" s="909" t="s">
        <v>7304</v>
      </c>
      <c r="C23" s="881" t="str">
        <f>'2-ORÇAMENTO'!E107</f>
        <v>FECHAMENTOS INTERNOS E EXTERNOS</v>
      </c>
      <c r="D23" s="908">
        <f>'2-ORÇAMENTO'!K117</f>
        <v>85878.86</v>
      </c>
      <c r="E23" s="885">
        <f>D23/$D$63</f>
        <v>3.8395645021218949E-2</v>
      </c>
      <c r="F23" s="4"/>
    </row>
    <row r="24" spans="2:6">
      <c r="B24" s="901"/>
      <c r="C24" s="882"/>
      <c r="D24" s="903"/>
      <c r="E24" s="886"/>
      <c r="F24" s="4"/>
    </row>
    <row r="25" spans="2:6">
      <c r="B25" s="880" t="s">
        <v>562</v>
      </c>
      <c r="C25" s="910" t="str">
        <f>'2-ORÇAMENTO'!E118</f>
        <v xml:space="preserve">REVESTIMENTOS INTERNOS E EXTERNOS </v>
      </c>
      <c r="D25" s="904">
        <f>'2-ORÇAMENTO'!K129</f>
        <v>162352.53</v>
      </c>
      <c r="E25" s="885">
        <f>D25/$D$63</f>
        <v>7.2586316471560053E-2</v>
      </c>
      <c r="F25" s="4"/>
    </row>
    <row r="26" spans="2:6">
      <c r="B26" s="880"/>
      <c r="C26" s="882"/>
      <c r="D26" s="904"/>
      <c r="E26" s="886"/>
      <c r="F26" s="4"/>
    </row>
    <row r="27" spans="2:6">
      <c r="B27" s="880" t="s">
        <v>3579</v>
      </c>
      <c r="C27" s="902" t="str">
        <f>'2-ORÇAMENTO'!E130</f>
        <v>PISOS INTERNOS E EXTERNOS</v>
      </c>
      <c r="D27" s="904">
        <f>'2-ORÇAMENTO'!K150</f>
        <v>202953.53</v>
      </c>
      <c r="E27" s="885">
        <f>D27/$D$63</f>
        <v>9.0738648529839719E-2</v>
      </c>
      <c r="F27" s="4"/>
    </row>
    <row r="28" spans="2:6">
      <c r="B28" s="880"/>
      <c r="C28" s="902"/>
      <c r="D28" s="904"/>
      <c r="E28" s="886"/>
      <c r="F28" s="4"/>
    </row>
    <row r="29" spans="2:6">
      <c r="B29" s="880" t="s">
        <v>3580</v>
      </c>
      <c r="C29" s="911" t="str">
        <f>'2-ORÇAMENTO'!E151</f>
        <v>DIVISORIAS, BANCADAS E PEITORIS</v>
      </c>
      <c r="D29" s="904">
        <f>'2-ORÇAMENTO'!K155</f>
        <v>39341.699999999997</v>
      </c>
      <c r="E29" s="885">
        <f>D29/$D$63</f>
        <v>1.758931066075271E-2</v>
      </c>
    </row>
    <row r="30" spans="2:6">
      <c r="B30" s="880"/>
      <c r="C30" s="902"/>
      <c r="D30" s="904"/>
      <c r="E30" s="886"/>
      <c r="F30" s="4"/>
    </row>
    <row r="31" spans="2:6" ht="14.25" customHeight="1">
      <c r="B31" s="880" t="s">
        <v>3581</v>
      </c>
      <c r="C31" s="902" t="str">
        <f>'2-ORÇAMENTO'!E156</f>
        <v xml:space="preserve">ESQUADRIAS </v>
      </c>
      <c r="D31" s="904">
        <f>'2-ORÇAMENTO'!K166</f>
        <v>121494.77</v>
      </c>
      <c r="E31" s="885">
        <f>D31/$D$63</f>
        <v>5.4319189389037549E-2</v>
      </c>
    </row>
    <row r="32" spans="2:6">
      <c r="B32" s="880"/>
      <c r="C32" s="902"/>
      <c r="D32" s="904"/>
      <c r="E32" s="886"/>
      <c r="F32" s="4"/>
    </row>
    <row r="33" spans="2:6" ht="18" customHeight="1">
      <c r="B33" s="880" t="s">
        <v>3582</v>
      </c>
      <c r="C33" s="881" t="str">
        <f>'2-ORÇAMENTO'!E167</f>
        <v>COBERTURA E PROJEÇÕES</v>
      </c>
      <c r="D33" s="904">
        <f>'2-ORÇAMENTO'!K176</f>
        <v>168605.03</v>
      </c>
      <c r="E33" s="885">
        <f>D33/$D$63</f>
        <v>7.5381751465633931E-2</v>
      </c>
      <c r="F33" s="4"/>
    </row>
    <row r="34" spans="2:6" ht="18" customHeight="1">
      <c r="B34" s="880"/>
      <c r="C34" s="882"/>
      <c r="D34" s="904"/>
      <c r="E34" s="886"/>
      <c r="F34" s="4"/>
    </row>
    <row r="35" spans="2:6">
      <c r="B35" s="880" t="s">
        <v>3583</v>
      </c>
      <c r="C35" s="881" t="str">
        <f>'2-ORÇAMENTO'!E177</f>
        <v xml:space="preserve">TELHAMENTO </v>
      </c>
      <c r="D35" s="883">
        <f>'2-ORÇAMENTO'!K182</f>
        <v>117727.38</v>
      </c>
      <c r="E35" s="885">
        <f>D35/$D$63</f>
        <v>5.263482412037318E-2</v>
      </c>
      <c r="F35" s="4"/>
    </row>
    <row r="36" spans="2:6">
      <c r="B36" s="880"/>
      <c r="C36" s="882"/>
      <c r="D36" s="884"/>
      <c r="E36" s="886"/>
      <c r="F36" s="4"/>
    </row>
    <row r="37" spans="2:6">
      <c r="B37" s="880" t="s">
        <v>4124</v>
      </c>
      <c r="C37" s="881" t="str">
        <f>'2-ORÇAMENTO'!E183</f>
        <v xml:space="preserve">FORROS </v>
      </c>
      <c r="D37" s="883">
        <f>'2-ORÇAMENTO'!K185</f>
        <v>100747.06</v>
      </c>
      <c r="E37" s="885">
        <f>D37/$D$63</f>
        <v>4.504307989988976E-2</v>
      </c>
      <c r="F37" s="4"/>
    </row>
    <row r="38" spans="2:6">
      <c r="B38" s="880"/>
      <c r="C38" s="882"/>
      <c r="D38" s="884"/>
      <c r="E38" s="886"/>
      <c r="F38" s="4"/>
    </row>
    <row r="39" spans="2:6">
      <c r="B39" s="880" t="s">
        <v>4125</v>
      </c>
      <c r="C39" s="881" t="str">
        <f>'2-ORÇAMENTO'!E186</f>
        <v xml:space="preserve">PINTURA INTERNA E EXTERNA </v>
      </c>
      <c r="D39" s="883">
        <f>'2-ORÇAMENTO'!K212</f>
        <v>187228.88</v>
      </c>
      <c r="E39" s="885">
        <f>D39/$D$63</f>
        <v>8.3708302767414478E-2</v>
      </c>
      <c r="F39" s="4"/>
    </row>
    <row r="40" spans="2:6">
      <c r="B40" s="880"/>
      <c r="C40" s="882"/>
      <c r="D40" s="884"/>
      <c r="E40" s="886"/>
      <c r="F40" s="4"/>
    </row>
    <row r="41" spans="2:6">
      <c r="B41" s="880" t="s">
        <v>4126</v>
      </c>
      <c r="C41" s="881" t="str">
        <f>'2-ORÇAMENTO'!E213</f>
        <v>INTALAÇÕES HIDROSSANITÁRIAS</v>
      </c>
      <c r="D41" s="883">
        <f>'2-ORÇAMENTO'!K325</f>
        <v>160777.1</v>
      </c>
      <c r="E41" s="885">
        <f>D41/$D$63</f>
        <v>7.1881956271205985E-2</v>
      </c>
      <c r="F41" s="4"/>
    </row>
    <row r="42" spans="2:6">
      <c r="B42" s="880"/>
      <c r="C42" s="882"/>
      <c r="D42" s="884"/>
      <c r="E42" s="886"/>
      <c r="F42" s="4"/>
    </row>
    <row r="43" spans="2:6">
      <c r="B43" s="880" t="s">
        <v>4127</v>
      </c>
      <c r="C43" s="881" t="str">
        <f>'2-ORÇAMENTO'!E326</f>
        <v>AGUAS PLUVIAIS</v>
      </c>
      <c r="D43" s="883">
        <f>'2-ORÇAMENTO'!K333</f>
        <v>25560.62</v>
      </c>
      <c r="E43" s="885">
        <f>D43/$D$63</f>
        <v>1.1427917092079116E-2</v>
      </c>
      <c r="F43" s="4"/>
    </row>
    <row r="44" spans="2:6">
      <c r="B44" s="880"/>
      <c r="C44" s="882"/>
      <c r="D44" s="884"/>
      <c r="E44" s="886"/>
      <c r="F44" s="4"/>
    </row>
    <row r="45" spans="2:6">
      <c r="B45" s="880" t="s">
        <v>4128</v>
      </c>
      <c r="C45" s="881" t="str">
        <f>'2-ORÇAMENTO'!E334</f>
        <v xml:space="preserve">INSTALAÇÕES ELÉTRICAS </v>
      </c>
      <c r="D45" s="883">
        <f>'2-ORÇAMENTO'!K407</f>
        <v>143788.28</v>
      </c>
      <c r="E45" s="885">
        <f>D45/$D$63</f>
        <v>6.4286411779239216E-2</v>
      </c>
      <c r="F45" s="4"/>
    </row>
    <row r="46" spans="2:6">
      <c r="B46" s="880"/>
      <c r="C46" s="882"/>
      <c r="D46" s="884"/>
      <c r="E46" s="886"/>
      <c r="F46" s="4"/>
    </row>
    <row r="47" spans="2:6" s="337" customFormat="1">
      <c r="B47" s="880" t="s">
        <v>4129</v>
      </c>
      <c r="C47" s="881" t="str">
        <f>'2-ORÇAMENTO'!E408</f>
        <v>CABEAMENTO</v>
      </c>
      <c r="D47" s="883">
        <f>'2-ORÇAMENTO'!K428</f>
        <v>10595.65</v>
      </c>
      <c r="E47" s="885">
        <f>D47/$D$63</f>
        <v>4.7372172402973039E-3</v>
      </c>
      <c r="F47" s="4"/>
    </row>
    <row r="48" spans="2:6" s="337" customFormat="1">
      <c r="B48" s="880"/>
      <c r="C48" s="882"/>
      <c r="D48" s="884"/>
      <c r="E48" s="886"/>
      <c r="F48" s="4"/>
    </row>
    <row r="49" spans="2:7">
      <c r="B49" s="880" t="s">
        <v>6148</v>
      </c>
      <c r="C49" s="881" t="str">
        <f>'2-ORÇAMENTO'!E429</f>
        <v>DRENO-AR</v>
      </c>
      <c r="D49" s="883">
        <f>'2-ORÇAMENTO'!K436</f>
        <v>2527.48</v>
      </c>
      <c r="E49" s="885">
        <f>D49/$D$63</f>
        <v>1.1300129610270849E-3</v>
      </c>
      <c r="F49" s="4"/>
    </row>
    <row r="50" spans="2:7">
      <c r="B50" s="880"/>
      <c r="C50" s="882"/>
      <c r="D50" s="884"/>
      <c r="E50" s="886"/>
      <c r="F50" s="4"/>
    </row>
    <row r="51" spans="2:7">
      <c r="B51" s="880" t="s">
        <v>6169</v>
      </c>
      <c r="C51" s="881" t="str">
        <f>'2-ORÇAMENTO'!E437</f>
        <v>SPDA</v>
      </c>
      <c r="D51" s="883">
        <f>'2-ORÇAMENTO'!K451</f>
        <v>74138.740000000005</v>
      </c>
      <c r="E51" s="885">
        <f>D51/$D$63</f>
        <v>3.3146745815680903E-2</v>
      </c>
      <c r="F51" s="4"/>
    </row>
    <row r="52" spans="2:7">
      <c r="B52" s="880"/>
      <c r="C52" s="882"/>
      <c r="D52" s="884"/>
      <c r="E52" s="886"/>
      <c r="F52" s="4"/>
    </row>
    <row r="53" spans="2:7" s="337" customFormat="1">
      <c r="B53" s="880" t="s">
        <v>8360</v>
      </c>
      <c r="C53" s="881" t="str">
        <f>'2-ORÇAMENTO'!E452</f>
        <v xml:space="preserve">SISTEMA DE PROTEÇÃO CONTRA INCÊNDIO </v>
      </c>
      <c r="D53" s="883">
        <f>'2-ORÇAMENTO'!K456</f>
        <v>1813.03</v>
      </c>
      <c r="E53" s="885">
        <f>D53/$D$63</f>
        <v>8.1058896558268922E-4</v>
      </c>
      <c r="F53" s="4"/>
    </row>
    <row r="54" spans="2:7" s="337" customFormat="1">
      <c r="B54" s="880"/>
      <c r="C54" s="882"/>
      <c r="D54" s="884"/>
      <c r="E54" s="886"/>
      <c r="F54" s="4"/>
    </row>
    <row r="55" spans="2:7" s="337" customFormat="1">
      <c r="B55" s="880" t="s">
        <v>8364</v>
      </c>
      <c r="C55" s="881" t="str">
        <f>'2-ORÇAMENTO'!E457</f>
        <v>INSTALAÇÃO DE SISTEMA DE GAS/GLP</v>
      </c>
      <c r="D55" s="883">
        <f>'2-ORÇAMENTO'!K461</f>
        <v>7905.21</v>
      </c>
      <c r="E55" s="885">
        <f>D55/$D$63</f>
        <v>3.534346368573014E-3</v>
      </c>
      <c r="F55" s="4"/>
    </row>
    <row r="56" spans="2:7" s="337" customFormat="1">
      <c r="B56" s="880"/>
      <c r="C56" s="882"/>
      <c r="D56" s="884"/>
      <c r="E56" s="886"/>
      <c r="F56" s="4"/>
    </row>
    <row r="57" spans="2:7" s="337" customFormat="1">
      <c r="B57" s="880" t="s">
        <v>8367</v>
      </c>
      <c r="C57" s="881" t="str">
        <f>'2-ORÇAMENTO'!E462</f>
        <v>PAISAGISMO</v>
      </c>
      <c r="D57" s="883">
        <f>'2-ORÇAMENTO'!K465</f>
        <v>5059.38</v>
      </c>
      <c r="E57" s="885">
        <f>D57/$D$63</f>
        <v>2.2620020632255103E-3</v>
      </c>
      <c r="F57" s="4"/>
    </row>
    <row r="58" spans="2:7" s="337" customFormat="1">
      <c r="B58" s="880"/>
      <c r="C58" s="882"/>
      <c r="D58" s="884"/>
      <c r="E58" s="886"/>
      <c r="F58" s="4"/>
    </row>
    <row r="59" spans="2:7" s="337" customFormat="1">
      <c r="B59" s="880" t="s">
        <v>8370</v>
      </c>
      <c r="C59" s="881" t="str">
        <f>'2-ORÇAMENTO'!E466</f>
        <v>SERVIÇOS DIVERSOS</v>
      </c>
      <c r="D59" s="883">
        <f>'2-ORÇAMENTO'!K478</f>
        <v>118962.69</v>
      </c>
      <c r="E59" s="885">
        <f>D59/$D$63</f>
        <v>5.318711981050183E-2</v>
      </c>
      <c r="F59" s="4"/>
    </row>
    <row r="60" spans="2:7" s="337" customFormat="1">
      <c r="B60" s="880"/>
      <c r="C60" s="882"/>
      <c r="D60" s="884"/>
      <c r="E60" s="886"/>
      <c r="F60" s="4"/>
    </row>
    <row r="61" spans="2:7" s="337" customFormat="1">
      <c r="B61" s="880" t="s">
        <v>13358</v>
      </c>
      <c r="C61" s="881" t="str">
        <f>'2-ORÇAMENTO'!E479</f>
        <v xml:space="preserve">LIMPEZA DE OBRA </v>
      </c>
      <c r="D61" s="883">
        <f>'2-ORÇAMENTO'!K484</f>
        <v>10982.27</v>
      </c>
      <c r="E61" s="885">
        <f>D61/$D$63</f>
        <v>4.9100714709904422E-3</v>
      </c>
      <c r="F61" s="4"/>
    </row>
    <row r="62" spans="2:7" s="337" customFormat="1" ht="13.5" thickBot="1">
      <c r="B62" s="880"/>
      <c r="C62" s="882"/>
      <c r="D62" s="884"/>
      <c r="E62" s="886"/>
      <c r="F62" s="4"/>
    </row>
    <row r="63" spans="2:7" ht="18.75" thickBot="1">
      <c r="B63" s="913" t="s">
        <v>5030</v>
      </c>
      <c r="C63" s="914"/>
      <c r="D63" s="193">
        <f>TRUNC(SUM(D11:D62),2)</f>
        <v>2236682.31</v>
      </c>
      <c r="E63" s="194">
        <f>SUM(E11:E62)</f>
        <v>1</v>
      </c>
      <c r="G63" s="2"/>
    </row>
    <row r="64" spans="2:7">
      <c r="D64"/>
      <c r="G64" s="2"/>
    </row>
    <row r="65" spans="3:7" s="337" customFormat="1">
      <c r="G65" s="2"/>
    </row>
    <row r="66" spans="3:7" ht="13.5" thickBot="1">
      <c r="C66" s="338"/>
      <c r="D66" s="121"/>
      <c r="E66" s="121"/>
      <c r="G66" s="2"/>
    </row>
    <row r="67" spans="3:7" ht="15" customHeight="1">
      <c r="C67" s="333" t="str">
        <f>'2-ORÇAMENTO'!E491</f>
        <v>ANA PAULA SILVA BOTELHO</v>
      </c>
      <c r="D67" s="912"/>
      <c r="E67" s="912"/>
      <c r="F67" s="121"/>
      <c r="G67" s="2"/>
    </row>
    <row r="68" spans="3:7" ht="15" customHeight="1">
      <c r="C68" s="333" t="str">
        <f>'2-ORÇAMENTO'!E492</f>
        <v xml:space="preserve"> ENGENHEIRA CIVIL CREA MT: 50821</v>
      </c>
      <c r="D68" s="912"/>
      <c r="E68" s="912"/>
      <c r="F68" s="121"/>
      <c r="G68" s="2"/>
    </row>
    <row r="69" spans="3:7" ht="15" customHeight="1">
      <c r="D69"/>
      <c r="G69" s="2"/>
    </row>
    <row r="70" spans="3:7" ht="15" customHeight="1">
      <c r="C70" s="121"/>
      <c r="D70" s="12"/>
      <c r="E70" s="121"/>
    </row>
  </sheetData>
  <mergeCells count="117">
    <mergeCell ref="D68:E68"/>
    <mergeCell ref="B35:B36"/>
    <mergeCell ref="C35:C36"/>
    <mergeCell ref="D35:D36"/>
    <mergeCell ref="E35:E36"/>
    <mergeCell ref="B63:C63"/>
    <mergeCell ref="B37:B38"/>
    <mergeCell ref="C37:C38"/>
    <mergeCell ref="D37:D38"/>
    <mergeCell ref="E37:E38"/>
    <mergeCell ref="B41:B42"/>
    <mergeCell ref="C41:C42"/>
    <mergeCell ref="D41:D42"/>
    <mergeCell ref="E41:E42"/>
    <mergeCell ref="B43:B44"/>
    <mergeCell ref="B51:B52"/>
    <mergeCell ref="C49:C50"/>
    <mergeCell ref="D49:D50"/>
    <mergeCell ref="E49:E50"/>
    <mergeCell ref="D67:E67"/>
    <mergeCell ref="B53:B54"/>
    <mergeCell ref="C53:C54"/>
    <mergeCell ref="D53:D54"/>
    <mergeCell ref="E53:E54"/>
    <mergeCell ref="B29:B30"/>
    <mergeCell ref="C29:C30"/>
    <mergeCell ref="D29:D30"/>
    <mergeCell ref="E29:E30"/>
    <mergeCell ref="B31:B32"/>
    <mergeCell ref="C31:C32"/>
    <mergeCell ref="D31:D32"/>
    <mergeCell ref="E31:E32"/>
    <mergeCell ref="B61:B62"/>
    <mergeCell ref="C61:C62"/>
    <mergeCell ref="D61:D62"/>
    <mergeCell ref="E61:E62"/>
    <mergeCell ref="B57:B58"/>
    <mergeCell ref="C57:C58"/>
    <mergeCell ref="D57:D58"/>
    <mergeCell ref="E57:E58"/>
    <mergeCell ref="B59:B60"/>
    <mergeCell ref="C59:C60"/>
    <mergeCell ref="D59:D60"/>
    <mergeCell ref="E59:E60"/>
    <mergeCell ref="B55:B56"/>
    <mergeCell ref="C55:C56"/>
    <mergeCell ref="D55:D56"/>
    <mergeCell ref="E55:E56"/>
    <mergeCell ref="B19:B20"/>
    <mergeCell ref="C19:C20"/>
    <mergeCell ref="D19:D20"/>
    <mergeCell ref="E19:E20"/>
    <mergeCell ref="B21:B22"/>
    <mergeCell ref="C21:C22"/>
    <mergeCell ref="D21:D22"/>
    <mergeCell ref="E21:E22"/>
    <mergeCell ref="B33:B34"/>
    <mergeCell ref="C33:C34"/>
    <mergeCell ref="D33:D34"/>
    <mergeCell ref="E33:E34"/>
    <mergeCell ref="B27:B28"/>
    <mergeCell ref="C27:C28"/>
    <mergeCell ref="D27:D28"/>
    <mergeCell ref="E27:E28"/>
    <mergeCell ref="B23:B24"/>
    <mergeCell ref="C23:C24"/>
    <mergeCell ref="D23:D24"/>
    <mergeCell ref="E23:E24"/>
    <mergeCell ref="B25:B26"/>
    <mergeCell ref="C25:C26"/>
    <mergeCell ref="D25:D26"/>
    <mergeCell ref="E25:E26"/>
    <mergeCell ref="B11:B12"/>
    <mergeCell ref="C11:C12"/>
    <mergeCell ref="D11:D12"/>
    <mergeCell ref="E11:E12"/>
    <mergeCell ref="B17:B18"/>
    <mergeCell ref="C17:C18"/>
    <mergeCell ref="D17:D18"/>
    <mergeCell ref="E17:E18"/>
    <mergeCell ref="B13:B14"/>
    <mergeCell ref="C13:C14"/>
    <mergeCell ref="D13:D14"/>
    <mergeCell ref="E13:E14"/>
    <mergeCell ref="B15:B16"/>
    <mergeCell ref="C15:C16"/>
    <mergeCell ref="D15:D16"/>
    <mergeCell ref="E15:E16"/>
    <mergeCell ref="B7:E7"/>
    <mergeCell ref="B2:E2"/>
    <mergeCell ref="B3:E3"/>
    <mergeCell ref="B4:E4"/>
    <mergeCell ref="B5:E5"/>
    <mergeCell ref="B6:E6"/>
    <mergeCell ref="B8:E8"/>
    <mergeCell ref="B9:B10"/>
    <mergeCell ref="C9:C10"/>
    <mergeCell ref="D9:E9"/>
    <mergeCell ref="B47:B48"/>
    <mergeCell ref="C47:C48"/>
    <mergeCell ref="D47:D48"/>
    <mergeCell ref="E47:E48"/>
    <mergeCell ref="C51:C52"/>
    <mergeCell ref="D51:D52"/>
    <mergeCell ref="E51:E52"/>
    <mergeCell ref="B39:B40"/>
    <mergeCell ref="C39:C40"/>
    <mergeCell ref="D39:D40"/>
    <mergeCell ref="E39:E40"/>
    <mergeCell ref="B49:B50"/>
    <mergeCell ref="B45:B46"/>
    <mergeCell ref="C45:C46"/>
    <mergeCell ref="D45:D46"/>
    <mergeCell ref="E45:E46"/>
    <mergeCell ref="C43:C44"/>
    <mergeCell ref="D43:D44"/>
    <mergeCell ref="E43:E44"/>
  </mergeCells>
  <phoneticPr fontId="101" type="noConversion"/>
  <printOptions horizontalCentered="1"/>
  <pageMargins left="0.59055118110236227" right="0.19685039370078741" top="0.78740157480314965" bottom="0.78740157480314965" header="0.31496062992125984" footer="0.31496062992125984"/>
  <pageSetup paperSize="9" scale="7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496"/>
  <sheetViews>
    <sheetView view="pageBreakPreview" topLeftCell="A473" zoomScale="85" zoomScaleSheetLayoutView="85" workbookViewId="0">
      <selection activeCell="E10" sqref="E10"/>
    </sheetView>
  </sheetViews>
  <sheetFormatPr defaultColWidth="33" defaultRowHeight="14.25"/>
  <cols>
    <col min="1" max="1" width="7" style="111" customWidth="1"/>
    <col min="2" max="2" width="8.85546875" style="109" bestFit="1" customWidth="1"/>
    <col min="3" max="3" width="18.7109375" style="617" bestFit="1" customWidth="1"/>
    <col min="4" max="4" width="11.28515625" style="620" bestFit="1" customWidth="1"/>
    <col min="5" max="5" width="85.140625" style="108" customWidth="1"/>
    <col min="6" max="6" width="10.85546875" style="109" bestFit="1" customWidth="1"/>
    <col min="7" max="7" width="12.85546875" style="110" bestFit="1" customWidth="1"/>
    <col min="8" max="8" width="16" style="268" bestFit="1" customWidth="1"/>
    <col min="9" max="9" width="14" style="268" bestFit="1" customWidth="1"/>
    <col min="10" max="11" width="23.140625" style="268" bestFit="1" customWidth="1"/>
    <col min="12" max="12" width="10.42578125" style="111" customWidth="1"/>
    <col min="13" max="16384" width="33" style="111"/>
  </cols>
  <sheetData>
    <row r="1" spans="2:12" ht="21" customHeight="1" thickBot="1"/>
    <row r="2" spans="2:12" ht="109.5" customHeight="1" thickBot="1">
      <c r="B2" s="927"/>
      <c r="C2" s="928"/>
      <c r="D2" s="928"/>
      <c r="E2" s="928"/>
      <c r="F2" s="928"/>
      <c r="G2" s="928"/>
      <c r="H2" s="928"/>
      <c r="I2" s="928"/>
      <c r="J2" s="928"/>
      <c r="K2" s="929"/>
    </row>
    <row r="3" spans="2:12" ht="16.5" thickBot="1">
      <c r="B3" s="930" t="s">
        <v>7400</v>
      </c>
      <c r="C3" s="931"/>
      <c r="D3" s="931"/>
      <c r="E3" s="931"/>
      <c r="F3" s="931"/>
      <c r="G3" s="931"/>
      <c r="H3" s="931"/>
      <c r="I3" s="931"/>
      <c r="J3" s="931"/>
      <c r="K3" s="932"/>
    </row>
    <row r="4" spans="2:12" ht="16.5" thickBot="1">
      <c r="B4" s="930" t="s">
        <v>7399</v>
      </c>
      <c r="C4" s="931"/>
      <c r="D4" s="931"/>
      <c r="E4" s="931"/>
      <c r="F4" s="931"/>
      <c r="G4" s="931"/>
      <c r="H4" s="931"/>
      <c r="I4" s="931"/>
      <c r="J4" s="931"/>
      <c r="K4" s="932"/>
    </row>
    <row r="5" spans="2:12" ht="16.5" thickBot="1">
      <c r="B5" s="930" t="s">
        <v>7401</v>
      </c>
      <c r="C5" s="931"/>
      <c r="D5" s="931"/>
      <c r="E5" s="931"/>
      <c r="F5" s="931"/>
      <c r="G5" s="931"/>
      <c r="H5" s="931"/>
      <c r="I5" s="931"/>
      <c r="J5" s="931"/>
      <c r="K5" s="932"/>
    </row>
    <row r="6" spans="2:12" ht="16.5" thickBot="1">
      <c r="B6" s="930" t="s">
        <v>7402</v>
      </c>
      <c r="C6" s="931"/>
      <c r="D6" s="931"/>
      <c r="E6" s="931"/>
      <c r="F6" s="931"/>
      <c r="G6" s="931"/>
      <c r="H6" s="931"/>
      <c r="I6" s="931"/>
      <c r="J6" s="931"/>
      <c r="K6" s="932"/>
    </row>
    <row r="7" spans="2:12" ht="15.75">
      <c r="B7" s="918" t="s">
        <v>13473</v>
      </c>
      <c r="C7" s="919"/>
      <c r="D7" s="919"/>
      <c r="E7" s="919"/>
      <c r="F7" s="919"/>
      <c r="G7" s="919"/>
      <c r="H7" s="919"/>
      <c r="I7" s="919"/>
      <c r="J7" s="919"/>
      <c r="K7" s="920"/>
    </row>
    <row r="8" spans="2:12" s="295" customFormat="1" ht="31.5">
      <c r="B8" s="196" t="s">
        <v>1</v>
      </c>
      <c r="C8" s="197" t="s">
        <v>2</v>
      </c>
      <c r="D8" s="197" t="s">
        <v>0</v>
      </c>
      <c r="E8" s="198" t="s">
        <v>3</v>
      </c>
      <c r="F8" s="198" t="s">
        <v>4</v>
      </c>
      <c r="G8" s="199" t="s">
        <v>5</v>
      </c>
      <c r="H8" s="293" t="s">
        <v>550</v>
      </c>
      <c r="I8" s="293" t="s">
        <v>597</v>
      </c>
      <c r="J8" s="293" t="s">
        <v>551</v>
      </c>
      <c r="K8" s="294" t="s">
        <v>598</v>
      </c>
    </row>
    <row r="9" spans="2:12" s="107" customFormat="1" ht="15.75">
      <c r="B9" s="285" t="s">
        <v>6975</v>
      </c>
      <c r="C9" s="286"/>
      <c r="D9" s="287"/>
      <c r="E9" s="288" t="str">
        <f>QUANT!E6:J6</f>
        <v xml:space="preserve">ADMINISTRAÇÃO DE OBRA </v>
      </c>
      <c r="F9" s="289"/>
      <c r="G9" s="290"/>
      <c r="H9" s="291"/>
      <c r="I9" s="291"/>
      <c r="J9" s="291"/>
      <c r="K9" s="292"/>
    </row>
    <row r="10" spans="2:12" s="107" customFormat="1" ht="30">
      <c r="B10" s="200" t="s">
        <v>6974</v>
      </c>
      <c r="C10" s="201">
        <f>QUANT!C8</f>
        <v>90777</v>
      </c>
      <c r="D10" s="202" t="str">
        <f>QUANT!D8</f>
        <v>SINAPI</v>
      </c>
      <c r="E10" s="203" t="str">
        <f>IFERROR(VLOOKUP($C10,'SINAPI FEVEREIRO 2022'!$1:$1048576,2,0),IFERROR(VLOOKUP($C10,'5-COMP. PROPRIA'!$B$1:$I$647,4,0),""))</f>
        <v>ENGENHEIRO CIVIL DE OBRA JUNIOR COM ENCARGOS COMPLEMENTARES</v>
      </c>
      <c r="F10" s="255" t="str">
        <f>IFERROR(VLOOKUP($C10,'SINAPI FEVEREIRO 2022'!$1:$1048576,3,0),IFERROR(VLOOKUP($C10,'5-COMP. PROPRIA'!$B$1:$I$647,5,0),""))</f>
        <v>H</v>
      </c>
      <c r="G10" s="204">
        <f>QUANT!K8</f>
        <v>270</v>
      </c>
      <c r="H10" s="256">
        <f>IFERROR(VLOOKUP($C10,'SINAPI FEVEREIRO 2022'!$1:$1048576,4,0),IFERROR(VLOOKUP($C10,'5-COMP. PROPRIA'!$B$1:$I$647,8,0),""))</f>
        <v>81.02</v>
      </c>
      <c r="I10" s="256">
        <f>TRUNC(($H10*'4-BDI'!$E$29),2)</f>
        <v>103.9</v>
      </c>
      <c r="J10" s="266">
        <f>TRUNC((G10*H10),2)</f>
        <v>21875.4</v>
      </c>
      <c r="K10" s="205">
        <f>TRUNC((I10*G10),2)</f>
        <v>28053</v>
      </c>
    </row>
    <row r="11" spans="2:12" s="107" customFormat="1" ht="30">
      <c r="B11" s="200" t="s">
        <v>6976</v>
      </c>
      <c r="C11" s="201">
        <f>QUANT!C12</f>
        <v>93572</v>
      </c>
      <c r="D11" s="201" t="str">
        <f>QUANT!D12</f>
        <v>SINAPI</v>
      </c>
      <c r="E11" s="203" t="str">
        <f>IFERROR(VLOOKUP($C11,'SINAPI FEVEREIRO 2022'!$1:$1048576,2,0),IFERROR(VLOOKUP($C11,'5-COMP. PROPRIA'!$B$1:$I$647,4,0),""))</f>
        <v>ENCARREGADO GERAL DE OBRAS COM ENCARGOS COMPLEMENTARES</v>
      </c>
      <c r="F11" s="255" t="str">
        <f>IFERROR(VLOOKUP($C11,'SINAPI FEVEREIRO 2022'!$1:$1048576,3,0),IFERROR(VLOOKUP($C11,'5-COMP. PROPRIA'!$B$1:$I$647,5,0),""))</f>
        <v>MES</v>
      </c>
      <c r="G11" s="206">
        <f>QUANT!K12</f>
        <v>6</v>
      </c>
      <c r="H11" s="256">
        <f>IFERROR(VLOOKUP($C11,'SINAPI FEVEREIRO 2022'!$1:$1048576,4,0),IFERROR(VLOOKUP($C11,'5-COMP. PROPRIA'!$B$1:$I$647,8,0),""))</f>
        <v>3671.61</v>
      </c>
      <c r="I11" s="256">
        <f>TRUNC(($H11*'4-BDI'!$E$29),2)</f>
        <v>4708.47</v>
      </c>
      <c r="J11" s="266">
        <f>TRUNC((G11*H11),2)</f>
        <v>22029.66</v>
      </c>
      <c r="K11" s="205">
        <f>TRUNC((I11*G11),2)</f>
        <v>28250.82</v>
      </c>
    </row>
    <row r="12" spans="2:12" s="107" customFormat="1" ht="15">
      <c r="B12" s="200" t="s">
        <v>6979</v>
      </c>
      <c r="C12" s="201">
        <f>QUANT!C14</f>
        <v>101460</v>
      </c>
      <c r="D12" s="201" t="str">
        <f>QUANT!D14</f>
        <v>SINAPI</v>
      </c>
      <c r="E12" s="203" t="str">
        <f>IFERROR(VLOOKUP($C12,'SINAPI FEVEREIRO 2022'!$1:$1048576,2,0),IFERROR(VLOOKUP($C12,'5-COMP. PROPRIA'!$B$1:$I$647,4,0),""))</f>
        <v>VIGIA DIURNO COM ENCARGOS COMPLEMENTARES</v>
      </c>
      <c r="F12" s="255" t="str">
        <f>IFERROR(VLOOKUP($C12,'SINAPI FEVEREIRO 2022'!$1:$1048576,3,0),IFERROR(VLOOKUP($C12,'5-COMP. PROPRIA'!$B$1:$I$647,5,0),""))</f>
        <v>MES</v>
      </c>
      <c r="G12" s="206">
        <f>QUANT!K14</f>
        <v>6</v>
      </c>
      <c r="H12" s="256">
        <f>IFERROR(VLOOKUP($C12,'SINAPI FEVEREIRO 2022'!$1:$1048576,4,0),IFERROR(VLOOKUP($C12,'5-COMP. PROPRIA'!$B$1:$I$647,8,0),""))</f>
        <v>2711.65</v>
      </c>
      <c r="I12" s="256">
        <f>TRUNC(($H12*'4-BDI'!$E$29),2)</f>
        <v>3477.41</v>
      </c>
      <c r="J12" s="266">
        <f>TRUNC((G12*H12),2)</f>
        <v>16269.9</v>
      </c>
      <c r="K12" s="205">
        <f>TRUNC((I12*G12),2)</f>
        <v>20864.46</v>
      </c>
    </row>
    <row r="13" spans="2:12" s="107" customFormat="1" ht="15">
      <c r="B13" s="200" t="s">
        <v>6980</v>
      </c>
      <c r="C13" s="201">
        <f>QUANT!C16</f>
        <v>88326</v>
      </c>
      <c r="D13" s="201" t="str">
        <f>QUANT!D16</f>
        <v>SINAPI</v>
      </c>
      <c r="E13" s="203" t="str">
        <f>IFERROR(VLOOKUP($C13,'SINAPI FEVEREIRO 2022'!$1:$1048576,2,0),IFERROR(VLOOKUP($C13,'5-COMP. PROPRIA'!$B$1:$I$647,4,0),""))</f>
        <v>VIGIA NOTURNO COM ENCARGOS COMPLEMENTARES</v>
      </c>
      <c r="F13" s="255" t="str">
        <f>IFERROR(VLOOKUP($C13,'SINAPI FEVEREIRO 2022'!$1:$1048576,3,0),IFERROR(VLOOKUP($C13,'5-COMP. PROPRIA'!$B$1:$I$647,5,0),""))</f>
        <v>H</v>
      </c>
      <c r="G13" s="206">
        <f>QUANT!K16</f>
        <v>1080</v>
      </c>
      <c r="H13" s="256">
        <f>IFERROR(VLOOKUP($C13,'SINAPI FEVEREIRO 2022'!$1:$1048576,4,0),IFERROR(VLOOKUP($C13,'5-COMP. PROPRIA'!$B$1:$I$647,8,0),""))</f>
        <v>18.829999999999998</v>
      </c>
      <c r="I13" s="256">
        <f>TRUNC(($H13*'4-BDI'!$E$29),2)</f>
        <v>24.14</v>
      </c>
      <c r="J13" s="266">
        <f>TRUNC((G13*H13),2)</f>
        <v>20336.400000000001</v>
      </c>
      <c r="K13" s="205">
        <f>TRUNC((I13*G13),2)</f>
        <v>26071.200000000001</v>
      </c>
    </row>
    <row r="14" spans="2:12" s="107" customFormat="1" ht="15.75" customHeight="1">
      <c r="B14" s="915" t="s">
        <v>8286</v>
      </c>
      <c r="C14" s="916"/>
      <c r="D14" s="916"/>
      <c r="E14" s="916"/>
      <c r="F14" s="916"/>
      <c r="G14" s="916"/>
      <c r="H14" s="916"/>
      <c r="I14" s="917"/>
      <c r="J14" s="207">
        <f>TRUNC(SUM(J10:J13),2)</f>
        <v>80511.360000000001</v>
      </c>
      <c r="K14" s="207">
        <f>TRUNC(SUM(K10:K13),2)</f>
        <v>103239.48</v>
      </c>
      <c r="L14" s="118"/>
    </row>
    <row r="15" spans="2:12" s="107" customFormat="1" ht="15.75">
      <c r="B15" s="285" t="s">
        <v>6981</v>
      </c>
      <c r="C15" s="286"/>
      <c r="D15" s="287"/>
      <c r="E15" s="288" t="str">
        <f>QUANT!E21</f>
        <v>INSTALAÇÕES DE CANTEIRO E SERVIÇOS PRELIMINARES</v>
      </c>
      <c r="F15" s="289"/>
      <c r="G15" s="290"/>
      <c r="H15" s="291"/>
      <c r="I15" s="291"/>
      <c r="J15" s="291"/>
      <c r="K15" s="292"/>
    </row>
    <row r="16" spans="2:12" s="107" customFormat="1" ht="15">
      <c r="B16" s="200" t="s">
        <v>6978</v>
      </c>
      <c r="C16" s="201" t="str">
        <f>QUANT!C23</f>
        <v>CP-IP-01</v>
      </c>
      <c r="D16" s="201" t="str">
        <f>QUANT!D23</f>
        <v>PROPRIA</v>
      </c>
      <c r="E16" s="203" t="str">
        <f>IFERROR(VLOOKUP($C16,'SINAPI FEVEREIRO 2022'!$1:$1048576,2,0),IFERROR(VLOOKUP($C16,'5-COMP. PROPRIA'!$B$1:$I$647,4,0),""))</f>
        <v>PLACA DE OBRA EM CHAPA DE AÇO GALVANIZADO</v>
      </c>
      <c r="F16" s="255" t="str">
        <f>IFERROR(VLOOKUP($C16,'SINAPI FEVEREIRO 2022'!$1:$1048576,3,0),IFERROR(VLOOKUP($C16,'5-COMP. PROPRIA'!$B$1:$I$647,5,0),""))</f>
        <v xml:space="preserve">M2    </v>
      </c>
      <c r="G16" s="204">
        <f>QUANT!K23</f>
        <v>6</v>
      </c>
      <c r="H16" s="256">
        <f>IFERROR(VLOOKUP($C16,'SINAPI FEVEREIRO 2022'!$1:$1048576,4,0),IFERROR(VLOOKUP($C16,'5-COMP. PROPRIA'!$B$1:$I$647,8,0),""))</f>
        <v>321.41000000000003</v>
      </c>
      <c r="I16" s="256">
        <f>TRUNC(($H16*'4-BDI'!$E$29),2)</f>
        <v>412.17</v>
      </c>
      <c r="J16" s="266">
        <f>TRUNC((G16*H16),2)</f>
        <v>1928.46</v>
      </c>
      <c r="K16" s="205">
        <f>TRUNC((I16*G16),2)</f>
        <v>2473.02</v>
      </c>
    </row>
    <row r="17" spans="2:18" s="107" customFormat="1" ht="15">
      <c r="B17" s="200" t="s">
        <v>6982</v>
      </c>
      <c r="C17" s="201">
        <f>QUANT!C25</f>
        <v>98459</v>
      </c>
      <c r="D17" s="201" t="str">
        <f>QUANT!D25</f>
        <v>SINAPI</v>
      </c>
      <c r="E17" s="203" t="str">
        <f>IFERROR(VLOOKUP($C17,'SINAPI FEVEREIRO 2022'!$1:$1048576,2,0),IFERROR(VLOOKUP($C17,'5-COMP. PROPRIA'!$B$1:$I$647,4,0),""))</f>
        <v>TAPUME COM TELHA METÁLICA. AF_05/2018</v>
      </c>
      <c r="F17" s="255" t="str">
        <f>IFERROR(VLOOKUP($C17,'SINAPI FEVEREIRO 2022'!$1:$1048576,3,0),IFERROR(VLOOKUP($C17,'5-COMP. PROPRIA'!$B$1:$I$647,5,0),""))</f>
        <v>M2</v>
      </c>
      <c r="G17" s="204">
        <f>QUANT!K25</f>
        <v>430.75200000000007</v>
      </c>
      <c r="H17" s="256">
        <f>IFERROR(VLOOKUP($C17,'SINAPI FEVEREIRO 2022'!$1:$1048576,4,0),IFERROR(VLOOKUP($C17,'5-COMP. PROPRIA'!$B$1:$I$647,8,0),""))</f>
        <v>95.95</v>
      </c>
      <c r="I17" s="256">
        <f>TRUNC(($H17*'4-BDI'!$E$29),2)</f>
        <v>123.04</v>
      </c>
      <c r="J17" s="266">
        <f>TRUNC((G17*H17),2)</f>
        <v>41330.65</v>
      </c>
      <c r="K17" s="205">
        <f>TRUNC((I17*G17),2)</f>
        <v>52999.72</v>
      </c>
      <c r="M17" s="112"/>
      <c r="N17" s="112"/>
      <c r="O17" s="112"/>
      <c r="P17" s="112"/>
      <c r="Q17" s="112"/>
      <c r="R17" s="112"/>
    </row>
    <row r="18" spans="2:18" s="107" customFormat="1" ht="36.75" customHeight="1">
      <c r="B18" s="200" t="s">
        <v>13292</v>
      </c>
      <c r="C18" s="201" t="str">
        <f>QUANT!C32</f>
        <v>CP-IP-02</v>
      </c>
      <c r="D18" s="201" t="str">
        <f>QUANT!D32</f>
        <v>PROPRIA</v>
      </c>
      <c r="E18" s="203" t="str">
        <f>IFERROR(VLOOKUP($C18,'SINAPI FEVEREIRO 2022'!$1:$1048576,2,0),IFERROR(VLOOKUP($C18,'5-COMP. PROPRIA'!$B$1:$I$647,4,0),""))</f>
        <v>LOCACAO DE CONTAINER 2,30  X  6,00 M, ALT. 2,50 M, COM 1 SANITARIO, PARA ESCRITORIO, COMPLETO, SEM DIVISORIAS INTERNAS</v>
      </c>
      <c r="F18" s="255" t="str">
        <f>IFERROR(VLOOKUP($C18,'SINAPI FEVEREIRO 2022'!$1:$1048576,3,0),IFERROR(VLOOKUP($C18,'5-COMP. PROPRIA'!$B$1:$I$647,5,0),""))</f>
        <v>MÊS</v>
      </c>
      <c r="G18" s="204">
        <f>QUANT!K32</f>
        <v>6</v>
      </c>
      <c r="H18" s="256">
        <f>IFERROR(VLOOKUP($C18,'SINAPI FEVEREIRO 2022'!$1:$1048576,4,0),IFERROR(VLOOKUP($C18,'5-COMP. PROPRIA'!$B$1:$I$647,8,0),""))</f>
        <v>1527.88</v>
      </c>
      <c r="I18" s="256">
        <f>TRUNC(($H18*'4-BDI'!$E$29),2)</f>
        <v>1959.35</v>
      </c>
      <c r="J18" s="266">
        <f>TRUNC((G18*H18),2)</f>
        <v>9167.2800000000007</v>
      </c>
      <c r="K18" s="205">
        <f>TRUNC((I18*G18),2)</f>
        <v>11756.1</v>
      </c>
      <c r="M18" s="112"/>
      <c r="N18" s="112"/>
      <c r="O18" s="112"/>
      <c r="P18" s="112"/>
      <c r="Q18" s="112"/>
      <c r="R18" s="112"/>
    </row>
    <row r="19" spans="2:18" s="107" customFormat="1" ht="15.75" customHeight="1">
      <c r="B19" s="915" t="s">
        <v>8286</v>
      </c>
      <c r="C19" s="916"/>
      <c r="D19" s="916"/>
      <c r="E19" s="916"/>
      <c r="F19" s="916"/>
      <c r="G19" s="916"/>
      <c r="H19" s="916"/>
      <c r="I19" s="917"/>
      <c r="J19" s="207">
        <f>TRUNC(SUM(J16:J18),2)</f>
        <v>52426.39</v>
      </c>
      <c r="K19" s="207">
        <f>TRUNC(SUM(K16:K18),2)</f>
        <v>67228.84</v>
      </c>
      <c r="M19" s="112"/>
      <c r="N19" s="112"/>
      <c r="O19" s="112"/>
      <c r="P19" s="112"/>
      <c r="Q19" s="112"/>
      <c r="R19" s="112"/>
    </row>
    <row r="20" spans="2:18" s="107" customFormat="1" ht="15.75">
      <c r="B20" s="285" t="s">
        <v>6983</v>
      </c>
      <c r="C20" s="286"/>
      <c r="D20" s="287"/>
      <c r="E20" s="288" t="str">
        <f>QUANT!E34</f>
        <v>DEMOLIÇÕES E RETIRADAS</v>
      </c>
      <c r="F20" s="289"/>
      <c r="G20" s="290"/>
      <c r="H20" s="291"/>
      <c r="I20" s="291"/>
      <c r="J20" s="291"/>
      <c r="K20" s="292"/>
      <c r="M20" s="112"/>
      <c r="N20" s="112"/>
      <c r="O20" s="112"/>
      <c r="P20" s="112"/>
      <c r="Q20" s="112"/>
      <c r="R20" s="112"/>
    </row>
    <row r="21" spans="2:18" s="107" customFormat="1" ht="30">
      <c r="B21" s="208" t="s">
        <v>6984</v>
      </c>
      <c r="C21" s="201">
        <f>QUANT!C36</f>
        <v>97647</v>
      </c>
      <c r="D21" s="201" t="str">
        <f>QUANT!D36</f>
        <v>SINAPI</v>
      </c>
      <c r="E21" s="203" t="str">
        <f>IFERROR(VLOOKUP($C21,'SINAPI FEVEREIRO 2022'!$1:$1048576,2,0),IFERROR(VLOOKUP($C21,'5-COMP. PROPRIA'!$B$1:$I$647,4,0),""))</f>
        <v>REMOÇÃO DE TELHAS, DE FIBROCIMENTO, METÁLICA E CERÂMICA, DE FORMA MANUAL, SEM REAPROVEITAMENTO. AF_12/2017</v>
      </c>
      <c r="F21" s="255" t="str">
        <f>IFERROR(VLOOKUP($C21,'SINAPI FEVEREIRO 2022'!$1:$1048576,3,0),IFERROR(VLOOKUP($C21,'5-COMP. PROPRIA'!$B$1:$I$647,5,0),""))</f>
        <v>M2</v>
      </c>
      <c r="G21" s="204">
        <f>QUANT!K36</f>
        <v>1221.5991599999998</v>
      </c>
      <c r="H21" s="256">
        <f>IFERROR(VLOOKUP($C21,'SINAPI FEVEREIRO 2022'!$1:$1048576,4,0),IFERROR(VLOOKUP($C21,'5-COMP. PROPRIA'!$B$1:$I$647,8,0),""))</f>
        <v>2.38</v>
      </c>
      <c r="I21" s="256">
        <f>TRUNC(($H21*'4-BDI'!$E$29),2)</f>
        <v>3.05</v>
      </c>
      <c r="J21" s="266">
        <f>TRUNC((G21*H21),2)</f>
        <v>2907.4</v>
      </c>
      <c r="K21" s="205">
        <f>TRUNC((I21*G21),2)</f>
        <v>3725.87</v>
      </c>
      <c r="M21" s="112"/>
      <c r="N21" s="112"/>
      <c r="O21" s="112"/>
      <c r="P21" s="112"/>
      <c r="Q21" s="112"/>
      <c r="R21" s="112"/>
    </row>
    <row r="22" spans="2:18" s="107" customFormat="1" ht="30">
      <c r="B22" s="208" t="s">
        <v>6977</v>
      </c>
      <c r="C22" s="201">
        <f>QUANT!C43</f>
        <v>97652</v>
      </c>
      <c r="D22" s="201" t="str">
        <f>QUANT!D43</f>
        <v>SINAPI</v>
      </c>
      <c r="E22" s="203" t="str">
        <f>IFERROR(VLOOKUP($C22,'SINAPI FEVEREIRO 2022'!$1:$1048576,2,0),IFERROR(VLOOKUP($C22,'5-COMP. PROPRIA'!$B$1:$I$647,4,0),""))</f>
        <v>REMOÇÃO DE TESOURAS DE MADEIRA, COM VÃO MAIOR OU IGUAL A 8M, DE FORMA MANUAL, SEM REAPROVEITAMENTO. AF_12/2017</v>
      </c>
      <c r="F22" s="255" t="str">
        <f>IFERROR(VLOOKUP($C22,'SINAPI FEVEREIRO 2022'!$1:$1048576,3,0),IFERROR(VLOOKUP($C22,'5-COMP. PROPRIA'!$B$1:$I$647,5,0),""))</f>
        <v>UN</v>
      </c>
      <c r="G22" s="204">
        <f>QUANT!K43</f>
        <v>38</v>
      </c>
      <c r="H22" s="256">
        <f>IFERROR(VLOOKUP($C22,'SINAPI FEVEREIRO 2022'!$1:$1048576,4,0),IFERROR(VLOOKUP($C22,'5-COMP. PROPRIA'!$B$1:$I$647,8,0),""))</f>
        <v>128.41999999999999</v>
      </c>
      <c r="I22" s="256">
        <f>TRUNC(($H22*'4-BDI'!$E$29),2)</f>
        <v>164.68</v>
      </c>
      <c r="J22" s="266">
        <f t="shared" ref="J22:J52" si="0">TRUNC((G22*H22),2)</f>
        <v>4879.96</v>
      </c>
      <c r="K22" s="205">
        <f t="shared" ref="K22:K52" si="1">TRUNC((I22*G22),2)</f>
        <v>6257.84</v>
      </c>
      <c r="M22" s="112"/>
      <c r="N22" s="112"/>
      <c r="O22" s="112"/>
      <c r="P22" s="112"/>
      <c r="Q22" s="112"/>
      <c r="R22" s="112"/>
    </row>
    <row r="23" spans="2:18" s="107" customFormat="1" ht="30">
      <c r="B23" s="208" t="s">
        <v>6988</v>
      </c>
      <c r="C23" s="201">
        <f>QUANT!C48</f>
        <v>97650</v>
      </c>
      <c r="D23" s="201" t="str">
        <f>QUANT!D48</f>
        <v>SINAPI</v>
      </c>
      <c r="E23" s="203" t="str">
        <f>IFERROR(VLOOKUP($C23,'SINAPI FEVEREIRO 2022'!$1:$1048576,2,0),IFERROR(VLOOKUP($C23,'5-COMP. PROPRIA'!$B$1:$I$647,4,0),""))</f>
        <v>REMOÇÃO DE TRAMA DE MADEIRA PARA COBERTURA, DE FORMA MANUAL, SEM REAPROVEITAMENTO. AF_12/2017</v>
      </c>
      <c r="F23" s="255" t="str">
        <f>IFERROR(VLOOKUP($C23,'SINAPI FEVEREIRO 2022'!$1:$1048576,3,0),IFERROR(VLOOKUP($C23,'5-COMP. PROPRIA'!$B$1:$I$647,5,0),""))</f>
        <v>M2</v>
      </c>
      <c r="G23" s="204">
        <f>QUANT!K48</f>
        <v>1252.8522</v>
      </c>
      <c r="H23" s="256">
        <f>IFERROR(VLOOKUP($C23,'SINAPI FEVEREIRO 2022'!$1:$1048576,4,0),IFERROR(VLOOKUP($C23,'5-COMP. PROPRIA'!$B$1:$I$647,8,0),""))</f>
        <v>5.12</v>
      </c>
      <c r="I23" s="256">
        <f>TRUNC(($H23*'4-BDI'!$E$29),2)</f>
        <v>6.56</v>
      </c>
      <c r="J23" s="266">
        <f t="shared" si="0"/>
        <v>6414.6</v>
      </c>
      <c r="K23" s="205">
        <f t="shared" si="1"/>
        <v>8218.7099999999991</v>
      </c>
      <c r="M23" s="112"/>
      <c r="N23" s="112"/>
      <c r="O23" s="112"/>
      <c r="P23" s="112"/>
      <c r="Q23" s="112"/>
      <c r="R23" s="112"/>
    </row>
    <row r="24" spans="2:18" s="107" customFormat="1" ht="30">
      <c r="B24" s="208" t="s">
        <v>6989</v>
      </c>
      <c r="C24" s="201">
        <f>QUANT!C54</f>
        <v>97640</v>
      </c>
      <c r="D24" s="201" t="str">
        <f>QUANT!D54</f>
        <v>SINAPI</v>
      </c>
      <c r="E24" s="203" t="str">
        <f>IFERROR(VLOOKUP($C24,'SINAPI FEVEREIRO 2022'!$1:$1048576,2,0),IFERROR(VLOOKUP($C24,'5-COMP. PROPRIA'!$B$1:$I$647,4,0),""))</f>
        <v>REMOÇÃO DE FORROS DE DRYWALL, PVC E FIBROMINERAL, DE FORMA MANUAL, SEM REAPROVEITAMENTO. AF_12/2017</v>
      </c>
      <c r="F24" s="255" t="str">
        <f>IFERROR(VLOOKUP($C24,'SINAPI FEVEREIRO 2022'!$1:$1048576,3,0),IFERROR(VLOOKUP($C24,'5-COMP. PROPRIA'!$B$1:$I$647,5,0),""))</f>
        <v>M2</v>
      </c>
      <c r="G24" s="204">
        <f>QUANT!K54</f>
        <v>574.82339999999999</v>
      </c>
      <c r="H24" s="256">
        <f>IFERROR(VLOOKUP($C24,'SINAPI FEVEREIRO 2022'!$1:$1048576,4,0),IFERROR(VLOOKUP($C24,'5-COMP. PROPRIA'!$B$1:$I$647,8,0),""))</f>
        <v>1.1100000000000001</v>
      </c>
      <c r="I24" s="256">
        <f>TRUNC(($H24*'4-BDI'!$E$29),2)</f>
        <v>1.42</v>
      </c>
      <c r="J24" s="266">
        <f t="shared" si="0"/>
        <v>638.04999999999995</v>
      </c>
      <c r="K24" s="205">
        <f t="shared" si="1"/>
        <v>816.24</v>
      </c>
      <c r="M24" s="112"/>
      <c r="N24" s="112"/>
      <c r="O24" s="112"/>
      <c r="P24" s="112"/>
      <c r="Q24" s="112"/>
      <c r="R24" s="112"/>
    </row>
    <row r="25" spans="2:18" s="107" customFormat="1" ht="30">
      <c r="B25" s="208" t="s">
        <v>6990</v>
      </c>
      <c r="C25" s="201" t="str">
        <f>QUANT!C71</f>
        <v>CP-DEM-01</v>
      </c>
      <c r="D25" s="201" t="str">
        <f>QUANT!D71</f>
        <v>PROPRIA</v>
      </c>
      <c r="E25" s="203" t="str">
        <f>IFERROR(VLOOKUP($C25,'SINAPI FEVEREIRO 2022'!$1:$1048576,2,0),IFERROR(VLOOKUP($C25,'5-COMP. PROPRIA'!$B$1:$I$647,4,0),""))</f>
        <v>REMOÇÃO DE CHAPAS E PERFIS DE DRYWALL, DE FORMA MANUAL, SEM REAPROVEITAMENTO</v>
      </c>
      <c r="F25" s="255" t="str">
        <f>IFERROR(VLOOKUP($C25,'SINAPI FEVEREIRO 2022'!$1:$1048576,3,0),IFERROR(VLOOKUP($C25,'5-COMP. PROPRIA'!$B$1:$I$647,5,0),""))</f>
        <v>M2</v>
      </c>
      <c r="G25" s="204">
        <f>QUANT!K71</f>
        <v>68.34</v>
      </c>
      <c r="H25" s="256">
        <f>IFERROR(VLOOKUP($C25,'SINAPI FEVEREIRO 2022'!$1:$1048576,4,0),IFERROR(VLOOKUP($C25,'5-COMP. PROPRIA'!$B$1:$I$647,8,0),""))</f>
        <v>15.16</v>
      </c>
      <c r="I25" s="256">
        <f>TRUNC(($H25*'4-BDI'!$E$29),2)</f>
        <v>19.440000000000001</v>
      </c>
      <c r="J25" s="266">
        <f t="shared" si="0"/>
        <v>1036.03</v>
      </c>
      <c r="K25" s="205">
        <f t="shared" si="1"/>
        <v>1328.52</v>
      </c>
      <c r="M25" s="112"/>
      <c r="N25" s="112"/>
      <c r="O25" s="112"/>
      <c r="P25" s="112"/>
      <c r="Q25" s="112"/>
      <c r="R25" s="112"/>
    </row>
    <row r="26" spans="2:18" s="107" customFormat="1" ht="30">
      <c r="B26" s="208" t="s">
        <v>6987</v>
      </c>
      <c r="C26" s="201">
        <f>QUANT!C75</f>
        <v>97641</v>
      </c>
      <c r="D26" s="201" t="str">
        <f>QUANT!D75</f>
        <v>SINAPI</v>
      </c>
      <c r="E26" s="203" t="str">
        <f>IFERROR(VLOOKUP($C26,'SINAPI FEVEREIRO 2022'!$1:$1048576,2,0),IFERROR(VLOOKUP($C26,'5-COMP. PROPRIA'!$B$1:$I$647,4,0),""))</f>
        <v>REMOÇÃO DE FORRO DE GESSO, DE FORMA MANUAL, SEM REAPROVEITAMENTO. AF_12/2017</v>
      </c>
      <c r="F26" s="255" t="str">
        <f>IFERROR(VLOOKUP($C26,'SINAPI FEVEREIRO 2022'!$1:$1048576,3,0),IFERROR(VLOOKUP($C26,'5-COMP. PROPRIA'!$B$1:$I$647,5,0),""))</f>
        <v>M2</v>
      </c>
      <c r="G26" s="204">
        <f>QUANT!K75</f>
        <v>107.50600000000001</v>
      </c>
      <c r="H26" s="256">
        <f>IFERROR(VLOOKUP($C26,'SINAPI FEVEREIRO 2022'!$1:$1048576,4,0),IFERROR(VLOOKUP($C26,'5-COMP. PROPRIA'!$B$1:$I$647,8,0),""))</f>
        <v>3.41</v>
      </c>
      <c r="I26" s="256">
        <f>TRUNC(($H26*'4-BDI'!$E$29),2)</f>
        <v>4.37</v>
      </c>
      <c r="J26" s="266">
        <f t="shared" si="0"/>
        <v>366.59</v>
      </c>
      <c r="K26" s="205">
        <f t="shared" si="1"/>
        <v>469.8</v>
      </c>
      <c r="M26" s="112"/>
      <c r="N26" s="112"/>
      <c r="O26" s="112"/>
      <c r="P26" s="112"/>
      <c r="Q26" s="112"/>
      <c r="R26" s="112"/>
    </row>
    <row r="27" spans="2:18" s="107" customFormat="1" ht="30">
      <c r="B27" s="208" t="s">
        <v>6991</v>
      </c>
      <c r="C27" s="201">
        <f>QUANT!C79</f>
        <v>97661</v>
      </c>
      <c r="D27" s="201" t="str">
        <f>QUANT!D79</f>
        <v>SINAPI</v>
      </c>
      <c r="E27" s="203" t="str">
        <f>IFERROR(VLOOKUP($C27,'SINAPI FEVEREIRO 2022'!$1:$1048576,2,0),IFERROR(VLOOKUP($C27,'5-COMP. PROPRIA'!$B$1:$I$647,4,0),""))</f>
        <v>REMOÇÃO DE CABOS ELÉTRICOS, DE FORMA MANUAL, SEM REAPROVEITAMENTO. AF_12/2017</v>
      </c>
      <c r="F27" s="255" t="str">
        <f>IFERROR(VLOOKUP($C27,'SINAPI FEVEREIRO 2022'!$1:$1048576,3,0),IFERROR(VLOOKUP($C27,'5-COMP. PROPRIA'!$B$1:$I$647,5,0),""))</f>
        <v>M</v>
      </c>
      <c r="G27" s="204">
        <f>QUANT!K79</f>
        <v>6910.6</v>
      </c>
      <c r="H27" s="256">
        <f>IFERROR(VLOOKUP($C27,'SINAPI FEVEREIRO 2022'!$1:$1048576,4,0),IFERROR(VLOOKUP($C27,'5-COMP. PROPRIA'!$B$1:$I$647,8,0),""))</f>
        <v>0.46</v>
      </c>
      <c r="I27" s="256">
        <f>TRUNC(($H27*'4-BDI'!$E$29),2)</f>
        <v>0.57999999999999996</v>
      </c>
      <c r="J27" s="266">
        <f t="shared" si="0"/>
        <v>3178.87</v>
      </c>
      <c r="K27" s="205">
        <f t="shared" si="1"/>
        <v>4008.14</v>
      </c>
      <c r="M27" s="112"/>
      <c r="N27" s="112"/>
      <c r="O27" s="112"/>
      <c r="P27" s="112"/>
      <c r="Q27" s="112"/>
      <c r="R27" s="112"/>
    </row>
    <row r="28" spans="2:18" s="107" customFormat="1" ht="30">
      <c r="B28" s="208" t="s">
        <v>6992</v>
      </c>
      <c r="C28" s="201">
        <f>QUANT!C84</f>
        <v>97665</v>
      </c>
      <c r="D28" s="201" t="str">
        <f>QUANT!D84</f>
        <v>SINAPI</v>
      </c>
      <c r="E28" s="203" t="str">
        <f>IFERROR(VLOOKUP($C28,'SINAPI FEVEREIRO 2022'!$1:$1048576,2,0),IFERROR(VLOOKUP($C28,'5-COMP. PROPRIA'!$B$1:$I$647,4,0),""))</f>
        <v>REMOÇÃO DE LUMINÁRIAS, DE FORMA MANUAL, SEM REAPROVEITAMENTO. AF_12/2017</v>
      </c>
      <c r="F28" s="255" t="str">
        <f>IFERROR(VLOOKUP($C28,'SINAPI FEVEREIRO 2022'!$1:$1048576,3,0),IFERROR(VLOOKUP($C28,'5-COMP. PROPRIA'!$B$1:$I$647,5,0),""))</f>
        <v>UN</v>
      </c>
      <c r="G28" s="204">
        <f>QUANT!K84</f>
        <v>100</v>
      </c>
      <c r="H28" s="256">
        <f>IFERROR(VLOOKUP($C28,'SINAPI FEVEREIRO 2022'!$1:$1048576,4,0),IFERROR(VLOOKUP($C28,'5-COMP. PROPRIA'!$B$1:$I$647,8,0),""))</f>
        <v>0.89</v>
      </c>
      <c r="I28" s="256">
        <f>TRUNC(($H28*'4-BDI'!$E$29),2)</f>
        <v>1.1399999999999999</v>
      </c>
      <c r="J28" s="266">
        <f t="shared" si="0"/>
        <v>89</v>
      </c>
      <c r="K28" s="205">
        <f t="shared" si="1"/>
        <v>114</v>
      </c>
      <c r="M28" s="112"/>
      <c r="N28" s="112"/>
      <c r="O28" s="112"/>
      <c r="P28" s="112"/>
      <c r="Q28" s="112"/>
      <c r="R28" s="112"/>
    </row>
    <row r="29" spans="2:18" s="107" customFormat="1" ht="30">
      <c r="B29" s="208" t="s">
        <v>6993</v>
      </c>
      <c r="C29" s="201">
        <f>QUANT!C88</f>
        <v>97660</v>
      </c>
      <c r="D29" s="201" t="str">
        <f>QUANT!D88</f>
        <v>SINAPI</v>
      </c>
      <c r="E29" s="203" t="str">
        <f>IFERROR(VLOOKUP($C29,'SINAPI FEVEREIRO 2022'!$1:$1048576,2,0),IFERROR(VLOOKUP($C29,'5-COMP. PROPRIA'!$B$1:$I$647,4,0),""))</f>
        <v>REMOÇÃO DE INTERRUPTORES/TOMADAS ELÉTRICAS, DE FORMA MANUAL, SEM REAPROVEITAMENTO. AF_12/2017</v>
      </c>
      <c r="F29" s="255" t="str">
        <f>IFERROR(VLOOKUP($C29,'SINAPI FEVEREIRO 2022'!$1:$1048576,3,0),IFERROR(VLOOKUP($C29,'5-COMP. PROPRIA'!$B$1:$I$647,5,0),""))</f>
        <v>UN</v>
      </c>
      <c r="G29" s="204">
        <f>QUANT!K88</f>
        <v>105</v>
      </c>
      <c r="H29" s="256">
        <f>IFERROR(VLOOKUP($C29,'SINAPI FEVEREIRO 2022'!$1:$1048576,4,0),IFERROR(VLOOKUP($C29,'5-COMP. PROPRIA'!$B$1:$I$647,8,0),""))</f>
        <v>0.46</v>
      </c>
      <c r="I29" s="256">
        <f>TRUNC(($H29*'4-BDI'!$E$29),2)</f>
        <v>0.57999999999999996</v>
      </c>
      <c r="J29" s="266">
        <f t="shared" si="0"/>
        <v>48.3</v>
      </c>
      <c r="K29" s="205">
        <f t="shared" si="1"/>
        <v>60.9</v>
      </c>
      <c r="M29" s="112"/>
      <c r="N29" s="112"/>
      <c r="O29" s="112"/>
      <c r="P29" s="112"/>
      <c r="Q29" s="112"/>
      <c r="R29" s="112"/>
    </row>
    <row r="30" spans="2:18" s="107" customFormat="1" ht="30">
      <c r="B30" s="208" t="s">
        <v>6994</v>
      </c>
      <c r="C30" s="201">
        <f>QUANT!C92</f>
        <v>97662</v>
      </c>
      <c r="D30" s="201" t="str">
        <f>QUANT!D92</f>
        <v>SINAPI</v>
      </c>
      <c r="E30" s="203" t="str">
        <f>IFERROR(VLOOKUP($C30,'SINAPI FEVEREIRO 2022'!$1:$1048576,2,0),IFERROR(VLOOKUP($C30,'5-COMP. PROPRIA'!$B$1:$I$647,4,0),""))</f>
        <v>REMOÇÃO DE TUBULAÇÕES (TUBOS E CONEXÕES) DE ÁGUA FRIA, DE FORMA MANUAL, SEM REAPROVEITAMENTO. AF_12/2017</v>
      </c>
      <c r="F30" s="255" t="str">
        <f>IFERROR(VLOOKUP($C30,'SINAPI FEVEREIRO 2022'!$1:$1048576,3,0),IFERROR(VLOOKUP($C30,'5-COMP. PROPRIA'!$B$1:$I$647,5,0),""))</f>
        <v>M</v>
      </c>
      <c r="G30" s="204">
        <f>QUANT!K92</f>
        <v>82</v>
      </c>
      <c r="H30" s="256">
        <f>IFERROR(VLOOKUP($C30,'SINAPI FEVEREIRO 2022'!$1:$1048576,4,0),IFERROR(VLOOKUP($C30,'5-COMP. PROPRIA'!$B$1:$I$647,8,0),""))</f>
        <v>0.34</v>
      </c>
      <c r="I30" s="256">
        <f>TRUNC(($H30*'4-BDI'!$E$29),2)</f>
        <v>0.43</v>
      </c>
      <c r="J30" s="266">
        <f t="shared" si="0"/>
        <v>27.88</v>
      </c>
      <c r="K30" s="205">
        <f t="shared" si="1"/>
        <v>35.26</v>
      </c>
      <c r="M30" s="112"/>
      <c r="N30" s="112"/>
      <c r="O30" s="112"/>
      <c r="P30" s="112"/>
      <c r="Q30" s="112"/>
      <c r="R30" s="112"/>
    </row>
    <row r="31" spans="2:18" s="107" customFormat="1" ht="30">
      <c r="B31" s="208" t="s">
        <v>6995</v>
      </c>
      <c r="C31" s="201">
        <f>QUANT!C96</f>
        <v>97645</v>
      </c>
      <c r="D31" s="201" t="str">
        <f>QUANT!D96</f>
        <v>SINAPI</v>
      </c>
      <c r="E31" s="203" t="str">
        <f>IFERROR(VLOOKUP($C31,'SINAPI FEVEREIRO 2022'!$1:$1048576,2,0),IFERROR(VLOOKUP($C31,'5-COMP. PROPRIA'!$B$1:$I$647,4,0),""))</f>
        <v>REMOÇÃO DE JANELAS, DE FORMA MANUAL, SEM REAPROVEITAMENTO. AF_12/2017</v>
      </c>
      <c r="F31" s="255" t="str">
        <f>IFERROR(VLOOKUP($C31,'SINAPI FEVEREIRO 2022'!$1:$1048576,3,0),IFERROR(VLOOKUP($C31,'5-COMP. PROPRIA'!$B$1:$I$647,5,0),""))</f>
        <v>M2</v>
      </c>
      <c r="G31" s="204">
        <f>QUANT!K96</f>
        <v>94.48</v>
      </c>
      <c r="H31" s="256">
        <f>IFERROR(VLOOKUP($C31,'SINAPI FEVEREIRO 2022'!$1:$1048576,4,0),IFERROR(VLOOKUP($C31,'5-COMP. PROPRIA'!$B$1:$I$647,8,0),""))</f>
        <v>23.93</v>
      </c>
      <c r="I31" s="256">
        <f>TRUNC(($H31*'4-BDI'!$E$29),2)</f>
        <v>30.68</v>
      </c>
      <c r="J31" s="266">
        <f t="shared" si="0"/>
        <v>2260.9</v>
      </c>
      <c r="K31" s="205">
        <f t="shared" si="1"/>
        <v>2898.64</v>
      </c>
      <c r="M31" s="112"/>
      <c r="N31" s="112"/>
      <c r="O31" s="112"/>
      <c r="P31" s="112"/>
      <c r="Q31" s="112"/>
      <c r="R31" s="112"/>
    </row>
    <row r="32" spans="2:18" s="107" customFormat="1" ht="30">
      <c r="B32" s="208" t="s">
        <v>6986</v>
      </c>
      <c r="C32" s="201">
        <f>QUANT!C104</f>
        <v>97663</v>
      </c>
      <c r="D32" s="201" t="str">
        <f>QUANT!D104</f>
        <v>SINAPI</v>
      </c>
      <c r="E32" s="203" t="str">
        <f>IFERROR(VLOOKUP($C32,'SINAPI FEVEREIRO 2022'!$1:$1048576,2,0),IFERROR(VLOOKUP($C32,'5-COMP. PROPRIA'!$B$1:$I$647,4,0),""))</f>
        <v>REMOÇÃO DE LOUÇAS, DE FORMA MANUAL, SEM REAPROVEITAMENTO. AF_12/2017</v>
      </c>
      <c r="F32" s="255" t="str">
        <f>IFERROR(VLOOKUP($C32,'SINAPI FEVEREIRO 2022'!$1:$1048576,3,0),IFERROR(VLOOKUP($C32,'5-COMP. PROPRIA'!$B$1:$I$647,5,0),""))</f>
        <v>UN</v>
      </c>
      <c r="G32" s="204">
        <f>QUANT!K104</f>
        <v>20</v>
      </c>
      <c r="H32" s="256">
        <f>IFERROR(VLOOKUP($C32,'SINAPI FEVEREIRO 2022'!$1:$1048576,4,0),IFERROR(VLOOKUP($C32,'5-COMP. PROPRIA'!$B$1:$I$647,8,0),""))</f>
        <v>8.5</v>
      </c>
      <c r="I32" s="256">
        <f>TRUNC(($H32*'4-BDI'!$E$29),2)</f>
        <v>10.9</v>
      </c>
      <c r="J32" s="266">
        <f t="shared" si="0"/>
        <v>170</v>
      </c>
      <c r="K32" s="205">
        <f t="shared" si="1"/>
        <v>218</v>
      </c>
      <c r="M32" s="112"/>
      <c r="N32" s="112"/>
      <c r="O32" s="112"/>
      <c r="P32" s="112"/>
      <c r="Q32" s="112"/>
      <c r="R32" s="112"/>
    </row>
    <row r="33" spans="2:18" s="107" customFormat="1" ht="30">
      <c r="B33" s="208" t="s">
        <v>6996</v>
      </c>
      <c r="C33" s="201">
        <f>QUANT!C110</f>
        <v>97664</v>
      </c>
      <c r="D33" s="201" t="str">
        <f>QUANT!D110</f>
        <v>SINAPI</v>
      </c>
      <c r="E33" s="203" t="str">
        <f>IFERROR(VLOOKUP($C33,'SINAPI FEVEREIRO 2022'!$1:$1048576,2,0),IFERROR(VLOOKUP($C33,'5-COMP. PROPRIA'!$B$1:$I$647,4,0),""))</f>
        <v>REMOÇÃO DE ACESSÓRIOS, DE FORMA MANUAL, SEM REAPROVEITAMENTO. AF_12/2017</v>
      </c>
      <c r="F33" s="255" t="str">
        <f>IFERROR(VLOOKUP($C33,'SINAPI FEVEREIRO 2022'!$1:$1048576,3,0),IFERROR(VLOOKUP($C33,'5-COMP. PROPRIA'!$B$1:$I$647,5,0),""))</f>
        <v>UN</v>
      </c>
      <c r="G33" s="204">
        <f>QUANT!K110</f>
        <v>20</v>
      </c>
      <c r="H33" s="256">
        <f>IFERROR(VLOOKUP($C33,'SINAPI FEVEREIRO 2022'!$1:$1048576,4,0),IFERROR(VLOOKUP($C33,'5-COMP. PROPRIA'!$B$1:$I$647,8,0),""))</f>
        <v>1.05</v>
      </c>
      <c r="I33" s="256">
        <f>TRUNC(($H33*'4-BDI'!$E$29),2)</f>
        <v>1.34</v>
      </c>
      <c r="J33" s="266">
        <f t="shared" ref="J33" si="2">TRUNC((G33*H33),2)</f>
        <v>21</v>
      </c>
      <c r="K33" s="205">
        <f t="shared" ref="K33" si="3">TRUNC((I33*G33),2)</f>
        <v>26.8</v>
      </c>
      <c r="M33" s="112"/>
      <c r="N33" s="112"/>
      <c r="O33" s="112"/>
      <c r="P33" s="112"/>
      <c r="Q33" s="112"/>
      <c r="R33" s="112"/>
    </row>
    <row r="34" spans="2:18" s="107" customFormat="1" ht="30">
      <c r="B34" s="208" t="s">
        <v>6997</v>
      </c>
      <c r="C34" s="201">
        <f>QUANT!C115</f>
        <v>97644</v>
      </c>
      <c r="D34" s="201" t="str">
        <f>QUANT!D115</f>
        <v>SINAPI</v>
      </c>
      <c r="E34" s="203" t="str">
        <f>IFERROR(VLOOKUP($C34,'SINAPI FEVEREIRO 2022'!$1:$1048576,2,0),IFERROR(VLOOKUP($C34,'5-COMP. PROPRIA'!$B$1:$I$647,4,0),""))</f>
        <v>REMOÇÃO DE PORTAS, DE FORMA MANUAL, SEM REAPROVEITAMENTO. AF_12/2017</v>
      </c>
      <c r="F34" s="255" t="str">
        <f>IFERROR(VLOOKUP($C34,'SINAPI FEVEREIRO 2022'!$1:$1048576,3,0),IFERROR(VLOOKUP($C34,'5-COMP. PROPRIA'!$B$1:$I$647,5,0),""))</f>
        <v>M2</v>
      </c>
      <c r="G34" s="204">
        <f>QUANT!K115</f>
        <v>132.65800000000002</v>
      </c>
      <c r="H34" s="256">
        <f>IFERROR(VLOOKUP($C34,'SINAPI FEVEREIRO 2022'!$1:$1048576,4,0),IFERROR(VLOOKUP($C34,'5-COMP. PROPRIA'!$B$1:$I$647,8,0),""))</f>
        <v>6.39</v>
      </c>
      <c r="I34" s="256">
        <f>TRUNC(($H34*'4-BDI'!$E$29),2)</f>
        <v>8.19</v>
      </c>
      <c r="J34" s="266">
        <f t="shared" ref="J34:J35" si="4">TRUNC((G34*H34),2)</f>
        <v>847.68</v>
      </c>
      <c r="K34" s="205">
        <f t="shared" ref="K34:K35" si="5">TRUNC((I34*G34),2)</f>
        <v>1086.46</v>
      </c>
      <c r="M34" s="112"/>
      <c r="N34" s="112"/>
      <c r="O34" s="112"/>
      <c r="P34" s="112"/>
      <c r="Q34" s="112"/>
      <c r="R34" s="112"/>
    </row>
    <row r="35" spans="2:18" s="107" customFormat="1" ht="15">
      <c r="B35" s="208" t="s">
        <v>6998</v>
      </c>
      <c r="C35" s="201" t="str">
        <f>QUANT!C131</f>
        <v>CP-DEM-04</v>
      </c>
      <c r="D35" s="201" t="str">
        <f>QUANT!D131</f>
        <v>PROPRIA</v>
      </c>
      <c r="E35" s="203" t="str">
        <f>IFERROR(VLOOKUP($C35,'SINAPI FEVEREIRO 2022'!$1:$1048576,2,0),IFERROR(VLOOKUP($C35,'5-COMP. PROPRIA'!$B$1:$I$647,4,0),""))</f>
        <v>REMOÇÃO DAS DIVISÓRIAS DE PAREDES SEM REAPROVEITAMENTO</v>
      </c>
      <c r="F35" s="255" t="str">
        <f>IFERROR(VLOOKUP($C35,'SINAPI FEVEREIRO 2022'!$1:$1048576,3,0),IFERROR(VLOOKUP($C35,'5-COMP. PROPRIA'!$B$1:$I$647,5,0),""))</f>
        <v>M2</v>
      </c>
      <c r="G35" s="204">
        <f>QUANT!K131</f>
        <v>27.299999999999997</v>
      </c>
      <c r="H35" s="256">
        <f>IFERROR(VLOOKUP($C35,'SINAPI FEVEREIRO 2022'!$1:$1048576,4,0),IFERROR(VLOOKUP($C35,'5-COMP. PROPRIA'!$B$1:$I$647,8,0),""))</f>
        <v>0.15</v>
      </c>
      <c r="I35" s="256">
        <f>TRUNC(($H35*'4-BDI'!$E$29),2)</f>
        <v>0.19</v>
      </c>
      <c r="J35" s="266">
        <f t="shared" si="4"/>
        <v>4.09</v>
      </c>
      <c r="K35" s="205">
        <f t="shared" si="5"/>
        <v>5.18</v>
      </c>
      <c r="M35" s="112"/>
      <c r="N35" s="112"/>
      <c r="O35" s="112"/>
      <c r="P35" s="112"/>
      <c r="Q35" s="112"/>
      <c r="R35" s="112"/>
    </row>
    <row r="36" spans="2:18" s="107" customFormat="1" ht="30">
      <c r="B36" s="208" t="s">
        <v>6999</v>
      </c>
      <c r="C36" s="201">
        <f>QUANT!C138</f>
        <v>97625</v>
      </c>
      <c r="D36" s="201" t="str">
        <f>QUANT!D138</f>
        <v>SINAPI</v>
      </c>
      <c r="E36" s="203" t="str">
        <f>IFERROR(VLOOKUP($C36,'SINAPI FEVEREIRO 2022'!$1:$1048576,2,0),IFERROR(VLOOKUP($C36,'5-COMP. PROPRIA'!$B$1:$I$647,4,0),""))</f>
        <v>DEMOLIÇÃO DE ALVENARIA PARA QUALQUER TIPO DE BLOCO, DE FORMA MECANIZADA, SEM REAPROVEITAMENTO. AF_12/2017</v>
      </c>
      <c r="F36" s="255" t="str">
        <f>IFERROR(VLOOKUP($C36,'SINAPI FEVEREIRO 2022'!$1:$1048576,3,0),IFERROR(VLOOKUP($C36,'5-COMP. PROPRIA'!$B$1:$I$647,5,0),""))</f>
        <v>M3</v>
      </c>
      <c r="G36" s="204">
        <f>QUANT!K138</f>
        <v>197.51513</v>
      </c>
      <c r="H36" s="256">
        <f>IFERROR(VLOOKUP($C36,'SINAPI FEVEREIRO 2022'!$1:$1048576,4,0),IFERROR(VLOOKUP($C36,'5-COMP. PROPRIA'!$B$1:$I$647,8,0),""))</f>
        <v>44.55</v>
      </c>
      <c r="I36" s="256">
        <f>TRUNC(($H36*'4-BDI'!$E$29),2)</f>
        <v>57.13</v>
      </c>
      <c r="J36" s="266">
        <f t="shared" si="0"/>
        <v>8799.2900000000009</v>
      </c>
      <c r="K36" s="205">
        <f t="shared" si="1"/>
        <v>11284.03</v>
      </c>
      <c r="M36" s="112"/>
      <c r="N36" s="112"/>
      <c r="O36" s="112"/>
      <c r="P36" s="112"/>
      <c r="Q36" s="112"/>
      <c r="R36" s="112"/>
    </row>
    <row r="37" spans="2:18" s="107" customFormat="1" ht="30">
      <c r="B37" s="208" t="s">
        <v>7000</v>
      </c>
      <c r="C37" s="201">
        <f>QUANT!C162</f>
        <v>97627</v>
      </c>
      <c r="D37" s="201" t="str">
        <f>QUANT!D162</f>
        <v>SINAPI</v>
      </c>
      <c r="E37" s="203" t="str">
        <f>IFERROR(VLOOKUP($C37,'SINAPI FEVEREIRO 2022'!$1:$1048576,2,0),IFERROR(VLOOKUP($C37,'5-COMP. PROPRIA'!$B$1:$I$647,4,0),""))</f>
        <v>DEMOLIÇÃO DE PILARES E VIGAS EM CONCRETO ARMADO, DE FORMA MECANIZADA COM MARTELETE, SEM REAPROVEITAMENTO. AF_12/2017</v>
      </c>
      <c r="F37" s="255" t="str">
        <f>IFERROR(VLOOKUP($C37,'SINAPI FEVEREIRO 2022'!$1:$1048576,3,0),IFERROR(VLOOKUP($C37,'5-COMP. PROPRIA'!$B$1:$I$647,5,0),""))</f>
        <v>M3</v>
      </c>
      <c r="G37" s="204">
        <f>QUANT!K162</f>
        <v>10.864800000000001</v>
      </c>
      <c r="H37" s="256">
        <f>IFERROR(VLOOKUP($C37,'SINAPI FEVEREIRO 2022'!$1:$1048576,4,0),IFERROR(VLOOKUP($C37,'5-COMP. PROPRIA'!$B$1:$I$647,8,0),""))</f>
        <v>194.25</v>
      </c>
      <c r="I37" s="256">
        <f>TRUNC(($H37*'4-BDI'!$E$29),2)</f>
        <v>249.1</v>
      </c>
      <c r="J37" s="266">
        <f t="shared" si="0"/>
        <v>2110.48</v>
      </c>
      <c r="K37" s="205">
        <f t="shared" si="1"/>
        <v>2706.42</v>
      </c>
      <c r="M37" s="112"/>
      <c r="N37" s="112"/>
      <c r="O37" s="112"/>
      <c r="P37" s="112"/>
      <c r="Q37" s="112"/>
      <c r="R37" s="112"/>
    </row>
    <row r="38" spans="2:18" s="107" customFormat="1" ht="30">
      <c r="B38" s="208" t="s">
        <v>7001</v>
      </c>
      <c r="C38" s="201" t="str">
        <f>QUANT!C169</f>
        <v>CP-DEM-02</v>
      </c>
      <c r="D38" s="201" t="str">
        <f>QUANT!D169</f>
        <v>PRÓPRIA</v>
      </c>
      <c r="E38" s="203" t="str">
        <f>IFERROR(VLOOKUP($C38,'SINAPI FEVEREIRO 2022'!$1:$1048576,2,0),IFERROR(VLOOKUP($C38,'5-COMP. PROPRIA'!$B$1:$I$647,4,0),""))</f>
        <v>DEMOLIÇÃO DE CONCRETO SIMPLES/PISO GRANILITE/CONTRAPISO DE FORMA MECANIZADA SEM REAPROVEITAMENTO</v>
      </c>
      <c r="F38" s="255" t="str">
        <f>IFERROR(VLOOKUP($C38,'SINAPI FEVEREIRO 2022'!$1:$1048576,3,0),IFERROR(VLOOKUP($C38,'5-COMP. PROPRIA'!$B$1:$I$647,5,0),""))</f>
        <v>M3</v>
      </c>
      <c r="G38" s="204">
        <f>QUANT!K169</f>
        <v>256.5369</v>
      </c>
      <c r="H38" s="256">
        <f>IFERROR(VLOOKUP($C38,'SINAPI FEVEREIRO 2022'!$1:$1048576,4,0),IFERROR(VLOOKUP($C38,'5-COMP. PROPRIA'!$B$1:$I$647,8,0),""))</f>
        <v>84.24</v>
      </c>
      <c r="I38" s="256">
        <f>TRUNC(($H38*'4-BDI'!$E$29),2)</f>
        <v>108.02</v>
      </c>
      <c r="J38" s="266">
        <f t="shared" ref="J38" si="6">TRUNC((G38*H38),2)</f>
        <v>21610.66</v>
      </c>
      <c r="K38" s="205">
        <f t="shared" ref="K38" si="7">TRUNC((I38*G38),2)</f>
        <v>27711.11</v>
      </c>
      <c r="M38" s="112"/>
      <c r="N38" s="112"/>
      <c r="O38" s="112"/>
      <c r="P38" s="112"/>
      <c r="Q38" s="112"/>
      <c r="R38" s="112"/>
    </row>
    <row r="39" spans="2:18" s="107" customFormat="1" ht="30">
      <c r="B39" s="208" t="s">
        <v>7002</v>
      </c>
      <c r="C39" s="201">
        <f>QUANT!C182</f>
        <v>97634</v>
      </c>
      <c r="D39" s="201" t="str">
        <f>QUANT!D182</f>
        <v>SINAPI</v>
      </c>
      <c r="E39" s="203" t="str">
        <f>IFERROR(VLOOKUP($C39,'SINAPI FEVEREIRO 2022'!$1:$1048576,2,0),IFERROR(VLOOKUP($C39,'5-COMP. PROPRIA'!$B$1:$I$647,4,0),""))</f>
        <v>DEMOLIÇÃO DE REVESTIMENTO CERÂMICO, DE FORMA MECANIZADA COM MARTELETE, SEM REAPROVEITAMENTO. AF_12/2017</v>
      </c>
      <c r="F39" s="255" t="str">
        <f>IFERROR(VLOOKUP($C39,'SINAPI FEVEREIRO 2022'!$1:$1048576,3,0),IFERROR(VLOOKUP($C39,'5-COMP. PROPRIA'!$B$1:$I$647,5,0),""))</f>
        <v>M2</v>
      </c>
      <c r="G39" s="204">
        <f>QUANT!K182</f>
        <v>920.02799999999991</v>
      </c>
      <c r="H39" s="256">
        <f>IFERROR(VLOOKUP($C39,'SINAPI FEVEREIRO 2022'!$1:$1048576,4,0),IFERROR(VLOOKUP($C39,'5-COMP. PROPRIA'!$B$1:$I$647,8,0),""))</f>
        <v>8.26</v>
      </c>
      <c r="I39" s="256">
        <f>TRUNC(($H39*'4-BDI'!$E$29),2)</f>
        <v>10.59</v>
      </c>
      <c r="J39" s="266">
        <f t="shared" si="0"/>
        <v>7599.43</v>
      </c>
      <c r="K39" s="205">
        <f t="shared" si="1"/>
        <v>9743.09</v>
      </c>
      <c r="M39" s="112"/>
      <c r="N39" s="112"/>
      <c r="O39" s="112"/>
      <c r="P39" s="112"/>
      <c r="Q39" s="112"/>
      <c r="R39" s="112"/>
    </row>
    <row r="40" spans="2:18" s="107" customFormat="1" ht="30">
      <c r="B40" s="208" t="s">
        <v>7003</v>
      </c>
      <c r="C40" s="201">
        <f>QUANT!C220</f>
        <v>97631</v>
      </c>
      <c r="D40" s="201" t="str">
        <f>QUANT!D220</f>
        <v>SINAPI</v>
      </c>
      <c r="E40" s="203" t="str">
        <f>IFERROR(VLOOKUP($C40,'SINAPI FEVEREIRO 2022'!$1:$1048576,2,0),IFERROR(VLOOKUP($C40,'5-COMP. PROPRIA'!$B$1:$I$647,4,0),""))</f>
        <v>DEMOLIÇÃO DE ARGAMASSAS, DE FORMA MANUAL, SEM REAPROVEITAMENTO. AF_12/2017</v>
      </c>
      <c r="F40" s="255" t="str">
        <f>IFERROR(VLOOKUP($C40,'SINAPI FEVEREIRO 2022'!$1:$1048576,3,0),IFERROR(VLOOKUP($C40,'5-COMP. PROPRIA'!$B$1:$I$647,5,0),""))</f>
        <v>M2</v>
      </c>
      <c r="G40" s="204">
        <f>QUANT!K220</f>
        <v>920.02799999999991</v>
      </c>
      <c r="H40" s="256">
        <f>IFERROR(VLOOKUP($C40,'SINAPI FEVEREIRO 2022'!$1:$1048576,4,0),IFERROR(VLOOKUP($C40,'5-COMP. PROPRIA'!$B$1:$I$647,8,0),""))</f>
        <v>2.29</v>
      </c>
      <c r="I40" s="256">
        <f>TRUNC(($H40*'4-BDI'!$E$29),2)</f>
        <v>2.93</v>
      </c>
      <c r="J40" s="266">
        <f t="shared" ref="J40" si="8">TRUNC((G40*H40),2)</f>
        <v>2106.86</v>
      </c>
      <c r="K40" s="205">
        <f t="shared" ref="K40" si="9">TRUNC((I40*G40),2)</f>
        <v>2695.68</v>
      </c>
      <c r="M40" s="112"/>
      <c r="N40" s="112"/>
      <c r="O40" s="112"/>
      <c r="P40" s="112"/>
      <c r="Q40" s="112"/>
      <c r="R40" s="112"/>
    </row>
    <row r="41" spans="2:18" s="107" customFormat="1" ht="15">
      <c r="B41" s="208" t="s">
        <v>7004</v>
      </c>
      <c r="C41" s="201" t="str">
        <f>QUANT!C222</f>
        <v>CP-DEM-03</v>
      </c>
      <c r="D41" s="201" t="str">
        <f>QUANT!D222</f>
        <v>PRÓPRIA</v>
      </c>
      <c r="E41" s="203" t="str">
        <f>IFERROR(VLOOKUP($C41,'SINAPI FEVEREIRO 2022'!$1:$1048576,2,0),IFERROR(VLOOKUP($C41,'5-COMP. PROPRIA'!$B$1:$I$647,4,0),""))</f>
        <v>ESGOTAMENTO, DEMOLIÇÃO E RETIRADA DE FOSSA</v>
      </c>
      <c r="F41" s="255" t="str">
        <f>IFERROR(VLOOKUP($C41,'SINAPI FEVEREIRO 2022'!$1:$1048576,3,0),IFERROR(VLOOKUP($C41,'5-COMP. PROPRIA'!$B$1:$I$647,5,0),""))</f>
        <v>UN</v>
      </c>
      <c r="G41" s="204">
        <f>QUANT!K222</f>
        <v>1</v>
      </c>
      <c r="H41" s="256">
        <f>IFERROR(VLOOKUP($C41,'SINAPI FEVEREIRO 2022'!$1:$1048576,4,0),IFERROR(VLOOKUP($C41,'5-COMP. PROPRIA'!$B$1:$I$647,8,0),""))</f>
        <v>1789.39</v>
      </c>
      <c r="I41" s="256">
        <f>TRUNC(($H41*'4-BDI'!$E$29),2)</f>
        <v>2294.71</v>
      </c>
      <c r="J41" s="266">
        <f t="shared" ref="J41" si="10">TRUNC((G41*H41),2)</f>
        <v>1789.39</v>
      </c>
      <c r="K41" s="205">
        <f t="shared" ref="K41" si="11">TRUNC((I41*G41),2)</f>
        <v>2294.71</v>
      </c>
      <c r="M41" s="112"/>
      <c r="N41" s="112"/>
      <c r="O41" s="112"/>
      <c r="P41" s="112"/>
      <c r="Q41" s="112"/>
      <c r="R41" s="112"/>
    </row>
    <row r="42" spans="2:18" s="107" customFormat="1" ht="30">
      <c r="B42" s="208" t="s">
        <v>7005</v>
      </c>
      <c r="C42" s="201">
        <f>QUANT!C224</f>
        <v>98535</v>
      </c>
      <c r="D42" s="201" t="str">
        <f>QUANT!D224</f>
        <v>SINAPI</v>
      </c>
      <c r="E42" s="203" t="str">
        <f>IFERROR(VLOOKUP($C42,'SINAPI FEVEREIRO 2022'!$1:$1048576,2,0),IFERROR(VLOOKUP($C42,'5-COMP. PROPRIA'!$B$1:$I$647,4,0),""))</f>
        <v>PODA EM ALTURA DE ÁRVORE COM DIÂMETRO DE TRONCO MAIOR OU IGUAL A 0,60 M.AF_05/2018</v>
      </c>
      <c r="F42" s="255" t="str">
        <f>IFERROR(VLOOKUP($C42,'SINAPI FEVEREIRO 2022'!$1:$1048576,3,0),IFERROR(VLOOKUP($C42,'5-COMP. PROPRIA'!$B$1:$I$647,5,0),""))</f>
        <v>UN</v>
      </c>
      <c r="G42" s="204">
        <f>QUANT!K224</f>
        <v>8</v>
      </c>
      <c r="H42" s="256">
        <f>IFERROR(VLOOKUP($C42,'SINAPI FEVEREIRO 2022'!$1:$1048576,4,0),IFERROR(VLOOKUP($C42,'5-COMP. PROPRIA'!$B$1:$I$647,8,0),""))</f>
        <v>957.51</v>
      </c>
      <c r="I42" s="256">
        <f>TRUNC(($H42*'4-BDI'!$E$29),2)</f>
        <v>1227.9100000000001</v>
      </c>
      <c r="J42" s="266">
        <f t="shared" ref="J42:J46" si="12">TRUNC((G42*H42),2)</f>
        <v>7660.08</v>
      </c>
      <c r="K42" s="205">
        <f t="shared" ref="K42:K46" si="13">TRUNC((I42*G42),2)</f>
        <v>9823.2800000000007</v>
      </c>
      <c r="M42" s="112"/>
      <c r="N42" s="112"/>
      <c r="O42" s="112"/>
      <c r="P42" s="112"/>
      <c r="Q42" s="112"/>
      <c r="R42" s="112"/>
    </row>
    <row r="43" spans="2:18" s="107" customFormat="1" ht="30">
      <c r="B43" s="208" t="s">
        <v>7006</v>
      </c>
      <c r="C43" s="201">
        <f>QUANT!C226</f>
        <v>98531</v>
      </c>
      <c r="D43" s="201" t="str">
        <f>QUANT!D226</f>
        <v>SINAPI</v>
      </c>
      <c r="E43" s="203" t="str">
        <f>IFERROR(VLOOKUP($C43,'SINAPI FEVEREIRO 2022'!$1:$1048576,2,0),IFERROR(VLOOKUP($C43,'5-COMP. PROPRIA'!$B$1:$I$647,4,0),""))</f>
        <v>CORTE RASO E RECORTE DE ÁRVORE COM DIÂMETRO DE TRONCO MAIOR OU IGUAL A 0,60 M.AF_05/2018</v>
      </c>
      <c r="F43" s="255" t="str">
        <f>IFERROR(VLOOKUP($C43,'SINAPI FEVEREIRO 2022'!$1:$1048576,3,0),IFERROR(VLOOKUP($C43,'5-COMP. PROPRIA'!$B$1:$I$647,5,0),""))</f>
        <v>UN</v>
      </c>
      <c r="G43" s="204">
        <f>QUANT!K226</f>
        <v>10</v>
      </c>
      <c r="H43" s="256">
        <f>IFERROR(VLOOKUP($C43,'SINAPI FEVEREIRO 2022'!$1:$1048576,4,0),IFERROR(VLOOKUP($C43,'5-COMP. PROPRIA'!$B$1:$I$647,8,0),""))</f>
        <v>208.51</v>
      </c>
      <c r="I43" s="256">
        <f>TRUNC(($H43*'4-BDI'!$E$29),2)</f>
        <v>267.39</v>
      </c>
      <c r="J43" s="266">
        <f t="shared" si="12"/>
        <v>2085.1</v>
      </c>
      <c r="K43" s="205">
        <f t="shared" si="13"/>
        <v>2673.9</v>
      </c>
      <c r="M43" s="112"/>
      <c r="N43" s="112"/>
      <c r="O43" s="112"/>
      <c r="P43" s="112"/>
      <c r="Q43" s="112"/>
      <c r="R43" s="112"/>
    </row>
    <row r="44" spans="2:18" s="107" customFormat="1" ht="30">
      <c r="B44" s="208" t="s">
        <v>7299</v>
      </c>
      <c r="C44" s="201">
        <f>QUANT!C228</f>
        <v>98528</v>
      </c>
      <c r="D44" s="201" t="str">
        <f>QUANT!D228</f>
        <v>SINAPI</v>
      </c>
      <c r="E44" s="203" t="str">
        <f>IFERROR(VLOOKUP($C44,'SINAPI FEVEREIRO 2022'!$1:$1048576,2,0),IFERROR(VLOOKUP($C44,'5-COMP. PROPRIA'!$B$1:$I$647,4,0),""))</f>
        <v>REMOÇÃO DE RAÍZES REMANESCENTES DE TRONCO DE ÁRVORE COM DIÂMETRO MAIOR OU IGUAL A 0,60 M.AF_05/2018</v>
      </c>
      <c r="F44" s="255" t="str">
        <f>IFERROR(VLOOKUP($C44,'SINAPI FEVEREIRO 2022'!$1:$1048576,3,0),IFERROR(VLOOKUP($C44,'5-COMP. PROPRIA'!$B$1:$I$647,5,0),""))</f>
        <v>UN</v>
      </c>
      <c r="G44" s="204">
        <f>QUANT!K228</f>
        <v>10</v>
      </c>
      <c r="H44" s="256">
        <f>IFERROR(VLOOKUP($C44,'SINAPI FEVEREIRO 2022'!$1:$1048576,4,0),IFERROR(VLOOKUP($C44,'5-COMP. PROPRIA'!$B$1:$I$647,8,0),""))</f>
        <v>184.55</v>
      </c>
      <c r="I44" s="256">
        <f>TRUNC(($H44*'4-BDI'!$E$29),2)</f>
        <v>236.66</v>
      </c>
      <c r="J44" s="266">
        <f t="shared" si="12"/>
        <v>1845.5</v>
      </c>
      <c r="K44" s="205">
        <f t="shared" si="13"/>
        <v>2366.6</v>
      </c>
      <c r="M44" s="112"/>
      <c r="N44" s="112"/>
      <c r="O44" s="112"/>
      <c r="P44" s="112"/>
      <c r="Q44" s="112"/>
      <c r="R44" s="112"/>
    </row>
    <row r="45" spans="2:18" s="107" customFormat="1" ht="15">
      <c r="B45" s="208" t="s">
        <v>7300</v>
      </c>
      <c r="C45" s="201" t="str">
        <f>QUANT!C230</f>
        <v>CP-DEM-05</v>
      </c>
      <c r="D45" s="201" t="str">
        <f>QUANT!D230</f>
        <v>PROPRIA</v>
      </c>
      <c r="E45" s="203" t="str">
        <f>IFERROR(VLOOKUP($C45,'SINAPI FEVEREIRO 2022'!$1:$1048576,2,0),IFERROR(VLOOKUP($C45,'5-COMP. PROPRIA'!$B$1:$I$647,4,0),""))</f>
        <v>REMOÇÃO DE BRINQUEDOS SEM REAPROVEITAMENTO</v>
      </c>
      <c r="F45" s="255" t="str">
        <f>IFERROR(VLOOKUP($C45,'SINAPI FEVEREIRO 2022'!$1:$1048576,3,0),IFERROR(VLOOKUP($C45,'5-COMP. PROPRIA'!$B$1:$I$647,5,0),""))</f>
        <v>UN</v>
      </c>
      <c r="G45" s="204">
        <f>QUANT!K230</f>
        <v>3</v>
      </c>
      <c r="H45" s="256">
        <f>IFERROR(VLOOKUP($C45,'SINAPI FEVEREIRO 2022'!$1:$1048576,4,0),IFERROR(VLOOKUP($C45,'5-COMP. PROPRIA'!$B$1:$I$647,8,0),""))</f>
        <v>7.58</v>
      </c>
      <c r="I45" s="256">
        <f>TRUNC(($H45*'4-BDI'!$E$29),2)</f>
        <v>9.7200000000000006</v>
      </c>
      <c r="J45" s="266">
        <f t="shared" si="12"/>
        <v>22.74</v>
      </c>
      <c r="K45" s="205">
        <f t="shared" si="13"/>
        <v>29.16</v>
      </c>
      <c r="M45" s="112"/>
      <c r="N45" s="112"/>
      <c r="O45" s="112"/>
      <c r="P45" s="112"/>
      <c r="Q45" s="112"/>
      <c r="R45" s="112"/>
    </row>
    <row r="46" spans="2:18" s="107" customFormat="1" ht="30">
      <c r="B46" s="208" t="s">
        <v>7301</v>
      </c>
      <c r="C46" s="201" t="str">
        <f>QUANT!C232</f>
        <v>CP-DEM-06</v>
      </c>
      <c r="D46" s="201" t="str">
        <f>QUANT!D232</f>
        <v>PROPRIA</v>
      </c>
      <c r="E46" s="203" t="str">
        <f>IFERROR(VLOOKUP($C46,'SINAPI FEVEREIRO 2022'!$1:$1048576,2,0),IFERROR(VLOOKUP($C46,'5-COMP. PROPRIA'!$B$1:$I$647,4,0),""))</f>
        <v>REMOÇÃO DE CONJUNTO DE BANCOS E MESAS DE CONCRETO SEM REAPROVEITAMENTO</v>
      </c>
      <c r="F46" s="255" t="str">
        <f>IFERROR(VLOOKUP($C46,'SINAPI FEVEREIRO 2022'!$1:$1048576,3,0),IFERROR(VLOOKUP($C46,'5-COMP. PROPRIA'!$B$1:$I$647,5,0),""))</f>
        <v>UN</v>
      </c>
      <c r="G46" s="204">
        <f>QUANT!K232</f>
        <v>5</v>
      </c>
      <c r="H46" s="256">
        <f>IFERROR(VLOOKUP($C46,'SINAPI FEVEREIRO 2022'!$1:$1048576,4,0),IFERROR(VLOOKUP($C46,'5-COMP. PROPRIA'!$B$1:$I$647,8,0),""))</f>
        <v>7.58</v>
      </c>
      <c r="I46" s="256">
        <f>TRUNC(($H46*'4-BDI'!$E$29),2)</f>
        <v>9.7200000000000006</v>
      </c>
      <c r="J46" s="266">
        <f t="shared" si="12"/>
        <v>37.9</v>
      </c>
      <c r="K46" s="205">
        <f t="shared" si="13"/>
        <v>48.6</v>
      </c>
      <c r="M46" s="112"/>
      <c r="N46" s="112"/>
      <c r="O46" s="112"/>
      <c r="P46" s="112"/>
      <c r="Q46" s="112"/>
      <c r="R46" s="112"/>
    </row>
    <row r="47" spans="2:18" s="107" customFormat="1" ht="15">
      <c r="B47" s="208" t="s">
        <v>7302</v>
      </c>
      <c r="C47" s="201" t="str">
        <f>QUANT!C234</f>
        <v>CP-DEM-07</v>
      </c>
      <c r="D47" s="201" t="str">
        <f>QUANT!D234</f>
        <v>PROPRIA</v>
      </c>
      <c r="E47" s="203" t="str">
        <f>IFERROR(VLOOKUP($C47,'SINAPI FEVEREIRO 2022'!$1:$1048576,2,0),IFERROR(VLOOKUP($C47,'5-COMP. PROPRIA'!$B$1:$I$647,4,0),""))</f>
        <v>REMOÇÃO DE TOLDO SEM REAPROVEITAMENTO</v>
      </c>
      <c r="F47" s="255" t="str">
        <f>IFERROR(VLOOKUP($C47,'SINAPI FEVEREIRO 2022'!$1:$1048576,3,0),IFERROR(VLOOKUP($C47,'5-COMP. PROPRIA'!$B$1:$I$647,5,0),""))</f>
        <v>UN</v>
      </c>
      <c r="G47" s="204">
        <f>QUANT!K234</f>
        <v>3</v>
      </c>
      <c r="H47" s="256">
        <f>IFERROR(VLOOKUP($C47,'SINAPI FEVEREIRO 2022'!$1:$1048576,4,0),IFERROR(VLOOKUP($C47,'5-COMP. PROPRIA'!$B$1:$I$647,8,0),""))</f>
        <v>1.51</v>
      </c>
      <c r="I47" s="256">
        <f>TRUNC(($H47*'4-BDI'!$E$29),2)</f>
        <v>1.93</v>
      </c>
      <c r="J47" s="266">
        <f t="shared" ref="J47" si="14">TRUNC((G47*H47),2)</f>
        <v>4.53</v>
      </c>
      <c r="K47" s="205">
        <f t="shared" ref="K47" si="15">TRUNC((I47*G47),2)</f>
        <v>5.79</v>
      </c>
      <c r="M47" s="112"/>
      <c r="N47" s="112"/>
      <c r="O47" s="112"/>
      <c r="P47" s="112"/>
      <c r="Q47" s="112"/>
      <c r="R47" s="112"/>
    </row>
    <row r="48" spans="2:18" s="107" customFormat="1" ht="15">
      <c r="B48" s="208" t="s">
        <v>7303</v>
      </c>
      <c r="C48" s="201" t="str">
        <f>QUANT!C236</f>
        <v>CP-DEM-08</v>
      </c>
      <c r="D48" s="201" t="str">
        <f>QUANT!D236</f>
        <v>PROPRIA</v>
      </c>
      <c r="E48" s="203" t="str">
        <f>IFERROR(VLOOKUP($C48,'SINAPI FEVEREIRO 2022'!$1:$1048576,2,0),IFERROR(VLOOKUP($C48,'5-COMP. PROPRIA'!$B$1:$I$647,4,0),""))</f>
        <v>REMOÇÃO DA CAIXA D'AGUA 5000L SEM REAPROVEITAMENTO</v>
      </c>
      <c r="F48" s="255" t="str">
        <f>IFERROR(VLOOKUP($C48,'SINAPI FEVEREIRO 2022'!$1:$1048576,3,0),IFERROR(VLOOKUP($C48,'5-COMP. PROPRIA'!$B$1:$I$647,5,0),""))</f>
        <v>UN</v>
      </c>
      <c r="G48" s="204">
        <f>QUANT!K236</f>
        <v>1</v>
      </c>
      <c r="H48" s="256">
        <f>IFERROR(VLOOKUP($C48,'SINAPI FEVEREIRO 2022'!$1:$1048576,4,0),IFERROR(VLOOKUP($C48,'5-COMP. PROPRIA'!$B$1:$I$647,8,0),""))</f>
        <v>9.1999999999999993</v>
      </c>
      <c r="I48" s="256">
        <f>TRUNC(($H48*'4-BDI'!$E$29),2)</f>
        <v>11.79</v>
      </c>
      <c r="J48" s="266">
        <f t="shared" ref="J48:J49" si="16">TRUNC((G48*H48),2)</f>
        <v>9.1999999999999993</v>
      </c>
      <c r="K48" s="205">
        <f t="shared" ref="K48:K49" si="17">TRUNC((I48*G48),2)</f>
        <v>11.79</v>
      </c>
      <c r="M48" s="112"/>
      <c r="N48" s="112"/>
      <c r="O48" s="112"/>
      <c r="P48" s="112"/>
      <c r="Q48" s="112"/>
      <c r="R48" s="112"/>
    </row>
    <row r="49" spans="2:18" s="107" customFormat="1" ht="15">
      <c r="B49" s="208" t="s">
        <v>7941</v>
      </c>
      <c r="C49" s="201" t="str">
        <f>QUANT!C238</f>
        <v>CP-DEM-09</v>
      </c>
      <c r="D49" s="201" t="str">
        <f>QUANT!D238</f>
        <v>PROPRIA</v>
      </c>
      <c r="E49" s="203" t="str">
        <f>IFERROR(VLOOKUP($C49,'SINAPI FEVEREIRO 2022'!$1:$1048576,2,0),IFERROR(VLOOKUP($C49,'5-COMP. PROPRIA'!$B$1:$I$647,4,0),""))</f>
        <v>REMOÇÃO DE PERGOLADO SEM REAPROVEITAMENTO</v>
      </c>
      <c r="F49" s="255" t="str">
        <f>IFERROR(VLOOKUP($C49,'SINAPI FEVEREIRO 2022'!$1:$1048576,3,0),IFERROR(VLOOKUP($C49,'5-COMP. PROPRIA'!$B$1:$I$647,5,0),""))</f>
        <v>UN</v>
      </c>
      <c r="G49" s="204">
        <f>QUANT!K238</f>
        <v>2</v>
      </c>
      <c r="H49" s="256">
        <f>IFERROR(VLOOKUP($C49,'SINAPI FEVEREIRO 2022'!$1:$1048576,4,0),IFERROR(VLOOKUP($C49,'5-COMP. PROPRIA'!$B$1:$I$647,8,0),""))</f>
        <v>11.86</v>
      </c>
      <c r="I49" s="256">
        <f>TRUNC(($H49*'4-BDI'!$E$29),2)</f>
        <v>15.2</v>
      </c>
      <c r="J49" s="266">
        <f t="shared" si="16"/>
        <v>23.72</v>
      </c>
      <c r="K49" s="205">
        <f t="shared" si="17"/>
        <v>30.4</v>
      </c>
      <c r="M49" s="112"/>
      <c r="N49" s="112"/>
      <c r="O49" s="112"/>
      <c r="P49" s="112"/>
      <c r="Q49" s="112"/>
      <c r="R49" s="112"/>
    </row>
    <row r="50" spans="2:18" s="107" customFormat="1" ht="15">
      <c r="B50" s="208" t="s">
        <v>7942</v>
      </c>
      <c r="C50" s="201" t="str">
        <f>QUANT!C240</f>
        <v>CP-DEM-10</v>
      </c>
      <c r="D50" s="201" t="str">
        <f>QUANT!D240</f>
        <v>PROPRIA</v>
      </c>
      <c r="E50" s="203" t="str">
        <f>IFERROR(VLOOKUP($C50,'SINAPI FEVEREIRO 2022'!$1:$1048576,2,0),IFERROR(VLOOKUP($C50,'5-COMP. PROPRIA'!$B$1:$I$647,4,0),""))</f>
        <v>REMOÇÃO DE ALAMBRADO SEM REAPROVEITAMENTO</v>
      </c>
      <c r="F50" s="255" t="str">
        <f>IFERROR(VLOOKUP($C50,'SINAPI FEVEREIRO 2022'!$1:$1048576,3,0),IFERROR(VLOOKUP($C50,'5-COMP. PROPRIA'!$B$1:$I$647,5,0),""))</f>
        <v>M2</v>
      </c>
      <c r="G50" s="204">
        <f>QUANT!K240</f>
        <v>85.100000000000009</v>
      </c>
      <c r="H50" s="256">
        <f>IFERROR(VLOOKUP($C50,'SINAPI FEVEREIRO 2022'!$1:$1048576,4,0),IFERROR(VLOOKUP($C50,'5-COMP. PROPRIA'!$B$1:$I$647,8,0),""))</f>
        <v>11.86</v>
      </c>
      <c r="I50" s="256">
        <f>TRUNC(($H50*'4-BDI'!$E$29),2)</f>
        <v>15.2</v>
      </c>
      <c r="J50" s="266">
        <f t="shared" ref="J50" si="18">TRUNC((G50*H50),2)</f>
        <v>1009.28</v>
      </c>
      <c r="K50" s="205">
        <f t="shared" ref="K50" si="19">TRUNC((I50*G50),2)</f>
        <v>1293.52</v>
      </c>
      <c r="M50" s="112"/>
      <c r="N50" s="112"/>
      <c r="O50" s="112"/>
      <c r="P50" s="112"/>
      <c r="Q50" s="112"/>
      <c r="R50" s="112"/>
    </row>
    <row r="51" spans="2:18" s="107" customFormat="1" ht="45">
      <c r="B51" s="208" t="s">
        <v>7943</v>
      </c>
      <c r="C51" s="201">
        <f>QUANT!C246</f>
        <v>100981</v>
      </c>
      <c r="D51" s="201" t="str">
        <f>QUANT!D246</f>
        <v>SINAPI</v>
      </c>
      <c r="E51" s="203" t="str">
        <f>IFERROR(VLOOKUP($C51,'SINAPI FEVEREIRO 2022'!$1:$1048576,2,0),IFERROR(VLOOKUP($C51,'5-COMP. PROPRIA'!$B$1:$I$647,4,0),""))</f>
        <v>CARGA, MANOBRA E DESCARGA DE ENTULHO EM CAMINHÃO BASCULANTE 6 M³ - CARGA COM ESCAVADEIRA HIDRÁULICA  (CAÇAMBA DE 0,80 M³ / 111 HP) E DESCARGA LIVRE (UNIDADE: M3). AF_07/2020</v>
      </c>
      <c r="F51" s="255" t="str">
        <f>IFERROR(VLOOKUP($C51,'SINAPI FEVEREIRO 2022'!$1:$1048576,3,0),IFERROR(VLOOKUP($C51,'5-COMP. PROPRIA'!$B$1:$I$647,5,0),""))</f>
        <v>M3</v>
      </c>
      <c r="G51" s="730">
        <f>QUANT!K246</f>
        <v>1124.4281244000001</v>
      </c>
      <c r="H51" s="256">
        <f>IFERROR(VLOOKUP($C51,'SINAPI FEVEREIRO 2022'!$1:$1048576,4,0),IFERROR(VLOOKUP($C51,'5-COMP. PROPRIA'!$B$1:$I$647,8,0),""))</f>
        <v>7.48</v>
      </c>
      <c r="I51" s="256">
        <f>TRUNC(($H51*'4-BDI'!$E$29),2)</f>
        <v>9.59</v>
      </c>
      <c r="J51" s="266">
        <f>TRUNC((G51*H51),2)</f>
        <v>8410.7199999999993</v>
      </c>
      <c r="K51" s="205">
        <f>TRUNC((I51*G51),2)</f>
        <v>10783.26</v>
      </c>
      <c r="M51" s="112"/>
      <c r="N51" s="112"/>
      <c r="O51" s="112"/>
      <c r="P51" s="112"/>
      <c r="Q51" s="112"/>
      <c r="R51" s="112"/>
    </row>
    <row r="52" spans="2:18" s="107" customFormat="1" ht="30">
      <c r="B52" s="208" t="s">
        <v>8375</v>
      </c>
      <c r="C52" s="201">
        <f>QUANT!C250</f>
        <v>97914</v>
      </c>
      <c r="D52" s="201" t="str">
        <f>QUANT!D250</f>
        <v>SINAPI</v>
      </c>
      <c r="E52" s="203" t="str">
        <f>IFERROR(VLOOKUP($C52,'SINAPI FEVEREIRO 2022'!$1:$1048576,2,0),IFERROR(VLOOKUP($C52,'5-COMP. PROPRIA'!$B$1:$I$647,4,0),""))</f>
        <v>TRANSPORTE COM CAMINHÃO BASCULANTE DE 6 M³, EM VIA URBANA PAVIMENTADA, DMT ATÉ 30 KM (UNIDADE: M3XKM). AF_07/2020</v>
      </c>
      <c r="F52" s="255" t="str">
        <f>IFERROR(VLOOKUP($C52,'SINAPI FEVEREIRO 2022'!$1:$1048576,3,0),IFERROR(VLOOKUP($C52,'5-COMP. PROPRIA'!$B$1:$I$647,5,0),""))</f>
        <v>M3XKM</v>
      </c>
      <c r="G52" s="204">
        <f>QUANT!K250</f>
        <v>11244.281244000002</v>
      </c>
      <c r="H52" s="256">
        <f>IFERROR(VLOOKUP($C52,'SINAPI FEVEREIRO 2022'!$1:$1048576,4,0),IFERROR(VLOOKUP($C52,'5-COMP. PROPRIA'!$B$1:$I$647,8,0),""))</f>
        <v>2.36</v>
      </c>
      <c r="I52" s="256">
        <f>TRUNC(($H52*'4-BDI'!$E$29),2)</f>
        <v>3.02</v>
      </c>
      <c r="J52" s="266">
        <f t="shared" si="0"/>
        <v>26536.5</v>
      </c>
      <c r="K52" s="205">
        <f t="shared" si="1"/>
        <v>33957.72</v>
      </c>
      <c r="M52" s="112"/>
      <c r="N52" s="112"/>
      <c r="O52" s="112"/>
      <c r="P52" s="112"/>
      <c r="Q52" s="112"/>
      <c r="R52" s="112"/>
    </row>
    <row r="53" spans="2:18" ht="15.75" customHeight="1">
      <c r="B53" s="915" t="s">
        <v>8286</v>
      </c>
      <c r="C53" s="916"/>
      <c r="D53" s="916"/>
      <c r="E53" s="916"/>
      <c r="F53" s="916"/>
      <c r="G53" s="916"/>
      <c r="H53" s="916"/>
      <c r="I53" s="917"/>
      <c r="J53" s="207">
        <f>TRUNC(SUM(J21:J52),2)</f>
        <v>114551.73</v>
      </c>
      <c r="K53" s="207">
        <f>TRUNC(SUM(K21:K52),2)</f>
        <v>146729.42000000001</v>
      </c>
      <c r="M53" s="151"/>
      <c r="N53" s="151"/>
      <c r="O53" s="151"/>
      <c r="P53" s="151"/>
      <c r="Q53" s="151"/>
      <c r="R53" s="151"/>
    </row>
    <row r="54" spans="2:18" s="119" customFormat="1" ht="15.75">
      <c r="B54" s="285" t="s">
        <v>6985</v>
      </c>
      <c r="C54" s="286"/>
      <c r="D54" s="287"/>
      <c r="E54" s="288" t="str">
        <f>QUANT!E254</f>
        <v xml:space="preserve">TERRAPLENAGEM </v>
      </c>
      <c r="F54" s="289"/>
      <c r="G54" s="290"/>
      <c r="H54" s="291"/>
      <c r="I54" s="291"/>
      <c r="J54" s="291"/>
      <c r="K54" s="292"/>
      <c r="L54" s="107"/>
    </row>
    <row r="55" spans="2:18" ht="30">
      <c r="B55" s="209" t="s">
        <v>7007</v>
      </c>
      <c r="C55" s="201">
        <f>QUANT!C256</f>
        <v>94319</v>
      </c>
      <c r="D55" s="201" t="str">
        <f>QUANT!D256</f>
        <v>SINAPI</v>
      </c>
      <c r="E55" s="203" t="str">
        <f>IFERROR(VLOOKUP($C55,'SINAPI FEVEREIRO 2022'!$1:$1048576,2,0),IFERROR(VLOOKUP($C55,'5-COMP. PROPRIA'!$B$1:$I$647,4,0),""))</f>
        <v>ATERRO MANUAL DE VALAS COM SOLO ARGILO-ARENOSO E COMPACTAÇÃO MECANIZADA. AF_05/2016</v>
      </c>
      <c r="F55" s="255" t="str">
        <f>IFERROR(VLOOKUP($C55,'SINAPI FEVEREIRO 2022'!$1:$1048576,3,0),IFERROR(VLOOKUP($C55,'5-COMP. PROPRIA'!$B$1:$I$647,5,0),""))</f>
        <v>M3</v>
      </c>
      <c r="G55" s="204">
        <f>QUANT!K256</f>
        <v>163.9795</v>
      </c>
      <c r="H55" s="256">
        <f>IFERROR(VLOOKUP($C55,'SINAPI FEVEREIRO 2022'!$1:$1048576,4,0),IFERROR(VLOOKUP($C55,'5-COMP. PROPRIA'!$B$1:$I$647,8,0),""))</f>
        <v>68.45</v>
      </c>
      <c r="I55" s="256">
        <f>TRUNC(($H55*'4-BDI'!$E$29),2)</f>
        <v>87.78</v>
      </c>
      <c r="J55" s="266">
        <f t="shared" ref="J55" si="20">TRUNC((G55*H55),2)</f>
        <v>11224.39</v>
      </c>
      <c r="K55" s="205">
        <f t="shared" ref="K55" si="21">TRUNC((I55*G55),2)</f>
        <v>14394.12</v>
      </c>
    </row>
    <row r="56" spans="2:18" ht="15.75" customHeight="1">
      <c r="B56" s="915" t="s">
        <v>8286</v>
      </c>
      <c r="C56" s="916"/>
      <c r="D56" s="916"/>
      <c r="E56" s="916"/>
      <c r="F56" s="916"/>
      <c r="G56" s="916"/>
      <c r="H56" s="916"/>
      <c r="I56" s="917"/>
      <c r="J56" s="207">
        <f>TRUNC(SUM(J55:J55),2)</f>
        <v>11224.39</v>
      </c>
      <c r="K56" s="207">
        <f>TRUNC(SUM(K55:K55),2)</f>
        <v>14394.12</v>
      </c>
      <c r="M56" s="151"/>
      <c r="N56" s="151"/>
      <c r="O56" s="151"/>
      <c r="P56" s="151"/>
      <c r="Q56" s="151"/>
      <c r="R56" s="151"/>
    </row>
    <row r="57" spans="2:18" s="107" customFormat="1" ht="15.75">
      <c r="B57" s="285" t="s">
        <v>7009</v>
      </c>
      <c r="C57" s="286"/>
      <c r="D57" s="287"/>
      <c r="E57" s="288" t="str">
        <f>QUANT!E264</f>
        <v>INFRAESTRUTURA</v>
      </c>
      <c r="F57" s="289"/>
      <c r="G57" s="290"/>
      <c r="H57" s="291"/>
      <c r="I57" s="291"/>
      <c r="J57" s="291"/>
      <c r="K57" s="292"/>
    </row>
    <row r="58" spans="2:18" s="117" customFormat="1" ht="15.75">
      <c r="B58" s="547" t="s">
        <v>7010</v>
      </c>
      <c r="C58" s="548"/>
      <c r="D58" s="549"/>
      <c r="E58" s="550" t="str">
        <f>QUANT!E265</f>
        <v>SAPATA E ESTACA- (COZINHA, MURO E RAMPA)</v>
      </c>
      <c r="F58" s="551"/>
      <c r="G58" s="552"/>
      <c r="H58" s="553"/>
      <c r="I58" s="553"/>
      <c r="J58" s="553"/>
      <c r="K58" s="554"/>
      <c r="L58" s="107"/>
    </row>
    <row r="59" spans="2:18" s="107" customFormat="1" ht="45">
      <c r="B59" s="208" t="s">
        <v>7011</v>
      </c>
      <c r="C59" s="201">
        <f>QUANT!C267</f>
        <v>96521</v>
      </c>
      <c r="D59" s="201" t="str">
        <f>QUANT!D267</f>
        <v>SINAPI</v>
      </c>
      <c r="E59" s="203" t="str">
        <f>IFERROR(VLOOKUP($C59,'SINAPI FEVEREIRO 2022'!$1:$1048576,2,0),IFERROR(VLOOKUP($C59,'5-COMP. PROPRIA'!$B$1:$I$647,4,0),""))</f>
        <v>ESCAVAÇÃO MECANIZADA PARA BLOCO DE COROAMENTO OU SAPATA COM RETROESCAVADEIRA (INCLUINDO ESCAVAÇÃO PARA COLOCAÇÃO DE FÔRMAS). AF_06/2017</v>
      </c>
      <c r="F59" s="255" t="str">
        <f>IFERROR(VLOOKUP($C59,'SINAPI FEVEREIRO 2022'!$1:$1048576,3,0),IFERROR(VLOOKUP($C59,'5-COMP. PROPRIA'!$B$1:$I$647,5,0),""))</f>
        <v>M3</v>
      </c>
      <c r="G59" s="204">
        <f>QUANT!K267</f>
        <v>9.75</v>
      </c>
      <c r="H59" s="256">
        <f>IFERROR(VLOOKUP($C59,'SINAPI FEVEREIRO 2022'!$1:$1048576,4,0),IFERROR(VLOOKUP($C59,'5-COMP. PROPRIA'!$B$1:$I$647,8,0),""))</f>
        <v>34.07</v>
      </c>
      <c r="I59" s="256">
        <f>TRUNC(($H59*'4-BDI'!$E$29),2)</f>
        <v>43.69</v>
      </c>
      <c r="J59" s="266">
        <f t="shared" ref="J59:J71" si="22">TRUNC((G59*H59),2)</f>
        <v>332.18</v>
      </c>
      <c r="K59" s="205">
        <f t="shared" ref="K59:K71" si="23">TRUNC((I59*G59),2)</f>
        <v>425.97</v>
      </c>
    </row>
    <row r="60" spans="2:18" s="107" customFormat="1" ht="30">
      <c r="B60" s="208" t="s">
        <v>7012</v>
      </c>
      <c r="C60" s="201">
        <f>QUANT!C272</f>
        <v>96617</v>
      </c>
      <c r="D60" s="201" t="str">
        <f>QUANT!D272</f>
        <v>SINAPI</v>
      </c>
      <c r="E60" s="203" t="str">
        <f>IFERROR(VLOOKUP($C60,'SINAPI FEVEREIRO 2022'!$1:$1048576,2,0),IFERROR(VLOOKUP($C60,'5-COMP. PROPRIA'!$B$1:$I$647,4,0),""))</f>
        <v>LASTRO DE CONCRETO MAGRO, APLICADO EM BLOCOS DE COROAMENTO OU SAPATAS, ESPESSURA DE 3 CM. AF_08/2017</v>
      </c>
      <c r="F60" s="255" t="str">
        <f>IFERROR(VLOOKUP($C60,'SINAPI FEVEREIRO 2022'!$1:$1048576,3,0),IFERROR(VLOOKUP($C60,'5-COMP. PROPRIA'!$B$1:$I$647,5,0),""))</f>
        <v>M2</v>
      </c>
      <c r="G60" s="204">
        <f>QUANT!K272</f>
        <v>4.875</v>
      </c>
      <c r="H60" s="256">
        <f>IFERROR(VLOOKUP($C60,'SINAPI FEVEREIRO 2022'!$1:$1048576,4,0),IFERROR(VLOOKUP($C60,'5-COMP. PROPRIA'!$B$1:$I$647,8,0),""))</f>
        <v>15.36</v>
      </c>
      <c r="I60" s="256">
        <f>TRUNC(($H60*'4-BDI'!$E$29),2)</f>
        <v>19.690000000000001</v>
      </c>
      <c r="J60" s="266">
        <f t="shared" ref="J60" si="24">TRUNC((G60*H60),2)</f>
        <v>74.88</v>
      </c>
      <c r="K60" s="205">
        <f t="shared" ref="K60" si="25">TRUNC((I60*G60),2)</f>
        <v>95.98</v>
      </c>
    </row>
    <row r="61" spans="2:18" s="107" customFormat="1" ht="30.75" customHeight="1">
      <c r="B61" s="208" t="s">
        <v>7944</v>
      </c>
      <c r="C61" s="201">
        <f>QUANT!C274</f>
        <v>96546</v>
      </c>
      <c r="D61" s="201" t="str">
        <f>QUANT!D274</f>
        <v>SINAPI</v>
      </c>
      <c r="E61" s="203" t="str">
        <f>IFERROR(VLOOKUP($C61,'SINAPI FEVEREIRO 2022'!$1:$1048576,2,0),IFERROR(VLOOKUP($C61,'5-COMP. PROPRIA'!$B$1:$I$647,4,0),""))</f>
        <v>ARMAÇÃO DE BLOCO, VIGA BALDRAME OU SAPATA UTILIZANDO AÇO CA-50 DE 10 MM - MONTAGEM. AF_06/2017</v>
      </c>
      <c r="F61" s="255" t="str">
        <f>IFERROR(VLOOKUP($C61,'SINAPI FEVEREIRO 2022'!$1:$1048576,3,0),IFERROR(VLOOKUP($C61,'5-COMP. PROPRIA'!$B$1:$I$647,5,0),""))</f>
        <v>KG</v>
      </c>
      <c r="G61" s="204">
        <f>QUANT!K274</f>
        <v>136.11020000000002</v>
      </c>
      <c r="H61" s="256">
        <f>IFERROR(VLOOKUP($C61,'SINAPI FEVEREIRO 2022'!$1:$1048576,4,0),IFERROR(VLOOKUP($C61,'5-COMP. PROPRIA'!$B$1:$I$647,8,0),""))</f>
        <v>14.57</v>
      </c>
      <c r="I61" s="256">
        <f>TRUNC(($H61*'4-BDI'!$E$29),2)</f>
        <v>18.68</v>
      </c>
      <c r="J61" s="266">
        <f t="shared" ref="J61" si="26">TRUNC((G61*H61),2)</f>
        <v>1983.12</v>
      </c>
      <c r="K61" s="205">
        <f t="shared" ref="K61" si="27">TRUNC((I61*G61),2)</f>
        <v>2542.5300000000002</v>
      </c>
    </row>
    <row r="62" spans="2:18" s="107" customFormat="1" ht="30">
      <c r="B62" s="208" t="s">
        <v>7945</v>
      </c>
      <c r="C62" s="201">
        <f>QUANT!C276</f>
        <v>96543</v>
      </c>
      <c r="D62" s="201" t="str">
        <f>QUANT!D276</f>
        <v>SINAPI</v>
      </c>
      <c r="E62" s="203" t="str">
        <f>IFERROR(VLOOKUP($C62,'SINAPI FEVEREIRO 2022'!$1:$1048576,2,0),IFERROR(VLOOKUP($C62,'5-COMP. PROPRIA'!$B$1:$I$647,4,0),""))</f>
        <v>ARMAÇÃO DE BLOCO, VIGA BALDRAME E SAPATA UTILIZANDO AÇO CA-60 DE 5 MM - MONTAGEM. AF_06/2017</v>
      </c>
      <c r="F62" s="255" t="str">
        <f>IFERROR(VLOOKUP($C62,'SINAPI FEVEREIRO 2022'!$1:$1048576,3,0),IFERROR(VLOOKUP($C62,'5-COMP. PROPRIA'!$B$1:$I$647,5,0),""))</f>
        <v>KG</v>
      </c>
      <c r="G62" s="204">
        <f>QUANT!K276</f>
        <v>19.219200000000001</v>
      </c>
      <c r="H62" s="256">
        <f>IFERROR(VLOOKUP($C62,'SINAPI FEVEREIRO 2022'!$1:$1048576,4,0),IFERROR(VLOOKUP($C62,'5-COMP. PROPRIA'!$B$1:$I$647,8,0),""))</f>
        <v>17.73</v>
      </c>
      <c r="I62" s="256">
        <f>TRUNC(($H62*'4-BDI'!$E$29),2)</f>
        <v>22.73</v>
      </c>
      <c r="J62" s="266">
        <f t="shared" si="22"/>
        <v>340.75</v>
      </c>
      <c r="K62" s="205">
        <f t="shared" si="23"/>
        <v>436.85</v>
      </c>
    </row>
    <row r="63" spans="2:18" s="107" customFormat="1" ht="30">
      <c r="B63" s="208" t="s">
        <v>7946</v>
      </c>
      <c r="C63" s="201">
        <f>QUANT!C278</f>
        <v>96535</v>
      </c>
      <c r="D63" s="201" t="str">
        <f>QUANT!D278</f>
        <v>SINAPI</v>
      </c>
      <c r="E63" s="203" t="str">
        <f>IFERROR(VLOOKUP($C63,'SINAPI FEVEREIRO 2022'!$1:$1048576,2,0),IFERROR(VLOOKUP($C63,'5-COMP. PROPRIA'!$B$1:$I$647,4,0),""))</f>
        <v>FABRICAÇÃO, MONTAGEM E DESMONTAGEM DE FÔRMA PARA SAPATA, EM MADEIRA SERRADA, E=25 MM, 4 UTILIZAÇÕES. AF_06/2017</v>
      </c>
      <c r="F63" s="255" t="str">
        <f>IFERROR(VLOOKUP($C63,'SINAPI FEVEREIRO 2022'!$1:$1048576,3,0),IFERROR(VLOOKUP($C63,'5-COMP. PROPRIA'!$B$1:$I$647,5,0),""))</f>
        <v>M2</v>
      </c>
      <c r="G63" s="204">
        <f>QUANT!K278</f>
        <v>29.2</v>
      </c>
      <c r="H63" s="256">
        <f>IFERROR(VLOOKUP($C63,'SINAPI FEVEREIRO 2022'!$1:$1048576,4,0),IFERROR(VLOOKUP($C63,'5-COMP. PROPRIA'!$B$1:$I$647,8,0),""))</f>
        <v>114.52</v>
      </c>
      <c r="I63" s="256">
        <f>TRUNC(($H63*'4-BDI'!$E$29),2)</f>
        <v>146.86000000000001</v>
      </c>
      <c r="J63" s="266">
        <f t="shared" si="22"/>
        <v>3343.98</v>
      </c>
      <c r="K63" s="205">
        <f t="shared" si="23"/>
        <v>4288.3100000000004</v>
      </c>
    </row>
    <row r="64" spans="2:18" s="107" customFormat="1" ht="45">
      <c r="B64" s="208" t="s">
        <v>7947</v>
      </c>
      <c r="C64" s="201">
        <f>QUANT!C280</f>
        <v>94971</v>
      </c>
      <c r="D64" s="201" t="str">
        <f>QUANT!D280</f>
        <v>SINAPI</v>
      </c>
      <c r="E64" s="203" t="str">
        <f>IFERROR(VLOOKUP($C64,'SINAPI FEVEREIRO 2022'!$1:$1048576,2,0),IFERROR(VLOOKUP($C64,'5-COMP. PROPRIA'!$B$1:$I$647,4,0),""))</f>
        <v>CONCRETO FCK = 25MPA, TRAÇO 1:2,3:2,7 (EM MASSA SECA DE CIMENTO/ AREIA MÉDIA/ BRITA 1) - PREPARO MECÂNICO COM BETONEIRA 600 L. AF_05/2021</v>
      </c>
      <c r="F64" s="255" t="str">
        <f>IFERROR(VLOOKUP($C64,'SINAPI FEVEREIRO 2022'!$1:$1048576,3,0),IFERROR(VLOOKUP($C64,'5-COMP. PROPRIA'!$B$1:$I$647,5,0),""))</f>
        <v>M3</v>
      </c>
      <c r="G64" s="204">
        <f>QUANT!K280</f>
        <v>2.8500000000000005</v>
      </c>
      <c r="H64" s="256">
        <f>IFERROR(VLOOKUP($C64,'SINAPI FEVEREIRO 2022'!$1:$1048576,4,0),IFERROR(VLOOKUP($C64,'5-COMP. PROPRIA'!$B$1:$I$647,8,0),""))</f>
        <v>425.35</v>
      </c>
      <c r="I64" s="256">
        <f>TRUNC(($H64*'4-BDI'!$E$29),2)</f>
        <v>545.46</v>
      </c>
      <c r="J64" s="266">
        <f t="shared" si="22"/>
        <v>1212.24</v>
      </c>
      <c r="K64" s="205">
        <f t="shared" si="23"/>
        <v>1554.56</v>
      </c>
    </row>
    <row r="65" spans="2:11" s="107" customFormat="1" ht="30">
      <c r="B65" s="208" t="s">
        <v>7948</v>
      </c>
      <c r="C65" s="201">
        <f>QUANT!C282</f>
        <v>103670</v>
      </c>
      <c r="D65" s="201" t="str">
        <f>QUANT!D282</f>
        <v>SINAPI</v>
      </c>
      <c r="E65" s="203" t="str">
        <f>IFERROR(VLOOKUP($C65,'SINAPI FEVEREIRO 2022'!$1:$1048576,2,0),IFERROR(VLOOKUP($C65,'5-COMP. PROPRIA'!$B$1:$I$647,4,0),""))</f>
        <v>LANÇAMENTO COM USO DE BALDES, ADENSAMENTO E ACABAMENTO DE CONCRETO EM ESTRUTURAS. AF_02/2022</v>
      </c>
      <c r="F65" s="255" t="str">
        <f>IFERROR(VLOOKUP($C65,'SINAPI FEVEREIRO 2022'!$1:$1048576,3,0),IFERROR(VLOOKUP($C65,'5-COMP. PROPRIA'!$B$1:$I$647,5,0),""))</f>
        <v>M3</v>
      </c>
      <c r="G65" s="204">
        <f>QUANT!K282</f>
        <v>2.8500000000000005</v>
      </c>
      <c r="H65" s="256">
        <f>IFERROR(VLOOKUP($C65,'SINAPI FEVEREIRO 2022'!$1:$1048576,4,0),IFERROR(VLOOKUP($C65,'5-COMP. PROPRIA'!$B$1:$I$647,8,0),""))</f>
        <v>205.9</v>
      </c>
      <c r="I65" s="256">
        <f>TRUNC(($H65*'4-BDI'!$E$29),2)</f>
        <v>264.04000000000002</v>
      </c>
      <c r="J65" s="266">
        <f t="shared" ref="J65" si="28">TRUNC((G65*H65),2)</f>
        <v>586.80999999999995</v>
      </c>
      <c r="K65" s="205">
        <f t="shared" ref="K65" si="29">TRUNC((I65*G65),2)</f>
        <v>752.51</v>
      </c>
    </row>
    <row r="66" spans="2:11" s="107" customFormat="1" ht="30">
      <c r="B66" s="208" t="s">
        <v>7949</v>
      </c>
      <c r="C66" s="201">
        <f>QUANT!C284</f>
        <v>98557</v>
      </c>
      <c r="D66" s="201" t="str">
        <f>QUANT!D284</f>
        <v>SINAPI</v>
      </c>
      <c r="E66" s="203" t="str">
        <f>IFERROR(VLOOKUP($C66,'SINAPI FEVEREIRO 2022'!$1:$1048576,2,0),IFERROR(VLOOKUP($C66,'5-COMP. PROPRIA'!$B$1:$I$647,4,0),""))</f>
        <v>IMPERMEABILIZAÇÃO DE SUPERFÍCIE COM EMULSÃO ASFÁLTICA, 2 DEMÃOS AF_06/2018</v>
      </c>
      <c r="F66" s="255" t="str">
        <f>IFERROR(VLOOKUP($C66,'SINAPI FEVEREIRO 2022'!$1:$1048576,3,0),IFERROR(VLOOKUP($C66,'5-COMP. PROPRIA'!$B$1:$I$647,5,0),""))</f>
        <v>M2</v>
      </c>
      <c r="G66" s="204">
        <f>QUANT!K284</f>
        <v>34.075000000000003</v>
      </c>
      <c r="H66" s="256">
        <f>IFERROR(VLOOKUP($C66,'SINAPI FEVEREIRO 2022'!$1:$1048576,4,0),IFERROR(VLOOKUP($C66,'5-COMP. PROPRIA'!$B$1:$I$647,8,0),""))</f>
        <v>57.84</v>
      </c>
      <c r="I66" s="256">
        <f>TRUNC(($H66*'4-BDI'!$E$29),2)</f>
        <v>74.17</v>
      </c>
      <c r="J66" s="266">
        <f t="shared" si="22"/>
        <v>1970.89</v>
      </c>
      <c r="K66" s="205">
        <f t="shared" si="23"/>
        <v>2527.34</v>
      </c>
    </row>
    <row r="67" spans="2:11" s="107" customFormat="1" ht="60">
      <c r="B67" s="208" t="s">
        <v>7950</v>
      </c>
      <c r="C67" s="201">
        <f>QUANT!C286</f>
        <v>93368</v>
      </c>
      <c r="D67" s="201" t="str">
        <f>QUANT!D286</f>
        <v>SINAPI</v>
      </c>
      <c r="E67" s="203" t="str">
        <f>IFERROR(VLOOKUP($C67,'SINAPI FEVEREIRO 2022'!$1:$1048576,2,0),IFERROR(VLOOKUP($C67,'5-COMP. PROPRIA'!$B$1:$I$647,4,0),""))</f>
        <v>REATERRO MECANIZADO DE VALA COM ESCAVADEIRA HIDRÁULICA (CAPACIDADE DA CAÇAMBA: 0,8 M³ / POTÊNCIA: 111 HP), LARGURA ATÉ 1,5 M, PROFUNDIDADE DE 1,5 A 3,0 M, COM SOLO DE 1ª CATEGORIA EM LOCAIS COM BAIXO NÍVEL DE INTERFERÊNCIA. AF_04/2016</v>
      </c>
      <c r="F67" s="255" t="str">
        <f>IFERROR(VLOOKUP($C67,'SINAPI FEVEREIRO 2022'!$1:$1048576,3,0),IFERROR(VLOOKUP($C67,'5-COMP. PROPRIA'!$B$1:$I$647,5,0),""))</f>
        <v>M3</v>
      </c>
      <c r="G67" s="204">
        <f>QUANT!K286</f>
        <v>6.8999999999999995</v>
      </c>
      <c r="H67" s="256">
        <f>IFERROR(VLOOKUP($C67,'SINAPI FEVEREIRO 2022'!$1:$1048576,4,0),IFERROR(VLOOKUP($C67,'5-COMP. PROPRIA'!$B$1:$I$647,8,0),""))</f>
        <v>13.86</v>
      </c>
      <c r="I67" s="256">
        <f>TRUNC(($H67*'4-BDI'!$E$29),2)</f>
        <v>17.77</v>
      </c>
      <c r="J67" s="266">
        <f t="shared" si="22"/>
        <v>95.63</v>
      </c>
      <c r="K67" s="205">
        <f t="shared" si="23"/>
        <v>122.61</v>
      </c>
    </row>
    <row r="68" spans="2:11" s="107" customFormat="1" ht="30">
      <c r="B68" s="208" t="s">
        <v>7951</v>
      </c>
      <c r="C68" s="201" t="str">
        <f>QUANT!C290</f>
        <v>CP-FUN-01</v>
      </c>
      <c r="D68" s="201" t="str">
        <f>QUANT!D290</f>
        <v>PRÓPRIA</v>
      </c>
      <c r="E68" s="203" t="str">
        <f>IFERROR(VLOOKUP($C68,'SINAPI FEVEREIRO 2022'!$1:$1048576,2,0),IFERROR(VLOOKUP($C68,'5-COMP. PROPRIA'!$B$1:$I$647,4,0),""))</f>
        <v>ESTACA BROCA DE CONCRETO, DIÂMETRO DE 30CM, ESCAVAÇÃO MANUAL COM TRADO CONCHA, INTEIRAMENTE ARMADA.</v>
      </c>
      <c r="F68" s="255" t="str">
        <f>IFERROR(VLOOKUP($C68,'SINAPI FEVEREIRO 2022'!$1:$1048576,3,0),IFERROR(VLOOKUP($C68,'5-COMP. PROPRIA'!$B$1:$I$647,5,0),""))</f>
        <v>M</v>
      </c>
      <c r="G68" s="204">
        <f>QUANT!K290</f>
        <v>140</v>
      </c>
      <c r="H68" s="256">
        <f>IFERROR(VLOOKUP($C68,'SINAPI FEVEREIRO 2022'!$1:$1048576,4,0),IFERROR(VLOOKUP($C68,'5-COMP. PROPRIA'!$B$1:$I$647,8,0),""))</f>
        <v>116.81</v>
      </c>
      <c r="I68" s="256">
        <f>TRUNC(($H68*'4-BDI'!$E$29),2)</f>
        <v>149.79</v>
      </c>
      <c r="J68" s="266">
        <f t="shared" ref="J68:J69" si="30">TRUNC((G68*H68),2)</f>
        <v>16353.4</v>
      </c>
      <c r="K68" s="205">
        <f t="shared" ref="K68:K69" si="31">TRUNC((I68*G68),2)</f>
        <v>20970.599999999999</v>
      </c>
    </row>
    <row r="69" spans="2:11" s="107" customFormat="1" ht="30">
      <c r="B69" s="208" t="s">
        <v>7952</v>
      </c>
      <c r="C69" s="201" t="str">
        <f>QUANT!C292</f>
        <v>CP-FUN-02</v>
      </c>
      <c r="D69" s="201" t="str">
        <f>QUANT!D292</f>
        <v>PRÓPRIA</v>
      </c>
      <c r="E69" s="203" t="str">
        <f>IFERROR(VLOOKUP($C69,'SINAPI FEVEREIRO 2022'!$1:$1048576,2,0),IFERROR(VLOOKUP($C69,'5-COMP. PROPRIA'!$B$1:$I$647,4,0),""))</f>
        <v>ESTACA BROCA DE CONCRETO, DIÂMETRO DE 20CM, ESCAVAÇÃO MANUAL COM TRADO CONCHA, INTEIRAMENTE ARMADA.</v>
      </c>
      <c r="F69" s="255" t="str">
        <f>IFERROR(VLOOKUP($C69,'SINAPI FEVEREIRO 2022'!$1:$1048576,3,0),IFERROR(VLOOKUP($C69,'5-COMP. PROPRIA'!$B$1:$I$647,5,0),""))</f>
        <v>M</v>
      </c>
      <c r="G69" s="204">
        <f>QUANT!K292</f>
        <v>26</v>
      </c>
      <c r="H69" s="256">
        <f>IFERROR(VLOOKUP($C69,'SINAPI FEVEREIRO 2022'!$1:$1048576,4,0),IFERROR(VLOOKUP($C69,'5-COMP. PROPRIA'!$B$1:$I$647,8,0),""))</f>
        <v>64.38</v>
      </c>
      <c r="I69" s="256">
        <f>TRUNC(($H69*'4-BDI'!$E$29),2)</f>
        <v>82.56</v>
      </c>
      <c r="J69" s="266">
        <f t="shared" si="30"/>
        <v>1673.88</v>
      </c>
      <c r="K69" s="205">
        <f t="shared" si="31"/>
        <v>2146.56</v>
      </c>
    </row>
    <row r="70" spans="2:11" s="107" customFormat="1" ht="60">
      <c r="B70" s="208" t="s">
        <v>7953</v>
      </c>
      <c r="C70" s="201">
        <f>QUANT!C294</f>
        <v>100973</v>
      </c>
      <c r="D70" s="201" t="str">
        <f>QUANT!D294</f>
        <v>SINAPI</v>
      </c>
      <c r="E70" s="203" t="str">
        <f>IFERROR(VLOOKUP($C70,'SINAPI FEVEREIRO 2022'!$1:$1048576,2,0),IFERROR(VLOOKUP($C70,'5-COMP. PROPRIA'!$B$1:$I$647,4,0),""))</f>
        <v>CARGA, MANOBRA E DESCARGA DE SOLOS E MATERIAIS GRANULARES EM CAMINHÃO BASCULANTE 6 M³ - CARGA COM PÁ CARREGADEIRA (CAÇAMBA DE 1,7 A 2,8 M³ / 128 HP) E DESCARGA LIVRE (UNIDADE: M3). AF_07/2020</v>
      </c>
      <c r="F70" s="255" t="str">
        <f>IFERROR(VLOOKUP($C70,'SINAPI FEVEREIRO 2022'!$1:$1048576,3,0),IFERROR(VLOOKUP($C70,'5-COMP. PROPRIA'!$B$1:$I$647,5,0),""))</f>
        <v>M3</v>
      </c>
      <c r="G70" s="204">
        <f>QUANT!K294</f>
        <v>16.626999999999999</v>
      </c>
      <c r="H70" s="256">
        <f>IFERROR(VLOOKUP($C70,'SINAPI FEVEREIRO 2022'!$1:$1048576,4,0),IFERROR(VLOOKUP($C70,'5-COMP. PROPRIA'!$B$1:$I$647,8,0),""))</f>
        <v>6.95</v>
      </c>
      <c r="I70" s="256">
        <f>TRUNC(($H70*'4-BDI'!$E$29),2)</f>
        <v>8.91</v>
      </c>
      <c r="J70" s="266">
        <f t="shared" si="22"/>
        <v>115.55</v>
      </c>
      <c r="K70" s="205">
        <f t="shared" si="23"/>
        <v>148.13999999999999</v>
      </c>
    </row>
    <row r="71" spans="2:11" s="107" customFormat="1" ht="30">
      <c r="B71" s="208" t="s">
        <v>7954</v>
      </c>
      <c r="C71" s="201">
        <f>QUANT!C298</f>
        <v>100937</v>
      </c>
      <c r="D71" s="201" t="str">
        <f>QUANT!D298</f>
        <v>SINAPI</v>
      </c>
      <c r="E71" s="203" t="str">
        <f>IFERROR(VLOOKUP($C71,'SINAPI FEVEREIRO 2022'!$1:$1048576,2,0),IFERROR(VLOOKUP($C71,'5-COMP. PROPRIA'!$B$1:$I$647,4,0),""))</f>
        <v>TRANSPORTE COM CAMINHÃO BASCULANTE DE 6 M³, EM VIA INTERNA (DENTRO DO CANTEIRO - UNIDADE: M3XKM). AF_07/2020</v>
      </c>
      <c r="F71" s="255" t="str">
        <f>IFERROR(VLOOKUP($C71,'SINAPI FEVEREIRO 2022'!$1:$1048576,3,0),IFERROR(VLOOKUP($C71,'5-COMP. PROPRIA'!$B$1:$I$647,5,0),""))</f>
        <v>M3XKM</v>
      </c>
      <c r="G71" s="204">
        <f>QUANT!K298</f>
        <v>124.70249999999999</v>
      </c>
      <c r="H71" s="256">
        <f>IFERROR(VLOOKUP($C71,'SINAPI FEVEREIRO 2022'!$1:$1048576,4,0),IFERROR(VLOOKUP($C71,'5-COMP. PROPRIA'!$B$1:$I$647,8,0),""))</f>
        <v>7.09</v>
      </c>
      <c r="I71" s="256">
        <f>TRUNC(($H71*'4-BDI'!$E$29),2)</f>
        <v>9.09</v>
      </c>
      <c r="J71" s="266">
        <f t="shared" si="22"/>
        <v>884.14</v>
      </c>
      <c r="K71" s="205">
        <f t="shared" si="23"/>
        <v>1133.54</v>
      </c>
    </row>
    <row r="72" spans="2:11" s="107" customFormat="1" ht="15.75">
      <c r="B72" s="915" t="s">
        <v>8287</v>
      </c>
      <c r="C72" s="916"/>
      <c r="D72" s="916"/>
      <c r="E72" s="916"/>
      <c r="F72" s="916"/>
      <c r="G72" s="916"/>
      <c r="H72" s="916"/>
      <c r="I72" s="917"/>
      <c r="J72" s="207">
        <f>TRUNC(SUM(J59:J71),2)</f>
        <v>28967.45</v>
      </c>
      <c r="K72" s="207">
        <f>TRUNC(SUM(K59:K71),2)</f>
        <v>37145.5</v>
      </c>
    </row>
    <row r="73" spans="2:11" s="107" customFormat="1" ht="15.75">
      <c r="B73" s="535" t="s">
        <v>7955</v>
      </c>
      <c r="C73" s="536"/>
      <c r="D73" s="537"/>
      <c r="E73" s="538" t="str">
        <f>QUANT!E302</f>
        <v>VIGA BALDRAME ( COZINHA E MURO)</v>
      </c>
      <c r="F73" s="539"/>
      <c r="G73" s="540"/>
      <c r="H73" s="541"/>
      <c r="I73" s="541"/>
      <c r="J73" s="541"/>
      <c r="K73" s="542"/>
    </row>
    <row r="74" spans="2:11" s="107" customFormat="1" ht="45">
      <c r="B74" s="208" t="s">
        <v>7956</v>
      </c>
      <c r="C74" s="201">
        <f>QUANT!C304</f>
        <v>96525</v>
      </c>
      <c r="D74" s="201" t="str">
        <f>QUANT!D304</f>
        <v>SINAPI</v>
      </c>
      <c r="E74" s="203" t="str">
        <f>IFERROR(VLOOKUP($C74,'SINAPI FEVEREIRO 2022'!$1:$1048576,2,0),IFERROR(VLOOKUP($C74,'5-COMP. PROPRIA'!$B$1:$I$647,4,0),""))</f>
        <v>ESCAVAÇÃO MECANIZADA PARA VIGA BALDRAME COM MINI-ESCAVADEIRA (INCLUINDO ESCAVAÇÃO PARA COLOCAÇÃO DE FÔRMAS). AF_06/2017</v>
      </c>
      <c r="F74" s="255" t="str">
        <f>IFERROR(VLOOKUP($C74,'SINAPI FEVEREIRO 2022'!$1:$1048576,3,0),IFERROR(VLOOKUP($C74,'5-COMP. PROPRIA'!$B$1:$I$647,5,0),""))</f>
        <v>M3</v>
      </c>
      <c r="G74" s="204">
        <f>QUANT!K304</f>
        <v>10.012499999999999</v>
      </c>
      <c r="H74" s="256">
        <f>IFERROR(VLOOKUP($C74,'SINAPI FEVEREIRO 2022'!$1:$1048576,4,0),IFERROR(VLOOKUP($C74,'5-COMP. PROPRIA'!$B$1:$I$647,8,0),""))</f>
        <v>29.87</v>
      </c>
      <c r="I74" s="256">
        <f>TRUNC(($H74*'4-BDI'!$E$29),2)</f>
        <v>38.299999999999997</v>
      </c>
      <c r="J74" s="266">
        <f>TRUNC((G74*H74),2)</f>
        <v>299.07</v>
      </c>
      <c r="K74" s="205">
        <f>TRUNC((I74*G74),2)</f>
        <v>383.47</v>
      </c>
    </row>
    <row r="75" spans="2:11" s="107" customFormat="1" ht="30">
      <c r="B75" s="208" t="s">
        <v>7957</v>
      </c>
      <c r="C75" s="201">
        <f>QUANT!C306</f>
        <v>96617</v>
      </c>
      <c r="D75" s="201" t="str">
        <f>QUANT!D306</f>
        <v>SINAPI</v>
      </c>
      <c r="E75" s="203" t="str">
        <f>IFERROR(VLOOKUP($C75,'SINAPI FEVEREIRO 2022'!$1:$1048576,2,0),IFERROR(VLOOKUP($C75,'5-COMP. PROPRIA'!$B$1:$I$647,4,0),""))</f>
        <v>LASTRO DE CONCRETO MAGRO, APLICADO EM BLOCOS DE COROAMENTO OU SAPATAS, ESPESSURA DE 3 CM. AF_08/2017</v>
      </c>
      <c r="F75" s="255" t="str">
        <f>IFERROR(VLOOKUP($C75,'SINAPI FEVEREIRO 2022'!$1:$1048576,3,0),IFERROR(VLOOKUP($C75,'5-COMP. PROPRIA'!$B$1:$I$647,5,0),""))</f>
        <v>M2</v>
      </c>
      <c r="G75" s="204">
        <f>QUANT!K306</f>
        <v>33.375</v>
      </c>
      <c r="H75" s="256">
        <f>IFERROR(VLOOKUP($C75,'SINAPI FEVEREIRO 2022'!$1:$1048576,4,0),IFERROR(VLOOKUP($C75,'5-COMP. PROPRIA'!$B$1:$I$647,8,0),""))</f>
        <v>15.36</v>
      </c>
      <c r="I75" s="256">
        <f>TRUNC(($H75*'4-BDI'!$E$29),2)</f>
        <v>19.690000000000001</v>
      </c>
      <c r="J75" s="266">
        <f t="shared" ref="J75:J79" si="32">TRUNC((G75*H75),2)</f>
        <v>512.64</v>
      </c>
      <c r="K75" s="205">
        <f t="shared" ref="K75:K79" si="33">TRUNC((I75*G75),2)</f>
        <v>657.15</v>
      </c>
    </row>
    <row r="76" spans="2:11" s="107" customFormat="1" ht="30">
      <c r="B76" s="208" t="s">
        <v>7958</v>
      </c>
      <c r="C76" s="201">
        <f>QUANT!C308</f>
        <v>96543</v>
      </c>
      <c r="D76" s="201" t="str">
        <f>QUANT!D308</f>
        <v>SINAPI</v>
      </c>
      <c r="E76" s="203" t="str">
        <f>IFERROR(VLOOKUP($C76,'SINAPI FEVEREIRO 2022'!$1:$1048576,2,0),IFERROR(VLOOKUP($C76,'5-COMP. PROPRIA'!$B$1:$I$647,4,0),""))</f>
        <v>ARMAÇÃO DE BLOCO, VIGA BALDRAME E SAPATA UTILIZANDO AÇO CA-60 DE 5 MM - MONTAGEM. AF_06/2017</v>
      </c>
      <c r="F76" s="255" t="str">
        <f>IFERROR(VLOOKUP($C76,'SINAPI FEVEREIRO 2022'!$1:$1048576,3,0),IFERROR(VLOOKUP($C76,'5-COMP. PROPRIA'!$B$1:$I$647,5,0),""))</f>
        <v>KG</v>
      </c>
      <c r="G76" s="204">
        <f>QUANT!K308</f>
        <v>168.4</v>
      </c>
      <c r="H76" s="256">
        <f>IFERROR(VLOOKUP($C76,'SINAPI FEVEREIRO 2022'!$1:$1048576,4,0),IFERROR(VLOOKUP($C76,'5-COMP. PROPRIA'!$B$1:$I$647,8,0),""))</f>
        <v>17.73</v>
      </c>
      <c r="I76" s="256">
        <f>TRUNC(($H76*'4-BDI'!$E$29),2)</f>
        <v>22.73</v>
      </c>
      <c r="J76" s="266">
        <f t="shared" si="32"/>
        <v>2985.73</v>
      </c>
      <c r="K76" s="205">
        <f t="shared" si="33"/>
        <v>3827.73</v>
      </c>
    </row>
    <row r="77" spans="2:11" s="107" customFormat="1" ht="30">
      <c r="B77" s="208" t="s">
        <v>7959</v>
      </c>
      <c r="C77" s="201">
        <f>QUANT!C310</f>
        <v>96545</v>
      </c>
      <c r="D77" s="201" t="str">
        <f>QUANT!D310</f>
        <v>SINAPI</v>
      </c>
      <c r="E77" s="203" t="str">
        <f>IFERROR(VLOOKUP($C77,'SINAPI FEVEREIRO 2022'!$1:$1048576,2,0),IFERROR(VLOOKUP($C77,'5-COMP. PROPRIA'!$B$1:$I$647,4,0),""))</f>
        <v>ARMAÇÃO DE BLOCO, VIGA BALDRAME OU SAPATA UTILIZANDO AÇO CA-50 DE 8 MM - MONTAGEM. AF_06/2017</v>
      </c>
      <c r="F77" s="255" t="str">
        <f>IFERROR(VLOOKUP($C77,'SINAPI FEVEREIRO 2022'!$1:$1048576,3,0),IFERROR(VLOOKUP($C77,'5-COMP. PROPRIA'!$B$1:$I$647,5,0),""))</f>
        <v>KG</v>
      </c>
      <c r="G77" s="204">
        <f>QUANT!K310</f>
        <v>328.8</v>
      </c>
      <c r="H77" s="256">
        <f>IFERROR(VLOOKUP($C77,'SINAPI FEVEREIRO 2022'!$1:$1048576,4,0),IFERROR(VLOOKUP($C77,'5-COMP. PROPRIA'!$B$1:$I$647,8,0),""))</f>
        <v>16.16</v>
      </c>
      <c r="I77" s="256">
        <f>TRUNC(($H77*'4-BDI'!$E$29),2)</f>
        <v>20.72</v>
      </c>
      <c r="J77" s="266">
        <f t="shared" si="32"/>
        <v>5313.4</v>
      </c>
      <c r="K77" s="205">
        <f t="shared" si="33"/>
        <v>6812.73</v>
      </c>
    </row>
    <row r="78" spans="2:11" s="107" customFormat="1" ht="30">
      <c r="B78" s="208" t="s">
        <v>7960</v>
      </c>
      <c r="C78" s="201">
        <f>QUANT!C312</f>
        <v>96546</v>
      </c>
      <c r="D78" s="201" t="str">
        <f>QUANT!D312</f>
        <v>SINAPI</v>
      </c>
      <c r="E78" s="203" t="str">
        <f>IFERROR(VLOOKUP($C78,'SINAPI FEVEREIRO 2022'!$1:$1048576,2,0),IFERROR(VLOOKUP($C78,'5-COMP. PROPRIA'!$B$1:$I$647,4,0),""))</f>
        <v>ARMAÇÃO DE BLOCO, VIGA BALDRAME OU SAPATA UTILIZANDO AÇO CA-50 DE 10 MM - MONTAGEM. AF_06/2017</v>
      </c>
      <c r="F78" s="255" t="str">
        <f>IFERROR(VLOOKUP($C78,'SINAPI FEVEREIRO 2022'!$1:$1048576,3,0),IFERROR(VLOOKUP($C78,'5-COMP. PROPRIA'!$B$1:$I$647,5,0),""))</f>
        <v>KG</v>
      </c>
      <c r="G78" s="204">
        <f>QUANT!K312</f>
        <v>40.799999999999997</v>
      </c>
      <c r="H78" s="256">
        <f>IFERROR(VLOOKUP($C78,'SINAPI FEVEREIRO 2022'!$1:$1048576,4,0),IFERROR(VLOOKUP($C78,'5-COMP. PROPRIA'!$B$1:$I$647,8,0),""))</f>
        <v>14.57</v>
      </c>
      <c r="I78" s="256">
        <f>TRUNC(($H78*'4-BDI'!$E$29),2)</f>
        <v>18.68</v>
      </c>
      <c r="J78" s="266">
        <f t="shared" ref="J78" si="34">TRUNC((G78*H78),2)</f>
        <v>594.45000000000005</v>
      </c>
      <c r="K78" s="205">
        <f t="shared" ref="K78" si="35">TRUNC((I78*G78),2)</f>
        <v>762.14</v>
      </c>
    </row>
    <row r="79" spans="2:11" s="107" customFormat="1" ht="45">
      <c r="B79" s="208" t="s">
        <v>7961</v>
      </c>
      <c r="C79" s="201">
        <f>QUANT!C314</f>
        <v>96536</v>
      </c>
      <c r="D79" s="201" t="str">
        <f>QUANT!D314</f>
        <v>SINAPI</v>
      </c>
      <c r="E79" s="203" t="str">
        <f>IFERROR(VLOOKUP($C79,'SINAPI FEVEREIRO 2022'!$1:$1048576,2,0),IFERROR(VLOOKUP($C79,'5-COMP. PROPRIA'!$B$1:$I$647,4,0),""))</f>
        <v>FABRICAÇÃO, MONTAGEM E DESMONTAGEM DE FÔRMA PARA VIGA BALDRAME, EM MADEIRA SERRADA, E=25 MM, 4 UTILIZAÇÕES. AF_06/2017</v>
      </c>
      <c r="F79" s="255" t="str">
        <f>IFERROR(VLOOKUP($C79,'SINAPI FEVEREIRO 2022'!$1:$1048576,3,0),IFERROR(VLOOKUP($C79,'5-COMP. PROPRIA'!$B$1:$I$647,5,0),""))</f>
        <v>M2</v>
      </c>
      <c r="G79" s="204">
        <f>QUANT!K314</f>
        <v>166.875</v>
      </c>
      <c r="H79" s="256">
        <f>IFERROR(VLOOKUP($C79,'SINAPI FEVEREIRO 2022'!$1:$1048576,4,0),IFERROR(VLOOKUP($C79,'5-COMP. PROPRIA'!$B$1:$I$647,8,0),""))</f>
        <v>59.82</v>
      </c>
      <c r="I79" s="256">
        <f>TRUNC(($H79*'4-BDI'!$E$29),2)</f>
        <v>76.709999999999994</v>
      </c>
      <c r="J79" s="266">
        <f t="shared" si="32"/>
        <v>9982.4599999999991</v>
      </c>
      <c r="K79" s="205">
        <f t="shared" si="33"/>
        <v>12800.98</v>
      </c>
    </row>
    <row r="80" spans="2:11" s="107" customFormat="1" ht="45">
      <c r="B80" s="208" t="s">
        <v>7962</v>
      </c>
      <c r="C80" s="201">
        <f>QUANT!C316</f>
        <v>94971</v>
      </c>
      <c r="D80" s="201" t="str">
        <f>QUANT!D316</f>
        <v>SINAPI</v>
      </c>
      <c r="E80" s="203" t="str">
        <f>IFERROR(VLOOKUP($C80,'SINAPI FEVEREIRO 2022'!$1:$1048576,2,0),IFERROR(VLOOKUP($C80,'5-COMP. PROPRIA'!$B$1:$I$647,4,0),""))</f>
        <v>CONCRETO FCK = 25MPA, TRAÇO 1:2,3:2,7 (EM MASSA SECA DE CIMENTO/ AREIA MÉDIA/ BRITA 1) - PREPARO MECÂNICO COM BETONEIRA 600 L. AF_05/2021</v>
      </c>
      <c r="F80" s="255" t="str">
        <f>IFERROR(VLOOKUP($C80,'SINAPI FEVEREIRO 2022'!$1:$1048576,3,0),IFERROR(VLOOKUP($C80,'5-COMP. PROPRIA'!$B$1:$I$647,5,0),""))</f>
        <v>M3</v>
      </c>
      <c r="G80" s="204">
        <f>QUANT!K316</f>
        <v>10.01</v>
      </c>
      <c r="H80" s="256">
        <f>IFERROR(VLOOKUP($C80,'SINAPI FEVEREIRO 2022'!$1:$1048576,4,0),IFERROR(VLOOKUP($C80,'5-COMP. PROPRIA'!$B$1:$I$647,8,0),""))</f>
        <v>425.35</v>
      </c>
      <c r="I80" s="256">
        <f>TRUNC(($H80*'4-BDI'!$E$29),2)</f>
        <v>545.46</v>
      </c>
      <c r="J80" s="266">
        <f>TRUNC((G80*H80),2)</f>
        <v>4257.75</v>
      </c>
      <c r="K80" s="205">
        <f>TRUNC((I80*G80),2)</f>
        <v>5460.05</v>
      </c>
    </row>
    <row r="81" spans="2:11" s="107" customFormat="1" ht="30">
      <c r="B81" s="208" t="s">
        <v>7963</v>
      </c>
      <c r="C81" s="201">
        <f>QUANT!C318</f>
        <v>103670</v>
      </c>
      <c r="D81" s="201" t="str">
        <f>QUANT!D318</f>
        <v>SINAPI</v>
      </c>
      <c r="E81" s="203" t="str">
        <f>IFERROR(VLOOKUP($C81,'SINAPI FEVEREIRO 2022'!$1:$1048576,2,0),IFERROR(VLOOKUP($C81,'5-COMP. PROPRIA'!$B$1:$I$647,4,0),""))</f>
        <v>LANÇAMENTO COM USO DE BALDES, ADENSAMENTO E ACABAMENTO DE CONCRETO EM ESTRUTURAS. AF_02/2022</v>
      </c>
      <c r="F81" s="255" t="str">
        <f>IFERROR(VLOOKUP($C81,'SINAPI FEVEREIRO 2022'!$1:$1048576,3,0),IFERROR(VLOOKUP($C81,'5-COMP. PROPRIA'!$B$1:$I$647,5,0),""))</f>
        <v>M3</v>
      </c>
      <c r="G81" s="204">
        <f>QUANT!K318</f>
        <v>10.01</v>
      </c>
      <c r="H81" s="256">
        <f>IFERROR(VLOOKUP($C81,'SINAPI FEVEREIRO 2022'!$1:$1048576,4,0),IFERROR(VLOOKUP($C81,'5-COMP. PROPRIA'!$B$1:$I$647,8,0),""))</f>
        <v>205.9</v>
      </c>
      <c r="I81" s="256">
        <f>TRUNC(($H81*'4-BDI'!$E$29),2)</f>
        <v>264.04000000000002</v>
      </c>
      <c r="J81" s="266">
        <f>TRUNC((G81*H81),2)</f>
        <v>2061.0500000000002</v>
      </c>
      <c r="K81" s="205">
        <f>TRUNC((I81*G81),2)</f>
        <v>2643.04</v>
      </c>
    </row>
    <row r="82" spans="2:11" s="107" customFormat="1" ht="30">
      <c r="B82" s="208" t="s">
        <v>7964</v>
      </c>
      <c r="C82" s="201">
        <f>QUANT!C320</f>
        <v>98557</v>
      </c>
      <c r="D82" s="201" t="str">
        <f>QUANT!D320</f>
        <v>SINAPI</v>
      </c>
      <c r="E82" s="203" t="str">
        <f>IFERROR(VLOOKUP($C82,'SINAPI FEVEREIRO 2022'!$1:$1048576,2,0),IFERROR(VLOOKUP($C82,'5-COMP. PROPRIA'!$B$1:$I$647,4,0),""))</f>
        <v>IMPERMEABILIZAÇÃO DE SUPERFÍCIE COM EMULSÃO ASFÁLTICA, 2 DEMÃOS AF_06/2018</v>
      </c>
      <c r="F82" s="255" t="str">
        <f>IFERROR(VLOOKUP($C82,'SINAPI FEVEREIRO 2022'!$1:$1048576,3,0),IFERROR(VLOOKUP($C82,'5-COMP. PROPRIA'!$B$1:$I$647,5,0),""))</f>
        <v>M2</v>
      </c>
      <c r="G82" s="204">
        <f>QUANT!K320</f>
        <v>166.875</v>
      </c>
      <c r="H82" s="256">
        <f>IFERROR(VLOOKUP($C82,'SINAPI FEVEREIRO 2022'!$1:$1048576,4,0),IFERROR(VLOOKUP($C82,'5-COMP. PROPRIA'!$B$1:$I$647,8,0),""))</f>
        <v>57.84</v>
      </c>
      <c r="I82" s="256">
        <f>TRUNC(($H82*'4-BDI'!$E$29),2)</f>
        <v>74.17</v>
      </c>
      <c r="J82" s="266">
        <f t="shared" ref="J82:J84" si="36">TRUNC((G82*H82),2)</f>
        <v>9652.0499999999993</v>
      </c>
      <c r="K82" s="205">
        <f t="shared" ref="K82:K84" si="37">TRUNC((I82*G82),2)</f>
        <v>12377.11</v>
      </c>
    </row>
    <row r="83" spans="2:11" s="107" customFormat="1" ht="30">
      <c r="B83" s="208" t="s">
        <v>7965</v>
      </c>
      <c r="C83" s="201">
        <f>QUANT!C322</f>
        <v>93382</v>
      </c>
      <c r="D83" s="201" t="str">
        <f>QUANT!D322</f>
        <v>SINAPI</v>
      </c>
      <c r="E83" s="203" t="str">
        <f>IFERROR(VLOOKUP($C83,'SINAPI FEVEREIRO 2022'!$1:$1048576,2,0),IFERROR(VLOOKUP($C83,'5-COMP. PROPRIA'!$B$1:$I$647,4,0),""))</f>
        <v>REATERRO MANUAL DE VALAS COM COMPACTAÇÃO MECANIZADA. AF_04/2016</v>
      </c>
      <c r="F83" s="255" t="str">
        <f>IFERROR(VLOOKUP($C83,'SINAPI FEVEREIRO 2022'!$1:$1048576,3,0),IFERROR(VLOOKUP($C83,'5-COMP. PROPRIA'!$B$1:$I$647,5,0),""))</f>
        <v>M3</v>
      </c>
      <c r="G83" s="204">
        <f>QUANT!K322</f>
        <v>3.0062499999999996</v>
      </c>
      <c r="H83" s="256">
        <f>IFERROR(VLOOKUP($C83,'SINAPI FEVEREIRO 2022'!$1:$1048576,4,0),IFERROR(VLOOKUP($C83,'5-COMP. PROPRIA'!$B$1:$I$647,8,0),""))</f>
        <v>21.84</v>
      </c>
      <c r="I83" s="256">
        <f>TRUNC(($H83*'4-BDI'!$E$29),2)</f>
        <v>28</v>
      </c>
      <c r="J83" s="266">
        <f t="shared" si="36"/>
        <v>65.650000000000006</v>
      </c>
      <c r="K83" s="205">
        <f t="shared" si="37"/>
        <v>84.17</v>
      </c>
    </row>
    <row r="84" spans="2:11" s="107" customFormat="1" ht="60">
      <c r="B84" s="208" t="s">
        <v>7966</v>
      </c>
      <c r="C84" s="201">
        <f>QUANT!C326</f>
        <v>100973</v>
      </c>
      <c r="D84" s="201" t="str">
        <f>QUANT!D326</f>
        <v>SINAPI</v>
      </c>
      <c r="E84" s="203" t="str">
        <f>IFERROR(VLOOKUP($C84,'SINAPI FEVEREIRO 2022'!$1:$1048576,2,0),IFERROR(VLOOKUP($C84,'5-COMP. PROPRIA'!$B$1:$I$647,4,0),""))</f>
        <v>CARGA, MANOBRA E DESCARGA DE SOLOS E MATERIAIS GRANULARES EM CAMINHÃO BASCULANTE 6 M³ - CARGA COM PÁ CARREGADEIRA (CAÇAMBA DE 1,7 A 2,8 M³ / 128 HP) E DESCARGA LIVRE (UNIDADE: M3). AF_07/2020</v>
      </c>
      <c r="F84" s="255" t="str">
        <f>IFERROR(VLOOKUP($C84,'SINAPI FEVEREIRO 2022'!$1:$1048576,3,0),IFERROR(VLOOKUP($C84,'5-COMP. PROPRIA'!$B$1:$I$647,5,0),""))</f>
        <v>M3</v>
      </c>
      <c r="G84" s="204">
        <f>QUANT!K326</f>
        <v>13.013</v>
      </c>
      <c r="H84" s="256">
        <f>IFERROR(VLOOKUP($C84,'SINAPI FEVEREIRO 2022'!$1:$1048576,4,0),IFERROR(VLOOKUP($C84,'5-COMP. PROPRIA'!$B$1:$I$647,8,0),""))</f>
        <v>6.95</v>
      </c>
      <c r="I84" s="256">
        <f>TRUNC(($H84*'4-BDI'!$E$29),2)</f>
        <v>8.91</v>
      </c>
      <c r="J84" s="266">
        <f t="shared" si="36"/>
        <v>90.44</v>
      </c>
      <c r="K84" s="205">
        <f t="shared" si="37"/>
        <v>115.94</v>
      </c>
    </row>
    <row r="85" spans="2:11" s="107" customFormat="1" ht="30">
      <c r="B85" s="208" t="s">
        <v>7967</v>
      </c>
      <c r="C85" s="201">
        <f>QUANT!C330</f>
        <v>100937</v>
      </c>
      <c r="D85" s="201" t="str">
        <f>QUANT!D330</f>
        <v>SINAPI</v>
      </c>
      <c r="E85" s="203" t="str">
        <f>IFERROR(VLOOKUP($C85,'SINAPI FEVEREIRO 2022'!$1:$1048576,2,0),IFERROR(VLOOKUP($C85,'5-COMP. PROPRIA'!$B$1:$I$647,4,0),""))</f>
        <v>TRANSPORTE COM CAMINHÃO BASCULANTE DE 6 M³, EM VIA INTERNA (DENTRO DO CANTEIRO - UNIDADE: M3XKM). AF_07/2020</v>
      </c>
      <c r="F85" s="255" t="str">
        <f>IFERROR(VLOOKUP($C85,'SINAPI FEVEREIRO 2022'!$1:$1048576,3,0),IFERROR(VLOOKUP($C85,'5-COMP. PROPRIA'!$B$1:$I$647,5,0),""))</f>
        <v>M3XKM</v>
      </c>
      <c r="G85" s="204">
        <f>QUANT!K330</f>
        <v>97.597499999999997</v>
      </c>
      <c r="H85" s="256">
        <f>IFERROR(VLOOKUP($C85,'SINAPI FEVEREIRO 2022'!$1:$1048576,4,0),IFERROR(VLOOKUP($C85,'5-COMP. PROPRIA'!$B$1:$I$647,8,0),""))</f>
        <v>7.09</v>
      </c>
      <c r="I85" s="256">
        <f>TRUNC(($H85*'4-BDI'!$E$29),2)</f>
        <v>9.09</v>
      </c>
      <c r="J85" s="266">
        <f t="shared" ref="J85" si="38">TRUNC((G85*H85),2)</f>
        <v>691.96</v>
      </c>
      <c r="K85" s="205">
        <f t="shared" ref="K85" si="39">TRUNC((I85*G85),2)</f>
        <v>887.16</v>
      </c>
    </row>
    <row r="86" spans="2:11" s="107" customFormat="1" ht="15.75">
      <c r="B86" s="915" t="s">
        <v>8287</v>
      </c>
      <c r="C86" s="916"/>
      <c r="D86" s="916"/>
      <c r="E86" s="916"/>
      <c r="F86" s="916"/>
      <c r="G86" s="916"/>
      <c r="H86" s="916"/>
      <c r="I86" s="917"/>
      <c r="J86" s="207">
        <f>TRUNC(SUM(J74:J85),2)</f>
        <v>36506.65</v>
      </c>
      <c r="K86" s="207">
        <f>TRUNC(SUM(K74:K85),2)</f>
        <v>46811.67</v>
      </c>
    </row>
    <row r="87" spans="2:11" s="107" customFormat="1" ht="15.75">
      <c r="B87" s="915" t="s">
        <v>8286</v>
      </c>
      <c r="C87" s="916"/>
      <c r="D87" s="916"/>
      <c r="E87" s="916"/>
      <c r="F87" s="916"/>
      <c r="G87" s="916"/>
      <c r="H87" s="916"/>
      <c r="I87" s="917"/>
      <c r="J87" s="207">
        <f>TRUNC(SUM(J72,J86),2)</f>
        <v>65474.1</v>
      </c>
      <c r="K87" s="207">
        <f>TRUNC(SUM(K72,K86),2)</f>
        <v>83957.17</v>
      </c>
    </row>
    <row r="88" spans="2:11" s="117" customFormat="1" ht="15.75">
      <c r="B88" s="285" t="s">
        <v>7064</v>
      </c>
      <c r="C88" s="286"/>
      <c r="D88" s="287"/>
      <c r="E88" s="288" t="str">
        <f>QUANT!E334</f>
        <v xml:space="preserve">SUPERESTRUTURA </v>
      </c>
      <c r="F88" s="289"/>
      <c r="G88" s="290"/>
      <c r="H88" s="291"/>
      <c r="I88" s="291"/>
      <c r="J88" s="291"/>
      <c r="K88" s="292"/>
    </row>
    <row r="89" spans="2:11" s="107" customFormat="1" ht="15.75">
      <c r="B89" s="535" t="s">
        <v>7065</v>
      </c>
      <c r="C89" s="618"/>
      <c r="D89" s="618"/>
      <c r="E89" s="538" t="str">
        <f>QUANT!E335</f>
        <v>PILAR (COZINHA E MURO)</v>
      </c>
      <c r="F89" s="543"/>
      <c r="G89" s="544"/>
      <c r="H89" s="545"/>
      <c r="I89" s="545"/>
      <c r="J89" s="545"/>
      <c r="K89" s="546"/>
    </row>
    <row r="90" spans="2:11" s="107" customFormat="1" ht="45">
      <c r="B90" s="208" t="s">
        <v>7066</v>
      </c>
      <c r="C90" s="201">
        <f>QUANT!C337</f>
        <v>92775</v>
      </c>
      <c r="D90" s="201" t="str">
        <f>QUANT!D337</f>
        <v>SINAPI</v>
      </c>
      <c r="E90" s="203" t="str">
        <f>IFERROR(VLOOKUP($C90,'SINAPI FEVEREIRO 2022'!$1:$1048576,2,0),IFERROR(VLOOKUP($C90,'5-COMP. PROPRIA'!$B$1:$I$647,4,0),""))</f>
        <v>ARMAÇÃO DE PILAR OU VIGA DE UMA ESTRUTURA CONVENCIONAL DE CONCRETO ARMADO EM UMA EDIFICAÇÃO TÉRREA OU SOBRADO UTILIZANDO AÇO CA-60 DE 5,0 MM - MONTAGEM. AF_12/2015</v>
      </c>
      <c r="F90" s="255" t="str">
        <f>IFERROR(VLOOKUP($C90,'SINAPI FEVEREIRO 2022'!$1:$1048576,3,0),IFERROR(VLOOKUP($C90,'5-COMP. PROPRIA'!$B$1:$I$647,5,0),""))</f>
        <v>KG</v>
      </c>
      <c r="G90" s="204">
        <f>QUANT!K337</f>
        <v>292.10000000000002</v>
      </c>
      <c r="H90" s="256">
        <f>IFERROR(VLOOKUP($C90,'SINAPI FEVEREIRO 2022'!$1:$1048576,4,0),IFERROR(VLOOKUP($C90,'5-COMP. PROPRIA'!$B$1:$I$647,8,0),""))</f>
        <v>17.71</v>
      </c>
      <c r="I90" s="256">
        <f>TRUNC(($H90*'4-BDI'!$E$29),2)</f>
        <v>22.71</v>
      </c>
      <c r="J90" s="266">
        <f t="shared" ref="J90:J93" si="40">TRUNC((G90*H90),2)</f>
        <v>5173.09</v>
      </c>
      <c r="K90" s="205">
        <f t="shared" ref="K90:K93" si="41">TRUNC((I90*G90),2)</f>
        <v>6633.59</v>
      </c>
    </row>
    <row r="91" spans="2:11" s="107" customFormat="1" ht="45">
      <c r="B91" s="208" t="s">
        <v>7968</v>
      </c>
      <c r="C91" s="201">
        <f>QUANT!C339</f>
        <v>92778</v>
      </c>
      <c r="D91" s="201" t="str">
        <f>QUANT!D339</f>
        <v>SINAPI</v>
      </c>
      <c r="E91" s="203" t="str">
        <f>IFERROR(VLOOKUP($C91,'SINAPI FEVEREIRO 2022'!$1:$1048576,2,0),IFERROR(VLOOKUP($C91,'5-COMP. PROPRIA'!$B$1:$I$647,4,0),""))</f>
        <v>ARMAÇÃO DE PILAR OU VIGA DE UMA ESTRUTURA CONVENCIONAL DE CONCRETO ARMADO EM UMA EDIFICAÇÃO TÉRREA OU SOBRADO UTILIZANDO AÇO CA-50 DE 10,0 MM - MONTAGEM. AF_12/2015</v>
      </c>
      <c r="F91" s="255" t="str">
        <f>IFERROR(VLOOKUP($C91,'SINAPI FEVEREIRO 2022'!$1:$1048576,3,0),IFERROR(VLOOKUP($C91,'5-COMP. PROPRIA'!$B$1:$I$647,5,0),""))</f>
        <v>KG</v>
      </c>
      <c r="G91" s="204">
        <f>QUANT!K339</f>
        <v>593.4</v>
      </c>
      <c r="H91" s="256">
        <f>IFERROR(VLOOKUP($C91,'SINAPI FEVEREIRO 2022'!$1:$1048576,4,0),IFERROR(VLOOKUP($C91,'5-COMP. PROPRIA'!$B$1:$I$647,8,0),""))</f>
        <v>14.5</v>
      </c>
      <c r="I91" s="256">
        <f>TRUNC(($H91*'4-BDI'!$E$29),2)</f>
        <v>18.59</v>
      </c>
      <c r="J91" s="266">
        <f t="shared" si="40"/>
        <v>8604.2999999999993</v>
      </c>
      <c r="K91" s="205">
        <f t="shared" si="41"/>
        <v>11031.3</v>
      </c>
    </row>
    <row r="92" spans="2:11" s="107" customFormat="1" ht="45">
      <c r="B92" s="208" t="s">
        <v>7969</v>
      </c>
      <c r="C92" s="201">
        <f>QUANT!C341</f>
        <v>92413</v>
      </c>
      <c r="D92" s="201" t="str">
        <f>QUANT!D341</f>
        <v>SINAPI</v>
      </c>
      <c r="E92" s="203" t="str">
        <f>IFERROR(VLOOKUP($C92,'SINAPI FEVEREIRO 2022'!$1:$1048576,2,0),IFERROR(VLOOKUP($C92,'5-COMP. PROPRIA'!$B$1:$I$647,4,0),""))</f>
        <v>MONTAGEM E DESMONTAGEM DE FÔRMA DE PILARES RETANGULARES E ESTRUTURAS SIMILARES, PÉ-DIREITO SIMPLES, EM MADEIRA SERRADA, 4 UTILIZAÇÕES. AF_09/2020</v>
      </c>
      <c r="F92" s="255" t="str">
        <f>IFERROR(VLOOKUP($C92,'SINAPI FEVEREIRO 2022'!$1:$1048576,3,0),IFERROR(VLOOKUP($C92,'5-COMP. PROPRIA'!$B$1:$I$647,5,0),""))</f>
        <v>M2</v>
      </c>
      <c r="G92" s="204">
        <f>QUANT!K341</f>
        <v>218.7</v>
      </c>
      <c r="H92" s="256">
        <f>IFERROR(VLOOKUP($C92,'SINAPI FEVEREIRO 2022'!$1:$1048576,4,0),IFERROR(VLOOKUP($C92,'5-COMP. PROPRIA'!$B$1:$I$647,8,0),""))</f>
        <v>92.86</v>
      </c>
      <c r="I92" s="256">
        <f>TRUNC(($H92*'4-BDI'!$E$29),2)</f>
        <v>119.08</v>
      </c>
      <c r="J92" s="266">
        <f t="shared" si="40"/>
        <v>20308.48</v>
      </c>
      <c r="K92" s="205">
        <f t="shared" si="41"/>
        <v>26042.79</v>
      </c>
    </row>
    <row r="93" spans="2:11" s="107" customFormat="1" ht="45">
      <c r="B93" s="208" t="s">
        <v>7970</v>
      </c>
      <c r="C93" s="201">
        <f>QUANT!C343</f>
        <v>94971</v>
      </c>
      <c r="D93" s="201" t="str">
        <f>QUANT!D343</f>
        <v>SINAPI</v>
      </c>
      <c r="E93" s="203" t="str">
        <f>IFERROR(VLOOKUP($C93,'SINAPI FEVEREIRO 2022'!$1:$1048576,2,0),IFERROR(VLOOKUP($C93,'5-COMP. PROPRIA'!$B$1:$I$647,4,0),""))</f>
        <v>CONCRETO FCK = 25MPA, TRAÇO 1:2,3:2,7 (EM MASSA SECA DE CIMENTO/ AREIA MÉDIA/ BRITA 1) - PREPARO MECÂNICO COM BETONEIRA 600 L. AF_05/2021</v>
      </c>
      <c r="F93" s="255" t="str">
        <f>IFERROR(VLOOKUP($C93,'SINAPI FEVEREIRO 2022'!$1:$1048576,3,0),IFERROR(VLOOKUP($C93,'5-COMP. PROPRIA'!$B$1:$I$647,5,0),""))</f>
        <v>M3</v>
      </c>
      <c r="G93" s="204">
        <f>QUANT!K343</f>
        <v>10.93</v>
      </c>
      <c r="H93" s="256">
        <f>IFERROR(VLOOKUP($C93,'SINAPI FEVEREIRO 2022'!$1:$1048576,4,0),IFERROR(VLOOKUP($C93,'5-COMP. PROPRIA'!$B$1:$I$647,8,0),""))</f>
        <v>425.35</v>
      </c>
      <c r="I93" s="256">
        <f>TRUNC(($H93*'4-BDI'!$E$29),2)</f>
        <v>545.46</v>
      </c>
      <c r="J93" s="266">
        <f t="shared" si="40"/>
        <v>4649.07</v>
      </c>
      <c r="K93" s="205">
        <f t="shared" si="41"/>
        <v>5961.87</v>
      </c>
    </row>
    <row r="94" spans="2:11" s="107" customFormat="1" ht="30">
      <c r="B94" s="208" t="s">
        <v>7971</v>
      </c>
      <c r="C94" s="201">
        <f>QUANT!C345</f>
        <v>103670</v>
      </c>
      <c r="D94" s="201" t="str">
        <f>QUANT!D345</f>
        <v>SINAPI</v>
      </c>
      <c r="E94" s="203" t="str">
        <f>IFERROR(VLOOKUP($C94,'SINAPI FEVEREIRO 2022'!$1:$1048576,2,0),IFERROR(VLOOKUP($C94,'5-COMP. PROPRIA'!$B$1:$I$647,4,0),""))</f>
        <v>LANÇAMENTO COM USO DE BALDES, ADENSAMENTO E ACABAMENTO DE CONCRETO EM ESTRUTURAS. AF_02/2022</v>
      </c>
      <c r="F94" s="255" t="str">
        <f>IFERROR(VLOOKUP($C94,'SINAPI FEVEREIRO 2022'!$1:$1048576,3,0),IFERROR(VLOOKUP($C94,'5-COMP. PROPRIA'!$B$1:$I$647,5,0),""))</f>
        <v>M3</v>
      </c>
      <c r="G94" s="204">
        <f>QUANT!K345</f>
        <v>10.93</v>
      </c>
      <c r="H94" s="256">
        <f>IFERROR(VLOOKUP($C94,'SINAPI FEVEREIRO 2022'!$1:$1048576,4,0),IFERROR(VLOOKUP($C94,'5-COMP. PROPRIA'!$B$1:$I$647,8,0),""))</f>
        <v>205.9</v>
      </c>
      <c r="I94" s="256">
        <f>TRUNC(($H94*'4-BDI'!$E$29),2)</f>
        <v>264.04000000000002</v>
      </c>
      <c r="J94" s="266">
        <f t="shared" ref="J94" si="42">TRUNC((G94*H94),2)</f>
        <v>2250.48</v>
      </c>
      <c r="K94" s="205">
        <f t="shared" ref="K94" si="43">TRUNC((I94*G94),2)</f>
        <v>2885.95</v>
      </c>
    </row>
    <row r="95" spans="2:11" s="107" customFormat="1" ht="15.75">
      <c r="B95" s="915" t="s">
        <v>8287</v>
      </c>
      <c r="C95" s="916"/>
      <c r="D95" s="916"/>
      <c r="E95" s="916"/>
      <c r="F95" s="916"/>
      <c r="G95" s="916"/>
      <c r="H95" s="916"/>
      <c r="I95" s="917"/>
      <c r="J95" s="207">
        <f>TRUNC(SUM(J90:J94),2)</f>
        <v>40985.42</v>
      </c>
      <c r="K95" s="207">
        <f>TRUNC(SUM(K90:K94),2)</f>
        <v>52555.5</v>
      </c>
    </row>
    <row r="96" spans="2:11" s="107" customFormat="1" ht="15.75">
      <c r="B96" s="535" t="s">
        <v>7972</v>
      </c>
      <c r="C96" s="618"/>
      <c r="D96" s="618"/>
      <c r="E96" s="538" t="str">
        <f>QUANT!E347</f>
        <v>VIGAS (COZINHA, MURO E RAMPA)</v>
      </c>
      <c r="F96" s="543"/>
      <c r="G96" s="544"/>
      <c r="H96" s="545"/>
      <c r="I96" s="545"/>
      <c r="J96" s="545"/>
      <c r="K96" s="546"/>
    </row>
    <row r="97" spans="2:11" s="107" customFormat="1" ht="45">
      <c r="B97" s="208" t="s">
        <v>7067</v>
      </c>
      <c r="C97" s="201">
        <f>QUANT!C349</f>
        <v>92423</v>
      </c>
      <c r="D97" s="201" t="str">
        <f>QUANT!D349</f>
        <v>SINAPI</v>
      </c>
      <c r="E97" s="203" t="str">
        <f>IFERROR(VLOOKUP($C97,'SINAPI FEVEREIRO 2022'!$1:$1048576,2,0),IFERROR(VLOOKUP($C97,'5-COMP. PROPRIA'!$B$1:$I$647,4,0),""))</f>
        <v>MONTAGEM E DESMONTAGEM DE FÔRMA DE PILARES RETANGULARES E ESTRUTURAS SIMILARES, PÉ-DIREITO SIMPLES, EM CHAPA DE MADEIRA COMPENSADA RESINADA, 6 UTILIZAÇÕES. AF_09/2020</v>
      </c>
      <c r="F97" s="255" t="str">
        <f>IFERROR(VLOOKUP($C97,'SINAPI FEVEREIRO 2022'!$1:$1048576,3,0),IFERROR(VLOOKUP($C97,'5-COMP. PROPRIA'!$B$1:$I$647,5,0),""))</f>
        <v>M2</v>
      </c>
      <c r="G97" s="204">
        <f>QUANT!K349</f>
        <v>23.887500000000003</v>
      </c>
      <c r="H97" s="256">
        <f>IFERROR(VLOOKUP($C97,'SINAPI FEVEREIRO 2022'!$1:$1048576,4,0),IFERROR(VLOOKUP($C97,'5-COMP. PROPRIA'!$B$1:$I$647,8,0),""))</f>
        <v>65.3</v>
      </c>
      <c r="I97" s="256">
        <f>TRUNC(($H97*'4-BDI'!$E$29),2)</f>
        <v>83.74</v>
      </c>
      <c r="J97" s="266">
        <f t="shared" ref="J97" si="44">TRUNC((G97*H97),2)</f>
        <v>1559.85</v>
      </c>
      <c r="K97" s="205">
        <f t="shared" ref="K97" si="45">TRUNC((I97*G97),2)</f>
        <v>2000.33</v>
      </c>
    </row>
    <row r="98" spans="2:11" s="107" customFormat="1" ht="45">
      <c r="B98" s="208" t="s">
        <v>7973</v>
      </c>
      <c r="C98" s="201">
        <f>QUANT!C351</f>
        <v>92775</v>
      </c>
      <c r="D98" s="201" t="str">
        <f>QUANT!D351</f>
        <v>SINAPI</v>
      </c>
      <c r="E98" s="203" t="str">
        <f>IFERROR(VLOOKUP($C98,'SINAPI FEVEREIRO 2022'!$1:$1048576,2,0),IFERROR(VLOOKUP($C98,'5-COMP. PROPRIA'!$B$1:$I$647,4,0),""))</f>
        <v>ARMAÇÃO DE PILAR OU VIGA DE UMA ESTRUTURA CONVENCIONAL DE CONCRETO ARMADO EM UMA EDIFICAÇÃO TÉRREA OU SOBRADO UTILIZANDO AÇO CA-60 DE 5,0 MM - MONTAGEM. AF_12/2015</v>
      </c>
      <c r="F98" s="255" t="str">
        <f>IFERROR(VLOOKUP($C98,'SINAPI FEVEREIRO 2022'!$1:$1048576,3,0),IFERROR(VLOOKUP($C98,'5-COMP. PROPRIA'!$B$1:$I$647,5,0),""))</f>
        <v>KG</v>
      </c>
      <c r="G98" s="204">
        <f>QUANT!K351</f>
        <v>23.993200000000002</v>
      </c>
      <c r="H98" s="256">
        <f>IFERROR(VLOOKUP($C98,'SINAPI FEVEREIRO 2022'!$1:$1048576,4,0),IFERROR(VLOOKUP($C98,'5-COMP. PROPRIA'!$B$1:$I$647,8,0),""))</f>
        <v>17.71</v>
      </c>
      <c r="I98" s="256">
        <f>TRUNC(($H98*'4-BDI'!$E$29),2)</f>
        <v>22.71</v>
      </c>
      <c r="J98" s="266">
        <f t="shared" ref="J98:J104" si="46">TRUNC((G98*H98),2)</f>
        <v>424.91</v>
      </c>
      <c r="K98" s="205">
        <f t="shared" ref="K98:K104" si="47">TRUNC((I98*G98),2)</f>
        <v>544.88</v>
      </c>
    </row>
    <row r="99" spans="2:11" s="107" customFormat="1" ht="45">
      <c r="B99" s="208" t="s">
        <v>7974</v>
      </c>
      <c r="C99" s="201">
        <f>QUANT!C353</f>
        <v>92777</v>
      </c>
      <c r="D99" s="201" t="str">
        <f>QUANT!D353</f>
        <v>SINAPI</v>
      </c>
      <c r="E99" s="203" t="str">
        <f>IFERROR(VLOOKUP($C99,'SINAPI FEVEREIRO 2022'!$1:$1048576,2,0),IFERROR(VLOOKUP($C99,'5-COMP. PROPRIA'!$B$1:$I$647,4,0),""))</f>
        <v>ARMAÇÃO DE PILAR OU VIGA DE UMA ESTRUTURA CONVENCIONAL DE CONCRETO ARMADO EM UMA EDIFICAÇÃO TÉRREA OU SOBRADO UTILIZANDO AÇO CA-50 DE 8,0 MM - MONTAGEM. AF_12/2015</v>
      </c>
      <c r="F99" s="255" t="str">
        <f>IFERROR(VLOOKUP($C99,'SINAPI FEVEREIRO 2022'!$1:$1048576,3,0),IFERROR(VLOOKUP($C99,'5-COMP. PROPRIA'!$B$1:$I$647,5,0),""))</f>
        <v>KG</v>
      </c>
      <c r="G99" s="204">
        <f>QUANT!K353</f>
        <v>26.599300000000003</v>
      </c>
      <c r="H99" s="256">
        <f>IFERROR(VLOOKUP($C99,'SINAPI FEVEREIRO 2022'!$1:$1048576,4,0),IFERROR(VLOOKUP($C99,'5-COMP. PROPRIA'!$B$1:$I$647,8,0),""))</f>
        <v>16.149999999999999</v>
      </c>
      <c r="I99" s="256">
        <f>TRUNC(($H99*'4-BDI'!$E$29),2)</f>
        <v>20.71</v>
      </c>
      <c r="J99" s="266">
        <f t="shared" si="46"/>
        <v>429.57</v>
      </c>
      <c r="K99" s="205">
        <f t="shared" si="47"/>
        <v>550.87</v>
      </c>
    </row>
    <row r="100" spans="2:11" s="107" customFormat="1" ht="45">
      <c r="B100" s="208" t="s">
        <v>7975</v>
      </c>
      <c r="C100" s="201">
        <f>QUANT!C355</f>
        <v>92778</v>
      </c>
      <c r="D100" s="201" t="str">
        <f>QUANT!D355</f>
        <v>SINAPI</v>
      </c>
      <c r="E100" s="203" t="str">
        <f>IFERROR(VLOOKUP($C100,'SINAPI FEVEREIRO 2022'!$1:$1048576,2,0),IFERROR(VLOOKUP($C100,'5-COMP. PROPRIA'!$B$1:$I$647,4,0),""))</f>
        <v>ARMAÇÃO DE PILAR OU VIGA DE UMA ESTRUTURA CONVENCIONAL DE CONCRETO ARMADO EM UMA EDIFICAÇÃO TÉRREA OU SOBRADO UTILIZANDO AÇO CA-50 DE 10,0 MM - MONTAGEM. AF_12/2015</v>
      </c>
      <c r="F100" s="255" t="str">
        <f>IFERROR(VLOOKUP($C100,'SINAPI FEVEREIRO 2022'!$1:$1048576,3,0),IFERROR(VLOOKUP($C100,'5-COMP. PROPRIA'!$B$1:$I$647,5,0),""))</f>
        <v>KG</v>
      </c>
      <c r="G100" s="204">
        <f>QUANT!K355</f>
        <v>40.870079999999994</v>
      </c>
      <c r="H100" s="256">
        <f>IFERROR(VLOOKUP($C100,'SINAPI FEVEREIRO 2022'!$1:$1048576,4,0),IFERROR(VLOOKUP($C100,'5-COMP. PROPRIA'!$B$1:$I$647,8,0),""))</f>
        <v>14.5</v>
      </c>
      <c r="I100" s="256">
        <f>TRUNC(($H100*'4-BDI'!$E$29),2)</f>
        <v>18.59</v>
      </c>
      <c r="J100" s="266">
        <f t="shared" si="46"/>
        <v>592.61</v>
      </c>
      <c r="K100" s="205">
        <f t="shared" si="47"/>
        <v>759.77</v>
      </c>
    </row>
    <row r="101" spans="2:11" s="107" customFormat="1" ht="45">
      <c r="B101" s="208" t="s">
        <v>7976</v>
      </c>
      <c r="C101" s="201">
        <f>QUANT!C357</f>
        <v>94971</v>
      </c>
      <c r="D101" s="201" t="str">
        <f>QUANT!D357</f>
        <v>SINAPI</v>
      </c>
      <c r="E101" s="203" t="str">
        <f>IFERROR(VLOOKUP($C101,'SINAPI FEVEREIRO 2022'!$1:$1048576,2,0),IFERROR(VLOOKUP($C101,'5-COMP. PROPRIA'!$B$1:$I$647,4,0),""))</f>
        <v>CONCRETO FCK = 25MPA, TRAÇO 1:2,3:2,7 (EM MASSA SECA DE CIMENTO/ AREIA MÉDIA/ BRITA 1) - PREPARO MECÂNICO COM BETONEIRA 600 L. AF_05/2021</v>
      </c>
      <c r="F101" s="255" t="str">
        <f>IFERROR(VLOOKUP($C101,'SINAPI FEVEREIRO 2022'!$1:$1048576,3,0),IFERROR(VLOOKUP($C101,'5-COMP. PROPRIA'!$B$1:$I$647,5,0),""))</f>
        <v>M3</v>
      </c>
      <c r="G101" s="204">
        <f>QUANT!K357</f>
        <v>1.4332500000000001</v>
      </c>
      <c r="H101" s="256">
        <f>IFERROR(VLOOKUP($C101,'SINAPI FEVEREIRO 2022'!$1:$1048576,4,0),IFERROR(VLOOKUP($C101,'5-COMP. PROPRIA'!$B$1:$I$647,8,0),""))</f>
        <v>425.35</v>
      </c>
      <c r="I101" s="256">
        <f>TRUNC(($H101*'4-BDI'!$E$29),2)</f>
        <v>545.46</v>
      </c>
      <c r="J101" s="266">
        <f t="shared" si="46"/>
        <v>609.63</v>
      </c>
      <c r="K101" s="205">
        <f t="shared" si="47"/>
        <v>781.78</v>
      </c>
    </row>
    <row r="102" spans="2:11" s="107" customFormat="1" ht="30">
      <c r="B102" s="208" t="s">
        <v>7977</v>
      </c>
      <c r="C102" s="201">
        <f>QUANT!C359</f>
        <v>103670</v>
      </c>
      <c r="D102" s="201" t="str">
        <f>QUANT!D359</f>
        <v>SINAPI</v>
      </c>
      <c r="E102" s="203" t="str">
        <f>IFERROR(VLOOKUP($C102,'SINAPI FEVEREIRO 2022'!$1:$1048576,2,0),IFERROR(VLOOKUP($C102,'5-COMP. PROPRIA'!$B$1:$I$647,4,0),""))</f>
        <v>LANÇAMENTO COM USO DE BALDES, ADENSAMENTO E ACABAMENTO DE CONCRETO EM ESTRUTURAS. AF_02/2022</v>
      </c>
      <c r="F102" s="255" t="str">
        <f>IFERROR(VLOOKUP($C102,'SINAPI FEVEREIRO 2022'!$1:$1048576,3,0),IFERROR(VLOOKUP($C102,'5-COMP. PROPRIA'!$B$1:$I$647,5,0),""))</f>
        <v>M3</v>
      </c>
      <c r="G102" s="204">
        <f>QUANT!K359</f>
        <v>1.4332500000000001</v>
      </c>
      <c r="H102" s="256">
        <f>IFERROR(VLOOKUP($C102,'SINAPI FEVEREIRO 2022'!$1:$1048576,4,0),IFERROR(VLOOKUP($C102,'5-COMP. PROPRIA'!$B$1:$I$647,8,0),""))</f>
        <v>205.9</v>
      </c>
      <c r="I102" s="256">
        <f>TRUNC(($H102*'4-BDI'!$E$29),2)</f>
        <v>264.04000000000002</v>
      </c>
      <c r="J102" s="266">
        <f t="shared" si="46"/>
        <v>295.10000000000002</v>
      </c>
      <c r="K102" s="205">
        <f t="shared" si="47"/>
        <v>378.43</v>
      </c>
    </row>
    <row r="103" spans="2:11" s="107" customFormat="1" ht="30">
      <c r="B103" s="208" t="s">
        <v>7978</v>
      </c>
      <c r="C103" s="201">
        <f>QUANT!C361</f>
        <v>93204</v>
      </c>
      <c r="D103" s="201" t="str">
        <f>QUANT!D361</f>
        <v>SINAPI</v>
      </c>
      <c r="E103" s="203" t="str">
        <f>IFERROR(VLOOKUP($C103,'SINAPI FEVEREIRO 2022'!$1:$1048576,2,0),IFERROR(VLOOKUP($C103,'5-COMP. PROPRIA'!$B$1:$I$647,4,0),""))</f>
        <v>CINTA DE AMARRAÇÃO DE ALVENARIA MOLDADA IN LOCO EM CONCRETO. AF_03/2016</v>
      </c>
      <c r="F103" s="255" t="str">
        <f>IFERROR(VLOOKUP($C103,'SINAPI FEVEREIRO 2022'!$1:$1048576,3,0),IFERROR(VLOOKUP($C103,'5-COMP. PROPRIA'!$B$1:$I$647,5,0),""))</f>
        <v>M</v>
      </c>
      <c r="G103" s="204">
        <f>QUANT!K361</f>
        <v>204.6</v>
      </c>
      <c r="H103" s="256">
        <f>IFERROR(VLOOKUP($C103,'SINAPI FEVEREIRO 2022'!$1:$1048576,4,0),IFERROR(VLOOKUP($C103,'5-COMP. PROPRIA'!$B$1:$I$647,8,0),""))</f>
        <v>53.86</v>
      </c>
      <c r="I103" s="256">
        <f>TRUNC(($H103*'4-BDI'!$E$29),2)</f>
        <v>69.069999999999993</v>
      </c>
      <c r="J103" s="266">
        <f t="shared" si="46"/>
        <v>11019.75</v>
      </c>
      <c r="K103" s="205">
        <f t="shared" si="47"/>
        <v>14131.72</v>
      </c>
    </row>
    <row r="104" spans="2:11" s="107" customFormat="1" ht="30">
      <c r="B104" s="208" t="s">
        <v>7979</v>
      </c>
      <c r="C104" s="201">
        <f>QUANT!C363</f>
        <v>93205</v>
      </c>
      <c r="D104" s="201" t="str">
        <f>QUANT!D363</f>
        <v>SINAPI</v>
      </c>
      <c r="E104" s="203" t="str">
        <f>IFERROR(VLOOKUP($C104,'SINAPI FEVEREIRO 2022'!$1:$1048576,2,0),IFERROR(VLOOKUP($C104,'5-COMP. PROPRIA'!$B$1:$I$647,4,0),""))</f>
        <v>CINTA DE AMARRAÇÃO DE ALVENARIA MOLDADA IN LOCO COM UTILIZAÇÃO DE BLOCOS CANALETA. AF_03/2016</v>
      </c>
      <c r="F104" s="255" t="str">
        <f>IFERROR(VLOOKUP($C104,'SINAPI FEVEREIRO 2022'!$1:$1048576,3,0),IFERROR(VLOOKUP($C104,'5-COMP. PROPRIA'!$B$1:$I$647,5,0),""))</f>
        <v>M</v>
      </c>
      <c r="G104" s="204">
        <f>QUANT!K363</f>
        <v>21.3</v>
      </c>
      <c r="H104" s="256">
        <f>IFERROR(VLOOKUP($C104,'SINAPI FEVEREIRO 2022'!$1:$1048576,4,0),IFERROR(VLOOKUP($C104,'5-COMP. PROPRIA'!$B$1:$I$647,8,0),""))</f>
        <v>36.24</v>
      </c>
      <c r="I104" s="256">
        <f>TRUNC(($H104*'4-BDI'!$E$29),2)</f>
        <v>46.47</v>
      </c>
      <c r="J104" s="266">
        <f t="shared" si="46"/>
        <v>771.91</v>
      </c>
      <c r="K104" s="205">
        <f t="shared" si="47"/>
        <v>989.81</v>
      </c>
    </row>
    <row r="105" spans="2:11" s="107" customFormat="1" ht="15.75">
      <c r="B105" s="915" t="s">
        <v>8287</v>
      </c>
      <c r="C105" s="916"/>
      <c r="D105" s="916"/>
      <c r="E105" s="916"/>
      <c r="F105" s="916"/>
      <c r="G105" s="916"/>
      <c r="H105" s="916"/>
      <c r="I105" s="917"/>
      <c r="J105" s="207">
        <f>TRUNC(SUM(J97:J104),2)</f>
        <v>15703.33</v>
      </c>
      <c r="K105" s="207">
        <f>TRUNC(SUM(K97:K104),2)</f>
        <v>20137.59</v>
      </c>
    </row>
    <row r="106" spans="2:11" s="107" customFormat="1" ht="15.75">
      <c r="B106" s="915" t="s">
        <v>8286</v>
      </c>
      <c r="C106" s="916"/>
      <c r="D106" s="916"/>
      <c r="E106" s="916"/>
      <c r="F106" s="916"/>
      <c r="G106" s="916"/>
      <c r="H106" s="916"/>
      <c r="I106" s="917"/>
      <c r="J106" s="207">
        <f>TRUNC(SUM(J95,J105),2)</f>
        <v>56688.75</v>
      </c>
      <c r="K106" s="207">
        <f>TRUNC(SUM(K95,K105),2)</f>
        <v>72693.09</v>
      </c>
    </row>
    <row r="107" spans="2:11" s="107" customFormat="1" ht="13.5" customHeight="1">
      <c r="B107" s="285" t="s">
        <v>7304</v>
      </c>
      <c r="C107" s="286"/>
      <c r="D107" s="287"/>
      <c r="E107" s="288" t="str">
        <f>QUANT!E365</f>
        <v>FECHAMENTOS INTERNOS E EXTERNOS</v>
      </c>
      <c r="F107" s="289"/>
      <c r="G107" s="290"/>
      <c r="H107" s="291"/>
      <c r="I107" s="291"/>
      <c r="J107" s="291"/>
      <c r="K107" s="292"/>
    </row>
    <row r="108" spans="2:11" s="107" customFormat="1" ht="15.75">
      <c r="B108" s="547" t="s">
        <v>7305</v>
      </c>
      <c r="C108" s="548"/>
      <c r="D108" s="549"/>
      <c r="E108" s="550" t="str">
        <f>QUANT!E366</f>
        <v xml:space="preserve">MURO </v>
      </c>
      <c r="F108" s="551"/>
      <c r="G108" s="552"/>
      <c r="H108" s="553"/>
      <c r="I108" s="553"/>
      <c r="J108" s="553"/>
      <c r="K108" s="554"/>
    </row>
    <row r="109" spans="2:11" s="107" customFormat="1" ht="64.5" customHeight="1">
      <c r="B109" s="210" t="s">
        <v>7306</v>
      </c>
      <c r="C109" s="555">
        <f>QUANT!C368</f>
        <v>103322</v>
      </c>
      <c r="D109" s="556" t="str">
        <f>QUANT!D368</f>
        <v>SINAPI</v>
      </c>
      <c r="E109" s="203" t="str">
        <f>IFERROR(VLOOKUP($C109,'SINAPI FEVEREIRO 2022'!$1:$1048576,2,0),IFERROR(VLOOKUP($C109,'5-COMP. PROPRIA'!$B$1:$I$647,4,0),""))</f>
        <v>ALVENARIA DE VEDAÇÃO DE BLOCOS CERÂMICOS FURADOS NA VERTICAL DE 9X19X39 CM (ESPESSURA 9 CM) E ARGAMASSA DE ASSENTAMENTO COM PREPARO EM BETONEIRA. AF_12/2021</v>
      </c>
      <c r="F109" s="255" t="str">
        <f>IFERROR(VLOOKUP($C109,'SINAPI FEVEREIRO 2022'!$1:$1048576,3,0),IFERROR(VLOOKUP($C109,'5-COMP. PROPRIA'!$B$1:$I$647,5,0),""))</f>
        <v>M2</v>
      </c>
      <c r="G109" s="204">
        <f>QUANT!K368</f>
        <v>675.18</v>
      </c>
      <c r="H109" s="256">
        <f>IFERROR(VLOOKUP($C109,'SINAPI FEVEREIRO 2022'!$1:$1048576,4,0),IFERROR(VLOOKUP($C109,'5-COMP. PROPRIA'!$B$1:$I$647,8,0),""))</f>
        <v>53.73</v>
      </c>
      <c r="I109" s="256">
        <f>TRUNC(($H109*'4-BDI'!$E$29),2)</f>
        <v>68.900000000000006</v>
      </c>
      <c r="J109" s="266">
        <f>TRUNC((G109*H109),2)</f>
        <v>36277.42</v>
      </c>
      <c r="K109" s="205">
        <f>TRUNC((I109*G109),2)</f>
        <v>46519.9</v>
      </c>
    </row>
    <row r="110" spans="2:11" s="107" customFormat="1" ht="15.75">
      <c r="B110" s="915" t="s">
        <v>8287</v>
      </c>
      <c r="C110" s="916"/>
      <c r="D110" s="916"/>
      <c r="E110" s="916"/>
      <c r="F110" s="916"/>
      <c r="G110" s="916"/>
      <c r="H110" s="916"/>
      <c r="I110" s="917"/>
      <c r="J110" s="207">
        <f>TRUNC(SUM(J109),2)</f>
        <v>36277.42</v>
      </c>
      <c r="K110" s="207">
        <f>TRUNC(SUM(K109),2)</f>
        <v>46519.9</v>
      </c>
    </row>
    <row r="111" spans="2:11" s="107" customFormat="1" ht="15.75">
      <c r="B111" s="547" t="s">
        <v>7307</v>
      </c>
      <c r="C111" s="548"/>
      <c r="D111" s="549"/>
      <c r="E111" s="550" t="str">
        <f>QUANT!E370</f>
        <v>ESCOLA</v>
      </c>
      <c r="F111" s="551"/>
      <c r="G111" s="552"/>
      <c r="H111" s="553"/>
      <c r="I111" s="553"/>
      <c r="J111" s="553"/>
      <c r="K111" s="554"/>
    </row>
    <row r="112" spans="2:11" s="107" customFormat="1" ht="45">
      <c r="B112" s="210" t="s">
        <v>7308</v>
      </c>
      <c r="C112" s="201">
        <f>QUANT!C372</f>
        <v>103330</v>
      </c>
      <c r="D112" s="201" t="str">
        <f>QUANT!D372</f>
        <v>SINAPI</v>
      </c>
      <c r="E112" s="203" t="str">
        <f>IFERROR(VLOOKUP($C112,'SINAPI FEVEREIRO 2022'!$1:$1048576,2,0),IFERROR(VLOOKUP($C112,'5-COMP. PROPRIA'!$B$1:$I$647,4,0),""))</f>
        <v>ALVENARIA DE VEDAÇÃO DE BLOCOS CERÂMICOS FURADOS NA HORIZONTAL DE 11,5X19X19 CM (ESPESSURA 11,5 CM) E ARGAMASSA DE ASSENTAMENTO COM PREPARO EM BETONEIRA. AF_12/2021</v>
      </c>
      <c r="F112" s="255" t="str">
        <f>IFERROR(VLOOKUP($C112,'SINAPI FEVEREIRO 2022'!$1:$1048576,3,0),IFERROR(VLOOKUP($C112,'5-COMP. PROPRIA'!$B$1:$I$647,5,0),""))</f>
        <v>M2</v>
      </c>
      <c r="G112" s="204">
        <f>QUANT!K372</f>
        <v>212.321</v>
      </c>
      <c r="H112" s="256">
        <f>IFERROR(VLOOKUP($C112,'SINAPI FEVEREIRO 2022'!$1:$1048576,4,0),IFERROR(VLOOKUP($C112,'5-COMP. PROPRIA'!$B$1:$I$647,8,0),""))</f>
        <v>72.59</v>
      </c>
      <c r="I112" s="256">
        <f>TRUNC(($H112*'4-BDI'!$E$29),2)</f>
        <v>93.08</v>
      </c>
      <c r="J112" s="266">
        <f t="shared" ref="J112:J115" si="48">TRUNC((G112*H112),2)</f>
        <v>15412.38</v>
      </c>
      <c r="K112" s="205">
        <f t="shared" ref="K112:K115" si="49">TRUNC((I112*G112),2)</f>
        <v>19762.830000000002</v>
      </c>
    </row>
    <row r="113" spans="2:11" s="107" customFormat="1" ht="30">
      <c r="B113" s="210" t="s">
        <v>7309</v>
      </c>
      <c r="C113" s="201">
        <f>QUANT!C379</f>
        <v>93183</v>
      </c>
      <c r="D113" s="201" t="str">
        <f>QUANT!D379</f>
        <v>SINAPI</v>
      </c>
      <c r="E113" s="203" t="str">
        <f>IFERROR(VLOOKUP($C113,'SINAPI FEVEREIRO 2022'!$1:$1048576,2,0),IFERROR(VLOOKUP($C113,'5-COMP. PROPRIA'!$B$1:$I$647,4,0),""))</f>
        <v>VERGA PRÉ-MOLDADA PARA JANELAS COM MAIS DE 1,5 M DE VÃO. AF_03/2016</v>
      </c>
      <c r="F113" s="255" t="str">
        <f>IFERROR(VLOOKUP($C113,'SINAPI FEVEREIRO 2022'!$1:$1048576,3,0),IFERROR(VLOOKUP($C113,'5-COMP. PROPRIA'!$B$1:$I$647,5,0),""))</f>
        <v>M</v>
      </c>
      <c r="G113" s="204">
        <f>QUANT!K379</f>
        <v>141</v>
      </c>
      <c r="H113" s="256">
        <f>IFERROR(VLOOKUP($C113,'SINAPI FEVEREIRO 2022'!$1:$1048576,4,0),IFERROR(VLOOKUP($C113,'5-COMP. PROPRIA'!$B$1:$I$647,8,0),""))</f>
        <v>53.6</v>
      </c>
      <c r="I113" s="256">
        <f>TRUNC(($H113*'4-BDI'!$E$29),2)</f>
        <v>68.73</v>
      </c>
      <c r="J113" s="266">
        <f t="shared" si="48"/>
        <v>7557.6</v>
      </c>
      <c r="K113" s="205">
        <f t="shared" si="49"/>
        <v>9690.93</v>
      </c>
    </row>
    <row r="114" spans="2:11" s="107" customFormat="1" ht="30">
      <c r="B114" s="210" t="s">
        <v>7310</v>
      </c>
      <c r="C114" s="201">
        <f>QUANT!C381</f>
        <v>93195</v>
      </c>
      <c r="D114" s="201" t="str">
        <f>QUANT!D381</f>
        <v>SINAPI</v>
      </c>
      <c r="E114" s="203" t="str">
        <f>IFERROR(VLOOKUP($C114,'SINAPI FEVEREIRO 2022'!$1:$1048576,2,0),IFERROR(VLOOKUP($C114,'5-COMP. PROPRIA'!$B$1:$I$647,4,0),""))</f>
        <v>CONTRAVERGA PRÉ-MOLDADA PARA VÃOS DE MAIS DE 1,5 M DE COMPRIMENTO. AF_03/2016</v>
      </c>
      <c r="F114" s="255" t="str">
        <f>IFERROR(VLOOKUP($C114,'SINAPI FEVEREIRO 2022'!$1:$1048576,3,0),IFERROR(VLOOKUP($C114,'5-COMP. PROPRIA'!$B$1:$I$647,5,0),""))</f>
        <v>M</v>
      </c>
      <c r="G114" s="204">
        <f>QUANT!K381</f>
        <v>141</v>
      </c>
      <c r="H114" s="256">
        <f>IFERROR(VLOOKUP($C114,'SINAPI FEVEREIRO 2022'!$1:$1048576,4,0),IFERROR(VLOOKUP($C114,'5-COMP. PROPRIA'!$B$1:$I$647,8,0),""))</f>
        <v>49.18</v>
      </c>
      <c r="I114" s="256">
        <f>TRUNC(($H114*'4-BDI'!$E$29),2)</f>
        <v>63.06</v>
      </c>
      <c r="J114" s="266">
        <f t="shared" si="48"/>
        <v>6934.38</v>
      </c>
      <c r="K114" s="205">
        <f t="shared" si="49"/>
        <v>8891.4599999999991</v>
      </c>
    </row>
    <row r="115" spans="2:11" s="107" customFormat="1" ht="30">
      <c r="B115" s="210" t="s">
        <v>7311</v>
      </c>
      <c r="C115" s="201">
        <f>QUANT!C383</f>
        <v>93184</v>
      </c>
      <c r="D115" s="201" t="str">
        <f>QUANT!D383</f>
        <v>SINAPI</v>
      </c>
      <c r="E115" s="203" t="str">
        <f>IFERROR(VLOOKUP($C115,'SINAPI FEVEREIRO 2022'!$1:$1048576,2,0),IFERROR(VLOOKUP($C115,'5-COMP. PROPRIA'!$B$1:$I$647,4,0),""))</f>
        <v>VERGA PRÉ-MOLDADA PARA PORTAS COM ATÉ 1,5 M DE VÃO. AF_03/2016</v>
      </c>
      <c r="F115" s="255" t="str">
        <f>IFERROR(VLOOKUP($C115,'SINAPI FEVEREIRO 2022'!$1:$1048576,3,0),IFERROR(VLOOKUP($C115,'5-COMP. PROPRIA'!$B$1:$I$647,5,0),""))</f>
        <v>M</v>
      </c>
      <c r="G115" s="204">
        <f>QUANT!K383</f>
        <v>26</v>
      </c>
      <c r="H115" s="256">
        <f>IFERROR(VLOOKUP($C115,'SINAPI FEVEREIRO 2022'!$1:$1048576,4,0),IFERROR(VLOOKUP($C115,'5-COMP. PROPRIA'!$B$1:$I$647,8,0),""))</f>
        <v>30.41</v>
      </c>
      <c r="I115" s="256">
        <f>TRUNC(($H115*'4-BDI'!$E$29),2)</f>
        <v>38.99</v>
      </c>
      <c r="J115" s="266">
        <f t="shared" si="48"/>
        <v>790.66</v>
      </c>
      <c r="K115" s="205">
        <f t="shared" si="49"/>
        <v>1013.74</v>
      </c>
    </row>
    <row r="116" spans="2:11" s="107" customFormat="1" ht="15.75" customHeight="1">
      <c r="B116" s="915" t="s">
        <v>8287</v>
      </c>
      <c r="C116" s="916"/>
      <c r="D116" s="916"/>
      <c r="E116" s="916"/>
      <c r="F116" s="916"/>
      <c r="G116" s="916"/>
      <c r="H116" s="916"/>
      <c r="I116" s="917"/>
      <c r="J116" s="207">
        <f>TRUNC(SUM(J112:J115),2)</f>
        <v>30695.02</v>
      </c>
      <c r="K116" s="207">
        <f>TRUNC(SUM(K112:K115),2)</f>
        <v>39358.959999999999</v>
      </c>
    </row>
    <row r="117" spans="2:11" s="107" customFormat="1" ht="15.75" customHeight="1">
      <c r="B117" s="915" t="s">
        <v>8286</v>
      </c>
      <c r="C117" s="916"/>
      <c r="D117" s="916"/>
      <c r="E117" s="916"/>
      <c r="F117" s="916"/>
      <c r="G117" s="916"/>
      <c r="H117" s="916"/>
      <c r="I117" s="917"/>
      <c r="J117" s="207">
        <f>TRUNC(SUM(J110,J116),2)</f>
        <v>66972.44</v>
      </c>
      <c r="K117" s="207">
        <f>TRUNC(SUM(K110,K116),2)</f>
        <v>85878.86</v>
      </c>
    </row>
    <row r="118" spans="2:11" s="107" customFormat="1" ht="15.75">
      <c r="B118" s="285" t="s">
        <v>562</v>
      </c>
      <c r="C118" s="286"/>
      <c r="D118" s="287"/>
      <c r="E118" s="288" t="str">
        <f>QUANT!E385</f>
        <v xml:space="preserve">REVESTIMENTOS INTERNOS E EXTERNOS </v>
      </c>
      <c r="F118" s="289"/>
      <c r="G118" s="290"/>
      <c r="H118" s="291"/>
      <c r="I118" s="291"/>
      <c r="J118" s="291"/>
      <c r="K118" s="292"/>
    </row>
    <row r="119" spans="2:11" s="107" customFormat="1" ht="15.75">
      <c r="B119" s="547" t="s">
        <v>7312</v>
      </c>
      <c r="C119" s="548"/>
      <c r="D119" s="549"/>
      <c r="E119" s="550" t="str">
        <f>QUANT!E386</f>
        <v>MURO</v>
      </c>
      <c r="F119" s="551"/>
      <c r="G119" s="552"/>
      <c r="H119" s="553"/>
      <c r="I119" s="553"/>
      <c r="J119" s="553"/>
      <c r="K119" s="554"/>
    </row>
    <row r="120" spans="2:11" s="107" customFormat="1" ht="57" customHeight="1">
      <c r="B120" s="210" t="s">
        <v>7980</v>
      </c>
      <c r="C120" s="201">
        <f>QUANT!C388</f>
        <v>87879</v>
      </c>
      <c r="D120" s="201" t="str">
        <f>QUANT!D388</f>
        <v>SINAPI</v>
      </c>
      <c r="E120" s="203" t="str">
        <f>IFERROR(VLOOKUP($C120,'SINAPI FEVEREIRO 2022'!$1:$1048576,2,0),IFERROR(VLOOKUP($C120,'5-COMP. PROPRIA'!$B$1:$I$647,4,0),""))</f>
        <v>CHAPISCO APLICADO EM ALVENARIAS E ESTRUTURAS DE CONCRETO INTERNAS, COM COLHER DE PEDREIRO.  ARGAMASSA TRAÇO 1:3 COM PREPARO EM BETONEIRA 400L. AF_06/2014</v>
      </c>
      <c r="F120" s="255" t="str">
        <f>IFERROR(VLOOKUP($C120,'SINAPI FEVEREIRO 2022'!$1:$1048576,3,0),IFERROR(VLOOKUP($C120,'5-COMP. PROPRIA'!$B$1:$I$647,5,0),""))</f>
        <v>M2</v>
      </c>
      <c r="G120" s="204">
        <f>QUANT!K388</f>
        <v>1350.36</v>
      </c>
      <c r="H120" s="256">
        <f>IFERROR(VLOOKUP($C120,'SINAPI FEVEREIRO 2022'!$1:$1048576,4,0),IFERROR(VLOOKUP($C120,'5-COMP. PROPRIA'!$B$1:$I$647,8,0),""))</f>
        <v>3.3</v>
      </c>
      <c r="I120" s="256">
        <f>TRUNC(($H120*'4-BDI'!$E$29),2)</f>
        <v>4.2300000000000004</v>
      </c>
      <c r="J120" s="266">
        <f>TRUNC((G120*H120),2)</f>
        <v>4456.18</v>
      </c>
      <c r="K120" s="205">
        <f>TRUNC((I120*G120),2)</f>
        <v>5712.02</v>
      </c>
    </row>
    <row r="121" spans="2:11" s="107" customFormat="1" ht="66" customHeight="1">
      <c r="B121" s="210" t="s">
        <v>7982</v>
      </c>
      <c r="C121" s="201">
        <f>QUANT!C390</f>
        <v>87805</v>
      </c>
      <c r="D121" s="201" t="str">
        <f>QUANT!D390</f>
        <v>SINAPI</v>
      </c>
      <c r="E121" s="203" t="str">
        <f>IFERROR(VLOOKUP($C121,'SINAPI FEVEREIRO 2022'!$1:$1048576,2,0),IFERROR(VLOOKUP($C121,'5-COMP. PROPRIA'!$B$1:$I$647,4,0),""))</f>
        <v>EMBOÇO OU MASSA ÚNICA EM ARGAMASSA TRAÇO 1:2:8, PREPARO MECÂNICO COM BETONEIRA 400 L, APLICADA MANUALMENTE EM PANOS CEGOS DE FACHADA (SEM PRESENÇA DE VÃOS), ESPESSURA MAIOR OU IGUAL A 50 MM. AF_06/2014</v>
      </c>
      <c r="F121" s="255" t="str">
        <f>IFERROR(VLOOKUP($C121,'SINAPI FEVEREIRO 2022'!$1:$1048576,3,0),IFERROR(VLOOKUP($C121,'5-COMP. PROPRIA'!$B$1:$I$647,5,0),""))</f>
        <v>M2</v>
      </c>
      <c r="G121" s="204">
        <f>QUANT!K390</f>
        <v>1350.36</v>
      </c>
      <c r="H121" s="256">
        <f>IFERROR(VLOOKUP($C121,'SINAPI FEVEREIRO 2022'!$1:$1048576,4,0),IFERROR(VLOOKUP($C121,'5-COMP. PROPRIA'!$B$1:$I$647,8,0),""))</f>
        <v>52.69</v>
      </c>
      <c r="I121" s="256">
        <f>TRUNC(($H121*'4-BDI'!$E$29),2)</f>
        <v>67.56</v>
      </c>
      <c r="J121" s="266">
        <f>TRUNC((G121*H121),2)</f>
        <v>71150.460000000006</v>
      </c>
      <c r="K121" s="205">
        <f>TRUNC((I121*G121),2)</f>
        <v>91230.32</v>
      </c>
    </row>
    <row r="122" spans="2:11" s="107" customFormat="1" ht="15.75">
      <c r="B122" s="915" t="s">
        <v>8287</v>
      </c>
      <c r="C122" s="916"/>
      <c r="D122" s="916"/>
      <c r="E122" s="916"/>
      <c r="F122" s="916"/>
      <c r="G122" s="916"/>
      <c r="H122" s="916"/>
      <c r="I122" s="917"/>
      <c r="J122" s="207">
        <f>TRUNC(SUM(J120:J121),2)</f>
        <v>75606.64</v>
      </c>
      <c r="K122" s="207">
        <f>TRUNC(SUM(K120:K121),2)</f>
        <v>96942.34</v>
      </c>
    </row>
    <row r="123" spans="2:11" s="107" customFormat="1" ht="15.75">
      <c r="B123" s="547" t="s">
        <v>7313</v>
      </c>
      <c r="C123" s="548"/>
      <c r="D123" s="549"/>
      <c r="E123" s="550" t="str">
        <f>QUANT!E392</f>
        <v>ESCOLA</v>
      </c>
      <c r="F123" s="551"/>
      <c r="G123" s="552"/>
      <c r="H123" s="553"/>
      <c r="I123" s="553"/>
      <c r="J123" s="553"/>
      <c r="K123" s="554"/>
    </row>
    <row r="124" spans="2:11" s="107" customFormat="1" ht="15">
      <c r="B124" s="210" t="s">
        <v>7981</v>
      </c>
      <c r="C124" s="201" t="str">
        <f>QUANT!C394</f>
        <v>CP-REV-01</v>
      </c>
      <c r="D124" s="201" t="str">
        <f>QUANT!D394</f>
        <v>PROPRIA</v>
      </c>
      <c r="E124" s="203" t="str">
        <f>IFERROR(VLOOKUP($C124,'SINAPI FEVEREIRO 2022'!$1:$1048576,2,0),IFERROR(VLOOKUP($C124,'5-COMP. PROPRIA'!$B$1:$I$647,4,0),""))</f>
        <v>APICOAMENTO MANUAL DE SUPERFICIE DE CONCRETO EXISTENTE</v>
      </c>
      <c r="F124" s="255" t="str">
        <f>IFERROR(VLOOKUP($C124,'SINAPI FEVEREIRO 2022'!$1:$1048576,3,0),IFERROR(VLOOKUP($C124,'5-COMP. PROPRIA'!$B$1:$I$647,5,0),""))</f>
        <v>M2</v>
      </c>
      <c r="G124" s="204">
        <f>QUANT!K394</f>
        <v>519.16</v>
      </c>
      <c r="H124" s="256">
        <f>IFERROR(VLOOKUP($C124,'SINAPI FEVEREIRO 2022'!$1:$1048576,4,0),IFERROR(VLOOKUP($C124,'5-COMP. PROPRIA'!$B$1:$I$647,8,0),""))</f>
        <v>1.51</v>
      </c>
      <c r="I124" s="256">
        <f>TRUNC(($H124*'4-BDI'!$E$29),2)</f>
        <v>1.93</v>
      </c>
      <c r="J124" s="266">
        <f>TRUNC((G124*H124),2)</f>
        <v>783.93</v>
      </c>
      <c r="K124" s="205">
        <f>TRUNC((I124*G124),2)</f>
        <v>1001.97</v>
      </c>
    </row>
    <row r="125" spans="2:11" s="107" customFormat="1" ht="45.75" customHeight="1">
      <c r="B125" s="210" t="s">
        <v>7983</v>
      </c>
      <c r="C125" s="201" t="str">
        <f>QUANT!C396</f>
        <v>CP-REV-02</v>
      </c>
      <c r="D125" s="201" t="str">
        <f>QUANT!D396</f>
        <v>PROPRIA</v>
      </c>
      <c r="E125" s="203" t="str">
        <f>IFERROR(VLOOKUP($C125,'SINAPI FEVEREIRO 2022'!$1:$1048576,2,0),IFERROR(VLOOKUP($C125,'5-COMP. PROPRIA'!$B$1:$I$647,4,0),""))</f>
        <v>LIXAMENTO DE ALVENARIA PARA REMOÇÃO DE TINTAS E OUTRAS IMPUREZAS (2 DEMÃO)</v>
      </c>
      <c r="F125" s="255" t="str">
        <f>IFERROR(VLOOKUP($C125,'SINAPI FEVEREIRO 2022'!$1:$1048576,3,0),IFERROR(VLOOKUP($C125,'5-COMP. PROPRIA'!$B$1:$I$647,5,0),""))</f>
        <v>M2</v>
      </c>
      <c r="G125" s="204">
        <f>QUANT!K396</f>
        <v>1663.74</v>
      </c>
      <c r="H125" s="256">
        <f>IFERROR(VLOOKUP($C125,'SINAPI FEVEREIRO 2022'!$1:$1048576,4,0),IFERROR(VLOOKUP($C125,'5-COMP. PROPRIA'!$B$1:$I$647,8,0),""))</f>
        <v>3.72</v>
      </c>
      <c r="I125" s="256">
        <f>TRUNC(($H125*'4-BDI'!$E$29),2)</f>
        <v>4.7699999999999996</v>
      </c>
      <c r="J125" s="266">
        <f>TRUNC((G125*H125),2)</f>
        <v>6189.11</v>
      </c>
      <c r="K125" s="205">
        <f>TRUNC((I125*G125),2)</f>
        <v>7936.03</v>
      </c>
    </row>
    <row r="126" spans="2:11" s="107" customFormat="1" ht="67.5" customHeight="1">
      <c r="B126" s="210" t="s">
        <v>7984</v>
      </c>
      <c r="C126" s="201">
        <f>QUANT!C398</f>
        <v>87530</v>
      </c>
      <c r="D126" s="201" t="str">
        <f>QUANT!D398</f>
        <v>SINAPI</v>
      </c>
      <c r="E126" s="203" t="str">
        <f>IFERROR(VLOOKUP($C126,'SINAPI FEVEREIRO 2022'!$1:$1048576,2,0),IFERROR(VLOOKUP($C126,'5-COMP. PROPRIA'!$B$1:$I$647,4,0),""))</f>
        <v>MASSA ÚNICA, PARA RECEBIMENTO DE PINTURA, EM ARGAMASSA TRAÇO 1:2:8, PREPARO MANUAL, APLICADA MANUALMENTE EM FACES INTERNAS DE PAREDES, ESPESSURA DE 20MM, COM EXECUÇÃO DE TALISCAS. AF_06/2014</v>
      </c>
      <c r="F126" s="255" t="str">
        <f>IFERROR(VLOOKUP($C126,'SINAPI FEVEREIRO 2022'!$1:$1048576,3,0),IFERROR(VLOOKUP($C126,'5-COMP. PROPRIA'!$B$1:$I$647,5,0),""))</f>
        <v>M2</v>
      </c>
      <c r="G126" s="204">
        <f>QUANT!K398</f>
        <v>813.10199999999998</v>
      </c>
      <c r="H126" s="256">
        <f>IFERROR(VLOOKUP($C126,'SINAPI FEVEREIRO 2022'!$1:$1048576,4,0),IFERROR(VLOOKUP($C126,'5-COMP. PROPRIA'!$B$1:$I$647,8,0),""))</f>
        <v>32.03</v>
      </c>
      <c r="I126" s="256">
        <f>TRUNC(($H126*'4-BDI'!$E$29),2)</f>
        <v>41.07</v>
      </c>
      <c r="J126" s="266">
        <f t="shared" ref="J126:J127" si="50">TRUNC((G126*H126),2)</f>
        <v>26043.65</v>
      </c>
      <c r="K126" s="205">
        <f t="shared" ref="K126:K127" si="51">TRUNC((I126*G126),2)</f>
        <v>33394.089999999997</v>
      </c>
    </row>
    <row r="127" spans="2:11" s="107" customFormat="1" ht="67.5" customHeight="1">
      <c r="B127" s="210" t="s">
        <v>7985</v>
      </c>
      <c r="C127" s="201">
        <f>QUANT!C400</f>
        <v>87273</v>
      </c>
      <c r="D127" s="201" t="str">
        <f>QUANT!D400</f>
        <v>SINAPI</v>
      </c>
      <c r="E127" s="203" t="str">
        <f>IFERROR(VLOOKUP($C127,'SINAPI FEVEREIRO 2022'!$1:$1048576,2,0),IFERROR(VLOOKUP($C127,'5-COMP. PROPRIA'!$B$1:$I$647,4,0),""))</f>
        <v>REVESTIMENTO CERÂMICO PARA PAREDES INTERNAS COM PLACAS TIPO ESMALTADA EXTRA DE DIMENSÕES 33X45 CM APLICADAS EM AMBIENTES DE ÁREA MAIOR QUE 5 M² NA ALTURA INTEIRA DAS PAREDES. AF_06/2014</v>
      </c>
      <c r="F127" s="255" t="str">
        <f>IFERROR(VLOOKUP($C127,'SINAPI FEVEREIRO 2022'!$1:$1048576,3,0),IFERROR(VLOOKUP($C127,'5-COMP. PROPRIA'!$B$1:$I$647,5,0),""))</f>
        <v>M2</v>
      </c>
      <c r="G127" s="204">
        <f>QUANT!K400</f>
        <v>310.89999999999998</v>
      </c>
      <c r="H127" s="256">
        <f>IFERROR(VLOOKUP($C127,'SINAPI FEVEREIRO 2022'!$1:$1048576,4,0),IFERROR(VLOOKUP($C127,'5-COMP. PROPRIA'!$B$1:$I$647,8,0),""))</f>
        <v>57.89</v>
      </c>
      <c r="I127" s="256">
        <f>TRUNC(($H127*'4-BDI'!$E$29),2)</f>
        <v>74.23</v>
      </c>
      <c r="J127" s="266">
        <f t="shared" si="50"/>
        <v>17998</v>
      </c>
      <c r="K127" s="205">
        <f t="shared" si="51"/>
        <v>23078.1</v>
      </c>
    </row>
    <row r="128" spans="2:11" s="107" customFormat="1" ht="15.75">
      <c r="B128" s="915" t="s">
        <v>8287</v>
      </c>
      <c r="C128" s="916"/>
      <c r="D128" s="916"/>
      <c r="E128" s="916"/>
      <c r="F128" s="916"/>
      <c r="G128" s="916"/>
      <c r="H128" s="916"/>
      <c r="I128" s="917"/>
      <c r="J128" s="207">
        <f>TRUNC(SUM(J124:J127),2)</f>
        <v>51014.69</v>
      </c>
      <c r="K128" s="207">
        <f>TRUNC(SUM(K124:K127),2)</f>
        <v>65410.19</v>
      </c>
    </row>
    <row r="129" spans="2:11" s="107" customFormat="1" ht="15.75">
      <c r="B129" s="915" t="s">
        <v>8286</v>
      </c>
      <c r="C129" s="916"/>
      <c r="D129" s="916"/>
      <c r="E129" s="916"/>
      <c r="F129" s="916"/>
      <c r="G129" s="916"/>
      <c r="H129" s="916"/>
      <c r="I129" s="917"/>
      <c r="J129" s="207">
        <f>TRUNC(SUM(J122,J128),2)</f>
        <v>126621.33</v>
      </c>
      <c r="K129" s="207">
        <f>TRUNC(SUM(K122,K128),2)</f>
        <v>162352.53</v>
      </c>
    </row>
    <row r="130" spans="2:11" s="107" customFormat="1" ht="15.75">
      <c r="B130" s="285" t="s">
        <v>3579</v>
      </c>
      <c r="C130" s="286"/>
      <c r="D130" s="287"/>
      <c r="E130" s="288" t="str">
        <f>QUANT!E402</f>
        <v>PISOS INTERNOS E EXTERNOS</v>
      </c>
      <c r="F130" s="289"/>
      <c r="G130" s="290"/>
      <c r="H130" s="291"/>
      <c r="I130" s="291"/>
      <c r="J130" s="291"/>
      <c r="K130" s="292"/>
    </row>
    <row r="131" spans="2:11" s="107" customFormat="1" ht="15.75">
      <c r="B131" s="547" t="s">
        <v>7314</v>
      </c>
      <c r="C131" s="548"/>
      <c r="D131" s="549"/>
      <c r="E131" s="550" t="str">
        <f>QUANT!E403</f>
        <v>ESCOLA</v>
      </c>
      <c r="F131" s="551"/>
      <c r="G131" s="552"/>
      <c r="H131" s="553"/>
      <c r="I131" s="553"/>
      <c r="J131" s="553"/>
      <c r="K131" s="554"/>
    </row>
    <row r="132" spans="2:11" s="107" customFormat="1" ht="30">
      <c r="B132" s="210" t="s">
        <v>7986</v>
      </c>
      <c r="C132" s="201">
        <f>QUANT!C405</f>
        <v>102488</v>
      </c>
      <c r="D132" s="201" t="str">
        <f>QUANT!D405</f>
        <v>SINAPI</v>
      </c>
      <c r="E132" s="203" t="str">
        <f>IFERROR(VLOOKUP($C132,'SINAPI FEVEREIRO 2022'!$1:$1048576,2,0),IFERROR(VLOOKUP($C132,'5-COMP. PROPRIA'!$B$1:$I$647,4,0),""))</f>
        <v>PREPARO DO PISO CIMENTADO PARA PINTURA - LIXAMENTO E LIMPEZA. AF_05/2021</v>
      </c>
      <c r="F132" s="255" t="str">
        <f>IFERROR(VLOOKUP($C132,'SINAPI FEVEREIRO 2022'!$1:$1048576,3,0),IFERROR(VLOOKUP($C132,'5-COMP. PROPRIA'!$B$1:$I$647,5,0),""))</f>
        <v>M2</v>
      </c>
      <c r="G132" s="204">
        <f>QUANT!K405</f>
        <v>861.1</v>
      </c>
      <c r="H132" s="256">
        <f>IFERROR(VLOOKUP($C132,'SINAPI FEVEREIRO 2022'!$1:$1048576,4,0),IFERROR(VLOOKUP($C132,'5-COMP. PROPRIA'!$B$1:$I$647,8,0),""))</f>
        <v>2.48</v>
      </c>
      <c r="I132" s="256">
        <f>TRUNC(($H132*'4-BDI'!$E$29),2)</f>
        <v>3.18</v>
      </c>
      <c r="J132" s="266">
        <f t="shared" ref="J132" si="52">TRUNC((G132*H132),2)</f>
        <v>2135.52</v>
      </c>
      <c r="K132" s="205">
        <f t="shared" ref="K132" si="53">TRUNC((I132*G132),2)</f>
        <v>2738.29</v>
      </c>
    </row>
    <row r="133" spans="2:11" s="107" customFormat="1" ht="67.5" customHeight="1">
      <c r="B133" s="210" t="s">
        <v>7987</v>
      </c>
      <c r="C133" s="201">
        <f>QUANT!C407</f>
        <v>87700</v>
      </c>
      <c r="D133" s="201" t="str">
        <f>QUANT!D407</f>
        <v>SINAPI</v>
      </c>
      <c r="E133" s="203" t="str">
        <f>IFERROR(VLOOKUP($C133,'SINAPI FEVEREIRO 2022'!$1:$1048576,2,0),IFERROR(VLOOKUP($C133,'5-COMP. PROPRIA'!$B$1:$I$647,4,0),""))</f>
        <v>CONTRAPISO EM ARGAMASSA TRAÇO 1:4 (CIMENTO E AREIA), PREPARO MECÂNICO COM BETONEIRA 400 L, APLICADO EM ÁREAS SECAS SOBRE LAJE, NÃO ADERIDO, ACABAMENTO NÃO REFORÇADO, ESPESSURA 6CM. AF_07/2021</v>
      </c>
      <c r="F133" s="255" t="str">
        <f>IFERROR(VLOOKUP($C133,'SINAPI FEVEREIRO 2022'!$1:$1048576,3,0),IFERROR(VLOOKUP($C133,'5-COMP. PROPRIA'!$B$1:$I$647,5,0),""))</f>
        <v>M2</v>
      </c>
      <c r="G133" s="204">
        <f>QUANT!K407</f>
        <v>265.51000000000005</v>
      </c>
      <c r="H133" s="256">
        <f>IFERROR(VLOOKUP($C133,'SINAPI FEVEREIRO 2022'!$1:$1048576,4,0),IFERROR(VLOOKUP($C133,'5-COMP. PROPRIA'!$B$1:$I$647,8,0),""))</f>
        <v>41.89</v>
      </c>
      <c r="I133" s="256">
        <f>TRUNC(($H133*'4-BDI'!$E$29),2)</f>
        <v>53.71</v>
      </c>
      <c r="J133" s="266">
        <f t="shared" ref="J133:J137" si="54">TRUNC((G133*H133),2)</f>
        <v>11122.21</v>
      </c>
      <c r="K133" s="205">
        <f t="shared" ref="K133:K137" si="55">TRUNC((I133*G133),2)</f>
        <v>14260.54</v>
      </c>
    </row>
    <row r="134" spans="2:11" s="107" customFormat="1" ht="30">
      <c r="B134" s="210" t="s">
        <v>7988</v>
      </c>
      <c r="C134" s="201" t="str">
        <f>QUANT!C418</f>
        <v>CP-PIS-02</v>
      </c>
      <c r="D134" s="201" t="str">
        <f>QUANT!D418</f>
        <v>SINAPI</v>
      </c>
      <c r="E134" s="203" t="str">
        <f>IFERROR(VLOOKUP($C134,'SINAPI FEVEREIRO 2022'!$1:$1048576,2,0),IFERROR(VLOOKUP($C134,'5-COMP. PROPRIA'!$B$1:$I$647,4,0),""))</f>
        <v>PISO EM GRANILITE, MARMORITE OU GRANITINA EM AMBIENTES INTERNOS</v>
      </c>
      <c r="F134" s="255" t="str">
        <f>IFERROR(VLOOKUP($C134,'SINAPI FEVEREIRO 2022'!$1:$1048576,3,0),IFERROR(VLOOKUP($C134,'5-COMP. PROPRIA'!$B$1:$I$647,5,0),""))</f>
        <v>M2</v>
      </c>
      <c r="G134" s="204">
        <f>QUANT!K418</f>
        <v>265.51000000000005</v>
      </c>
      <c r="H134" s="256">
        <f>IFERROR(VLOOKUP($C134,'SINAPI FEVEREIRO 2022'!$1:$1048576,4,0),IFERROR(VLOOKUP($C134,'5-COMP. PROPRIA'!$B$1:$I$647,8,0),""))</f>
        <v>91.39</v>
      </c>
      <c r="I134" s="256">
        <f>TRUNC(($H134*'4-BDI'!$E$29),2)</f>
        <v>117.19</v>
      </c>
      <c r="J134" s="266">
        <f t="shared" si="54"/>
        <v>24264.95</v>
      </c>
      <c r="K134" s="205">
        <f t="shared" si="55"/>
        <v>31115.11</v>
      </c>
    </row>
    <row r="135" spans="2:11" s="107" customFormat="1" ht="15">
      <c r="B135" s="210" t="s">
        <v>7989</v>
      </c>
      <c r="C135" s="201">
        <f>QUANT!C420</f>
        <v>101741</v>
      </c>
      <c r="D135" s="201" t="str">
        <f>QUANT!D420</f>
        <v>SINAPI</v>
      </c>
      <c r="E135" s="203" t="str">
        <f>IFERROR(VLOOKUP($C135,'SINAPI FEVEREIRO 2022'!$1:$1048576,2,0),IFERROR(VLOOKUP($C135,'5-COMP. PROPRIA'!$B$1:$I$647,4,0),""))</f>
        <v>RODAPÉ EM MARMORITE, ALTURA 10CM. AF_09/2020</v>
      </c>
      <c r="F135" s="255" t="str">
        <f>IFERROR(VLOOKUP($C135,'SINAPI FEVEREIRO 2022'!$1:$1048576,3,0),IFERROR(VLOOKUP($C135,'5-COMP. PROPRIA'!$B$1:$I$647,5,0),""))</f>
        <v>M</v>
      </c>
      <c r="G135" s="204">
        <f>QUANT!K420</f>
        <v>454.7299999999999</v>
      </c>
      <c r="H135" s="256">
        <f>IFERROR(VLOOKUP($C135,'SINAPI FEVEREIRO 2022'!$1:$1048576,4,0),IFERROR(VLOOKUP($C135,'5-COMP. PROPRIA'!$B$1:$I$647,8,0),""))</f>
        <v>16.920000000000002</v>
      </c>
      <c r="I135" s="256">
        <f>TRUNC(($H135*'4-BDI'!$E$29),2)</f>
        <v>21.69</v>
      </c>
      <c r="J135" s="266">
        <f t="shared" si="54"/>
        <v>7694.03</v>
      </c>
      <c r="K135" s="205">
        <f t="shared" si="55"/>
        <v>9863.09</v>
      </c>
    </row>
    <row r="136" spans="2:11" s="107" customFormat="1" ht="30">
      <c r="B136" s="210" t="s">
        <v>7990</v>
      </c>
      <c r="C136" s="201" t="str">
        <f>QUANT!C430</f>
        <v>CP-PIS-01</v>
      </c>
      <c r="D136" s="201" t="str">
        <f>QUANT!D430</f>
        <v>PRÓPRIA</v>
      </c>
      <c r="E136" s="203" t="str">
        <f>IFERROR(VLOOKUP($C136,'SINAPI FEVEREIRO 2022'!$1:$1048576,2,0),IFERROR(VLOOKUP($C136,'5-COMP. PROPRIA'!$B$1:$I$647,4,0),""))</f>
        <v>PISO FULGET (GRANITO LAVADO) MOLDADO IN LOCO FORNECIMENTO E INSTALAÇÃO.</v>
      </c>
      <c r="F136" s="255" t="str">
        <f>IFERROR(VLOOKUP($C136,'SINAPI FEVEREIRO 2022'!$1:$1048576,3,0),IFERROR(VLOOKUP($C136,'5-COMP. PROPRIA'!$B$1:$I$647,5,0),""))</f>
        <v>M2</v>
      </c>
      <c r="G136" s="204">
        <f>QUANT!K430</f>
        <v>45.230000000000004</v>
      </c>
      <c r="H136" s="256">
        <f>IFERROR(VLOOKUP($C136,'SINAPI FEVEREIRO 2022'!$1:$1048576,4,0),IFERROR(VLOOKUP($C136,'5-COMP. PROPRIA'!$B$1:$I$647,8,0),""))</f>
        <v>128.69999999999999</v>
      </c>
      <c r="I136" s="256">
        <f>TRUNC(($H136*'4-BDI'!$E$29),2)</f>
        <v>165.04</v>
      </c>
      <c r="J136" s="266">
        <f t="shared" si="54"/>
        <v>5821.1</v>
      </c>
      <c r="K136" s="205">
        <f t="shared" si="55"/>
        <v>7464.75</v>
      </c>
    </row>
    <row r="137" spans="2:11" s="107" customFormat="1" ht="30">
      <c r="B137" s="210" t="s">
        <v>7991</v>
      </c>
      <c r="C137" s="201">
        <f>QUANT!C432</f>
        <v>98554</v>
      </c>
      <c r="D137" s="201" t="str">
        <f>QUANT!D432</f>
        <v>SINAPI</v>
      </c>
      <c r="E137" s="203" t="str">
        <f>IFERROR(VLOOKUP($C137,'SINAPI FEVEREIRO 2022'!$1:$1048576,2,0),IFERROR(VLOOKUP($C137,'5-COMP. PROPRIA'!$B$1:$I$647,4,0),""))</f>
        <v>IMPERMEABILIZAÇÃO DE SUPERFÍCIE COM MEMBRANA À BASE DE RESINA ACRÍLICA, 3 DEMÃOS. AF_06/2018</v>
      </c>
      <c r="F137" s="255" t="str">
        <f>IFERROR(VLOOKUP($C137,'SINAPI FEVEREIRO 2022'!$1:$1048576,3,0),IFERROR(VLOOKUP($C137,'5-COMP. PROPRIA'!$B$1:$I$647,5,0),""))</f>
        <v>M2</v>
      </c>
      <c r="G137" s="204">
        <f>QUANT!K432</f>
        <v>1172.0830000000001</v>
      </c>
      <c r="H137" s="256">
        <f>IFERROR(VLOOKUP($C137,'SINAPI FEVEREIRO 2022'!$1:$1048576,4,0),IFERROR(VLOOKUP($C137,'5-COMP. PROPRIA'!$B$1:$I$647,8,0),""))</f>
        <v>32.86</v>
      </c>
      <c r="I137" s="256">
        <f>TRUNC(($H137*'4-BDI'!$E$29),2)</f>
        <v>42.13</v>
      </c>
      <c r="J137" s="266">
        <f t="shared" si="54"/>
        <v>38514.639999999999</v>
      </c>
      <c r="K137" s="205">
        <f t="shared" si="55"/>
        <v>49379.85</v>
      </c>
    </row>
    <row r="138" spans="2:11" s="107" customFormat="1" ht="15.75">
      <c r="B138" s="915" t="s">
        <v>8287</v>
      </c>
      <c r="C138" s="916"/>
      <c r="D138" s="916"/>
      <c r="E138" s="916"/>
      <c r="F138" s="916"/>
      <c r="G138" s="916"/>
      <c r="H138" s="916"/>
      <c r="I138" s="917"/>
      <c r="J138" s="207">
        <f>TRUNC(SUM(J132:J137),2)</f>
        <v>89552.45</v>
      </c>
      <c r="K138" s="207">
        <f>TRUNC(SUM(K132:K137),2)</f>
        <v>114821.63</v>
      </c>
    </row>
    <row r="139" spans="2:11" s="107" customFormat="1" ht="15.75">
      <c r="B139" s="547" t="s">
        <v>7315</v>
      </c>
      <c r="C139" s="548"/>
      <c r="D139" s="549"/>
      <c r="E139" s="550" t="str">
        <f>QUANT!E434</f>
        <v>QUADRA</v>
      </c>
      <c r="F139" s="551"/>
      <c r="G139" s="552"/>
      <c r="H139" s="553"/>
      <c r="I139" s="553"/>
      <c r="J139" s="553"/>
      <c r="K139" s="554"/>
    </row>
    <row r="140" spans="2:11" s="107" customFormat="1" ht="30">
      <c r="B140" s="210" t="s">
        <v>7992</v>
      </c>
      <c r="C140" s="201">
        <f>QUANT!C436</f>
        <v>97087</v>
      </c>
      <c r="D140" s="201" t="str">
        <f>QUANT!D436</f>
        <v>SINAPI</v>
      </c>
      <c r="E140" s="203" t="str">
        <f>IFERROR(VLOOKUP($C140,'SINAPI FEVEREIRO 2022'!$1:$1048576,2,0),IFERROR(VLOOKUP($C140,'5-COMP. PROPRIA'!$B$1:$I$647,4,0),""))</f>
        <v>CAMADA SEPARADORA PARA EXECUÇÃO DE RADIER, PISO DE CONCRETO OU LAJE SOBRE SOLO, EM LONA PLÁSTICA. AF_09/2021</v>
      </c>
      <c r="F140" s="255" t="str">
        <f>IFERROR(VLOOKUP($C140,'SINAPI FEVEREIRO 2022'!$1:$1048576,3,0),IFERROR(VLOOKUP($C140,'5-COMP. PROPRIA'!$B$1:$I$647,5,0),""))</f>
        <v>M2</v>
      </c>
      <c r="G140" s="204">
        <f>QUANT!K436</f>
        <v>252.25</v>
      </c>
      <c r="H140" s="256">
        <f>IFERROR(VLOOKUP($C140,'SINAPI FEVEREIRO 2022'!$1:$1048576,4,0),IFERROR(VLOOKUP($C140,'5-COMP. PROPRIA'!$B$1:$I$647,8,0),""))</f>
        <v>1.82</v>
      </c>
      <c r="I140" s="256">
        <f>TRUNC(($H140*'4-BDI'!$E$29),2)</f>
        <v>2.33</v>
      </c>
      <c r="J140" s="266">
        <f t="shared" ref="J140" si="56">TRUNC((G140*H140),2)</f>
        <v>459.09</v>
      </c>
      <c r="K140" s="205">
        <f t="shared" ref="K140" si="57">TRUNC((I140*G140),2)</f>
        <v>587.74</v>
      </c>
    </row>
    <row r="141" spans="2:11" s="107" customFormat="1" ht="30">
      <c r="B141" s="210" t="s">
        <v>7993</v>
      </c>
      <c r="C141" s="201">
        <f>QUANT!C438</f>
        <v>95241</v>
      </c>
      <c r="D141" s="201" t="str">
        <f>QUANT!D438</f>
        <v>SINAPI</v>
      </c>
      <c r="E141" s="203" t="str">
        <f>IFERROR(VLOOKUP($C141,'SINAPI FEVEREIRO 2022'!$1:$1048576,2,0),IFERROR(VLOOKUP($C141,'5-COMP. PROPRIA'!$B$1:$I$647,4,0),""))</f>
        <v>LASTRO DE CONCRETO MAGRO, APLICADO EM PISOS, LAJES SOBRE SOLO OU RADIERS, ESPESSURA DE 5 CM. AF_07/2016</v>
      </c>
      <c r="F141" s="255" t="str">
        <f>IFERROR(VLOOKUP($C141,'SINAPI FEVEREIRO 2022'!$1:$1048576,3,0),IFERROR(VLOOKUP($C141,'5-COMP. PROPRIA'!$B$1:$I$647,5,0),""))</f>
        <v>M2</v>
      </c>
      <c r="G141" s="204">
        <f>QUANT!K438</f>
        <v>252.25</v>
      </c>
      <c r="H141" s="256">
        <f>IFERROR(VLOOKUP($C141,'SINAPI FEVEREIRO 2022'!$1:$1048576,4,0),IFERROR(VLOOKUP($C141,'5-COMP. PROPRIA'!$B$1:$I$647,8,0),""))</f>
        <v>24.72</v>
      </c>
      <c r="I141" s="256">
        <f>TRUNC(($H141*'4-BDI'!$E$29),2)</f>
        <v>31.7</v>
      </c>
      <c r="J141" s="266">
        <f t="shared" ref="J141:J144" si="58">TRUNC((G141*H141),2)</f>
        <v>6235.62</v>
      </c>
      <c r="K141" s="205">
        <f t="shared" ref="K141:K144" si="59">TRUNC((I141*G141),2)</f>
        <v>7996.32</v>
      </c>
    </row>
    <row r="142" spans="2:11" s="107" customFormat="1" ht="30">
      <c r="B142" s="210" t="s">
        <v>7994</v>
      </c>
      <c r="C142" s="201">
        <f>QUANT!C440</f>
        <v>88476</v>
      </c>
      <c r="D142" s="201" t="str">
        <f>QUANT!D440</f>
        <v>SINAPI</v>
      </c>
      <c r="E142" s="203" t="str">
        <f>IFERROR(VLOOKUP($C142,'SINAPI FEVEREIRO 2022'!$1:$1048576,2,0),IFERROR(VLOOKUP($C142,'5-COMP. PROPRIA'!$B$1:$I$647,4,0),""))</f>
        <v>CONTRAPISO COM ARGAMASSA AUTONIVELANTE, APLICADO SOBRE LAJE, ADERIDO, ESPESSURA 2CM. AF_07/2021</v>
      </c>
      <c r="F142" s="255" t="str">
        <f>IFERROR(VLOOKUP($C142,'SINAPI FEVEREIRO 2022'!$1:$1048576,3,0),IFERROR(VLOOKUP($C142,'5-COMP. PROPRIA'!$B$1:$I$647,5,0),""))</f>
        <v>M2</v>
      </c>
      <c r="G142" s="204">
        <f>QUANT!K440</f>
        <v>252.25</v>
      </c>
      <c r="H142" s="256">
        <f>IFERROR(VLOOKUP($C142,'SINAPI FEVEREIRO 2022'!$1:$1048576,4,0),IFERROR(VLOOKUP($C142,'5-COMP. PROPRIA'!$B$1:$I$647,8,0),""))</f>
        <v>24.54</v>
      </c>
      <c r="I142" s="256">
        <f>TRUNC(($H142*'4-BDI'!$E$29),2)</f>
        <v>31.47</v>
      </c>
      <c r="J142" s="266">
        <f t="shared" si="58"/>
        <v>6190.21</v>
      </c>
      <c r="K142" s="205">
        <f t="shared" si="59"/>
        <v>7938.3</v>
      </c>
    </row>
    <row r="143" spans="2:11" s="107" customFormat="1" ht="15">
      <c r="B143" s="210" t="s">
        <v>7995</v>
      </c>
      <c r="C143" s="201">
        <f>QUANT!C442</f>
        <v>101748</v>
      </c>
      <c r="D143" s="201" t="str">
        <f>QUANT!D442</f>
        <v>SINAPI</v>
      </c>
      <c r="E143" s="203" t="str">
        <f>IFERROR(VLOOKUP($C143,'SINAPI FEVEREIRO 2022'!$1:$1048576,2,0),IFERROR(VLOOKUP($C143,'5-COMP. PROPRIA'!$B$1:$I$647,4,0),""))</f>
        <v>PREPARO DE CONTRAPISO COM POLITRIZ. AF_09/2020</v>
      </c>
      <c r="F143" s="255" t="str">
        <f>IFERROR(VLOOKUP($C143,'SINAPI FEVEREIRO 2022'!$1:$1048576,3,0),IFERROR(VLOOKUP($C143,'5-COMP. PROPRIA'!$B$1:$I$647,5,0),""))</f>
        <v>M2</v>
      </c>
      <c r="G143" s="204">
        <f>QUANT!K442</f>
        <v>252.25</v>
      </c>
      <c r="H143" s="256">
        <f>IFERROR(VLOOKUP($C143,'SINAPI FEVEREIRO 2022'!$1:$1048576,4,0),IFERROR(VLOOKUP($C143,'5-COMP. PROPRIA'!$B$1:$I$647,8,0),""))</f>
        <v>2.5099999999999998</v>
      </c>
      <c r="I143" s="256">
        <f>TRUNC(($H143*'4-BDI'!$E$29),2)</f>
        <v>3.21</v>
      </c>
      <c r="J143" s="266">
        <f t="shared" si="58"/>
        <v>633.14</v>
      </c>
      <c r="K143" s="205">
        <f t="shared" si="59"/>
        <v>809.72</v>
      </c>
    </row>
    <row r="144" spans="2:11" s="107" customFormat="1" ht="30">
      <c r="B144" s="210" t="s">
        <v>7996</v>
      </c>
      <c r="C144" s="201">
        <f>QUANT!C444</f>
        <v>102494</v>
      </c>
      <c r="D144" s="201" t="str">
        <f>QUANT!D444</f>
        <v>SINAPI</v>
      </c>
      <c r="E144" s="203" t="str">
        <f>IFERROR(VLOOKUP($C144,'SINAPI FEVEREIRO 2022'!$1:$1048576,2,0),IFERROR(VLOOKUP($C144,'5-COMP. PROPRIA'!$B$1:$I$647,4,0),""))</f>
        <v>PINTURA DE PISO COM TINTA EPÓXI, APLICAÇÃO MANUAL, 2 DEMÃOS, INCLUSO PRIMER EPÓXI. AF_05/2021</v>
      </c>
      <c r="F144" s="255" t="str">
        <f>IFERROR(VLOOKUP($C144,'SINAPI FEVEREIRO 2022'!$1:$1048576,3,0),IFERROR(VLOOKUP($C144,'5-COMP. PROPRIA'!$B$1:$I$647,5,0),""))</f>
        <v>M2</v>
      </c>
      <c r="G144" s="204">
        <f>QUANT!K444</f>
        <v>252.25</v>
      </c>
      <c r="H144" s="256">
        <f>IFERROR(VLOOKUP($C144,'SINAPI FEVEREIRO 2022'!$1:$1048576,4,0),IFERROR(VLOOKUP($C144,'5-COMP. PROPRIA'!$B$1:$I$647,8,0),""))</f>
        <v>46.93</v>
      </c>
      <c r="I144" s="256">
        <f>TRUNC(($H144*'4-BDI'!$E$29),2)</f>
        <v>60.18</v>
      </c>
      <c r="J144" s="266">
        <f t="shared" si="58"/>
        <v>11838.09</v>
      </c>
      <c r="K144" s="205">
        <f t="shared" si="59"/>
        <v>15180.4</v>
      </c>
    </row>
    <row r="145" spans="2:11" s="107" customFormat="1" ht="15.75">
      <c r="B145" s="915" t="s">
        <v>8287</v>
      </c>
      <c r="C145" s="916"/>
      <c r="D145" s="916"/>
      <c r="E145" s="916"/>
      <c r="F145" s="916"/>
      <c r="G145" s="916"/>
      <c r="H145" s="916"/>
      <c r="I145" s="917"/>
      <c r="J145" s="207">
        <f>TRUNC(SUM(J140:J144),2)</f>
        <v>25356.15</v>
      </c>
      <c r="K145" s="207">
        <f>TRUNC(SUM(K140:K144),2)</f>
        <v>32512.48</v>
      </c>
    </row>
    <row r="146" spans="2:11" s="107" customFormat="1" ht="15.75">
      <c r="B146" s="547" t="s">
        <v>7316</v>
      </c>
      <c r="C146" s="548"/>
      <c r="D146" s="549"/>
      <c r="E146" s="550" t="str">
        <f>QUANT!E446</f>
        <v>CALÇADA</v>
      </c>
      <c r="F146" s="551"/>
      <c r="G146" s="552"/>
      <c r="H146" s="553"/>
      <c r="I146" s="553"/>
      <c r="J146" s="553"/>
      <c r="K146" s="554"/>
    </row>
    <row r="147" spans="2:11" s="107" customFormat="1" ht="45">
      <c r="B147" s="208" t="s">
        <v>7997</v>
      </c>
      <c r="C147" s="555">
        <f>QUANT!C447</f>
        <v>94990</v>
      </c>
      <c r="D147" s="600" t="str">
        <f>QUANT!D447</f>
        <v>SINAPI</v>
      </c>
      <c r="E147" s="203" t="str">
        <f>IFERROR(VLOOKUP($C147,'SINAPI FEVEREIRO 2022'!$1:$1048576,2,0),IFERROR(VLOOKUP($C147,'5-COMP. PROPRIA'!$B$1:$I$647,4,0),""))</f>
        <v>EXECUÇÃO DE PASSEIO (CALÇADA) OU PISO DE CONCRETO COM CONCRETO MOLDADO IN LOCO, FEITO EM OBRA, ACABAMENTO CONVENCIONAL, NÃO ARMADO. AF_07/2016</v>
      </c>
      <c r="F147" s="255" t="str">
        <f>IFERROR(VLOOKUP($C147,'SINAPI FEVEREIRO 2022'!$1:$1048576,3,0),IFERROR(VLOOKUP($C147,'5-COMP. PROPRIA'!$B$1:$I$647,5,0),""))</f>
        <v>M3</v>
      </c>
      <c r="G147" s="204">
        <f>QUANT!K447</f>
        <v>61.619399999999999</v>
      </c>
      <c r="H147" s="256">
        <f>IFERROR(VLOOKUP($C147,'SINAPI FEVEREIRO 2022'!$1:$1048576,4,0),IFERROR(VLOOKUP($C147,'5-COMP. PROPRIA'!$B$1:$I$647,8,0),""))</f>
        <v>662.47</v>
      </c>
      <c r="I147" s="256">
        <f>TRUNC(($H147*'4-BDI'!$E$29),2)</f>
        <v>849.55</v>
      </c>
      <c r="J147" s="266">
        <f t="shared" ref="J147:J148" si="60">TRUNC((G147*H147),2)</f>
        <v>40821</v>
      </c>
      <c r="K147" s="205">
        <f t="shared" ref="K147:K148" si="61">TRUNC((I147*G147),2)</f>
        <v>52348.76</v>
      </c>
    </row>
    <row r="148" spans="2:11" s="107" customFormat="1" ht="30">
      <c r="B148" s="208" t="s">
        <v>7998</v>
      </c>
      <c r="C148" s="555">
        <f>QUANT!C452</f>
        <v>92405</v>
      </c>
      <c r="D148" s="600" t="str">
        <f>QUANT!D452</f>
        <v>SINAPI</v>
      </c>
      <c r="E148" s="203" t="str">
        <f>IFERROR(VLOOKUP($C148,'SINAPI FEVEREIRO 2022'!$1:$1048576,2,0),IFERROR(VLOOKUP($C148,'5-COMP. PROPRIA'!$B$1:$I$647,4,0),""))</f>
        <v>EXECUÇÃO DE VIA EM PISO INTERTRAVADO, COM BLOCO 16 FACES DE 22 X 11 CM, ESPESSURA 8 CM. AF_12/2015</v>
      </c>
      <c r="F148" s="255" t="str">
        <f>IFERROR(VLOOKUP($C148,'SINAPI FEVEREIRO 2022'!$1:$1048576,3,0),IFERROR(VLOOKUP($C148,'5-COMP. PROPRIA'!$B$1:$I$647,5,0),""))</f>
        <v>M2</v>
      </c>
      <c r="G148" s="204">
        <f>QUANT!K452</f>
        <v>28.68</v>
      </c>
      <c r="H148" s="256">
        <f>IFERROR(VLOOKUP($C148,'SINAPI FEVEREIRO 2022'!$1:$1048576,4,0),IFERROR(VLOOKUP($C148,'5-COMP. PROPRIA'!$B$1:$I$647,8,0),""))</f>
        <v>88.93</v>
      </c>
      <c r="I148" s="256">
        <f>TRUNC(($H148*'4-BDI'!$E$29),2)</f>
        <v>114.04</v>
      </c>
      <c r="J148" s="266">
        <f t="shared" si="60"/>
        <v>2550.5100000000002</v>
      </c>
      <c r="K148" s="205">
        <f t="shared" si="61"/>
        <v>3270.66</v>
      </c>
    </row>
    <row r="149" spans="2:11" s="107" customFormat="1" ht="15.75">
      <c r="B149" s="915" t="s">
        <v>8287</v>
      </c>
      <c r="C149" s="916"/>
      <c r="D149" s="916"/>
      <c r="E149" s="916"/>
      <c r="F149" s="916"/>
      <c r="G149" s="916"/>
      <c r="H149" s="916"/>
      <c r="I149" s="917"/>
      <c r="J149" s="207">
        <f>TRUNC(SUM(J147:J148),2)</f>
        <v>43371.51</v>
      </c>
      <c r="K149" s="207">
        <f>TRUNC(SUM(K147:K148),2)</f>
        <v>55619.42</v>
      </c>
    </row>
    <row r="150" spans="2:11" s="107" customFormat="1" ht="15.75">
      <c r="B150" s="915" t="s">
        <v>8286</v>
      </c>
      <c r="C150" s="916"/>
      <c r="D150" s="916"/>
      <c r="E150" s="916"/>
      <c r="F150" s="916"/>
      <c r="G150" s="916"/>
      <c r="H150" s="916"/>
      <c r="I150" s="917"/>
      <c r="J150" s="207">
        <f>TRUNC(SUM(J138,J145,J149),2)</f>
        <v>158280.10999999999</v>
      </c>
      <c r="K150" s="207">
        <f>TRUNC(SUM(K138,K145,K149),2)</f>
        <v>202953.53</v>
      </c>
    </row>
    <row r="151" spans="2:11" s="107" customFormat="1" ht="15.75" customHeight="1">
      <c r="B151" s="285" t="s">
        <v>3580</v>
      </c>
      <c r="C151" s="286"/>
      <c r="D151" s="287"/>
      <c r="E151" s="288" t="str">
        <f>QUANT!E454</f>
        <v>DIVISORIAS, BANCADAS E PEITORIS</v>
      </c>
      <c r="F151" s="289"/>
      <c r="G151" s="290"/>
      <c r="H151" s="291"/>
      <c r="I151" s="291"/>
      <c r="J151" s="291"/>
      <c r="K151" s="292"/>
    </row>
    <row r="152" spans="2:11" s="107" customFormat="1" ht="45">
      <c r="B152" s="210" t="s">
        <v>7314</v>
      </c>
      <c r="C152" s="201">
        <f>QUANT!C456</f>
        <v>102253</v>
      </c>
      <c r="D152" s="201" t="str">
        <f>QUANT!D456</f>
        <v>SINAPI</v>
      </c>
      <c r="E152" s="203" t="str">
        <f>IFERROR(VLOOKUP($C152,'SINAPI FEVEREIRO 2022'!$1:$1048576,2,0),IFERROR(VLOOKUP($C152,'5-COMP. PROPRIA'!$B$1:$I$647,4,0),""))</f>
        <v>DIVISORIA SANITÁRIA, TIPO CABINE, EM GRANITO CINZA POLIDO, ESP = 3CM, ASSENTADO COM ARGAMASSA COLANTE AC III-E, EXCLUSIVE FERRAGENS. AF_01/2021</v>
      </c>
      <c r="F152" s="255" t="str">
        <f>IFERROR(VLOOKUP($C152,'SINAPI FEVEREIRO 2022'!$1:$1048576,3,0),IFERROR(VLOOKUP($C152,'5-COMP. PROPRIA'!$B$1:$I$647,5,0),""))</f>
        <v>M2</v>
      </c>
      <c r="G152" s="204">
        <f>QUANT!K456</f>
        <v>17.420000000000002</v>
      </c>
      <c r="H152" s="256">
        <f>IFERROR(VLOOKUP($C152,'SINAPI FEVEREIRO 2022'!$1:$1048576,4,0),IFERROR(VLOOKUP($C152,'5-COMP. PROPRIA'!$B$1:$I$647,8,0),""))</f>
        <v>732.97</v>
      </c>
      <c r="I152" s="256">
        <f>TRUNC(($H152*'4-BDI'!$E$29),2)</f>
        <v>939.96</v>
      </c>
      <c r="J152" s="266">
        <f>TRUNC((G152*H152),2)</f>
        <v>12768.33</v>
      </c>
      <c r="K152" s="205">
        <f>TRUNC((I152*G152),2)</f>
        <v>16374.1</v>
      </c>
    </row>
    <row r="153" spans="2:11" s="107" customFormat="1" ht="30">
      <c r="B153" s="210" t="s">
        <v>7315</v>
      </c>
      <c r="C153" s="201" t="str">
        <f>QUANT!C458</f>
        <v>CP-BAN-01</v>
      </c>
      <c r="D153" s="201" t="str">
        <f>QUANT!D458</f>
        <v>PRÓPRIA</v>
      </c>
      <c r="E153" s="203" t="str">
        <f>IFERROR(VLOOKUP($C153,'SINAPI FEVEREIRO 2022'!$1:$1048576,2,0),IFERROR(VLOOKUP($C153,'5-COMP. PROPRIA'!$B$1:$I$647,4,0),""))</f>
        <v xml:space="preserve">FORNECIMENTO E INSTALAÇÃO DE BANCADAS EM GRANITO POLIDO ESP =2,5CM A 3,0CM </v>
      </c>
      <c r="F153" s="255" t="str">
        <f>IFERROR(VLOOKUP($C153,'SINAPI FEVEREIRO 2022'!$1:$1048576,3,0),IFERROR(VLOOKUP($C153,'5-COMP. PROPRIA'!$B$1:$I$647,5,0),""))</f>
        <v>M2</v>
      </c>
      <c r="G153" s="204">
        <f>QUANT!K458</f>
        <v>8.66</v>
      </c>
      <c r="H153" s="256">
        <f>IFERROR(VLOOKUP($C153,'SINAPI FEVEREIRO 2022'!$1:$1048576,4,0),IFERROR(VLOOKUP($C153,'5-COMP. PROPRIA'!$B$1:$I$647,8,0),""))</f>
        <v>834.13</v>
      </c>
      <c r="I153" s="256">
        <f>TRUNC(($H153*'4-BDI'!$E$29),2)</f>
        <v>1069.68</v>
      </c>
      <c r="J153" s="266">
        <f t="shared" ref="J153:J154" si="62">TRUNC((G153*H153),2)</f>
        <v>7223.56</v>
      </c>
      <c r="K153" s="205">
        <f t="shared" ref="K153:K154" si="63">TRUNC((I153*G153),2)</f>
        <v>9263.42</v>
      </c>
    </row>
    <row r="154" spans="2:11" s="107" customFormat="1" ht="30">
      <c r="B154" s="210" t="s">
        <v>7316</v>
      </c>
      <c r="C154" s="201">
        <f>QUANT!C464</f>
        <v>101965</v>
      </c>
      <c r="D154" s="201" t="str">
        <f>QUANT!D464</f>
        <v>SINAPI</v>
      </c>
      <c r="E154" s="203" t="str">
        <f>IFERROR(VLOOKUP($C154,'SINAPI FEVEREIRO 2022'!$1:$1048576,2,0),IFERROR(VLOOKUP($C154,'5-COMP. PROPRIA'!$B$1:$I$647,4,0),""))</f>
        <v>PEITORIL LINEAR EM GRANITO OU MÁRMORE, L = 15CM, COMPRIMENTO DE ATÉ 2M, ASSENTADO COM ARGAMASSA 1:6 COM ADITIVO. AF_11/2020</v>
      </c>
      <c r="F154" s="255" t="str">
        <f>IFERROR(VLOOKUP($C154,'SINAPI FEVEREIRO 2022'!$1:$1048576,3,0),IFERROR(VLOOKUP($C154,'5-COMP. PROPRIA'!$B$1:$I$647,5,0),""))</f>
        <v>M</v>
      </c>
      <c r="G154" s="204">
        <f>QUANT!K464</f>
        <v>93.8</v>
      </c>
      <c r="H154" s="256">
        <f>IFERROR(VLOOKUP($C154,'SINAPI FEVEREIRO 2022'!$1:$1048576,4,0),IFERROR(VLOOKUP($C154,'5-COMP. PROPRIA'!$B$1:$I$647,8,0),""))</f>
        <v>113.93</v>
      </c>
      <c r="I154" s="256">
        <f>TRUNC(($H154*'4-BDI'!$E$29),2)</f>
        <v>146.1</v>
      </c>
      <c r="J154" s="266">
        <f t="shared" si="62"/>
        <v>10686.63</v>
      </c>
      <c r="K154" s="205">
        <f t="shared" si="63"/>
        <v>13704.18</v>
      </c>
    </row>
    <row r="155" spans="2:11" s="107" customFormat="1" ht="15.75" customHeight="1">
      <c r="B155" s="915" t="s">
        <v>8286</v>
      </c>
      <c r="C155" s="916"/>
      <c r="D155" s="916"/>
      <c r="E155" s="916"/>
      <c r="F155" s="916"/>
      <c r="G155" s="916"/>
      <c r="H155" s="916"/>
      <c r="I155" s="917"/>
      <c r="J155" s="207">
        <f>TRUNC(SUM(J152:J154),2)</f>
        <v>30678.52</v>
      </c>
      <c r="K155" s="207">
        <f>TRUNC(SUM(K152:K154),2)</f>
        <v>39341.699999999997</v>
      </c>
    </row>
    <row r="156" spans="2:11" s="107" customFormat="1" ht="15.75" customHeight="1">
      <c r="B156" s="285" t="s">
        <v>3581</v>
      </c>
      <c r="C156" s="286"/>
      <c r="D156" s="287"/>
      <c r="E156" s="288" t="str">
        <f>QUANT!E466</f>
        <v xml:space="preserve">ESQUADRIAS </v>
      </c>
      <c r="F156" s="289"/>
      <c r="G156" s="290"/>
      <c r="H156" s="291"/>
      <c r="I156" s="291"/>
      <c r="J156" s="291"/>
      <c r="K156" s="292"/>
    </row>
    <row r="157" spans="2:11" s="107" customFormat="1" ht="60">
      <c r="B157" s="210" t="s">
        <v>7317</v>
      </c>
      <c r="C157" s="201">
        <f>QUANT!C468</f>
        <v>94573</v>
      </c>
      <c r="D157" s="201" t="str">
        <f>QUANT!D468</f>
        <v>SINAPI</v>
      </c>
      <c r="E157" s="203" t="str">
        <f>IFERROR(VLOOKUP($C157,'SINAPI FEVEREIRO 2022'!$1:$1048576,2,0),IFERROR(VLOOKUP($C157,'5-COMP. PROPRIA'!$B$1:$I$647,4,0),""))</f>
        <v>JANELA DE ALUMÍNIO DE CORRER COM 4 FOLHAS PARA VIDROS, COM VIDROS, BATENTE, ACABAMENTO COM ACETATO OU BRILHANTE E FERRAGENS. EXCLUSIVE ALIZAR E CONTRAMARCO. FORNECIMENTO E INSTALAÇÃO. AF_12/2019</v>
      </c>
      <c r="F157" s="255" t="str">
        <f>IFERROR(VLOOKUP($C157,'SINAPI FEVEREIRO 2022'!$1:$1048576,3,0),IFERROR(VLOOKUP($C157,'5-COMP. PROPRIA'!$B$1:$I$647,5,0),""))</f>
        <v>M2</v>
      </c>
      <c r="G157" s="204">
        <f>QUANT!K468</f>
        <v>80</v>
      </c>
      <c r="H157" s="256">
        <f>IFERROR(VLOOKUP($C157,'SINAPI FEVEREIRO 2022'!$1:$1048576,4,0),IFERROR(VLOOKUP($C157,'5-COMP. PROPRIA'!$B$1:$I$647,8,0),""))</f>
        <v>599.86</v>
      </c>
      <c r="I157" s="256">
        <f>TRUNC(($H157*'4-BDI'!$E$29),2)</f>
        <v>769.26</v>
      </c>
      <c r="J157" s="266">
        <f>TRUNC((G157*H157),2)</f>
        <v>47988.800000000003</v>
      </c>
      <c r="K157" s="205">
        <f>TRUNC((I157*G157),2)</f>
        <v>61540.800000000003</v>
      </c>
    </row>
    <row r="158" spans="2:11" s="107" customFormat="1" ht="45">
      <c r="B158" s="210" t="s">
        <v>7318</v>
      </c>
      <c r="C158" s="201">
        <f>QUANT!C473</f>
        <v>94569</v>
      </c>
      <c r="D158" s="201" t="str">
        <f>QUANT!D473</f>
        <v>SINAPI</v>
      </c>
      <c r="E158" s="203" t="str">
        <f>IFERROR(VLOOKUP($C158,'SINAPI FEVEREIRO 2022'!$1:$1048576,2,0),IFERROR(VLOOKUP($C158,'5-COMP. PROPRIA'!$B$1:$I$647,4,0),""))</f>
        <v>JANELA DE ALUMÍNIO TIPO MAXIM-AR, COM VIDROS, BATENTE E FERRAGENS. EXCLUSIVE ALIZAR, ACABAMENTO E CONTRAMARCO. FORNECIMENTO E INSTALAÇÃO. AF_12/2019</v>
      </c>
      <c r="F158" s="255" t="str">
        <f>IFERROR(VLOOKUP($C158,'SINAPI FEVEREIRO 2022'!$1:$1048576,3,0),IFERROR(VLOOKUP($C158,'5-COMP. PROPRIA'!$B$1:$I$647,5,0),""))</f>
        <v>M2</v>
      </c>
      <c r="G158" s="204">
        <f>QUANT!K473</f>
        <v>10.68</v>
      </c>
      <c r="H158" s="256">
        <f>IFERROR(VLOOKUP($C158,'SINAPI FEVEREIRO 2022'!$1:$1048576,4,0),IFERROR(VLOOKUP($C158,'5-COMP. PROPRIA'!$B$1:$I$647,8,0),""))</f>
        <v>989.22</v>
      </c>
      <c r="I158" s="256">
        <f>TRUNC(($H158*'4-BDI'!$E$29),2)</f>
        <v>1268.57</v>
      </c>
      <c r="J158" s="266">
        <f>TRUNC((G158*H158),2)</f>
        <v>10564.86</v>
      </c>
      <c r="K158" s="205">
        <f>TRUNC((I158*G158),2)</f>
        <v>13548.32</v>
      </c>
    </row>
    <row r="159" spans="2:11" s="107" customFormat="1" ht="60">
      <c r="B159" s="210" t="s">
        <v>7319</v>
      </c>
      <c r="C159" s="201" t="str">
        <f>QUANT!C482</f>
        <v>CP-ESQ-01</v>
      </c>
      <c r="D159" s="201" t="str">
        <f>QUANT!D482</f>
        <v>PROPRIA</v>
      </c>
      <c r="E159" s="203" t="str">
        <f>IFERROR(VLOOKUP($C159,'SINAPI FEVEREIRO 2022'!$1:$1048576,2,0),IFERROR(VLOOKUP($C159,'5-COMP. PROPRIA'!$B$1:$I$647,4,0),""))</f>
        <v>JANELA DE ALUMÍNIO DE CORRER, 2 FOLHAS, FIXAÇÃO COM ARGAMASSA, COM VIDROS, PADRONIZADA INCLUSO PEITORIL EM GRANILITE 60CM (ABERTURA NA VERTICAL "PASSA PRATO" - FORNECIMENTO E INSTALAÇÃO</v>
      </c>
      <c r="F159" s="255" t="str">
        <f>IFERROR(VLOOKUP($C159,'SINAPI FEVEREIRO 2022'!$1:$1048576,3,0),IFERROR(VLOOKUP($C159,'5-COMP. PROPRIA'!$B$1:$I$647,5,0),""))</f>
        <v>UN</v>
      </c>
      <c r="G159" s="204">
        <f>QUANT!K482</f>
        <v>1</v>
      </c>
      <c r="H159" s="256">
        <f>IFERROR(VLOOKUP($C159,'SINAPI FEVEREIRO 2022'!$1:$1048576,4,0),IFERROR(VLOOKUP($C159,'5-COMP. PROPRIA'!$B$1:$I$647,8,0),""))</f>
        <v>3009.14</v>
      </c>
      <c r="I159" s="256">
        <f>TRUNC(($H159*'4-BDI'!$E$29),2)</f>
        <v>3858.92</v>
      </c>
      <c r="J159" s="266">
        <f>TRUNC((G159*H159),2)</f>
        <v>3009.14</v>
      </c>
      <c r="K159" s="205">
        <f>TRUNC((I159*G159),2)</f>
        <v>3858.92</v>
      </c>
    </row>
    <row r="160" spans="2:11" s="107" customFormat="1" ht="15">
      <c r="B160" s="210" t="s">
        <v>7320</v>
      </c>
      <c r="C160" s="201" t="str">
        <f>QUANT!C484</f>
        <v>CP-ESQ-05</v>
      </c>
      <c r="D160" s="201" t="str">
        <f>QUANT!D484</f>
        <v>PROPRIA</v>
      </c>
      <c r="E160" s="203" t="str">
        <f>IFERROR(VLOOKUP($C160,'SINAPI FEVEREIRO 2022'!$1:$1048576,2,0),IFERROR(VLOOKUP($C160,'5-COMP. PROPRIA'!$B$1:$I$647,4,0),""))</f>
        <v>JANELA DE VIDRO PASSA PAPEL, FORNECIMENTO E INSTALAÇÃO</v>
      </c>
      <c r="F160" s="255" t="str">
        <f>IFERROR(VLOOKUP($C160,'SINAPI FEVEREIRO 2022'!$1:$1048576,3,0),IFERROR(VLOOKUP($C160,'5-COMP. PROPRIA'!$B$1:$I$647,5,0),""))</f>
        <v>M2</v>
      </c>
      <c r="G160" s="204">
        <f>QUANT!K484</f>
        <v>2</v>
      </c>
      <c r="H160" s="256">
        <f>IFERROR(VLOOKUP($C160,'SINAPI FEVEREIRO 2022'!$1:$1048576,4,0),IFERROR(VLOOKUP($C160,'5-COMP. PROPRIA'!$B$1:$I$647,8,0),""))</f>
        <v>837.9</v>
      </c>
      <c r="I160" s="256">
        <f>TRUNC(($H160*'4-BDI'!$E$29),2)</f>
        <v>1074.52</v>
      </c>
      <c r="J160" s="266">
        <f t="shared" ref="J160:J162" si="64">TRUNC((G160*H160),2)</f>
        <v>1675.8</v>
      </c>
      <c r="K160" s="205">
        <f t="shared" ref="K160:K162" si="65">TRUNC((I160*G160),2)</f>
        <v>2149.04</v>
      </c>
    </row>
    <row r="161" spans="2:11" s="107" customFormat="1" ht="45">
      <c r="B161" s="210" t="s">
        <v>7321</v>
      </c>
      <c r="C161" s="201" t="str">
        <f>QUANT!C488</f>
        <v>CP-ESQ-02</v>
      </c>
      <c r="D161" s="201" t="str">
        <f>QUANT!D488</f>
        <v>PROPRIA</v>
      </c>
      <c r="E161" s="203" t="str">
        <f>IFERROR(VLOOKUP($C161,'SINAPI FEVEREIRO 2022'!$1:$1048576,2,0),IFERROR(VLOOKUP($C161,'5-COMP. PROPRIA'!$B$1:$I$647,4,0),""))</f>
        <v>PORTA DE FERRO, DE ABRIR, TIPO CHAPA CORRUGADA, COM GUARNICOES E FECHADURA, FORNECIMENTO E INSTALAÇÃO (0,90 X 2,10)M</v>
      </c>
      <c r="F161" s="255" t="str">
        <f>IFERROR(VLOOKUP($C161,'SINAPI FEVEREIRO 2022'!$1:$1048576,3,0),IFERROR(VLOOKUP($C161,'5-COMP. PROPRIA'!$B$1:$I$647,5,0),""))</f>
        <v>UN</v>
      </c>
      <c r="G161" s="204">
        <f>QUANT!K488</f>
        <v>4</v>
      </c>
      <c r="H161" s="256">
        <f>IFERROR(VLOOKUP($C161,'SINAPI FEVEREIRO 2022'!$1:$1048576,4,0),IFERROR(VLOOKUP($C161,'5-COMP. PROPRIA'!$B$1:$I$647,8,0),""))</f>
        <v>921.71</v>
      </c>
      <c r="I161" s="256">
        <f>TRUNC(($H161*'4-BDI'!$E$29),2)</f>
        <v>1182</v>
      </c>
      <c r="J161" s="266">
        <f t="shared" si="64"/>
        <v>3686.84</v>
      </c>
      <c r="K161" s="205">
        <f t="shared" si="65"/>
        <v>4728</v>
      </c>
    </row>
    <row r="162" spans="2:11" s="107" customFormat="1" ht="45">
      <c r="B162" s="210" t="s">
        <v>7322</v>
      </c>
      <c r="C162" s="201" t="str">
        <f>QUANT!C492</f>
        <v>CP-ESQ-03</v>
      </c>
      <c r="D162" s="201" t="str">
        <f>QUANT!D492</f>
        <v>PROPRIA</v>
      </c>
      <c r="E162" s="203" t="str">
        <f>IFERROR(VLOOKUP($C162,'SINAPI FEVEREIRO 2022'!$1:$1048576,2,0),IFERROR(VLOOKUP($C162,'5-COMP. PROPRIA'!$B$1:$I$647,4,0),""))</f>
        <v>PORTA DE FERRO, DE ABRIR, TIPO CHAPA CORRUGADA, COM GUARNICOES E FECHADURA, FORNECIMENTO E INSTALAÇÃO (0,80 X 2,10)M</v>
      </c>
      <c r="F162" s="255" t="str">
        <f>IFERROR(VLOOKUP($C162,'SINAPI FEVEREIRO 2022'!$1:$1048576,3,0),IFERROR(VLOOKUP($C162,'5-COMP. PROPRIA'!$B$1:$I$647,5,0),""))</f>
        <v>UN</v>
      </c>
      <c r="G162" s="204">
        <f>QUANT!K492</f>
        <v>16</v>
      </c>
      <c r="H162" s="256">
        <f>IFERROR(VLOOKUP($C162,'SINAPI FEVEREIRO 2022'!$1:$1048576,4,0),IFERROR(VLOOKUP($C162,'5-COMP. PROPRIA'!$B$1:$I$647,8,0),""))</f>
        <v>871.71</v>
      </c>
      <c r="I162" s="256">
        <f>TRUNC(($H162*'4-BDI'!$E$29),2)</f>
        <v>1117.8800000000001</v>
      </c>
      <c r="J162" s="266">
        <f t="shared" si="64"/>
        <v>13947.36</v>
      </c>
      <c r="K162" s="205">
        <f t="shared" si="65"/>
        <v>17886.080000000002</v>
      </c>
    </row>
    <row r="163" spans="2:11" s="107" customFormat="1" ht="45">
      <c r="B163" s="210" t="s">
        <v>7323</v>
      </c>
      <c r="C163" s="201" t="str">
        <f>QUANT!C496</f>
        <v>CP-ESQ-06</v>
      </c>
      <c r="D163" s="201" t="str">
        <f>QUANT!D496</f>
        <v>PROPRIA</v>
      </c>
      <c r="E163" s="203" t="str">
        <f>IFERROR(VLOOKUP($C163,'SINAPI FEVEREIRO 2022'!$1:$1048576,2,0),IFERROR(VLOOKUP($C163,'5-COMP. PROPRIA'!$B$1:$I$647,4,0),""))</f>
        <v>PORTA DE FERRO, DE ABRIR, TIPO CHAPA CORRUGADA, COM GUARNICOES E FECHADURA, FORNECIMENTO E INSTALAÇÃO (0,60 X 2,10)M</v>
      </c>
      <c r="F163" s="255" t="str">
        <f>IFERROR(VLOOKUP($C163,'SINAPI FEVEREIRO 2022'!$1:$1048576,3,0),IFERROR(VLOOKUP($C163,'5-COMP. PROPRIA'!$B$1:$I$647,5,0),""))</f>
        <v>UN</v>
      </c>
      <c r="G163" s="204">
        <f>QUANT!K496</f>
        <v>1</v>
      </c>
      <c r="H163" s="256">
        <f>IFERROR(VLOOKUP($C163,'SINAPI FEVEREIRO 2022'!$1:$1048576,4,0),IFERROR(VLOOKUP($C163,'5-COMP. PROPRIA'!$B$1:$I$647,8,0),""))</f>
        <v>811.69</v>
      </c>
      <c r="I163" s="256">
        <f>TRUNC(($H163*'4-BDI'!$E$29),2)</f>
        <v>1040.9100000000001</v>
      </c>
      <c r="J163" s="266">
        <f t="shared" ref="J163:J165" si="66">TRUNC((G163*H163),2)</f>
        <v>811.69</v>
      </c>
      <c r="K163" s="205">
        <f t="shared" ref="K163:K165" si="67">TRUNC((I163*G163),2)</f>
        <v>1040.9100000000001</v>
      </c>
    </row>
    <row r="164" spans="2:11" s="107" customFormat="1" ht="30">
      <c r="B164" s="210" t="s">
        <v>7324</v>
      </c>
      <c r="C164" s="201">
        <f>QUANT!C500</f>
        <v>91341</v>
      </c>
      <c r="D164" s="201" t="str">
        <f>QUANT!D500</f>
        <v>SINAPI</v>
      </c>
      <c r="E164" s="203" t="str">
        <f>IFERROR(VLOOKUP($C164,'SINAPI FEVEREIRO 2022'!$1:$1048576,2,0),IFERROR(VLOOKUP($C164,'5-COMP. PROPRIA'!$B$1:$I$647,4,0),""))</f>
        <v>PORTA EM ALUMÍNIO DE ABRIR TIPO VENEZIANA COM GUARNIÇÃO, FIXAÇÃO COM PARAFUSOS - FORNECIMENTO E INSTALAÇÃO. AF_12/2019</v>
      </c>
      <c r="F164" s="255" t="str">
        <f>IFERROR(VLOOKUP($C164,'SINAPI FEVEREIRO 2022'!$1:$1048576,3,0),IFERROR(VLOOKUP($C164,'5-COMP. PROPRIA'!$B$1:$I$647,5,0),""))</f>
        <v>M2</v>
      </c>
      <c r="G164" s="204">
        <f>QUANT!K500</f>
        <v>8.16</v>
      </c>
      <c r="H164" s="256">
        <f>IFERROR(VLOOKUP($C164,'SINAPI FEVEREIRO 2022'!$1:$1048576,4,0),IFERROR(VLOOKUP($C164,'5-COMP. PROPRIA'!$B$1:$I$647,8,0),""))</f>
        <v>720.17</v>
      </c>
      <c r="I164" s="256">
        <f>TRUNC(($H164*'4-BDI'!$E$29),2)</f>
        <v>923.54</v>
      </c>
      <c r="J164" s="266">
        <f t="shared" si="66"/>
        <v>5876.58</v>
      </c>
      <c r="K164" s="205">
        <f t="shared" si="67"/>
        <v>7536.08</v>
      </c>
    </row>
    <row r="165" spans="2:11" s="107" customFormat="1" ht="60">
      <c r="B165" s="210" t="s">
        <v>7395</v>
      </c>
      <c r="C165" s="201" t="str">
        <f>QUANT!C504</f>
        <v>CP-ESQ-04</v>
      </c>
      <c r="D165" s="201" t="str">
        <f>QUANT!D504</f>
        <v>PROPRIA</v>
      </c>
      <c r="E165" s="203" t="str">
        <f>IFERROR(VLOOKUP($C165,'SINAPI FEVEREIRO 2022'!$1:$1048576,2,0),IFERROR(VLOOKUP($C165,'5-COMP. PROPRIA'!$B$1:$I$647,4,0),""))</f>
        <v>PORTAO DE ABRIR EM CHAPA TIPO PAINEL LAMBRIL QUADRADO MEIA ALTURA, COM GRADE SUPERIOR, COMPLETA COM REQUADRO, ACABAMENTO NATURAL, COM FEICHOS E TRINCOS FORNECIMENTO E INSTALAÇÃO.</v>
      </c>
      <c r="F165" s="255" t="str">
        <f>IFERROR(VLOOKUP($C165,'SINAPI FEVEREIRO 2022'!$1:$1048576,3,0),IFERROR(VLOOKUP($C165,'5-COMP. PROPRIA'!$B$1:$I$647,5,0),""))</f>
        <v xml:space="preserve">M2    </v>
      </c>
      <c r="G165" s="204">
        <f>QUANT!K504</f>
        <v>11.13</v>
      </c>
      <c r="H165" s="256">
        <f>IFERROR(VLOOKUP($C165,'SINAPI FEVEREIRO 2022'!$1:$1048576,4,0),IFERROR(VLOOKUP($C165,'5-COMP. PROPRIA'!$B$1:$I$647,8,0),""))</f>
        <v>645.04</v>
      </c>
      <c r="I165" s="256">
        <f>TRUNC(($H165*'4-BDI'!$E$29),2)</f>
        <v>827.19</v>
      </c>
      <c r="J165" s="266">
        <f t="shared" si="66"/>
        <v>7179.29</v>
      </c>
      <c r="K165" s="205">
        <f t="shared" si="67"/>
        <v>9206.6200000000008</v>
      </c>
    </row>
    <row r="166" spans="2:11" s="107" customFormat="1" ht="15.75">
      <c r="B166" s="915" t="s">
        <v>8286</v>
      </c>
      <c r="C166" s="916"/>
      <c r="D166" s="916"/>
      <c r="E166" s="916"/>
      <c r="F166" s="916"/>
      <c r="G166" s="916"/>
      <c r="H166" s="916"/>
      <c r="I166" s="917"/>
      <c r="J166" s="207">
        <f>TRUNC(SUM(J157:J165),2)</f>
        <v>94740.36</v>
      </c>
      <c r="K166" s="207">
        <f>TRUNC(SUM(K157:K165),2)</f>
        <v>121494.77</v>
      </c>
    </row>
    <row r="167" spans="2:11" s="107" customFormat="1" ht="15.75" customHeight="1">
      <c r="B167" s="285" t="s">
        <v>3582</v>
      </c>
      <c r="C167" s="286"/>
      <c r="D167" s="287"/>
      <c r="E167" s="288" t="str">
        <f>QUANT!E510</f>
        <v>COBERTURA E PROJEÇÕES</v>
      </c>
      <c r="F167" s="289"/>
      <c r="G167" s="290"/>
      <c r="H167" s="291"/>
      <c r="I167" s="291"/>
      <c r="J167" s="291"/>
      <c r="K167" s="292"/>
    </row>
    <row r="168" spans="2:11" s="107" customFormat="1" ht="45">
      <c r="B168" s="210" t="s">
        <v>7325</v>
      </c>
      <c r="C168" s="201">
        <f>QUANT!C512</f>
        <v>103328</v>
      </c>
      <c r="D168" s="201" t="str">
        <f>QUANT!D512</f>
        <v>SINAPI</v>
      </c>
      <c r="E168" s="203" t="str">
        <f>IFERROR(VLOOKUP($C168,'SINAPI FEVEREIRO 2022'!$1:$1048576,2,0),IFERROR(VLOOKUP($C168,'5-COMP. PROPRIA'!$B$1:$I$647,4,0),""))</f>
        <v>ALVENARIA DE VEDAÇÃO DE BLOCOS CERÂMICOS FURADOS NA HORIZONTAL DE 9X19X19 CM (ESPESSURA 9 CM) E ARGAMASSA DE ASSENTAMENTO COM PREPARO EM BETONEIRA. AF_12/2021</v>
      </c>
      <c r="F168" s="255" t="str">
        <f>IFERROR(VLOOKUP($C168,'SINAPI FEVEREIRO 2022'!$1:$1048576,3,0),IFERROR(VLOOKUP($C168,'5-COMP. PROPRIA'!$B$1:$I$647,5,0),""))</f>
        <v>M2</v>
      </c>
      <c r="G168" s="204">
        <f>QUANT!K512</f>
        <v>10</v>
      </c>
      <c r="H168" s="256">
        <f>IFERROR(VLOOKUP($C168,'SINAPI FEVEREIRO 2022'!$1:$1048576,4,0),IFERROR(VLOOKUP($C168,'5-COMP. PROPRIA'!$B$1:$I$647,8,0),""))</f>
        <v>73.900000000000006</v>
      </c>
      <c r="I168" s="256">
        <f>TRUNC(($H168*'4-BDI'!$E$29),2)</f>
        <v>94.76</v>
      </c>
      <c r="J168" s="266">
        <f>TRUNC((G168*H168),2)</f>
        <v>739</v>
      </c>
      <c r="K168" s="205">
        <f>TRUNC((I168*G168),2)</f>
        <v>947.6</v>
      </c>
    </row>
    <row r="169" spans="2:11" s="107" customFormat="1" ht="60">
      <c r="B169" s="210" t="s">
        <v>7999</v>
      </c>
      <c r="C169" s="201">
        <f>QUANT!C514</f>
        <v>92580</v>
      </c>
      <c r="D169" s="201" t="str">
        <f>QUANT!D514</f>
        <v>SINAPI</v>
      </c>
      <c r="E169" s="203" t="str">
        <f>IFERROR(VLOOKUP($C169,'SINAPI FEVEREIRO 2022'!$1:$1048576,2,0),IFERROR(VLOOKUP($C169,'5-COMP. PROPRIA'!$B$1:$I$647,4,0),""))</f>
        <v>TRAMA DE AÇO COMPOSTA POR TERÇAS PARA TELHADOS DE ATÉ 2 ÁGUAS PARA TELHA ONDULADA DE FIBROCIMENTO, METÁLICA, PLÁSTICA OU TERMOACÚSTICA, INCLUSO TRANSPORTE VERTICAL. AF_07/2019</v>
      </c>
      <c r="F169" s="255" t="str">
        <f>IFERROR(VLOOKUP($C169,'SINAPI FEVEREIRO 2022'!$1:$1048576,3,0),IFERROR(VLOOKUP($C169,'5-COMP. PROPRIA'!$B$1:$I$647,5,0),""))</f>
        <v>M2</v>
      </c>
      <c r="G169" s="204">
        <f>QUANT!K514</f>
        <v>1085.6411999999998</v>
      </c>
      <c r="H169" s="256">
        <f>IFERROR(VLOOKUP($C169,'SINAPI FEVEREIRO 2022'!$1:$1048576,4,0),IFERROR(VLOOKUP($C169,'5-COMP. PROPRIA'!$B$1:$I$647,8,0),""))</f>
        <v>54.26</v>
      </c>
      <c r="I169" s="256">
        <f>TRUNC(($H169*'4-BDI'!$E$29),2)</f>
        <v>69.58</v>
      </c>
      <c r="J169" s="266">
        <f>TRUNC((G169*H169),2)</f>
        <v>58906.89</v>
      </c>
      <c r="K169" s="205">
        <f>TRUNC((I169*G169),2)</f>
        <v>75538.91</v>
      </c>
    </row>
    <row r="170" spans="2:11" s="107" customFormat="1" ht="45">
      <c r="B170" s="210" t="s">
        <v>8000</v>
      </c>
      <c r="C170" s="201">
        <f>QUANT!C518</f>
        <v>92602</v>
      </c>
      <c r="D170" s="201" t="str">
        <f>QUANT!D518</f>
        <v>SINAPI</v>
      </c>
      <c r="E170" s="203" t="str">
        <f>IFERROR(VLOOKUP($C170,'SINAPI FEVEREIRO 2022'!$1:$1048576,2,0),IFERROR(VLOOKUP($C170,'5-COMP. PROPRIA'!$B$1:$I$647,4,0),""))</f>
        <v>FABRICAÇÃO E INSTALAÇÃO DE TESOURA INTEIRA EM AÇO, VÃO DE 3 M, PARA TELHA ONDULADA DE FIBROCIMENTO, METÁLICA, PLÁSTICA OU TERMOACÚSTICA, INCLUSO IÇAMENTO.. AF_12/2015</v>
      </c>
      <c r="F170" s="255" t="str">
        <f>IFERROR(VLOOKUP($C170,'SINAPI FEVEREIRO 2022'!$1:$1048576,3,0),IFERROR(VLOOKUP($C170,'5-COMP. PROPRIA'!$B$1:$I$647,5,0),""))</f>
        <v>UN</v>
      </c>
      <c r="G170" s="204">
        <f>QUANT!K518</f>
        <v>4</v>
      </c>
      <c r="H170" s="256">
        <f>IFERROR(VLOOKUP($C170,'SINAPI FEVEREIRO 2022'!$1:$1048576,4,0),IFERROR(VLOOKUP($C170,'5-COMP. PROPRIA'!$B$1:$I$647,8,0),""))</f>
        <v>749.73</v>
      </c>
      <c r="I170" s="256">
        <f>TRUNC(($H170*'4-BDI'!$E$29),2)</f>
        <v>961.45</v>
      </c>
      <c r="J170" s="266">
        <f>TRUNC((G170*H170),2)</f>
        <v>2998.92</v>
      </c>
      <c r="K170" s="205">
        <f>TRUNC((I170*G170),2)</f>
        <v>3845.8</v>
      </c>
    </row>
    <row r="171" spans="2:11" s="107" customFormat="1" ht="45">
      <c r="B171" s="210" t="s">
        <v>8001</v>
      </c>
      <c r="C171" s="201">
        <f>QUANT!C520</f>
        <v>92604</v>
      </c>
      <c r="D171" s="201" t="str">
        <f>QUANT!D520</f>
        <v>SINAPI</v>
      </c>
      <c r="E171" s="203" t="str">
        <f>IFERROR(VLOOKUP($C171,'SINAPI FEVEREIRO 2022'!$1:$1048576,2,0),IFERROR(VLOOKUP($C171,'5-COMP. PROPRIA'!$B$1:$I$647,4,0),""))</f>
        <v>FABRICAÇÃO E INSTALAÇÃO DE TESOURA INTEIRA EM AÇO, VÃO DE 4 M, PARA TELHA ONDULADA DE FIBROCIMENTO, METÁLICA, PLÁSTICA OU TERMOACÚSTICA, INCLUSO IÇAMENTO. AF_12/2015</v>
      </c>
      <c r="F171" s="255" t="str">
        <f>IFERROR(VLOOKUP($C171,'SINAPI FEVEREIRO 2022'!$1:$1048576,3,0),IFERROR(VLOOKUP($C171,'5-COMP. PROPRIA'!$B$1:$I$647,5,0),""))</f>
        <v>UN</v>
      </c>
      <c r="G171" s="204">
        <f>QUANT!K520</f>
        <v>1</v>
      </c>
      <c r="H171" s="256">
        <f>IFERROR(VLOOKUP($C171,'SINAPI FEVEREIRO 2022'!$1:$1048576,4,0),IFERROR(VLOOKUP($C171,'5-COMP. PROPRIA'!$B$1:$I$647,8,0),""))</f>
        <v>860.64</v>
      </c>
      <c r="I171" s="256">
        <f>TRUNC(($H171*'4-BDI'!$E$29),2)</f>
        <v>1103.68</v>
      </c>
      <c r="J171" s="266">
        <f>TRUNC((G171*H171),2)</f>
        <v>860.64</v>
      </c>
      <c r="K171" s="205">
        <f>TRUNC((I171*G171),2)</f>
        <v>1103.68</v>
      </c>
    </row>
    <row r="172" spans="2:11" s="107" customFormat="1" ht="45">
      <c r="B172" s="210" t="s">
        <v>8002</v>
      </c>
      <c r="C172" s="201">
        <f>QUANT!C522</f>
        <v>92614</v>
      </c>
      <c r="D172" s="201" t="str">
        <f>QUANT!D522</f>
        <v>SINAPI</v>
      </c>
      <c r="E172" s="203" t="str">
        <f>IFERROR(VLOOKUP($C172,'SINAPI FEVEREIRO 2022'!$1:$1048576,2,0),IFERROR(VLOOKUP($C172,'5-COMP. PROPRIA'!$B$1:$I$647,4,0),""))</f>
        <v>FABRICAÇÃO E INSTALAÇÃO DE TESOURA INTEIRA EM AÇO, VÃO DE 9 M, PARA TELHA ONDULADA DE FIBROCIMENTO, METÁLICA, PLÁSTICA OU TERMOACÚSTICA, INCLUSO IÇAMENTO. AF_12/2015</v>
      </c>
      <c r="F172" s="255" t="str">
        <f>IFERROR(VLOOKUP($C172,'SINAPI FEVEREIRO 2022'!$1:$1048576,3,0),IFERROR(VLOOKUP($C172,'5-COMP. PROPRIA'!$B$1:$I$647,5,0),""))</f>
        <v>UN</v>
      </c>
      <c r="G172" s="204">
        <f>QUANT!K522</f>
        <v>6</v>
      </c>
      <c r="H172" s="256">
        <f>IFERROR(VLOOKUP($C172,'SINAPI FEVEREIRO 2022'!$1:$1048576,4,0),IFERROR(VLOOKUP($C172,'5-COMP. PROPRIA'!$B$1:$I$647,8,0),""))</f>
        <v>1761.89</v>
      </c>
      <c r="I172" s="256">
        <f>TRUNC(($H172*'4-BDI'!$E$29),2)</f>
        <v>2259.44</v>
      </c>
      <c r="J172" s="266">
        <f t="shared" ref="J172:J174" si="68">TRUNC((G172*H172),2)</f>
        <v>10571.34</v>
      </c>
      <c r="K172" s="205">
        <f t="shared" ref="K172:K174" si="69">TRUNC((I172*G172),2)</f>
        <v>13556.64</v>
      </c>
    </row>
    <row r="173" spans="2:11" s="107" customFormat="1" ht="45">
      <c r="B173" s="210" t="s">
        <v>8003</v>
      </c>
      <c r="C173" s="201">
        <f>QUANT!C524</f>
        <v>92616</v>
      </c>
      <c r="D173" s="201" t="str">
        <f>QUANT!D524</f>
        <v>SINAPI</v>
      </c>
      <c r="E173" s="203" t="str">
        <f>IFERROR(VLOOKUP($C173,'SINAPI FEVEREIRO 2022'!$1:$1048576,2,0),IFERROR(VLOOKUP($C173,'5-COMP. PROPRIA'!$B$1:$I$647,4,0),""))</f>
        <v>FABRICAÇÃO E INSTALAÇÃO DE TESOURA INTEIRA EM AÇO, VÃO DE 10 M, PARA TELHA ONDULADA DE FIBROCIMENTO, METÁLICA, PLÁSTICA OU TERMOACÚSTICA, INCLUSO IÇAMENTO. AF_12/2015</v>
      </c>
      <c r="F173" s="255" t="str">
        <f>IFERROR(VLOOKUP($C173,'SINAPI FEVEREIRO 2022'!$1:$1048576,3,0),IFERROR(VLOOKUP($C173,'5-COMP. PROPRIA'!$B$1:$I$647,5,0),""))</f>
        <v>UN</v>
      </c>
      <c r="G173" s="204">
        <f>QUANT!K524</f>
        <v>21</v>
      </c>
      <c r="H173" s="256">
        <f>IFERROR(VLOOKUP($C173,'SINAPI FEVEREIRO 2022'!$1:$1048576,4,0),IFERROR(VLOOKUP($C173,'5-COMP. PROPRIA'!$B$1:$I$647,8,0),""))</f>
        <v>1995.16</v>
      </c>
      <c r="I173" s="256">
        <f>TRUNC(($H173*'4-BDI'!$E$29),2)</f>
        <v>2558.59</v>
      </c>
      <c r="J173" s="266">
        <f t="shared" si="68"/>
        <v>41898.36</v>
      </c>
      <c r="K173" s="205">
        <f t="shared" si="69"/>
        <v>53730.39</v>
      </c>
    </row>
    <row r="174" spans="2:11" s="107" customFormat="1" ht="45">
      <c r="B174" s="210" t="s">
        <v>8004</v>
      </c>
      <c r="C174" s="201">
        <f>QUANT!C526</f>
        <v>92620</v>
      </c>
      <c r="D174" s="201" t="str">
        <f>QUANT!D526</f>
        <v>SINAPI</v>
      </c>
      <c r="E174" s="203" t="str">
        <f>IFERROR(VLOOKUP($C174,'SINAPI FEVEREIRO 2022'!$1:$1048576,2,0),IFERROR(VLOOKUP($C174,'5-COMP. PROPRIA'!$B$1:$I$647,4,0),""))</f>
        <v>FABRICAÇÃO E INSTALAÇÃO DE TESOURA INTEIRA EM AÇO, VÃO DE 12 M, PARA TELHA ONDULADA DE FIBROCIMENTO, METÁLICA, PLÁSTICA OU TERMOACÚSTICA, INCLUSO IÇAMENTO. AF_12/2015</v>
      </c>
      <c r="F174" s="255" t="str">
        <f>IFERROR(VLOOKUP($C174,'SINAPI FEVEREIRO 2022'!$1:$1048576,3,0),IFERROR(VLOOKUP($C174,'5-COMP. PROPRIA'!$B$1:$I$647,5,0),""))</f>
        <v>UN</v>
      </c>
      <c r="G174" s="204">
        <f>QUANT!K526</f>
        <v>3</v>
      </c>
      <c r="H174" s="256">
        <f>IFERROR(VLOOKUP($C174,'SINAPI FEVEREIRO 2022'!$1:$1048576,4,0),IFERROR(VLOOKUP($C174,'5-COMP. PROPRIA'!$B$1:$I$647,8,0),""))</f>
        <v>2292.16</v>
      </c>
      <c r="I174" s="256">
        <f>TRUNC(($H174*'4-BDI'!$E$29),2)</f>
        <v>2939.46</v>
      </c>
      <c r="J174" s="266">
        <f t="shared" si="68"/>
        <v>6876.48</v>
      </c>
      <c r="K174" s="205">
        <f t="shared" si="69"/>
        <v>8818.3799999999992</v>
      </c>
    </row>
    <row r="175" spans="2:11" s="107" customFormat="1" ht="45">
      <c r="B175" s="210" t="s">
        <v>13296</v>
      </c>
      <c r="C175" s="201">
        <f>QUANT!C528</f>
        <v>100719</v>
      </c>
      <c r="D175" s="201" t="str">
        <f>QUANT!D528</f>
        <v>SINAPI</v>
      </c>
      <c r="E175" s="203" t="str">
        <f>IFERROR(VLOOKUP($C175,'SINAPI FEVEREIRO 2022'!$1:$1048576,2,0),IFERROR(VLOOKUP($C175,'5-COMP. PROPRIA'!$B$1:$I$647,4,0),""))</f>
        <v>PINTURA COM TINTA ALQUÍDICA DE FUNDO (TIPO ZARCÃO) PULVERIZADA SOBRE PERFIL METÁLICO EXECUTADO EM FÁBRICA (POR DEMÃO). AF_01/2020_P</v>
      </c>
      <c r="F175" s="255" t="str">
        <f>IFERROR(VLOOKUP($C175,'SINAPI FEVEREIRO 2022'!$1:$1048576,3,0),IFERROR(VLOOKUP($C175,'5-COMP. PROPRIA'!$B$1:$I$647,5,0),""))</f>
        <v>M2</v>
      </c>
      <c r="G175" s="204">
        <f>QUANT!K528</f>
        <v>1072.0577419528618</v>
      </c>
      <c r="H175" s="256">
        <f>IFERROR(VLOOKUP($C175,'SINAPI FEVEREIRO 2022'!$1:$1048576,4,0),IFERROR(VLOOKUP($C175,'5-COMP. PROPRIA'!$B$1:$I$647,8,0),""))</f>
        <v>8.0500000000000007</v>
      </c>
      <c r="I175" s="256">
        <f>TRUNC(($H175*'4-BDI'!$E$29),2)</f>
        <v>10.32</v>
      </c>
      <c r="J175" s="266">
        <f t="shared" ref="J175" si="70">TRUNC((G175*H175),2)</f>
        <v>8630.06</v>
      </c>
      <c r="K175" s="205">
        <f t="shared" ref="K175" si="71">TRUNC((I175*G175),2)</f>
        <v>11063.63</v>
      </c>
    </row>
    <row r="176" spans="2:11" s="107" customFormat="1" ht="15.75">
      <c r="B176" s="915" t="s">
        <v>8286</v>
      </c>
      <c r="C176" s="916"/>
      <c r="D176" s="916"/>
      <c r="E176" s="916"/>
      <c r="F176" s="916"/>
      <c r="G176" s="916"/>
      <c r="H176" s="916"/>
      <c r="I176" s="917"/>
      <c r="J176" s="207">
        <f>TRUNC(SUM(J168:J175),2)</f>
        <v>131481.69</v>
      </c>
      <c r="K176" s="207">
        <f>TRUNC(SUM(K168:K175),2)</f>
        <v>168605.03</v>
      </c>
    </row>
    <row r="177" spans="2:11" s="107" customFormat="1" ht="15.75">
      <c r="B177" s="285" t="s">
        <v>3583</v>
      </c>
      <c r="C177" s="286"/>
      <c r="D177" s="287"/>
      <c r="E177" s="288" t="str">
        <f>QUANT!E534</f>
        <v xml:space="preserve">TELHAMENTO </v>
      </c>
      <c r="F177" s="289"/>
      <c r="G177" s="290"/>
      <c r="H177" s="291"/>
      <c r="I177" s="291"/>
      <c r="J177" s="291"/>
      <c r="K177" s="292"/>
    </row>
    <row r="178" spans="2:11" s="107" customFormat="1" ht="60">
      <c r="B178" s="210" t="s">
        <v>7326</v>
      </c>
      <c r="C178" s="201">
        <f>QUANT!C536</f>
        <v>94207</v>
      </c>
      <c r="D178" s="201" t="str">
        <f>QUANT!D536</f>
        <v>SINAPI</v>
      </c>
      <c r="E178" s="203" t="str">
        <f>IFERROR(VLOOKUP($C178,'SINAPI FEVEREIRO 2022'!$1:$1048576,2,0),IFERROR(VLOOKUP($C178,'5-COMP. PROPRIA'!$B$1:$I$647,4,0),""))</f>
        <v>TELHAMENTO COM TELHA ONDULADA DE FIBROCIMENTO E = 6 MM, COM RECOBRIMENTO LATERAL DE 1/4 DE ONDA PARA TELHADO COM INCLINAÇÃO MAIOR QUE 10°, COM ATÉ 2 ÁGUAS, INCLUSO IÇAMENTO. AF_07/2019</v>
      </c>
      <c r="F178" s="255" t="str">
        <f>IFERROR(VLOOKUP($C178,'SINAPI FEVEREIRO 2022'!$1:$1048576,3,0),IFERROR(VLOOKUP($C178,'5-COMP. PROPRIA'!$B$1:$I$647,5,0),""))</f>
        <v>M2</v>
      </c>
      <c r="G178" s="204">
        <f>QUANT!K536</f>
        <v>1085.6411999999998</v>
      </c>
      <c r="H178" s="256">
        <f>IFERROR(VLOOKUP($C178,'SINAPI FEVEREIRO 2022'!$1:$1048576,4,0),IFERROR(VLOOKUP($C178,'5-COMP. PROPRIA'!$B$1:$I$647,8,0),""))</f>
        <v>47.85</v>
      </c>
      <c r="I178" s="256">
        <f>TRUNC(($H178*'4-BDI'!$E$29),2)</f>
        <v>61.36</v>
      </c>
      <c r="J178" s="266">
        <f>TRUNC((G178*H178),2)</f>
        <v>51947.93</v>
      </c>
      <c r="K178" s="205">
        <f>TRUNC((I178*G178),2)</f>
        <v>66614.94</v>
      </c>
    </row>
    <row r="179" spans="2:11" s="107" customFormat="1" ht="30">
      <c r="B179" s="210" t="s">
        <v>7327</v>
      </c>
      <c r="C179" s="201">
        <f>QUANT!C540</f>
        <v>94223</v>
      </c>
      <c r="D179" s="201" t="str">
        <f>QUANT!D540</f>
        <v>SINAPI</v>
      </c>
      <c r="E179" s="203" t="str">
        <f>IFERROR(VLOOKUP($C179,'SINAPI FEVEREIRO 2022'!$1:$1048576,2,0),IFERROR(VLOOKUP($C179,'5-COMP. PROPRIA'!$B$1:$I$647,4,0),""))</f>
        <v>CUMEEIRA PARA TELHA DE FIBROCIMENTO ONDULADA E = 6 MM, INCLUSO ACESSÓRIOS DE FIXAÇÃO E IÇAMENTO. AF_07/2019</v>
      </c>
      <c r="F179" s="255" t="str">
        <f>IFERROR(VLOOKUP($C179,'SINAPI FEVEREIRO 2022'!$1:$1048576,3,0),IFERROR(VLOOKUP($C179,'5-COMP. PROPRIA'!$B$1:$I$647,5,0),""))</f>
        <v>M</v>
      </c>
      <c r="G179" s="204">
        <f>QUANT!K540</f>
        <v>119.64999999999999</v>
      </c>
      <c r="H179" s="256">
        <f>IFERROR(VLOOKUP($C179,'SINAPI FEVEREIRO 2022'!$1:$1048576,4,0),IFERROR(VLOOKUP($C179,'5-COMP. PROPRIA'!$B$1:$I$647,8,0),""))</f>
        <v>84.46</v>
      </c>
      <c r="I179" s="256">
        <f>TRUNC(($H179*'4-BDI'!$E$29),2)</f>
        <v>108.31</v>
      </c>
      <c r="J179" s="266">
        <f>TRUNC((G179*H179),2)</f>
        <v>10105.629999999999</v>
      </c>
      <c r="K179" s="205">
        <f>TRUNC((I179*G179),2)</f>
        <v>12959.29</v>
      </c>
    </row>
    <row r="180" spans="2:11" s="107" customFormat="1" ht="30">
      <c r="B180" s="210" t="s">
        <v>7328</v>
      </c>
      <c r="C180" s="201" t="str">
        <f>QUANT!C544</f>
        <v>CP-COB-01</v>
      </c>
      <c r="D180" s="201" t="str">
        <f>QUANT!D544</f>
        <v>PROPRIA</v>
      </c>
      <c r="E180" s="203" t="str">
        <f>IFERROR(VLOOKUP($C180,'SINAPI FEVEREIRO 2022'!$1:$1048576,2,0),IFERROR(VLOOKUP($C180,'5-COMP. PROPRIA'!$B$1:$I$647,4,0),""))</f>
        <v>ACABAMENTO DE BEIRAL METÁLICO HORIZONTAL L=20CM, COM PINTURA, FORNECIMENTO E INSTALAÇÃO</v>
      </c>
      <c r="F180" s="255" t="str">
        <f>IFERROR(VLOOKUP($C180,'SINAPI FEVEREIRO 2022'!$1:$1048576,3,0),IFERROR(VLOOKUP($C180,'5-COMP. PROPRIA'!$B$1:$I$647,5,0),""))</f>
        <v>M</v>
      </c>
      <c r="G180" s="204">
        <f>QUANT!K544</f>
        <v>219.54</v>
      </c>
      <c r="H180" s="256">
        <f>IFERROR(VLOOKUP($C180,'SINAPI FEVEREIRO 2022'!$1:$1048576,4,0),IFERROR(VLOOKUP($C180,'5-COMP. PROPRIA'!$B$1:$I$647,8,0),""))</f>
        <v>119.13</v>
      </c>
      <c r="I180" s="256">
        <f>TRUNC(($H180*'4-BDI'!$E$29),2)</f>
        <v>152.77000000000001</v>
      </c>
      <c r="J180" s="266">
        <f t="shared" ref="J180:J181" si="72">TRUNC((G180*H180),2)</f>
        <v>26153.8</v>
      </c>
      <c r="K180" s="205">
        <f t="shared" ref="K180:K181" si="73">TRUNC((I180*G180),2)</f>
        <v>33539.120000000003</v>
      </c>
    </row>
    <row r="181" spans="2:11" s="107" customFormat="1" ht="30">
      <c r="B181" s="210" t="s">
        <v>8005</v>
      </c>
      <c r="C181" s="201">
        <f>QUANT!C548</f>
        <v>100327</v>
      </c>
      <c r="D181" s="201" t="str">
        <f>QUANT!D548</f>
        <v>SINAPI</v>
      </c>
      <c r="E181" s="203" t="str">
        <f>IFERROR(VLOOKUP($C181,'SINAPI FEVEREIRO 2022'!$1:$1048576,2,0),IFERROR(VLOOKUP($C181,'5-COMP. PROPRIA'!$B$1:$I$647,4,0),""))</f>
        <v>RUFO EXTERNO/INTERNO EM CHAPA DE AÇO GALVANIZADO NÚMERO 26, CORTE DE 33 CM, INCLUSO IÇAMENTO. AF_07/2019</v>
      </c>
      <c r="F181" s="255" t="str">
        <f>IFERROR(VLOOKUP($C181,'SINAPI FEVEREIRO 2022'!$1:$1048576,3,0),IFERROR(VLOOKUP($C181,'5-COMP. PROPRIA'!$B$1:$I$647,5,0),""))</f>
        <v>M</v>
      </c>
      <c r="G181" s="204">
        <f>QUANT!K548</f>
        <v>62.47</v>
      </c>
      <c r="H181" s="256">
        <f>IFERROR(VLOOKUP($C181,'SINAPI FEVEREIRO 2022'!$1:$1048576,4,0),IFERROR(VLOOKUP($C181,'5-COMP. PROPRIA'!$B$1:$I$647,8,0),""))</f>
        <v>57.6</v>
      </c>
      <c r="I181" s="256">
        <f>TRUNC(($H181*'4-BDI'!$E$29),2)</f>
        <v>73.86</v>
      </c>
      <c r="J181" s="266">
        <f t="shared" si="72"/>
        <v>3598.27</v>
      </c>
      <c r="K181" s="205">
        <f t="shared" si="73"/>
        <v>4614.03</v>
      </c>
    </row>
    <row r="182" spans="2:11" s="107" customFormat="1" ht="15.75" customHeight="1">
      <c r="B182" s="915" t="s">
        <v>8286</v>
      </c>
      <c r="C182" s="916"/>
      <c r="D182" s="916"/>
      <c r="E182" s="916"/>
      <c r="F182" s="916"/>
      <c r="G182" s="916"/>
      <c r="H182" s="916"/>
      <c r="I182" s="917"/>
      <c r="J182" s="207">
        <f>TRUNC(SUM(J178:J181),2)</f>
        <v>91805.63</v>
      </c>
      <c r="K182" s="207">
        <f>TRUNC(SUM(K178:K181),2)</f>
        <v>117727.38</v>
      </c>
    </row>
    <row r="183" spans="2:11" s="107" customFormat="1" ht="15.75">
      <c r="B183" s="285" t="s">
        <v>4124</v>
      </c>
      <c r="C183" s="286"/>
      <c r="D183" s="287"/>
      <c r="E183" s="288" t="str">
        <f>QUANT!E552</f>
        <v xml:space="preserve">FORROS </v>
      </c>
      <c r="F183" s="289"/>
      <c r="G183" s="290"/>
      <c r="H183" s="291"/>
      <c r="I183" s="291"/>
      <c r="J183" s="291"/>
      <c r="K183" s="292"/>
    </row>
    <row r="184" spans="2:11" s="107" customFormat="1" ht="30">
      <c r="B184" s="210" t="s">
        <v>7329</v>
      </c>
      <c r="C184" s="201">
        <f>QUANT!C554</f>
        <v>96116</v>
      </c>
      <c r="D184" s="201" t="str">
        <f>QUANT!D554</f>
        <v>SINAPI</v>
      </c>
      <c r="E184" s="203" t="str">
        <f>IFERROR(VLOOKUP($C184,'SINAPI FEVEREIRO 2022'!$1:$1048576,2,0),IFERROR(VLOOKUP($C184,'5-COMP. PROPRIA'!$B$1:$I$647,4,0),""))</f>
        <v>FORRO EM RÉGUAS DE PVC, FRISADO, PARA AMBIENTES COMERCIAIS, INCLUSIVE ESTRUTURA DE FIXAÇÃO. AF_05/2017_P</v>
      </c>
      <c r="F184" s="255" t="str">
        <f>IFERROR(VLOOKUP($C184,'SINAPI FEVEREIRO 2022'!$1:$1048576,3,0),IFERROR(VLOOKUP($C184,'5-COMP. PROPRIA'!$B$1:$I$647,5,0),""))</f>
        <v>M2</v>
      </c>
      <c r="G184" s="204">
        <f>QUANT!K554</f>
        <v>1013.4499999999999</v>
      </c>
      <c r="H184" s="256">
        <f>IFERROR(VLOOKUP($C184,'SINAPI FEVEREIRO 2022'!$1:$1048576,4,0),IFERROR(VLOOKUP($C184,'5-COMP. PROPRIA'!$B$1:$I$647,8,0),""))</f>
        <v>77.52</v>
      </c>
      <c r="I184" s="256">
        <f>TRUNC(($H184*'4-BDI'!$E$29),2)</f>
        <v>99.41</v>
      </c>
      <c r="J184" s="266">
        <f>TRUNC((G184*H184),2)</f>
        <v>78562.64</v>
      </c>
      <c r="K184" s="205">
        <f>TRUNC((I184*G184),2)</f>
        <v>100747.06</v>
      </c>
    </row>
    <row r="185" spans="2:11" s="107" customFormat="1" ht="15.75">
      <c r="B185" s="915" t="s">
        <v>8286</v>
      </c>
      <c r="C185" s="916"/>
      <c r="D185" s="916"/>
      <c r="E185" s="916"/>
      <c r="F185" s="916"/>
      <c r="G185" s="916"/>
      <c r="H185" s="916"/>
      <c r="I185" s="917"/>
      <c r="J185" s="207">
        <f>TRUNC(SUM(J184),2)</f>
        <v>78562.64</v>
      </c>
      <c r="K185" s="207">
        <f>TRUNC(SUM(K184),2)</f>
        <v>100747.06</v>
      </c>
    </row>
    <row r="186" spans="2:11" s="107" customFormat="1" ht="15.75" customHeight="1">
      <c r="B186" s="285" t="s">
        <v>4125</v>
      </c>
      <c r="C186" s="286"/>
      <c r="D186" s="287"/>
      <c r="E186" s="288" t="str">
        <f>QUANT!E558</f>
        <v xml:space="preserve">PINTURA INTERNA E EXTERNA </v>
      </c>
      <c r="F186" s="289"/>
      <c r="G186" s="290"/>
      <c r="H186" s="291"/>
      <c r="I186" s="291"/>
      <c r="J186" s="291"/>
      <c r="K186" s="292"/>
    </row>
    <row r="187" spans="2:11" s="283" customFormat="1" ht="15.75">
      <c r="B187" s="535" t="s">
        <v>8006</v>
      </c>
      <c r="C187" s="536"/>
      <c r="D187" s="537"/>
      <c r="E187" s="538" t="str">
        <f>QUANT!E559</f>
        <v>MURO</v>
      </c>
      <c r="F187" s="539"/>
      <c r="G187" s="540"/>
      <c r="H187" s="541"/>
      <c r="I187" s="541"/>
      <c r="J187" s="541"/>
      <c r="K187" s="557"/>
    </row>
    <row r="188" spans="2:11" s="107" customFormat="1" ht="30">
      <c r="B188" s="210" t="s">
        <v>8007</v>
      </c>
      <c r="C188" s="201">
        <f>QUANT!C561</f>
        <v>88485</v>
      </c>
      <c r="D188" s="201" t="str">
        <f>QUANT!D561</f>
        <v>SINAPI</v>
      </c>
      <c r="E188" s="203" t="str">
        <f>IFERROR(VLOOKUP($C188,'SINAPI FEVEREIRO 2022'!$1:$1048576,2,0),IFERROR(VLOOKUP($C188,'5-COMP. PROPRIA'!$B$1:$I$647,4,0),""))</f>
        <v>APLICAÇÃO DE FUNDO SELADOR ACRÍLICO EM PAREDES, UMA DEMÃO. AF_06/2014</v>
      </c>
      <c r="F188" s="255" t="str">
        <f>IFERROR(VLOOKUP($C188,'SINAPI FEVEREIRO 2022'!$1:$1048576,3,0),IFERROR(VLOOKUP($C188,'5-COMP. PROPRIA'!$B$1:$I$647,5,0),""))</f>
        <v>M2</v>
      </c>
      <c r="G188" s="204">
        <f>QUANT!K561</f>
        <v>1350.36</v>
      </c>
      <c r="H188" s="256">
        <f>IFERROR(VLOOKUP($C188,'SINAPI FEVEREIRO 2022'!$1:$1048576,4,0),IFERROR(VLOOKUP($C188,'5-COMP. PROPRIA'!$B$1:$I$647,8,0),""))</f>
        <v>1.69</v>
      </c>
      <c r="I188" s="256">
        <f>TRUNC(($H188*'4-BDI'!$E$29),2)</f>
        <v>2.16</v>
      </c>
      <c r="J188" s="266">
        <f>TRUNC((G188*H188),2)</f>
        <v>2282.1</v>
      </c>
      <c r="K188" s="205">
        <f>TRUNC((I188*G188),2)</f>
        <v>2916.77</v>
      </c>
    </row>
    <row r="189" spans="2:11" s="107" customFormat="1" ht="30">
      <c r="B189" s="210" t="s">
        <v>8008</v>
      </c>
      <c r="C189" s="201">
        <f>QUANT!C563</f>
        <v>96130</v>
      </c>
      <c r="D189" s="201" t="str">
        <f>QUANT!D563</f>
        <v>SINAPI</v>
      </c>
      <c r="E189" s="203" t="str">
        <f>IFERROR(VLOOKUP($C189,'SINAPI FEVEREIRO 2022'!$1:$1048576,2,0),IFERROR(VLOOKUP($C189,'5-COMP. PROPRIA'!$B$1:$I$647,4,0),""))</f>
        <v>APLICAÇÃO MANUAL DE MASSA ACRÍLICA EM PAREDES EXTERNAS DE CASAS, UMA DEMÃO. AF_05/2017</v>
      </c>
      <c r="F189" s="255" t="str">
        <f>IFERROR(VLOOKUP($C189,'SINAPI FEVEREIRO 2022'!$1:$1048576,3,0),IFERROR(VLOOKUP($C189,'5-COMP. PROPRIA'!$B$1:$I$647,5,0),""))</f>
        <v>M2</v>
      </c>
      <c r="G189" s="204">
        <f>QUANT!K563</f>
        <v>1350.36</v>
      </c>
      <c r="H189" s="256">
        <f>IFERROR(VLOOKUP($C189,'SINAPI FEVEREIRO 2022'!$1:$1048576,4,0),IFERROR(VLOOKUP($C189,'5-COMP. PROPRIA'!$B$1:$I$647,8,0),""))</f>
        <v>16.47</v>
      </c>
      <c r="I189" s="256">
        <f>TRUNC(($H189*'4-BDI'!$E$29),2)</f>
        <v>21.12</v>
      </c>
      <c r="J189" s="266">
        <f t="shared" ref="J189:J190" si="74">TRUNC((G189*H189),2)</f>
        <v>22240.42</v>
      </c>
      <c r="K189" s="205">
        <f t="shared" ref="K189:K190" si="75">TRUNC((I189*G189),2)</f>
        <v>28519.599999999999</v>
      </c>
    </row>
    <row r="190" spans="2:11" s="107" customFormat="1" ht="30">
      <c r="B190" s="210" t="s">
        <v>8009</v>
      </c>
      <c r="C190" s="201">
        <f>QUANT!C565</f>
        <v>88489</v>
      </c>
      <c r="D190" s="201" t="str">
        <f>QUANT!D565</f>
        <v>SINAPI</v>
      </c>
      <c r="E190" s="203" t="str">
        <f>IFERROR(VLOOKUP($C190,'SINAPI FEVEREIRO 2022'!$1:$1048576,2,0),IFERROR(VLOOKUP($C190,'5-COMP. PROPRIA'!$B$1:$I$647,4,0),""))</f>
        <v>APLICAÇÃO MANUAL DE PINTURA COM TINTA LÁTEX ACRÍLICA EM PAREDES, DUAS DEMÃOS. AF_06/2014</v>
      </c>
      <c r="F190" s="255" t="str">
        <f>IFERROR(VLOOKUP($C190,'SINAPI FEVEREIRO 2022'!$1:$1048576,3,0),IFERROR(VLOOKUP($C190,'5-COMP. PROPRIA'!$B$1:$I$647,5,0),""))</f>
        <v>M2</v>
      </c>
      <c r="G190" s="204">
        <f>QUANT!K565</f>
        <v>1350.36</v>
      </c>
      <c r="H190" s="256">
        <f>IFERROR(VLOOKUP($C190,'SINAPI FEVEREIRO 2022'!$1:$1048576,4,0),IFERROR(VLOOKUP($C190,'5-COMP. PROPRIA'!$B$1:$I$647,8,0),""))</f>
        <v>12.15</v>
      </c>
      <c r="I190" s="256">
        <f>TRUNC(($H190*'4-BDI'!$E$29),2)</f>
        <v>15.58</v>
      </c>
      <c r="J190" s="266">
        <f t="shared" si="74"/>
        <v>16406.87</v>
      </c>
      <c r="K190" s="205">
        <f t="shared" si="75"/>
        <v>21038.6</v>
      </c>
    </row>
    <row r="191" spans="2:11" s="107" customFormat="1" ht="30">
      <c r="B191" s="210" t="s">
        <v>8010</v>
      </c>
      <c r="C191" s="201" t="str">
        <f>QUANT!C567</f>
        <v>CP-PIN-02</v>
      </c>
      <c r="D191" s="201" t="str">
        <f>QUANT!D567</f>
        <v>PROPRIA</v>
      </c>
      <c r="E191" s="203" t="str">
        <f>IFERROR(VLOOKUP($C191,'SINAPI FEVEREIRO 2022'!$1:$1048576,2,0),IFERROR(VLOOKUP($C191,'5-COMP. PROPRIA'!$B$1:$I$647,4,0),""))</f>
        <v>PINTURA TINTA DE ACABAMENTO (PIGMENTADA) ESMALTE BRILHANTE BASE B2, 2 DEMÃOS.</v>
      </c>
      <c r="F191" s="255" t="str">
        <f>IFERROR(VLOOKUP($C191,'SINAPI FEVEREIRO 2022'!$1:$1048576,3,0),IFERROR(VLOOKUP($C191,'5-COMP. PROPRIA'!$B$1:$I$647,5,0),""))</f>
        <v>M2</v>
      </c>
      <c r="G191" s="204">
        <f>QUANT!K567</f>
        <v>41.879999999999995</v>
      </c>
      <c r="H191" s="256">
        <f>IFERROR(VLOOKUP($C191,'SINAPI FEVEREIRO 2022'!$1:$1048576,4,0),IFERROR(VLOOKUP($C191,'5-COMP. PROPRIA'!$B$1:$I$647,8,0),""))</f>
        <v>14.13</v>
      </c>
      <c r="I191" s="256">
        <f>TRUNC(($H191*'4-BDI'!$E$29),2)</f>
        <v>18.12</v>
      </c>
      <c r="J191" s="266">
        <f t="shared" ref="J191:J195" si="76">TRUNC((G191*H191),2)</f>
        <v>591.76</v>
      </c>
      <c r="K191" s="205">
        <f t="shared" ref="K191:K195" si="77">TRUNC((I191*G191),2)</f>
        <v>758.86</v>
      </c>
    </row>
    <row r="192" spans="2:11" s="107" customFormat="1" ht="30">
      <c r="B192" s="210" t="s">
        <v>8011</v>
      </c>
      <c r="C192" s="201">
        <f>QUANT!C571</f>
        <v>102513</v>
      </c>
      <c r="D192" s="201" t="str">
        <f>QUANT!D571</f>
        <v>SINAPI</v>
      </c>
      <c r="E192" s="203" t="str">
        <f>IFERROR(VLOOKUP($C192,'SINAPI FEVEREIRO 2022'!$1:$1048576,2,0),IFERROR(VLOOKUP($C192,'5-COMP. PROPRIA'!$B$1:$I$647,4,0),""))</f>
        <v>PINTURA DE SÍMBOLOS E TEXTOS COM TINTA ACRÍLICA, DEMARCAÇÃO COM FITA ADESIVA E APLICAÇÃO COM ROLO. AF_05/2021</v>
      </c>
      <c r="F192" s="255" t="str">
        <f>IFERROR(VLOOKUP($C192,'SINAPI FEVEREIRO 2022'!$1:$1048576,3,0),IFERROR(VLOOKUP($C192,'5-COMP. PROPRIA'!$B$1:$I$647,5,0),""))</f>
        <v>M2</v>
      </c>
      <c r="G192" s="204">
        <f>QUANT!K571</f>
        <v>30</v>
      </c>
      <c r="H192" s="256">
        <f>IFERROR(VLOOKUP($C192,'SINAPI FEVEREIRO 2022'!$1:$1048576,4,0),IFERROR(VLOOKUP($C192,'5-COMP. PROPRIA'!$B$1:$I$647,8,0),""))</f>
        <v>33.68</v>
      </c>
      <c r="I192" s="256">
        <f>TRUNC(($H192*'4-BDI'!$E$29),2)</f>
        <v>43.19</v>
      </c>
      <c r="J192" s="266">
        <f t="shared" si="76"/>
        <v>1010.4</v>
      </c>
      <c r="K192" s="205">
        <f t="shared" si="77"/>
        <v>1295.7</v>
      </c>
    </row>
    <row r="193" spans="2:11" s="107" customFormat="1" ht="15.75">
      <c r="B193" s="915" t="s">
        <v>8287</v>
      </c>
      <c r="C193" s="916"/>
      <c r="D193" s="916"/>
      <c r="E193" s="916"/>
      <c r="F193" s="916"/>
      <c r="G193" s="916"/>
      <c r="H193" s="916"/>
      <c r="I193" s="917"/>
      <c r="J193" s="207">
        <f>TRUNC(SUM(J188:J192),2)</f>
        <v>42531.55</v>
      </c>
      <c r="K193" s="207">
        <f>TRUNC(SUM(K188:K192),2)</f>
        <v>54529.53</v>
      </c>
    </row>
    <row r="194" spans="2:11" s="107" customFormat="1" ht="15.75">
      <c r="B194" s="535" t="s">
        <v>8012</v>
      </c>
      <c r="C194" s="536"/>
      <c r="D194" s="537"/>
      <c r="E194" s="538" t="str">
        <f>QUANT!E573</f>
        <v>ESCOLA</v>
      </c>
      <c r="F194" s="539"/>
      <c r="G194" s="540"/>
      <c r="H194" s="541"/>
      <c r="I194" s="541"/>
      <c r="J194" s="541"/>
      <c r="K194" s="557"/>
    </row>
    <row r="195" spans="2:11" s="107" customFormat="1" ht="15">
      <c r="B195" s="210" t="s">
        <v>8013</v>
      </c>
      <c r="C195" s="201" t="str">
        <f>QUANT!C575</f>
        <v>CP-PIN-01</v>
      </c>
      <c r="D195" s="201" t="str">
        <f>QUANT!D575</f>
        <v>PRÓPRIA</v>
      </c>
      <c r="E195" s="203" t="str">
        <f>IFERROR(VLOOKUP($C195,'SINAPI FEVEREIRO 2022'!$1:$1048576,2,0),IFERROR(VLOOKUP($C195,'5-COMP. PROPRIA'!$B$1:$I$647,4,0),""))</f>
        <v>LIXAMENTO MANUAL DE ALVENARIA</v>
      </c>
      <c r="F195" s="255" t="str">
        <f>IFERROR(VLOOKUP($C195,'SINAPI FEVEREIRO 2022'!$1:$1048576,3,0),IFERROR(VLOOKUP($C195,'5-COMP. PROPRIA'!$B$1:$I$647,5,0),""))</f>
        <v>M2</v>
      </c>
      <c r="G195" s="204">
        <f>QUANT!K575</f>
        <v>1608.6600000000003</v>
      </c>
      <c r="H195" s="256">
        <f>IFERROR(VLOOKUP($C195,'SINAPI FEVEREIRO 2022'!$1:$1048576,4,0),IFERROR(VLOOKUP($C195,'5-COMP. PROPRIA'!$B$1:$I$647,8,0),""))</f>
        <v>2.0699999999999998</v>
      </c>
      <c r="I195" s="256">
        <f>TRUNC(($H195*'4-BDI'!$E$29),2)</f>
        <v>2.65</v>
      </c>
      <c r="J195" s="266">
        <f t="shared" si="76"/>
        <v>3329.92</v>
      </c>
      <c r="K195" s="205">
        <f t="shared" si="77"/>
        <v>4262.9399999999996</v>
      </c>
    </row>
    <row r="196" spans="2:11" s="107" customFormat="1" ht="30">
      <c r="B196" s="210" t="s">
        <v>8014</v>
      </c>
      <c r="C196" s="201">
        <f>QUANT!C581</f>
        <v>88485</v>
      </c>
      <c r="D196" s="201" t="str">
        <f>QUANT!D581</f>
        <v>SINAPI</v>
      </c>
      <c r="E196" s="203" t="str">
        <f>IFERROR(VLOOKUP($C196,'SINAPI FEVEREIRO 2022'!$1:$1048576,2,0),IFERROR(VLOOKUP($C196,'5-COMP. PROPRIA'!$B$1:$I$647,4,0),""))</f>
        <v>APLICAÇÃO DE FUNDO SELADOR ACRÍLICO EM PAREDES, UMA DEMÃO. AF_06/2014</v>
      </c>
      <c r="F196" s="255" t="str">
        <f>IFERROR(VLOOKUP($C196,'SINAPI FEVEREIRO 2022'!$1:$1048576,3,0),IFERROR(VLOOKUP($C196,'5-COMP. PROPRIA'!$B$1:$I$647,5,0),""))</f>
        <v>M2</v>
      </c>
      <c r="G196" s="204">
        <f>QUANT!K581</f>
        <v>1608.6600000000003</v>
      </c>
      <c r="H196" s="256">
        <f>IFERROR(VLOOKUP($C196,'SINAPI FEVEREIRO 2022'!$1:$1048576,4,0),IFERROR(VLOOKUP($C196,'5-COMP. PROPRIA'!$B$1:$I$647,8,0),""))</f>
        <v>1.69</v>
      </c>
      <c r="I196" s="256">
        <f>TRUNC(($H196*'4-BDI'!$E$29),2)</f>
        <v>2.16</v>
      </c>
      <c r="J196" s="266">
        <f t="shared" ref="J196:J200" si="78">TRUNC((G196*H196),2)</f>
        <v>2718.63</v>
      </c>
      <c r="K196" s="205">
        <f t="shared" ref="K196:K200" si="79">TRUNC((I196*G196),2)</f>
        <v>3474.7</v>
      </c>
    </row>
    <row r="197" spans="2:11" s="107" customFormat="1" ht="30">
      <c r="B197" s="210" t="s">
        <v>8015</v>
      </c>
      <c r="C197" s="201">
        <f>QUANT!C583</f>
        <v>96135</v>
      </c>
      <c r="D197" s="201" t="str">
        <f>QUANT!D583</f>
        <v>SINAPI</v>
      </c>
      <c r="E197" s="203" t="str">
        <f>IFERROR(VLOOKUP($C197,'SINAPI FEVEREIRO 2022'!$1:$1048576,2,0),IFERROR(VLOOKUP($C197,'5-COMP. PROPRIA'!$B$1:$I$647,4,0),""))</f>
        <v>APLICAÇÃO MANUAL DE MASSA ACRÍLICA EM PAREDES EXTERNAS DE CASAS, DUAS DEMÃOS. AF_05/2017</v>
      </c>
      <c r="F197" s="255" t="str">
        <f>IFERROR(VLOOKUP($C197,'SINAPI FEVEREIRO 2022'!$1:$1048576,3,0),IFERROR(VLOOKUP($C197,'5-COMP. PROPRIA'!$B$1:$I$647,5,0),""))</f>
        <v>M2</v>
      </c>
      <c r="G197" s="204">
        <f>QUANT!K583</f>
        <v>1608.6600000000003</v>
      </c>
      <c r="H197" s="256">
        <f>IFERROR(VLOOKUP($C197,'SINAPI FEVEREIRO 2022'!$1:$1048576,4,0),IFERROR(VLOOKUP($C197,'5-COMP. PROPRIA'!$B$1:$I$647,8,0),""))</f>
        <v>22.94</v>
      </c>
      <c r="I197" s="256">
        <f>TRUNC(($H197*'4-BDI'!$E$29),2)</f>
        <v>29.41</v>
      </c>
      <c r="J197" s="266">
        <f t="shared" si="78"/>
        <v>36902.660000000003</v>
      </c>
      <c r="K197" s="205">
        <f t="shared" si="79"/>
        <v>47310.69</v>
      </c>
    </row>
    <row r="198" spans="2:11" s="107" customFormat="1" ht="30">
      <c r="B198" s="210" t="s">
        <v>8016</v>
      </c>
      <c r="C198" s="201">
        <f>QUANT!C585</f>
        <v>88489</v>
      </c>
      <c r="D198" s="201" t="str">
        <f>QUANT!D585</f>
        <v>SINAPI</v>
      </c>
      <c r="E198" s="203" t="str">
        <f>IFERROR(VLOOKUP($C198,'SINAPI FEVEREIRO 2022'!$1:$1048576,2,0),IFERROR(VLOOKUP($C198,'5-COMP. PROPRIA'!$B$1:$I$647,4,0),""))</f>
        <v>APLICAÇÃO MANUAL DE PINTURA COM TINTA LÁTEX ACRÍLICA EM PAREDES, DUAS DEMÃOS. AF_06/2014</v>
      </c>
      <c r="F198" s="255" t="str">
        <f>IFERROR(VLOOKUP($C198,'SINAPI FEVEREIRO 2022'!$1:$1048576,3,0),IFERROR(VLOOKUP($C198,'5-COMP. PROPRIA'!$B$1:$I$647,5,0),""))</f>
        <v>M2</v>
      </c>
      <c r="G198" s="204">
        <f>QUANT!K585</f>
        <v>897.9000000000002</v>
      </c>
      <c r="H198" s="256">
        <f>IFERROR(VLOOKUP($C198,'SINAPI FEVEREIRO 2022'!$1:$1048576,4,0),IFERROR(VLOOKUP($C198,'5-COMP. PROPRIA'!$B$1:$I$647,8,0),""))</f>
        <v>12.15</v>
      </c>
      <c r="I198" s="256">
        <f>TRUNC(($H198*'4-BDI'!$E$29),2)</f>
        <v>15.58</v>
      </c>
      <c r="J198" s="266">
        <f t="shared" si="78"/>
        <v>10909.48</v>
      </c>
      <c r="K198" s="205">
        <f t="shared" si="79"/>
        <v>13989.28</v>
      </c>
    </row>
    <row r="199" spans="2:11" s="107" customFormat="1" ht="30">
      <c r="B199" s="210" t="s">
        <v>8017</v>
      </c>
      <c r="C199" s="201" t="str">
        <f>QUANT!C591</f>
        <v>CP-PIN-02</v>
      </c>
      <c r="D199" s="201" t="str">
        <f>QUANT!D591</f>
        <v>PRÓPRIA</v>
      </c>
      <c r="E199" s="203" t="str">
        <f>IFERROR(VLOOKUP($C199,'SINAPI FEVEREIRO 2022'!$1:$1048576,2,0),IFERROR(VLOOKUP($C199,'5-COMP. PROPRIA'!$B$1:$I$647,4,0),""))</f>
        <v>PINTURA TINTA DE ACABAMENTO (PIGMENTADA) ESMALTE BRILHANTE BASE B2, 2 DEMÃOS.</v>
      </c>
      <c r="F199" s="255" t="str">
        <f>IFERROR(VLOOKUP($C199,'SINAPI FEVEREIRO 2022'!$1:$1048576,3,0),IFERROR(VLOOKUP($C199,'5-COMP. PROPRIA'!$B$1:$I$647,5,0),""))</f>
        <v>M2</v>
      </c>
      <c r="G199" s="204">
        <f>QUANT!K591</f>
        <v>536.52</v>
      </c>
      <c r="H199" s="256">
        <f>IFERROR(VLOOKUP($C199,'SINAPI FEVEREIRO 2022'!$1:$1048576,4,0),IFERROR(VLOOKUP($C199,'5-COMP. PROPRIA'!$B$1:$I$647,8,0),""))</f>
        <v>14.13</v>
      </c>
      <c r="I199" s="256">
        <f>TRUNC(($H199*'4-BDI'!$E$29),2)</f>
        <v>18.12</v>
      </c>
      <c r="J199" s="266">
        <f t="shared" si="78"/>
        <v>7581.02</v>
      </c>
      <c r="K199" s="205">
        <f t="shared" si="79"/>
        <v>9721.74</v>
      </c>
    </row>
    <row r="200" spans="2:11" s="107" customFormat="1" ht="30">
      <c r="B200" s="210" t="s">
        <v>8018</v>
      </c>
      <c r="C200" s="201">
        <f>QUANT!C596</f>
        <v>102491</v>
      </c>
      <c r="D200" s="201" t="str">
        <f>QUANT!D596</f>
        <v>SINAPI</v>
      </c>
      <c r="E200" s="203" t="str">
        <f>IFERROR(VLOOKUP($C200,'SINAPI FEVEREIRO 2022'!$1:$1048576,2,0),IFERROR(VLOOKUP($C200,'5-COMP. PROPRIA'!$B$1:$I$647,4,0),""))</f>
        <v>PINTURA DE PISO COM TINTA ACRÍLICA, APLICAÇÃO MANUAL, 2 DEMÃOS, INCLUSO FUNDO PREPARADOR. AF_05/2021</v>
      </c>
      <c r="F200" s="255" t="str">
        <f>IFERROR(VLOOKUP($C200,'SINAPI FEVEREIRO 2022'!$1:$1048576,3,0),IFERROR(VLOOKUP($C200,'5-COMP. PROPRIA'!$B$1:$I$647,5,0),""))</f>
        <v>M2</v>
      </c>
      <c r="G200" s="204">
        <f>QUANT!K596</f>
        <v>1608.6600000000003</v>
      </c>
      <c r="H200" s="256">
        <f>IFERROR(VLOOKUP($C200,'SINAPI FEVEREIRO 2022'!$1:$1048576,4,0),IFERROR(VLOOKUP($C200,'5-COMP. PROPRIA'!$B$1:$I$647,8,0),""))</f>
        <v>14.43</v>
      </c>
      <c r="I200" s="256">
        <f>TRUNC(($H200*'4-BDI'!$E$29),2)</f>
        <v>18.5</v>
      </c>
      <c r="J200" s="266">
        <f t="shared" si="78"/>
        <v>23212.959999999999</v>
      </c>
      <c r="K200" s="205">
        <f t="shared" si="79"/>
        <v>29760.21</v>
      </c>
    </row>
    <row r="201" spans="2:11" s="107" customFormat="1" ht="15.75">
      <c r="B201" s="915" t="s">
        <v>8287</v>
      </c>
      <c r="C201" s="916"/>
      <c r="D201" s="916"/>
      <c r="E201" s="916"/>
      <c r="F201" s="916"/>
      <c r="G201" s="916"/>
      <c r="H201" s="916"/>
      <c r="I201" s="917"/>
      <c r="J201" s="207">
        <f>TRUNC(SUM(J195:J200),2)</f>
        <v>84654.67</v>
      </c>
      <c r="K201" s="207">
        <f>TRUNC(SUM(K195:K200),2)</f>
        <v>108519.56</v>
      </c>
    </row>
    <row r="202" spans="2:11" s="107" customFormat="1" ht="15.75">
      <c r="B202" s="535" t="s">
        <v>8019</v>
      </c>
      <c r="C202" s="536"/>
      <c r="D202" s="537"/>
      <c r="E202" s="538" t="str">
        <f>QUANT!E434</f>
        <v>QUADRA</v>
      </c>
      <c r="F202" s="539"/>
      <c r="G202" s="540"/>
      <c r="H202" s="541"/>
      <c r="I202" s="541"/>
      <c r="J202" s="541"/>
      <c r="K202" s="557"/>
    </row>
    <row r="203" spans="2:11" s="107" customFormat="1" ht="15">
      <c r="B203" s="210" t="s">
        <v>8020</v>
      </c>
      <c r="C203" s="201" t="str">
        <f>QUANT!C600</f>
        <v>CP-PIN-01</v>
      </c>
      <c r="D203" s="201" t="str">
        <f>QUANT!D600</f>
        <v>PRÓPRIA</v>
      </c>
      <c r="E203" s="203" t="str">
        <f>IFERROR(VLOOKUP($C203,'SINAPI FEVEREIRO 2022'!$1:$1048576,2,0),IFERROR(VLOOKUP($C203,'5-COMP. PROPRIA'!$B$1:$I$647,4,0),""))</f>
        <v>LIXAMENTO MANUAL DE ALVENARIA</v>
      </c>
      <c r="F203" s="255" t="str">
        <f>IFERROR(VLOOKUP($C203,'SINAPI FEVEREIRO 2022'!$1:$1048576,3,0),IFERROR(VLOOKUP($C203,'5-COMP. PROPRIA'!$B$1:$I$647,5,0),""))</f>
        <v>M2</v>
      </c>
      <c r="G203" s="204">
        <f>QUANT!K600</f>
        <v>65.599999999999994</v>
      </c>
      <c r="H203" s="256">
        <f>IFERROR(VLOOKUP($C203,'SINAPI FEVEREIRO 2022'!$1:$1048576,4,0),IFERROR(VLOOKUP($C203,'5-COMP. PROPRIA'!$B$1:$I$647,8,0),""))</f>
        <v>2.0699999999999998</v>
      </c>
      <c r="I203" s="256">
        <f>TRUNC(($H203*'4-BDI'!$E$29),2)</f>
        <v>2.65</v>
      </c>
      <c r="J203" s="266">
        <f t="shared" ref="J203" si="80">TRUNC((G203*H203),2)</f>
        <v>135.79</v>
      </c>
      <c r="K203" s="205">
        <f t="shared" ref="K203" si="81">TRUNC((I203*G203),2)</f>
        <v>173.84</v>
      </c>
    </row>
    <row r="204" spans="2:11" s="107" customFormat="1" ht="30">
      <c r="B204" s="210" t="s">
        <v>8021</v>
      </c>
      <c r="C204" s="201">
        <f>QUANT!C602</f>
        <v>88485</v>
      </c>
      <c r="D204" s="201" t="str">
        <f>QUANT!D602</f>
        <v>SINAPI</v>
      </c>
      <c r="E204" s="203" t="str">
        <f>IFERROR(VLOOKUP($C204,'SINAPI FEVEREIRO 2022'!$1:$1048576,2,0),IFERROR(VLOOKUP($C204,'5-COMP. PROPRIA'!$B$1:$I$647,4,0),""))</f>
        <v>APLICAÇÃO DE FUNDO SELADOR ACRÍLICO EM PAREDES, UMA DEMÃO. AF_06/2014</v>
      </c>
      <c r="F204" s="255" t="str">
        <f>IFERROR(VLOOKUP($C204,'SINAPI FEVEREIRO 2022'!$1:$1048576,3,0),IFERROR(VLOOKUP($C204,'5-COMP. PROPRIA'!$B$1:$I$647,5,0),""))</f>
        <v>M2</v>
      </c>
      <c r="G204" s="204">
        <f>QUANT!K602</f>
        <v>65.599999999999994</v>
      </c>
      <c r="H204" s="256">
        <f>IFERROR(VLOOKUP($C204,'SINAPI FEVEREIRO 2022'!$1:$1048576,4,0),IFERROR(VLOOKUP($C204,'5-COMP. PROPRIA'!$B$1:$I$647,8,0),""))</f>
        <v>1.69</v>
      </c>
      <c r="I204" s="256">
        <f>TRUNC(($H204*'4-BDI'!$E$29),2)</f>
        <v>2.16</v>
      </c>
      <c r="J204" s="266">
        <f t="shared" ref="J204:J210" si="82">TRUNC((G204*H204),2)</f>
        <v>110.86</v>
      </c>
      <c r="K204" s="205">
        <f t="shared" ref="K204:K210" si="83">TRUNC((I204*G204),2)</f>
        <v>141.69</v>
      </c>
    </row>
    <row r="205" spans="2:11" s="107" customFormat="1" ht="30">
      <c r="B205" s="210" t="s">
        <v>8022</v>
      </c>
      <c r="C205" s="201">
        <f>QUANT!C604</f>
        <v>96135</v>
      </c>
      <c r="D205" s="201" t="str">
        <f>QUANT!D604</f>
        <v>SINAPI</v>
      </c>
      <c r="E205" s="203" t="str">
        <f>IFERROR(VLOOKUP($C205,'SINAPI FEVEREIRO 2022'!$1:$1048576,2,0),IFERROR(VLOOKUP($C205,'5-COMP. PROPRIA'!$B$1:$I$647,4,0),""))</f>
        <v>APLICAÇÃO MANUAL DE MASSA ACRÍLICA EM PAREDES EXTERNAS DE CASAS, DUAS DEMÃOS. AF_05/2017</v>
      </c>
      <c r="F205" s="255" t="str">
        <f>IFERROR(VLOOKUP($C205,'SINAPI FEVEREIRO 2022'!$1:$1048576,3,0),IFERROR(VLOOKUP($C205,'5-COMP. PROPRIA'!$B$1:$I$647,5,0),""))</f>
        <v>M2</v>
      </c>
      <c r="G205" s="204">
        <f>QUANT!K604</f>
        <v>65.599999999999994</v>
      </c>
      <c r="H205" s="256">
        <f>IFERROR(VLOOKUP($C205,'SINAPI FEVEREIRO 2022'!$1:$1048576,4,0),IFERROR(VLOOKUP($C205,'5-COMP. PROPRIA'!$B$1:$I$647,8,0),""))</f>
        <v>22.94</v>
      </c>
      <c r="I205" s="256">
        <f>TRUNC(($H205*'4-BDI'!$E$29),2)</f>
        <v>29.41</v>
      </c>
      <c r="J205" s="266">
        <f t="shared" si="82"/>
        <v>1504.86</v>
      </c>
      <c r="K205" s="205">
        <f t="shared" si="83"/>
        <v>1929.29</v>
      </c>
    </row>
    <row r="206" spans="2:11" s="107" customFormat="1" ht="30">
      <c r="B206" s="210" t="s">
        <v>8023</v>
      </c>
      <c r="C206" s="201">
        <f>QUANT!C606</f>
        <v>88489</v>
      </c>
      <c r="D206" s="201" t="str">
        <f>QUANT!D606</f>
        <v>SINAPI</v>
      </c>
      <c r="E206" s="203" t="str">
        <f>IFERROR(VLOOKUP($C206,'SINAPI FEVEREIRO 2022'!$1:$1048576,2,0),IFERROR(VLOOKUP($C206,'5-COMP. PROPRIA'!$B$1:$I$647,4,0),""))</f>
        <v>APLICAÇÃO MANUAL DE PINTURA COM TINTA LÁTEX ACRÍLICA EM PAREDES, DUAS DEMÃOS. AF_06/2014</v>
      </c>
      <c r="F206" s="255" t="str">
        <f>IFERROR(VLOOKUP($C206,'SINAPI FEVEREIRO 2022'!$1:$1048576,3,0),IFERROR(VLOOKUP($C206,'5-COMP. PROPRIA'!$B$1:$I$647,5,0),""))</f>
        <v>M2</v>
      </c>
      <c r="G206" s="204">
        <f>QUANT!K606</f>
        <v>39.359999999999992</v>
      </c>
      <c r="H206" s="256">
        <f>IFERROR(VLOOKUP($C206,'SINAPI FEVEREIRO 2022'!$1:$1048576,4,0),IFERROR(VLOOKUP($C206,'5-COMP. PROPRIA'!$B$1:$I$647,8,0),""))</f>
        <v>12.15</v>
      </c>
      <c r="I206" s="256">
        <f>TRUNC(($H206*'4-BDI'!$E$29),2)</f>
        <v>15.58</v>
      </c>
      <c r="J206" s="266">
        <f t="shared" si="82"/>
        <v>478.22</v>
      </c>
      <c r="K206" s="205">
        <f t="shared" si="83"/>
        <v>613.22</v>
      </c>
    </row>
    <row r="207" spans="2:11" s="107" customFormat="1" ht="30">
      <c r="B207" s="210" t="s">
        <v>8024</v>
      </c>
      <c r="C207" s="201" t="str">
        <f>QUANT!C608</f>
        <v>CP-PIN-02</v>
      </c>
      <c r="D207" s="201" t="str">
        <f>QUANT!D608</f>
        <v>PRÓPRIA</v>
      </c>
      <c r="E207" s="203" t="str">
        <f>IFERROR(VLOOKUP($C207,'SINAPI FEVEREIRO 2022'!$1:$1048576,2,0),IFERROR(VLOOKUP($C207,'5-COMP. PROPRIA'!$B$1:$I$647,4,0),""))</f>
        <v>PINTURA TINTA DE ACABAMENTO (PIGMENTADA) ESMALTE BRILHANTE BASE B2, 2 DEMÃOS.</v>
      </c>
      <c r="F207" s="255" t="str">
        <f>IFERROR(VLOOKUP($C207,'SINAPI FEVEREIRO 2022'!$1:$1048576,3,0),IFERROR(VLOOKUP($C207,'5-COMP. PROPRIA'!$B$1:$I$647,5,0),""))</f>
        <v>M2</v>
      </c>
      <c r="G207" s="204">
        <f>QUANT!K608</f>
        <v>26.240000000000002</v>
      </c>
      <c r="H207" s="256">
        <f>IFERROR(VLOOKUP($C207,'SINAPI FEVEREIRO 2022'!$1:$1048576,4,0),IFERROR(VLOOKUP($C207,'5-COMP. PROPRIA'!$B$1:$I$647,8,0),""))</f>
        <v>14.13</v>
      </c>
      <c r="I207" s="256">
        <f>TRUNC(($H207*'4-BDI'!$E$29),2)</f>
        <v>18.12</v>
      </c>
      <c r="J207" s="266">
        <f t="shared" si="82"/>
        <v>370.77</v>
      </c>
      <c r="K207" s="205">
        <f t="shared" si="83"/>
        <v>475.46</v>
      </c>
    </row>
    <row r="208" spans="2:11" s="107" customFormat="1" ht="45">
      <c r="B208" s="210" t="s">
        <v>8025</v>
      </c>
      <c r="C208" s="201">
        <f>QUANT!C610</f>
        <v>100749</v>
      </c>
      <c r="D208" s="201" t="str">
        <f>QUANT!D610</f>
        <v>SINAPI</v>
      </c>
      <c r="E208" s="203" t="str">
        <f>IFERROR(VLOOKUP($C208,'SINAPI FEVEREIRO 2022'!$1:$1048576,2,0),IFERROR(VLOOKUP($C208,'5-COMP. PROPRIA'!$B$1:$I$647,4,0),""))</f>
        <v>PINTURA COM TINTA ALQUÍDICA DE ACABAMENTO (ESMALTE SINTÉTICO FOSCO) PULVERIZADA SOBRE SUPERFÍCIES METÁLICAS (EXCETO PERFIL) EXECUTADO EM OBRA (POR DEMÃO). AF_01/2020_P</v>
      </c>
      <c r="F208" s="255" t="str">
        <f>IFERROR(VLOOKUP($C208,'SINAPI FEVEREIRO 2022'!$1:$1048576,3,0),IFERROR(VLOOKUP($C208,'5-COMP. PROPRIA'!$B$1:$I$647,5,0),""))</f>
        <v>M2</v>
      </c>
      <c r="G208" s="204">
        <f>QUANT!K610</f>
        <v>635.99</v>
      </c>
      <c r="H208" s="256">
        <f>IFERROR(VLOOKUP($C208,'SINAPI FEVEREIRO 2022'!$1:$1048576,4,0),IFERROR(VLOOKUP($C208,'5-COMP. PROPRIA'!$B$1:$I$647,8,0),""))</f>
        <v>17.46</v>
      </c>
      <c r="I208" s="256">
        <f>TRUNC(($H208*'4-BDI'!$E$29),2)</f>
        <v>22.39</v>
      </c>
      <c r="J208" s="266">
        <f t="shared" si="82"/>
        <v>11104.38</v>
      </c>
      <c r="K208" s="205">
        <f t="shared" si="83"/>
        <v>14239.81</v>
      </c>
    </row>
    <row r="209" spans="2:11" s="107" customFormat="1" ht="30">
      <c r="B209" s="210" t="s">
        <v>8026</v>
      </c>
      <c r="C209" s="201">
        <f>QUANT!C612</f>
        <v>102491</v>
      </c>
      <c r="D209" s="201" t="str">
        <f>QUANT!D612</f>
        <v>SINAPI</v>
      </c>
      <c r="E209" s="203" t="str">
        <f>IFERROR(VLOOKUP($C209,'SINAPI FEVEREIRO 2022'!$1:$1048576,2,0),IFERROR(VLOOKUP($C209,'5-COMP. PROPRIA'!$B$1:$I$647,4,0),""))</f>
        <v>PINTURA DE PISO COM TINTA ACRÍLICA, APLICAÇÃO MANUAL, 2 DEMÃOS, INCLUSO FUNDO PREPARADOR. AF_05/2021</v>
      </c>
      <c r="F209" s="255" t="str">
        <f>IFERROR(VLOOKUP($C209,'SINAPI FEVEREIRO 2022'!$1:$1048576,3,0),IFERROR(VLOOKUP($C209,'5-COMP. PROPRIA'!$B$1:$I$647,5,0),""))</f>
        <v>M2</v>
      </c>
      <c r="G209" s="204">
        <f>QUANT!K612</f>
        <v>254</v>
      </c>
      <c r="H209" s="256">
        <f>IFERROR(VLOOKUP($C209,'SINAPI FEVEREIRO 2022'!$1:$1048576,4,0),IFERROR(VLOOKUP($C209,'5-COMP. PROPRIA'!$B$1:$I$647,8,0),""))</f>
        <v>14.43</v>
      </c>
      <c r="I209" s="256">
        <f>TRUNC(($H209*'4-BDI'!$E$29),2)</f>
        <v>18.5</v>
      </c>
      <c r="J209" s="266">
        <f t="shared" si="82"/>
        <v>3665.22</v>
      </c>
      <c r="K209" s="205">
        <f t="shared" si="83"/>
        <v>4699</v>
      </c>
    </row>
    <row r="210" spans="2:11" s="107" customFormat="1" ht="30">
      <c r="B210" s="210" t="s">
        <v>8027</v>
      </c>
      <c r="C210" s="201">
        <f>QUANT!C614</f>
        <v>102506</v>
      </c>
      <c r="D210" s="201" t="str">
        <f>QUANT!D614</f>
        <v>SINAPI</v>
      </c>
      <c r="E210" s="203" t="str">
        <f>IFERROR(VLOOKUP($C210,'SINAPI FEVEREIRO 2022'!$1:$1048576,2,0),IFERROR(VLOOKUP($C210,'5-COMP. PROPRIA'!$B$1:$I$647,4,0),""))</f>
        <v>PINTURA DE DEMARCAÇÃO DE QUADRA POLIESPORTIVA COM TINTA EPÓXI, E = 5 CM, APLICAÇÃO MANUAL. AF_05/2021</v>
      </c>
      <c r="F210" s="255" t="str">
        <f>IFERROR(VLOOKUP($C210,'SINAPI FEVEREIRO 2022'!$1:$1048576,3,0),IFERROR(VLOOKUP($C210,'5-COMP. PROPRIA'!$B$1:$I$647,5,0),""))</f>
        <v>M</v>
      </c>
      <c r="G210" s="204">
        <f>QUANT!K614</f>
        <v>193.85</v>
      </c>
      <c r="H210" s="256">
        <f>IFERROR(VLOOKUP($C210,'SINAPI FEVEREIRO 2022'!$1:$1048576,4,0),IFERROR(VLOOKUP($C210,'5-COMP. PROPRIA'!$B$1:$I$647,8,0),""))</f>
        <v>7.68</v>
      </c>
      <c r="I210" s="256">
        <f>TRUNC(($H210*'4-BDI'!$E$29),2)</f>
        <v>9.84</v>
      </c>
      <c r="J210" s="266">
        <f t="shared" si="82"/>
        <v>1488.76</v>
      </c>
      <c r="K210" s="205">
        <f t="shared" si="83"/>
        <v>1907.48</v>
      </c>
    </row>
    <row r="211" spans="2:11" s="107" customFormat="1" ht="15.75">
      <c r="B211" s="915" t="s">
        <v>8287</v>
      </c>
      <c r="C211" s="916"/>
      <c r="D211" s="916"/>
      <c r="E211" s="916"/>
      <c r="F211" s="916"/>
      <c r="G211" s="916"/>
      <c r="H211" s="916"/>
      <c r="I211" s="917"/>
      <c r="J211" s="207">
        <f>TRUNC(SUM(J203:J210),2)</f>
        <v>18858.86</v>
      </c>
      <c r="K211" s="207">
        <f>TRUNC(SUM(K203:K210),2)</f>
        <v>24179.79</v>
      </c>
    </row>
    <row r="212" spans="2:11" s="107" customFormat="1" ht="15.75" customHeight="1">
      <c r="B212" s="915" t="s">
        <v>8286</v>
      </c>
      <c r="C212" s="916"/>
      <c r="D212" s="916"/>
      <c r="E212" s="916"/>
      <c r="F212" s="916"/>
      <c r="G212" s="916"/>
      <c r="H212" s="916"/>
      <c r="I212" s="917"/>
      <c r="J212" s="207">
        <f>TRUNC(SUM(J211,J201,J193),2)</f>
        <v>146045.07999999999</v>
      </c>
      <c r="K212" s="207">
        <f>TRUNC(SUM(K211,K201,K193),2)</f>
        <v>187228.88</v>
      </c>
    </row>
    <row r="213" spans="2:11" s="107" customFormat="1" ht="15.75">
      <c r="B213" s="285" t="s">
        <v>4126</v>
      </c>
      <c r="C213" s="286"/>
      <c r="D213" s="287"/>
      <c r="E213" s="288" t="str">
        <f>QUANT!E616</f>
        <v>INTALAÇÕES HIDROSSANITÁRIAS</v>
      </c>
      <c r="F213" s="289"/>
      <c r="G213" s="290"/>
      <c r="H213" s="291"/>
      <c r="I213" s="291"/>
      <c r="J213" s="291"/>
      <c r="K213" s="292"/>
    </row>
    <row r="214" spans="2:11" s="107" customFormat="1" ht="15.75">
      <c r="B214" s="535" t="s">
        <v>8028</v>
      </c>
      <c r="C214" s="536"/>
      <c r="D214" s="537"/>
      <c r="E214" s="538" t="str">
        <f>QUANT!E617</f>
        <v>ESGOTO</v>
      </c>
      <c r="F214" s="539"/>
      <c r="G214" s="540"/>
      <c r="H214" s="541"/>
      <c r="I214" s="541"/>
      <c r="J214" s="541"/>
      <c r="K214" s="557"/>
    </row>
    <row r="215" spans="2:11" s="107" customFormat="1" ht="45">
      <c r="B215" s="208" t="s">
        <v>8030</v>
      </c>
      <c r="C215" s="201">
        <f>QUANT!C619</f>
        <v>97906</v>
      </c>
      <c r="D215" s="201" t="str">
        <f>QUANT!D619</f>
        <v>SINAPI</v>
      </c>
      <c r="E215" s="203" t="str">
        <f>IFERROR(VLOOKUP($C215,'SINAPI FEVEREIRO 2022'!$1:$1048576,2,0),IFERROR(VLOOKUP($C215,'5-COMP. PROPRIA'!$B$1:$I$647,4,0),""))</f>
        <v>CAIXA ENTERRADA HIDRÁULICA RETANGULAR, EM ALVENARIA COM BLOCOS DE CONCRETO, DIMENSÕES INTERNAS: 0,6X0,6X0,6 M PARA REDE DE ESGOTO. AF_12/2020</v>
      </c>
      <c r="F215" s="255" t="str">
        <f>IFERROR(VLOOKUP($C215,'SINAPI FEVEREIRO 2022'!$1:$1048576,3,0),IFERROR(VLOOKUP($C215,'5-COMP. PROPRIA'!$B$1:$I$647,5,0),""))</f>
        <v>UN</v>
      </c>
      <c r="G215" s="204">
        <f>QUANT!K619</f>
        <v>1</v>
      </c>
      <c r="H215" s="256">
        <f>IFERROR(VLOOKUP($C215,'SINAPI FEVEREIRO 2022'!$1:$1048576,4,0),IFERROR(VLOOKUP($C215,'5-COMP. PROPRIA'!$B$1:$I$647,8,0),""))</f>
        <v>374.7</v>
      </c>
      <c r="I215" s="256">
        <f>TRUNC(($H215*'4-BDI'!$E$29),2)</f>
        <v>480.51</v>
      </c>
      <c r="J215" s="266">
        <f>TRUNC((G215*H215),2)</f>
        <v>374.7</v>
      </c>
      <c r="K215" s="205">
        <f>TRUNC((I215*G215),2)</f>
        <v>480.51</v>
      </c>
    </row>
    <row r="216" spans="2:11" s="107" customFormat="1" ht="45">
      <c r="B216" s="208" t="s">
        <v>8031</v>
      </c>
      <c r="C216" s="201">
        <f>QUANT!C621</f>
        <v>97902</v>
      </c>
      <c r="D216" s="201" t="str">
        <f>QUANT!D621</f>
        <v>SINAPI</v>
      </c>
      <c r="E216" s="203" t="str">
        <f>IFERROR(VLOOKUP($C216,'SINAPI FEVEREIRO 2022'!$1:$1048576,2,0),IFERROR(VLOOKUP($C216,'5-COMP. PROPRIA'!$B$1:$I$647,4,0),""))</f>
        <v>CAIXA ENTERRADA HIDRÁULICA RETANGULAR EM ALVENARIA COM TIJOLOS CERÂMICOS MACIÇOS, DIMENSÕES INTERNAS: 0,6X0,6X0,6 M PARA REDE DE ESGOTO. AF_12/2020</v>
      </c>
      <c r="F216" s="255" t="str">
        <f>IFERROR(VLOOKUP($C216,'SINAPI FEVEREIRO 2022'!$1:$1048576,3,0),IFERROR(VLOOKUP($C216,'5-COMP. PROPRIA'!$B$1:$I$647,5,0),""))</f>
        <v>UN</v>
      </c>
      <c r="G216" s="204">
        <f>QUANT!K621</f>
        <v>9</v>
      </c>
      <c r="H216" s="256">
        <f>IFERROR(VLOOKUP($C216,'SINAPI FEVEREIRO 2022'!$1:$1048576,4,0),IFERROR(VLOOKUP($C216,'5-COMP. PROPRIA'!$B$1:$I$647,8,0),""))</f>
        <v>531.26</v>
      </c>
      <c r="I216" s="256">
        <f>TRUNC(($H216*'4-BDI'!$E$29),2)</f>
        <v>681.28</v>
      </c>
      <c r="J216" s="266">
        <f t="shared" ref="J216:J218" si="84">TRUNC((G216*H216),2)</f>
        <v>4781.34</v>
      </c>
      <c r="K216" s="205">
        <f t="shared" ref="K216:K218" si="85">TRUNC((I216*G216),2)</f>
        <v>6131.52</v>
      </c>
    </row>
    <row r="217" spans="2:11" s="107" customFormat="1" ht="45">
      <c r="B217" s="208" t="s">
        <v>8032</v>
      </c>
      <c r="C217" s="201">
        <f>QUANT!C623</f>
        <v>89707</v>
      </c>
      <c r="D217" s="201" t="str">
        <f>QUANT!D623</f>
        <v>SINAPI</v>
      </c>
      <c r="E217" s="203" t="str">
        <f>IFERROR(VLOOKUP($C217,'SINAPI FEVEREIRO 2022'!$1:$1048576,2,0),IFERROR(VLOOKUP($C217,'5-COMP. PROPRIA'!$B$1:$I$647,4,0),""))</f>
        <v>CAIXA SIFONADA, PVC, DN 100 X 100 X 50 MM, JUNTA ELÁSTICA, FORNECIDA E INSTALADA EM RAMAL DE DESCARGA OU EM RAMAL DE ESGOTO SANITÁRIO. AF_12/2014</v>
      </c>
      <c r="F217" s="255" t="str">
        <f>IFERROR(VLOOKUP($C217,'SINAPI FEVEREIRO 2022'!$1:$1048576,3,0),IFERROR(VLOOKUP($C217,'5-COMP. PROPRIA'!$B$1:$I$647,5,0),""))</f>
        <v>UN</v>
      </c>
      <c r="G217" s="204">
        <f>QUANT!K623</f>
        <v>1</v>
      </c>
      <c r="H217" s="256">
        <f>IFERROR(VLOOKUP($C217,'SINAPI FEVEREIRO 2022'!$1:$1048576,4,0),IFERROR(VLOOKUP($C217,'5-COMP. PROPRIA'!$B$1:$I$647,8,0),""))</f>
        <v>39.14</v>
      </c>
      <c r="I217" s="256">
        <f>TRUNC(($H217*'4-BDI'!$E$29),2)</f>
        <v>50.19</v>
      </c>
      <c r="J217" s="266">
        <f t="shared" si="84"/>
        <v>39.14</v>
      </c>
      <c r="K217" s="205">
        <f t="shared" si="85"/>
        <v>50.19</v>
      </c>
    </row>
    <row r="218" spans="2:11" s="107" customFormat="1" ht="30">
      <c r="B218" s="208" t="s">
        <v>8033</v>
      </c>
      <c r="C218" s="201" t="str">
        <f>QUANT!C625</f>
        <v>CP-HIDR-1</v>
      </c>
      <c r="D218" s="201" t="str">
        <f>QUANT!D625</f>
        <v>PROPRIA</v>
      </c>
      <c r="E218" s="203" t="str">
        <f>IFERROR(VLOOKUP($C218,'SINAPI FEVEREIRO 2022'!$1:$1048576,2,0),IFERROR(VLOOKUP($C218,'5-COMP. PROPRIA'!$B$1:$I$647,4,0),""))</f>
        <v>CAIXA SIFONADA PVC, 150X150X50 MM, COM GRELHA QUADRADA BRANCA - NBR 5688 - FORNECIMENTO E INSTALAÇÃO</v>
      </c>
      <c r="F218" s="255" t="str">
        <f>IFERROR(VLOOKUP($C218,'SINAPI FEVEREIRO 2022'!$1:$1048576,3,0),IFERROR(VLOOKUP($C218,'5-COMP. PROPRIA'!$B$1:$I$647,5,0),""))</f>
        <v xml:space="preserve">UN    </v>
      </c>
      <c r="G218" s="204">
        <f>QUANT!K625</f>
        <v>4</v>
      </c>
      <c r="H218" s="256">
        <f>IFERROR(VLOOKUP($C218,'SINAPI FEVEREIRO 2022'!$1:$1048576,4,0),IFERROR(VLOOKUP($C218,'5-COMP. PROPRIA'!$B$1:$I$647,8,0),""))</f>
        <v>66.09</v>
      </c>
      <c r="I218" s="256">
        <f>TRUNC(($H218*'4-BDI'!$E$29),2)</f>
        <v>84.75</v>
      </c>
      <c r="J218" s="266">
        <f t="shared" si="84"/>
        <v>264.36</v>
      </c>
      <c r="K218" s="205">
        <f t="shared" si="85"/>
        <v>339</v>
      </c>
    </row>
    <row r="219" spans="2:11" s="107" customFormat="1" ht="45">
      <c r="B219" s="208" t="s">
        <v>8034</v>
      </c>
      <c r="C219" s="201">
        <f>QUANT!C627</f>
        <v>89708</v>
      </c>
      <c r="D219" s="201" t="str">
        <f>QUANT!D627</f>
        <v>SINAPI</v>
      </c>
      <c r="E219" s="203" t="str">
        <f>IFERROR(VLOOKUP($C219,'SINAPI FEVEREIRO 2022'!$1:$1048576,2,0),IFERROR(VLOOKUP($C219,'5-COMP. PROPRIA'!$B$1:$I$647,4,0),""))</f>
        <v>CAIXA SIFONADA, PVC, DN 150 X 185 X 75 MM, JUNTA ELÁSTICA, FORNECIDA E INSTALADA EM RAMAL DE DESCARGA OU EM RAMAL DE ESGOTO SANITÁRIO. AF_12/2014</v>
      </c>
      <c r="F219" s="255" t="str">
        <f>IFERROR(VLOOKUP($C219,'SINAPI FEVEREIRO 2022'!$1:$1048576,3,0),IFERROR(VLOOKUP($C219,'5-COMP. PROPRIA'!$B$1:$I$647,5,0),""))</f>
        <v>UN</v>
      </c>
      <c r="G219" s="204">
        <f>QUANT!K627</f>
        <v>2</v>
      </c>
      <c r="H219" s="256">
        <f>IFERROR(VLOOKUP($C219,'SINAPI FEVEREIRO 2022'!$1:$1048576,4,0),IFERROR(VLOOKUP($C219,'5-COMP. PROPRIA'!$B$1:$I$647,8,0),""))</f>
        <v>89.95</v>
      </c>
      <c r="I219" s="256">
        <f>TRUNC(($H219*'4-BDI'!$E$29),2)</f>
        <v>115.35</v>
      </c>
      <c r="J219" s="266">
        <f t="shared" ref="J219:J221" si="86">TRUNC((G219*H219),2)</f>
        <v>179.9</v>
      </c>
      <c r="K219" s="205">
        <f t="shared" ref="K219:K221" si="87">TRUNC((I219*G219),2)</f>
        <v>230.7</v>
      </c>
    </row>
    <row r="220" spans="2:11" s="107" customFormat="1" ht="45">
      <c r="B220" s="208" t="s">
        <v>8035</v>
      </c>
      <c r="C220" s="201">
        <f>QUANT!C629</f>
        <v>89709</v>
      </c>
      <c r="D220" s="201" t="str">
        <f>QUANT!D629</f>
        <v>SINAPI</v>
      </c>
      <c r="E220" s="203" t="str">
        <f>IFERROR(VLOOKUP($C220,'SINAPI FEVEREIRO 2022'!$1:$1048576,2,0),IFERROR(VLOOKUP($C220,'5-COMP. PROPRIA'!$B$1:$I$647,4,0),""))</f>
        <v>RALO SIFONADO, PVC, DN 100 X 40 MM, JUNTA SOLDÁVEL, FORNECIDO E INSTALADO EM RAMAL DE DESCARGA OU EM RAMAL DE ESGOTO SANITÁRIO. AF_12/2014</v>
      </c>
      <c r="F220" s="255" t="str">
        <f>IFERROR(VLOOKUP($C220,'SINAPI FEVEREIRO 2022'!$1:$1048576,3,0),IFERROR(VLOOKUP($C220,'5-COMP. PROPRIA'!$B$1:$I$647,5,0),""))</f>
        <v>UN</v>
      </c>
      <c r="G220" s="204">
        <f>QUANT!K629</f>
        <v>2</v>
      </c>
      <c r="H220" s="256">
        <f>IFERROR(VLOOKUP($C220,'SINAPI FEVEREIRO 2022'!$1:$1048576,4,0),IFERROR(VLOOKUP($C220,'5-COMP. PROPRIA'!$B$1:$I$647,8,0),""))</f>
        <v>15.47</v>
      </c>
      <c r="I220" s="256">
        <f>TRUNC(($H220*'4-BDI'!$E$29),2)</f>
        <v>19.829999999999998</v>
      </c>
      <c r="J220" s="266">
        <f t="shared" si="86"/>
        <v>30.94</v>
      </c>
      <c r="K220" s="205">
        <f t="shared" si="87"/>
        <v>39.659999999999997</v>
      </c>
    </row>
    <row r="221" spans="2:11" s="107" customFormat="1" ht="30">
      <c r="B221" s="208" t="s">
        <v>8036</v>
      </c>
      <c r="C221" s="201" t="str">
        <f>QUANT!C631</f>
        <v>CP-HIDR-2</v>
      </c>
      <c r="D221" s="201" t="str">
        <f>QUANT!D631</f>
        <v>PROPRIA</v>
      </c>
      <c r="E221" s="203" t="str">
        <f>IFERROR(VLOOKUP($C221,'SINAPI FEVEREIRO 2022'!$1:$1048576,2,0),IFERROR(VLOOKUP($C221,'5-COMP. PROPRIA'!$B$1:$I$647,4,0),""))</f>
        <v>SIFÃO DE COPO PARA PIA E LAVATORIO 1" - 1/.1/2"  - FORNECIMENTO E INSTALAÇÃO</v>
      </c>
      <c r="F221" s="255" t="str">
        <f>IFERROR(VLOOKUP($C221,'SINAPI FEVEREIRO 2022'!$1:$1048576,3,0),IFERROR(VLOOKUP($C221,'5-COMP. PROPRIA'!$B$1:$I$647,5,0),""))</f>
        <v xml:space="preserve">UN    </v>
      </c>
      <c r="G221" s="204">
        <f>QUANT!K631</f>
        <v>9</v>
      </c>
      <c r="H221" s="256">
        <f>IFERROR(VLOOKUP($C221,'SINAPI FEVEREIRO 2022'!$1:$1048576,4,0),IFERROR(VLOOKUP($C221,'5-COMP. PROPRIA'!$B$1:$I$647,8,0),""))</f>
        <v>19.899999999999999</v>
      </c>
      <c r="I221" s="256">
        <f>TRUNC(($H221*'4-BDI'!$E$29),2)</f>
        <v>25.51</v>
      </c>
      <c r="J221" s="266">
        <f t="shared" si="86"/>
        <v>179.1</v>
      </c>
      <c r="K221" s="205">
        <f t="shared" si="87"/>
        <v>229.59</v>
      </c>
    </row>
    <row r="222" spans="2:11" s="107" customFormat="1" ht="30">
      <c r="B222" s="208" t="s">
        <v>8037</v>
      </c>
      <c r="C222" s="201" t="str">
        <f>QUANT!C633</f>
        <v>CP-HIDR-3</v>
      </c>
      <c r="D222" s="201" t="str">
        <f>QUANT!D633</f>
        <v>PROPRIA</v>
      </c>
      <c r="E222" s="203" t="str">
        <f>IFERROR(VLOOKUP($C222,'SINAPI FEVEREIRO 2022'!$1:$1048576,2,0),IFERROR(VLOOKUP($C222,'5-COMP. PROPRIA'!$B$1:$I$647,4,0),""))</f>
        <v>SIFÃO DE COPO PARA PIA E LAVATORIO 1" - 2"  - FORNECIMENTO E INSTALAÇÃO</v>
      </c>
      <c r="F222" s="255" t="str">
        <f>IFERROR(VLOOKUP($C222,'SINAPI FEVEREIRO 2022'!$1:$1048576,3,0),IFERROR(VLOOKUP($C222,'5-COMP. PROPRIA'!$B$1:$I$647,5,0),""))</f>
        <v xml:space="preserve">UN    </v>
      </c>
      <c r="G222" s="204">
        <f>QUANT!K633</f>
        <v>3</v>
      </c>
      <c r="H222" s="256">
        <f>IFERROR(VLOOKUP($C222,'SINAPI FEVEREIRO 2022'!$1:$1048576,4,0),IFERROR(VLOOKUP($C222,'5-COMP. PROPRIA'!$B$1:$I$647,8,0),""))</f>
        <v>19.899999999999999</v>
      </c>
      <c r="I222" s="256">
        <f>TRUNC(($H222*'4-BDI'!$E$29),2)</f>
        <v>25.51</v>
      </c>
      <c r="J222" s="266">
        <f t="shared" ref="J222" si="88">TRUNC((G222*H222),2)</f>
        <v>59.7</v>
      </c>
      <c r="K222" s="205">
        <f t="shared" ref="K222" si="89">TRUNC((I222*G222),2)</f>
        <v>76.53</v>
      </c>
    </row>
    <row r="223" spans="2:11" s="107" customFormat="1" ht="30">
      <c r="B223" s="208" t="s">
        <v>8038</v>
      </c>
      <c r="C223" s="201">
        <f>QUANT!C635</f>
        <v>86883</v>
      </c>
      <c r="D223" s="201" t="str">
        <f>QUANT!D635</f>
        <v>SINAPI</v>
      </c>
      <c r="E223" s="203" t="str">
        <f>IFERROR(VLOOKUP($C223,'SINAPI FEVEREIRO 2022'!$1:$1048576,2,0),IFERROR(VLOOKUP($C223,'5-COMP. PROPRIA'!$B$1:$I$647,4,0),""))</f>
        <v>SIFÃO DO TIPO FLEXÍVEL EM PVC 1  X 1.1/2  - FORNECIMENTO E INSTALAÇÃO. AF_01/2020</v>
      </c>
      <c r="F223" s="255" t="str">
        <f>IFERROR(VLOOKUP($C223,'SINAPI FEVEREIRO 2022'!$1:$1048576,3,0),IFERROR(VLOOKUP($C223,'5-COMP. PROPRIA'!$B$1:$I$647,5,0),""))</f>
        <v>UN</v>
      </c>
      <c r="G223" s="204">
        <f>QUANT!K635</f>
        <v>2</v>
      </c>
      <c r="H223" s="256">
        <f>IFERROR(VLOOKUP($C223,'SINAPI FEVEREIRO 2022'!$1:$1048576,4,0),IFERROR(VLOOKUP($C223,'5-COMP. PROPRIA'!$B$1:$I$647,8,0),""))</f>
        <v>13.13</v>
      </c>
      <c r="I223" s="256">
        <f>TRUNC(($H223*'4-BDI'!$E$29),2)</f>
        <v>16.829999999999998</v>
      </c>
      <c r="J223" s="266">
        <f t="shared" ref="J223:J224" si="90">TRUNC((G223*H223),2)</f>
        <v>26.26</v>
      </c>
      <c r="K223" s="205">
        <f t="shared" ref="K223:K224" si="91">TRUNC((I223*G223),2)</f>
        <v>33.659999999999997</v>
      </c>
    </row>
    <row r="224" spans="2:11" s="107" customFormat="1" ht="30">
      <c r="B224" s="208" t="s">
        <v>8039</v>
      </c>
      <c r="C224" s="201">
        <f>QUANT!C637</f>
        <v>86879</v>
      </c>
      <c r="D224" s="201" t="str">
        <f>QUANT!D637</f>
        <v>SINAPI</v>
      </c>
      <c r="E224" s="203" t="str">
        <f>IFERROR(VLOOKUP($C224,'SINAPI FEVEREIRO 2022'!$1:$1048576,2,0),IFERROR(VLOOKUP($C224,'5-COMP. PROPRIA'!$B$1:$I$647,4,0),""))</f>
        <v>VÁLVULA EM PLÁSTICO 1 PARA PIA, TANQUE OU LAVATÓRIO, COM OU SEM LADRÃO - FORNECIMENTO E INSTALAÇÃO. AF_01/2020</v>
      </c>
      <c r="F224" s="255" t="str">
        <f>IFERROR(VLOOKUP($C224,'SINAPI FEVEREIRO 2022'!$1:$1048576,3,0),IFERROR(VLOOKUP($C224,'5-COMP. PROPRIA'!$B$1:$I$647,5,0),""))</f>
        <v>UN</v>
      </c>
      <c r="G224" s="204">
        <f>QUANT!K637</f>
        <v>14</v>
      </c>
      <c r="H224" s="256">
        <f>IFERROR(VLOOKUP($C224,'SINAPI FEVEREIRO 2022'!$1:$1048576,4,0),IFERROR(VLOOKUP($C224,'5-COMP. PROPRIA'!$B$1:$I$647,8,0),""))</f>
        <v>7</v>
      </c>
      <c r="I224" s="256">
        <f>TRUNC(($H224*'4-BDI'!$E$29),2)</f>
        <v>8.9700000000000006</v>
      </c>
      <c r="J224" s="266">
        <f t="shared" si="90"/>
        <v>98</v>
      </c>
      <c r="K224" s="205">
        <f t="shared" si="91"/>
        <v>125.58</v>
      </c>
    </row>
    <row r="225" spans="2:11" s="107" customFormat="1" ht="45">
      <c r="B225" s="208" t="s">
        <v>8040</v>
      </c>
      <c r="C225" s="201">
        <f>QUANT!C639</f>
        <v>89728</v>
      </c>
      <c r="D225" s="201" t="str">
        <f>QUANT!D639</f>
        <v>SINAPI</v>
      </c>
      <c r="E225" s="203" t="str">
        <f>IFERROR(VLOOKUP($C225,'SINAPI FEVEREIRO 2022'!$1:$1048576,2,0),IFERROR(VLOOKUP($C225,'5-COMP. PROPRIA'!$B$1:$I$647,4,0),""))</f>
        <v>CURVA CURTA 90 GRAUS, PVC, SERIE NORMAL, ESGOTO PREDIAL, DN 40 MM, JUNTA SOLDÁVEL, FORNECIDO E INSTALADO EM RAMAL DE DESCARGA OU RAMAL DE ESGOTO SANITÁRIO. AF_12/2014</v>
      </c>
      <c r="F225" s="255" t="str">
        <f>IFERROR(VLOOKUP($C225,'SINAPI FEVEREIRO 2022'!$1:$1048576,3,0),IFERROR(VLOOKUP($C225,'5-COMP. PROPRIA'!$B$1:$I$647,5,0),""))</f>
        <v>UN</v>
      </c>
      <c r="G225" s="204">
        <f>QUANT!K639</f>
        <v>12</v>
      </c>
      <c r="H225" s="256">
        <f>IFERROR(VLOOKUP($C225,'SINAPI FEVEREIRO 2022'!$1:$1048576,4,0),IFERROR(VLOOKUP($C225,'5-COMP. PROPRIA'!$B$1:$I$647,8,0),""))</f>
        <v>10.87</v>
      </c>
      <c r="I225" s="256">
        <f>TRUNC(($H225*'4-BDI'!$E$29),2)</f>
        <v>13.93</v>
      </c>
      <c r="J225" s="266">
        <f>TRUNC((G225*H225),2)</f>
        <v>130.44</v>
      </c>
      <c r="K225" s="205">
        <f>TRUNC((I225*G225),2)</f>
        <v>167.16</v>
      </c>
    </row>
    <row r="226" spans="2:11" s="107" customFormat="1" ht="45">
      <c r="B226" s="208" t="s">
        <v>8041</v>
      </c>
      <c r="C226" s="201">
        <f>QUANT!C641</f>
        <v>89746</v>
      </c>
      <c r="D226" s="201" t="str">
        <f>QUANT!D641</f>
        <v>SINAPI</v>
      </c>
      <c r="E226" s="203" t="str">
        <f>IFERROR(VLOOKUP($C226,'SINAPI FEVEREIRO 2022'!$1:$1048576,2,0),IFERROR(VLOOKUP($C226,'5-COMP. PROPRIA'!$B$1:$I$647,4,0),""))</f>
        <v>JOELHO 45 GRAUS, PVC, SERIE NORMAL, ESGOTO PREDIAL, DN 100 MM, JUNTA ELÁSTICA, FORNECIDO E INSTALADO EM RAMAL DE DESCARGA OU RAMAL DE ESGOTO SANITÁRIO. AF_12/2014</v>
      </c>
      <c r="F226" s="255" t="str">
        <f>IFERROR(VLOOKUP($C226,'SINAPI FEVEREIRO 2022'!$1:$1048576,3,0),IFERROR(VLOOKUP($C226,'5-COMP. PROPRIA'!$B$1:$I$647,5,0),""))</f>
        <v>UN</v>
      </c>
      <c r="G226" s="204">
        <f>QUANT!K641</f>
        <v>3</v>
      </c>
      <c r="H226" s="256">
        <f>IFERROR(VLOOKUP($C226,'SINAPI FEVEREIRO 2022'!$1:$1048576,4,0),IFERROR(VLOOKUP($C226,'5-COMP. PROPRIA'!$B$1:$I$647,8,0),""))</f>
        <v>25.12</v>
      </c>
      <c r="I226" s="256">
        <f>TRUNC(($H226*'4-BDI'!$E$29),2)</f>
        <v>32.21</v>
      </c>
      <c r="J226" s="266">
        <f t="shared" ref="J226:J236" si="92">TRUNC((G226*H226),2)</f>
        <v>75.36</v>
      </c>
      <c r="K226" s="205">
        <f t="shared" ref="K226:K236" si="93">TRUNC((I226*G226),2)</f>
        <v>96.63</v>
      </c>
    </row>
    <row r="227" spans="2:11" s="107" customFormat="1" ht="45">
      <c r="B227" s="208" t="s">
        <v>8042</v>
      </c>
      <c r="C227" s="201">
        <f>QUANT!C643</f>
        <v>89726</v>
      </c>
      <c r="D227" s="201" t="str">
        <f>QUANT!D643</f>
        <v>SINAPI</v>
      </c>
      <c r="E227" s="203" t="str">
        <f>IFERROR(VLOOKUP($C227,'SINAPI FEVEREIRO 2022'!$1:$1048576,2,0),IFERROR(VLOOKUP($C227,'5-COMP. PROPRIA'!$B$1:$I$647,4,0),""))</f>
        <v>JOELHO 45 GRAUS, PVC, SERIE NORMAL, ESGOTO PREDIAL, DN 40 MM, JUNTA SOLDÁVEL, FORNECIDO E INSTALADO EM RAMAL DE DESCARGA OU RAMAL DE ESGOTO SANITÁRIO. AF_12/2014</v>
      </c>
      <c r="F227" s="255" t="str">
        <f>IFERROR(VLOOKUP($C227,'SINAPI FEVEREIRO 2022'!$1:$1048576,3,0),IFERROR(VLOOKUP($C227,'5-COMP. PROPRIA'!$B$1:$I$647,5,0),""))</f>
        <v>UN</v>
      </c>
      <c r="G227" s="204">
        <f>QUANT!K643</f>
        <v>9</v>
      </c>
      <c r="H227" s="256">
        <f>IFERROR(VLOOKUP($C227,'SINAPI FEVEREIRO 2022'!$1:$1048576,4,0),IFERROR(VLOOKUP($C227,'5-COMP. PROPRIA'!$B$1:$I$647,8,0),""))</f>
        <v>6.82</v>
      </c>
      <c r="I227" s="256">
        <f>TRUNC(($H227*'4-BDI'!$E$29),2)</f>
        <v>8.74</v>
      </c>
      <c r="J227" s="266">
        <f t="shared" si="92"/>
        <v>61.38</v>
      </c>
      <c r="K227" s="205">
        <f t="shared" si="93"/>
        <v>78.66</v>
      </c>
    </row>
    <row r="228" spans="2:11" s="107" customFormat="1" ht="45">
      <c r="B228" s="208" t="s">
        <v>8043</v>
      </c>
      <c r="C228" s="201">
        <f>QUANT!C645</f>
        <v>89732</v>
      </c>
      <c r="D228" s="201" t="str">
        <f>QUANT!D645</f>
        <v>SINAPI</v>
      </c>
      <c r="E228" s="203" t="str">
        <f>IFERROR(VLOOKUP($C228,'SINAPI FEVEREIRO 2022'!$1:$1048576,2,0),IFERROR(VLOOKUP($C228,'5-COMP. PROPRIA'!$B$1:$I$647,4,0),""))</f>
        <v>JOELHO 45 GRAUS, PVC, SERIE NORMAL, ESGOTO PREDIAL, DN 50 MM, JUNTA ELÁSTICA, FORNECIDO E INSTALADO EM RAMAL DE DESCARGA OU RAMAL DE ESGOTO SANITÁRIO. AF_12/2014</v>
      </c>
      <c r="F228" s="255" t="str">
        <f>IFERROR(VLOOKUP($C228,'SINAPI FEVEREIRO 2022'!$1:$1048576,3,0),IFERROR(VLOOKUP($C228,'5-COMP. PROPRIA'!$B$1:$I$647,5,0),""))</f>
        <v>UN</v>
      </c>
      <c r="G228" s="204">
        <f>QUANT!K645</f>
        <v>3</v>
      </c>
      <c r="H228" s="256">
        <f>IFERROR(VLOOKUP($C228,'SINAPI FEVEREIRO 2022'!$1:$1048576,4,0),IFERROR(VLOOKUP($C228,'5-COMP. PROPRIA'!$B$1:$I$647,8,0),""))</f>
        <v>11.7</v>
      </c>
      <c r="I228" s="256">
        <f>TRUNC(($H228*'4-BDI'!$E$29),2)</f>
        <v>15</v>
      </c>
      <c r="J228" s="266">
        <f t="shared" si="92"/>
        <v>35.1</v>
      </c>
      <c r="K228" s="205">
        <f t="shared" si="93"/>
        <v>45</v>
      </c>
    </row>
    <row r="229" spans="2:11" s="107" customFormat="1" ht="45">
      <c r="B229" s="208" t="s">
        <v>8044</v>
      </c>
      <c r="C229" s="201">
        <f>QUANT!C647</f>
        <v>89739</v>
      </c>
      <c r="D229" s="201" t="str">
        <f>QUANT!D647</f>
        <v>SINAPI</v>
      </c>
      <c r="E229" s="203" t="str">
        <f>IFERROR(VLOOKUP($C229,'SINAPI FEVEREIRO 2022'!$1:$1048576,2,0),IFERROR(VLOOKUP($C229,'5-COMP. PROPRIA'!$B$1:$I$647,4,0),""))</f>
        <v>JOELHO 45 GRAUS, PVC, SERIE NORMAL, ESGOTO PREDIAL, DN 75 MM, JUNTA ELÁSTICA, FORNECIDO E INSTALADO EM RAMAL DE DESCARGA OU RAMAL DE ESGOTO SANITÁRIO. AF_12/2014</v>
      </c>
      <c r="F229" s="255" t="str">
        <f>IFERROR(VLOOKUP($C229,'SINAPI FEVEREIRO 2022'!$1:$1048576,3,0),IFERROR(VLOOKUP($C229,'5-COMP. PROPRIA'!$B$1:$I$647,5,0),""))</f>
        <v>UN</v>
      </c>
      <c r="G229" s="204">
        <f>QUANT!K647</f>
        <v>2</v>
      </c>
      <c r="H229" s="256">
        <f>IFERROR(VLOOKUP($C229,'SINAPI FEVEREIRO 2022'!$1:$1048576,4,0),IFERROR(VLOOKUP($C229,'5-COMP. PROPRIA'!$B$1:$I$647,8,0),""))</f>
        <v>20.69</v>
      </c>
      <c r="I229" s="256">
        <f>TRUNC(($H229*'4-BDI'!$E$29),2)</f>
        <v>26.53</v>
      </c>
      <c r="J229" s="266">
        <f t="shared" si="92"/>
        <v>41.38</v>
      </c>
      <c r="K229" s="205">
        <f t="shared" si="93"/>
        <v>53.06</v>
      </c>
    </row>
    <row r="230" spans="2:11" s="107" customFormat="1" ht="45">
      <c r="B230" s="208" t="s">
        <v>8045</v>
      </c>
      <c r="C230" s="201">
        <f>QUANT!C649</f>
        <v>89809</v>
      </c>
      <c r="D230" s="201" t="str">
        <f>QUANT!D649</f>
        <v>SINAPI</v>
      </c>
      <c r="E230" s="203" t="str">
        <f>IFERROR(VLOOKUP($C230,'SINAPI FEVEREIRO 2022'!$1:$1048576,2,0),IFERROR(VLOOKUP($C230,'5-COMP. PROPRIA'!$B$1:$I$647,4,0),""))</f>
        <v>JOELHO 90 GRAUS, PVC, SERIE NORMAL, ESGOTO PREDIAL, DN 100 MM, JUNTA ELÁSTICA, FORNECIDO E INSTALADO EM PRUMADA DE ESGOTO SANITÁRIO OU VENTILAÇÃO. AF_12/2014</v>
      </c>
      <c r="F230" s="255" t="str">
        <f>IFERROR(VLOOKUP($C230,'SINAPI FEVEREIRO 2022'!$1:$1048576,3,0),IFERROR(VLOOKUP($C230,'5-COMP. PROPRIA'!$B$1:$I$647,5,0),""))</f>
        <v>UN</v>
      </c>
      <c r="G230" s="204">
        <f>QUANT!K649</f>
        <v>10</v>
      </c>
      <c r="H230" s="256">
        <f>IFERROR(VLOOKUP($C230,'SINAPI FEVEREIRO 2022'!$1:$1048576,4,0),IFERROR(VLOOKUP($C230,'5-COMP. PROPRIA'!$B$1:$I$647,8,0),""))</f>
        <v>20.73</v>
      </c>
      <c r="I230" s="256">
        <f>TRUNC(($H230*'4-BDI'!$E$29),2)</f>
        <v>26.58</v>
      </c>
      <c r="J230" s="266">
        <f t="shared" si="92"/>
        <v>207.3</v>
      </c>
      <c r="K230" s="205">
        <f t="shared" si="93"/>
        <v>265.8</v>
      </c>
    </row>
    <row r="231" spans="2:11" s="107" customFormat="1" ht="45">
      <c r="B231" s="208" t="s">
        <v>8046</v>
      </c>
      <c r="C231" s="201">
        <f>QUANT!C651</f>
        <v>89801</v>
      </c>
      <c r="D231" s="201" t="str">
        <f>QUANT!D651</f>
        <v>SINAPI</v>
      </c>
      <c r="E231" s="203" t="str">
        <f>IFERROR(VLOOKUP($C231,'SINAPI FEVEREIRO 2022'!$1:$1048576,2,0),IFERROR(VLOOKUP($C231,'5-COMP. PROPRIA'!$B$1:$I$647,4,0),""))</f>
        <v>JOELHO 90 GRAUS, PVC, SERIE NORMAL, ESGOTO PREDIAL, DN 50 MM, JUNTA ELÁSTICA, FORNECIDO E INSTALADO EM PRUMADA DE ESGOTO SANITÁRIO OU VENTILAÇÃO. AF_12/2014</v>
      </c>
      <c r="F231" s="255" t="str">
        <f>IFERROR(VLOOKUP($C231,'SINAPI FEVEREIRO 2022'!$1:$1048576,3,0),IFERROR(VLOOKUP($C231,'5-COMP. PROPRIA'!$B$1:$I$647,5,0),""))</f>
        <v>UN</v>
      </c>
      <c r="G231" s="204">
        <f>QUANT!K651</f>
        <v>10</v>
      </c>
      <c r="H231" s="256">
        <f>IFERROR(VLOOKUP($C231,'SINAPI FEVEREIRO 2022'!$1:$1048576,4,0),IFERROR(VLOOKUP($C231,'5-COMP. PROPRIA'!$B$1:$I$647,8,0),""))</f>
        <v>7.84</v>
      </c>
      <c r="I231" s="256">
        <f>TRUNC(($H231*'4-BDI'!$E$29),2)</f>
        <v>10.050000000000001</v>
      </c>
      <c r="J231" s="266">
        <f t="shared" si="92"/>
        <v>78.400000000000006</v>
      </c>
      <c r="K231" s="205">
        <f t="shared" si="93"/>
        <v>100.5</v>
      </c>
    </row>
    <row r="232" spans="2:11" s="107" customFormat="1" ht="45">
      <c r="B232" s="208" t="s">
        <v>8047</v>
      </c>
      <c r="C232" s="201">
        <f>QUANT!C653</f>
        <v>89724</v>
      </c>
      <c r="D232" s="201" t="str">
        <f>QUANT!D653</f>
        <v>SINAPI</v>
      </c>
      <c r="E232" s="203" t="str">
        <f>IFERROR(VLOOKUP($C232,'SINAPI FEVEREIRO 2022'!$1:$1048576,2,0),IFERROR(VLOOKUP($C232,'5-COMP. PROPRIA'!$B$1:$I$647,4,0),""))</f>
        <v>JOELHO 90 GRAUS, PVC, SERIE NORMAL, ESGOTO PREDIAL, DN 40 MM, JUNTA SOLDÁVEL, FORNECIDO E INSTALADO EM RAMAL DE DESCARGA OU RAMAL DE ESGOTO SANITÁRIO. AF_12/2014</v>
      </c>
      <c r="F232" s="255" t="str">
        <f>IFERROR(VLOOKUP($C232,'SINAPI FEVEREIRO 2022'!$1:$1048576,3,0),IFERROR(VLOOKUP($C232,'5-COMP. PROPRIA'!$B$1:$I$647,5,0),""))</f>
        <v>UN</v>
      </c>
      <c r="G232" s="204">
        <f>QUANT!K653</f>
        <v>10</v>
      </c>
      <c r="H232" s="256">
        <f>IFERROR(VLOOKUP($C232,'SINAPI FEVEREIRO 2022'!$1:$1048576,4,0),IFERROR(VLOOKUP($C232,'5-COMP. PROPRIA'!$B$1:$I$647,8,0),""))</f>
        <v>10.06</v>
      </c>
      <c r="I232" s="256">
        <f>TRUNC(($H232*'4-BDI'!$E$29),2)</f>
        <v>12.9</v>
      </c>
      <c r="J232" s="266">
        <f t="shared" si="92"/>
        <v>100.6</v>
      </c>
      <c r="K232" s="205">
        <f t="shared" si="93"/>
        <v>129</v>
      </c>
    </row>
    <row r="233" spans="2:11" s="107" customFormat="1" ht="30">
      <c r="B233" s="208" t="s">
        <v>8048</v>
      </c>
      <c r="C233" s="201" t="str">
        <f>QUANT!C655</f>
        <v>CP-HIDR-4</v>
      </c>
      <c r="D233" s="201" t="str">
        <f>QUANT!D655</f>
        <v>PROPRIA</v>
      </c>
      <c r="E233" s="203" t="str">
        <f>IFERROR(VLOOKUP($C233,'SINAPI FEVEREIRO 2022'!$1:$1048576,2,0),IFERROR(VLOOKUP($C233,'5-COMP. PROPRIA'!$B$1:$I$647,4,0),""))</f>
        <v>JUNCAO SIMPLES, PVC, DN 100 X 50 MM, SERIE NORMAL PARA ESGOTO PREDIAL -  FORNECIMENTO E INSTALAÇÃO</v>
      </c>
      <c r="F233" s="255" t="str">
        <f>IFERROR(VLOOKUP($C233,'SINAPI FEVEREIRO 2022'!$1:$1048576,3,0),IFERROR(VLOOKUP($C233,'5-COMP. PROPRIA'!$B$1:$I$647,5,0),""))</f>
        <v>UN</v>
      </c>
      <c r="G233" s="204">
        <f>QUANT!K655</f>
        <v>3</v>
      </c>
      <c r="H233" s="256">
        <f>IFERROR(VLOOKUP($C233,'SINAPI FEVEREIRO 2022'!$1:$1048576,4,0),IFERROR(VLOOKUP($C233,'5-COMP. PROPRIA'!$B$1:$I$647,8,0),""))</f>
        <v>44.09</v>
      </c>
      <c r="I233" s="256">
        <f>TRUNC(($H233*'4-BDI'!$E$29),2)</f>
        <v>56.54</v>
      </c>
      <c r="J233" s="266">
        <f t="shared" si="92"/>
        <v>132.27000000000001</v>
      </c>
      <c r="K233" s="205">
        <f t="shared" si="93"/>
        <v>169.62</v>
      </c>
    </row>
    <row r="234" spans="2:11" s="107" customFormat="1" ht="30">
      <c r="B234" s="208" t="s">
        <v>8049</v>
      </c>
      <c r="C234" s="201" t="str">
        <f>QUANT!C657</f>
        <v>CP-HIDR-5</v>
      </c>
      <c r="D234" s="201" t="str">
        <f>QUANT!D657</f>
        <v>PROPRIA</v>
      </c>
      <c r="E234" s="203" t="str">
        <f>IFERROR(VLOOKUP($C234,'SINAPI FEVEREIRO 2022'!$1:$1048576,2,0),IFERROR(VLOOKUP($C234,'5-COMP. PROPRIA'!$B$1:$I$647,4,0),""))</f>
        <v>JUNCAO SIMPLES, PVC, DN 100 X 75 MM, SERIE NORMAL PARA ESGOTO PREDIAL -  FORNECIMENTO E INSTALAÇÃO</v>
      </c>
      <c r="F234" s="255" t="str">
        <f>IFERROR(VLOOKUP($C234,'SINAPI FEVEREIRO 2022'!$1:$1048576,3,0),IFERROR(VLOOKUP($C234,'5-COMP. PROPRIA'!$B$1:$I$647,5,0),""))</f>
        <v>UN</v>
      </c>
      <c r="G234" s="204">
        <f>QUANT!K657</f>
        <v>2</v>
      </c>
      <c r="H234" s="256">
        <f>IFERROR(VLOOKUP($C234,'SINAPI FEVEREIRO 2022'!$1:$1048576,4,0),IFERROR(VLOOKUP($C234,'5-COMP. PROPRIA'!$B$1:$I$647,8,0),""))</f>
        <v>53</v>
      </c>
      <c r="I234" s="256">
        <f>TRUNC(($H234*'4-BDI'!$E$29),2)</f>
        <v>67.959999999999994</v>
      </c>
      <c r="J234" s="266">
        <f t="shared" si="92"/>
        <v>106</v>
      </c>
      <c r="K234" s="205">
        <f t="shared" si="93"/>
        <v>135.91999999999999</v>
      </c>
    </row>
    <row r="235" spans="2:11" s="107" customFormat="1" ht="45">
      <c r="B235" s="208" t="s">
        <v>8050</v>
      </c>
      <c r="C235" s="201">
        <f>QUANT!C659</f>
        <v>89797</v>
      </c>
      <c r="D235" s="201" t="str">
        <f>QUANT!D659</f>
        <v>SINAPI</v>
      </c>
      <c r="E235" s="203" t="str">
        <f>IFERROR(VLOOKUP($C235,'SINAPI FEVEREIRO 2022'!$1:$1048576,2,0),IFERROR(VLOOKUP($C235,'5-COMP. PROPRIA'!$B$1:$I$647,4,0),""))</f>
        <v>JUNÇÃO SIMPLES, PVC, SERIE NORMAL, ESGOTO PREDIAL, DN 100 X 100 MM, JUNTA ELÁSTICA, FORNECIDO E INSTALADO EM RAMAL DE DESCARGA OU RAMAL DE ESGOTO SANITÁRIO. AF_12/2014</v>
      </c>
      <c r="F235" s="255" t="str">
        <f>IFERROR(VLOOKUP($C235,'SINAPI FEVEREIRO 2022'!$1:$1048576,3,0),IFERROR(VLOOKUP($C235,'5-COMP. PROPRIA'!$B$1:$I$647,5,0),""))</f>
        <v>UN</v>
      </c>
      <c r="G235" s="204">
        <f>QUANT!K659</f>
        <v>5</v>
      </c>
      <c r="H235" s="256">
        <f>IFERROR(VLOOKUP($C235,'SINAPI FEVEREIRO 2022'!$1:$1048576,4,0),IFERROR(VLOOKUP($C235,'5-COMP. PROPRIA'!$B$1:$I$647,8,0),""))</f>
        <v>50.77</v>
      </c>
      <c r="I235" s="256">
        <f>TRUNC(($H235*'4-BDI'!$E$29),2)</f>
        <v>65.099999999999994</v>
      </c>
      <c r="J235" s="266">
        <f t="shared" si="92"/>
        <v>253.85</v>
      </c>
      <c r="K235" s="205">
        <f t="shared" si="93"/>
        <v>325.5</v>
      </c>
    </row>
    <row r="236" spans="2:11" s="107" customFormat="1" ht="45">
      <c r="B236" s="208" t="s">
        <v>8051</v>
      </c>
      <c r="C236" s="201" t="str">
        <f>QUANT!C661</f>
        <v>CP-HIDR-6</v>
      </c>
      <c r="D236" s="201" t="str">
        <f>QUANT!D661</f>
        <v>PROPRIA</v>
      </c>
      <c r="E236" s="203" t="str">
        <f>IFERROR(VLOOKUP($C236,'SINAPI FEVEREIRO 2022'!$1:$1048576,2,0),IFERROR(VLOOKUP($C236,'5-COMP. PROPRIA'!$B$1:$I$647,4,0),""))</f>
        <v>CURVA LONGA 45 GRAUS, PVC, SERIE NORMAL, ESGOTO PREDIAL, DN 50 MM, JUNTA ELÁSTICA, FORNECIDO E INSTALADO EM RAMAL DE DESCARGA OU RAMAL DE ESGOTO SANITÁRIO</v>
      </c>
      <c r="F236" s="255" t="str">
        <f>IFERROR(VLOOKUP($C236,'SINAPI FEVEREIRO 2022'!$1:$1048576,3,0),IFERROR(VLOOKUP($C236,'5-COMP. PROPRIA'!$B$1:$I$647,5,0),""))</f>
        <v>UN</v>
      </c>
      <c r="G236" s="204">
        <f>QUANT!K661</f>
        <v>2</v>
      </c>
      <c r="H236" s="256">
        <f>IFERROR(VLOOKUP($C236,'SINAPI FEVEREIRO 2022'!$1:$1048576,4,0),IFERROR(VLOOKUP($C236,'5-COMP. PROPRIA'!$B$1:$I$647,8,0),""))</f>
        <v>21.82</v>
      </c>
      <c r="I236" s="256">
        <f>TRUNC(($H236*'4-BDI'!$E$29),2)</f>
        <v>27.98</v>
      </c>
      <c r="J236" s="266">
        <f t="shared" si="92"/>
        <v>43.64</v>
      </c>
      <c r="K236" s="205">
        <f t="shared" si="93"/>
        <v>55.96</v>
      </c>
    </row>
    <row r="237" spans="2:11" s="107" customFormat="1" ht="45">
      <c r="B237" s="208" t="s">
        <v>8052</v>
      </c>
      <c r="C237" s="201">
        <f>QUANT!C663</f>
        <v>89714</v>
      </c>
      <c r="D237" s="201" t="str">
        <f>QUANT!D663</f>
        <v>SINAPI</v>
      </c>
      <c r="E237" s="203" t="str">
        <f>IFERROR(VLOOKUP($C237,'SINAPI FEVEREIRO 2022'!$1:$1048576,2,0),IFERROR(VLOOKUP($C237,'5-COMP. PROPRIA'!$B$1:$I$647,4,0),""))</f>
        <v>TUBO PVC, SERIE NORMAL, ESGOTO PREDIAL, DN 100 MM, FORNECIDO E INSTALADO EM RAMAL DE DESCARGA OU RAMAL DE ESGOTO SANITÁRIO. AF_12/2014</v>
      </c>
      <c r="F237" s="255" t="str">
        <f>IFERROR(VLOOKUP($C237,'SINAPI FEVEREIRO 2022'!$1:$1048576,3,0),IFERROR(VLOOKUP($C237,'5-COMP. PROPRIA'!$B$1:$I$647,5,0),""))</f>
        <v>M</v>
      </c>
      <c r="G237" s="204">
        <f>QUANT!K663</f>
        <v>114.33</v>
      </c>
      <c r="H237" s="256">
        <f>IFERROR(VLOOKUP($C237,'SINAPI FEVEREIRO 2022'!$1:$1048576,4,0),IFERROR(VLOOKUP($C237,'5-COMP. PROPRIA'!$B$1:$I$647,8,0),""))</f>
        <v>52.9</v>
      </c>
      <c r="I237" s="256">
        <f>TRUNC(($H237*'4-BDI'!$E$29),2)</f>
        <v>67.83</v>
      </c>
      <c r="J237" s="266">
        <f t="shared" ref="J237:J243" si="94">TRUNC((G237*H237),2)</f>
        <v>6048.05</v>
      </c>
      <c r="K237" s="205">
        <f t="shared" ref="K237:K243" si="95">TRUNC((I237*G237),2)</f>
        <v>7755</v>
      </c>
    </row>
    <row r="238" spans="2:11" s="107" customFormat="1" ht="45">
      <c r="B238" s="208" t="s">
        <v>8053</v>
      </c>
      <c r="C238" s="201">
        <f>QUANT!C665</f>
        <v>89711</v>
      </c>
      <c r="D238" s="201" t="str">
        <f>QUANT!D665</f>
        <v>SINAPI</v>
      </c>
      <c r="E238" s="203" t="str">
        <f>IFERROR(VLOOKUP($C238,'SINAPI FEVEREIRO 2022'!$1:$1048576,2,0),IFERROR(VLOOKUP($C238,'5-COMP. PROPRIA'!$B$1:$I$647,4,0),""))</f>
        <v>TUBO PVC, SERIE NORMAL, ESGOTO PREDIAL, DN 40 MM, FORNECIDO E INSTALADO EM RAMAL DE DESCARGA OU RAMAL DE ESGOTO SANITÁRIO. AF_12/2014</v>
      </c>
      <c r="F238" s="255" t="str">
        <f>IFERROR(VLOOKUP($C238,'SINAPI FEVEREIRO 2022'!$1:$1048576,3,0),IFERROR(VLOOKUP($C238,'5-COMP. PROPRIA'!$B$1:$I$647,5,0),""))</f>
        <v>M</v>
      </c>
      <c r="G238" s="204">
        <f>QUANT!K665</f>
        <v>18.12</v>
      </c>
      <c r="H238" s="256">
        <f>IFERROR(VLOOKUP($C238,'SINAPI FEVEREIRO 2022'!$1:$1048576,4,0),IFERROR(VLOOKUP($C238,'5-COMP. PROPRIA'!$B$1:$I$647,8,0),""))</f>
        <v>17.36</v>
      </c>
      <c r="I238" s="256">
        <f>TRUNC(($H238*'4-BDI'!$E$29),2)</f>
        <v>22.26</v>
      </c>
      <c r="J238" s="266">
        <f t="shared" si="94"/>
        <v>314.56</v>
      </c>
      <c r="K238" s="205">
        <f t="shared" si="95"/>
        <v>403.35</v>
      </c>
    </row>
    <row r="239" spans="2:11" s="107" customFormat="1" ht="45">
      <c r="B239" s="208" t="s">
        <v>8054</v>
      </c>
      <c r="C239" s="201">
        <f>QUANT!C667</f>
        <v>89712</v>
      </c>
      <c r="D239" s="201" t="str">
        <f>QUANT!D667</f>
        <v>SINAPI</v>
      </c>
      <c r="E239" s="203" t="str">
        <f>IFERROR(VLOOKUP($C239,'SINAPI FEVEREIRO 2022'!$1:$1048576,2,0),IFERROR(VLOOKUP($C239,'5-COMP. PROPRIA'!$B$1:$I$647,4,0),""))</f>
        <v>TUBO PVC, SERIE NORMAL, ESGOTO PREDIAL, DN 50 MM, FORNECIDO E INSTALADO EM RAMAL DE DESCARGA OU RAMAL DE ESGOTO SANITÁRIO. AF_12/2014</v>
      </c>
      <c r="F239" s="255" t="str">
        <f>IFERROR(VLOOKUP($C239,'SINAPI FEVEREIRO 2022'!$1:$1048576,3,0),IFERROR(VLOOKUP($C239,'5-COMP. PROPRIA'!$B$1:$I$647,5,0),""))</f>
        <v>M</v>
      </c>
      <c r="G239" s="204">
        <f>QUANT!K667</f>
        <v>25.27</v>
      </c>
      <c r="H239" s="256">
        <f>IFERROR(VLOOKUP($C239,'SINAPI FEVEREIRO 2022'!$1:$1048576,4,0),IFERROR(VLOOKUP($C239,'5-COMP. PROPRIA'!$B$1:$I$647,8,0),""))</f>
        <v>27.23</v>
      </c>
      <c r="I239" s="256">
        <f>TRUNC(($H239*'4-BDI'!$E$29),2)</f>
        <v>34.909999999999997</v>
      </c>
      <c r="J239" s="266">
        <f t="shared" si="94"/>
        <v>688.1</v>
      </c>
      <c r="K239" s="205">
        <f t="shared" si="95"/>
        <v>882.17</v>
      </c>
    </row>
    <row r="240" spans="2:11" s="107" customFormat="1" ht="45">
      <c r="B240" s="208" t="s">
        <v>8055</v>
      </c>
      <c r="C240" s="201">
        <f>QUANT!C669</f>
        <v>89713</v>
      </c>
      <c r="D240" s="201" t="str">
        <f>QUANT!D669</f>
        <v>SINAPI</v>
      </c>
      <c r="E240" s="203" t="str">
        <f>IFERROR(VLOOKUP($C240,'SINAPI FEVEREIRO 2022'!$1:$1048576,2,0),IFERROR(VLOOKUP($C240,'5-COMP. PROPRIA'!$B$1:$I$647,4,0),""))</f>
        <v>TUBO PVC, SERIE NORMAL, ESGOTO PREDIAL, DN 75 MM, FORNECIDO E INSTALADO EM RAMAL DE DESCARGA OU RAMAL DE ESGOTO SANITÁRIO. AF_12/2014</v>
      </c>
      <c r="F240" s="255" t="str">
        <f>IFERROR(VLOOKUP($C240,'SINAPI FEVEREIRO 2022'!$1:$1048576,3,0),IFERROR(VLOOKUP($C240,'5-COMP. PROPRIA'!$B$1:$I$647,5,0),""))</f>
        <v>M</v>
      </c>
      <c r="G240" s="204">
        <f>QUANT!K669</f>
        <v>4.13</v>
      </c>
      <c r="H240" s="256">
        <f>IFERROR(VLOOKUP($C240,'SINAPI FEVEREIRO 2022'!$1:$1048576,4,0),IFERROR(VLOOKUP($C240,'5-COMP. PROPRIA'!$B$1:$I$647,8,0),""))</f>
        <v>41.74</v>
      </c>
      <c r="I240" s="256">
        <f>TRUNC(($H240*'4-BDI'!$E$29),2)</f>
        <v>53.52</v>
      </c>
      <c r="J240" s="266">
        <f t="shared" si="94"/>
        <v>172.38</v>
      </c>
      <c r="K240" s="205">
        <f t="shared" si="95"/>
        <v>221.03</v>
      </c>
    </row>
    <row r="241" spans="2:11" s="107" customFormat="1" ht="45">
      <c r="B241" s="208" t="s">
        <v>8056</v>
      </c>
      <c r="C241" s="201">
        <f>QUANT!C671</f>
        <v>98065</v>
      </c>
      <c r="D241" s="201" t="str">
        <f>QUANT!D671</f>
        <v>SINAPI</v>
      </c>
      <c r="E241" s="203" t="str">
        <f>IFERROR(VLOOKUP($C241,'SINAPI FEVEREIRO 2022'!$1:$1048576,2,0),IFERROR(VLOOKUP($C241,'5-COMP. PROPRIA'!$B$1:$I$647,4,0),""))</f>
        <v>SUMIDOURO CIRCULAR, EM CONCRETO PRÉ-MOLDADO, DIÂMETRO INTERNO = 2,88 M, ALTURA INTERNA = 3,0 M, ÁREA DE INFILTRAÇÃO: 31,4 M² (PARA 12 CONTRIBUINTES). AF_12/2020</v>
      </c>
      <c r="F241" s="255" t="str">
        <f>IFERROR(VLOOKUP($C241,'SINAPI FEVEREIRO 2022'!$1:$1048576,3,0),IFERROR(VLOOKUP($C241,'5-COMP. PROPRIA'!$B$1:$I$647,5,0),""))</f>
        <v>UN</v>
      </c>
      <c r="G241" s="204">
        <f>QUANT!K671</f>
        <v>2</v>
      </c>
      <c r="H241" s="256">
        <f>IFERROR(VLOOKUP($C241,'SINAPI FEVEREIRO 2022'!$1:$1048576,4,0),IFERROR(VLOOKUP($C241,'5-COMP. PROPRIA'!$B$1:$I$647,8,0),""))</f>
        <v>6458.52</v>
      </c>
      <c r="I241" s="256">
        <f>TRUNC(($H241*'4-BDI'!$E$29),2)</f>
        <v>8282.4</v>
      </c>
      <c r="J241" s="266">
        <f t="shared" si="94"/>
        <v>12917.04</v>
      </c>
      <c r="K241" s="205">
        <f t="shared" si="95"/>
        <v>16564.8</v>
      </c>
    </row>
    <row r="242" spans="2:11" s="107" customFormat="1" ht="45">
      <c r="B242" s="208" t="s">
        <v>8057</v>
      </c>
      <c r="C242" s="201">
        <f>QUANT!C673</f>
        <v>98061</v>
      </c>
      <c r="D242" s="201" t="str">
        <f>QUANT!D673</f>
        <v>SINAPI</v>
      </c>
      <c r="E242" s="203" t="str">
        <f>IFERROR(VLOOKUP($C242,'SINAPI FEVEREIRO 2022'!$1:$1048576,2,0),IFERROR(VLOOKUP($C242,'5-COMP. PROPRIA'!$B$1:$I$647,4,0),""))</f>
        <v>FILTRO ANAERÓBIO CIRCULAR, EM CONCRETO PRÉ-MOLDADO, DIÂMETRO INTERNO = 2,88 M, ALTURA INTERNA = 1,50 M, VOLUME ÚTIL: 7817,3 L (PARA 75 CONTRIBUINTES). AF_12/2020</v>
      </c>
      <c r="F242" s="255" t="str">
        <f>IFERROR(VLOOKUP($C242,'SINAPI FEVEREIRO 2022'!$1:$1048576,3,0),IFERROR(VLOOKUP($C242,'5-COMP. PROPRIA'!$B$1:$I$647,5,0),""))</f>
        <v>UN</v>
      </c>
      <c r="G242" s="204">
        <f>QUANT!K673</f>
        <v>2</v>
      </c>
      <c r="H242" s="256">
        <f>IFERROR(VLOOKUP($C242,'SINAPI FEVEREIRO 2022'!$1:$1048576,4,0),IFERROR(VLOOKUP($C242,'5-COMP. PROPRIA'!$B$1:$I$647,8,0),""))</f>
        <v>6640.52</v>
      </c>
      <c r="I242" s="256">
        <f>TRUNC(($H242*'4-BDI'!$E$29),2)</f>
        <v>8515.7999999999993</v>
      </c>
      <c r="J242" s="266">
        <f t="shared" si="94"/>
        <v>13281.04</v>
      </c>
      <c r="K242" s="205">
        <f t="shared" si="95"/>
        <v>17031.599999999999</v>
      </c>
    </row>
    <row r="243" spans="2:11" s="107" customFormat="1" ht="45">
      <c r="B243" s="208" t="s">
        <v>8058</v>
      </c>
      <c r="C243" s="201">
        <f>QUANT!C675</f>
        <v>98057</v>
      </c>
      <c r="D243" s="201" t="str">
        <f>QUANT!D675</f>
        <v>SINAPI</v>
      </c>
      <c r="E243" s="203" t="str">
        <f>IFERROR(VLOOKUP($C243,'SINAPI FEVEREIRO 2022'!$1:$1048576,2,0),IFERROR(VLOOKUP($C243,'5-COMP. PROPRIA'!$B$1:$I$647,4,0),""))</f>
        <v>TANQUE SÉPTICO CIRCULAR, EM CONCRETO PRÉ-MOLDADO, DIÂMETRO INTERNO = 2,88 M, ALTURA INTERNA = 2,50 M, VOLUME ÚTIL: 14657,4 L (PARA 105 CONTRIBUINTES). AF_12/2020</v>
      </c>
      <c r="F243" s="255" t="str">
        <f>IFERROR(VLOOKUP($C243,'SINAPI FEVEREIRO 2022'!$1:$1048576,3,0),IFERROR(VLOOKUP($C243,'5-COMP. PROPRIA'!$B$1:$I$647,5,0),""))</f>
        <v>UN</v>
      </c>
      <c r="G243" s="204">
        <f>QUANT!K675</f>
        <v>2</v>
      </c>
      <c r="H243" s="256">
        <f>IFERROR(VLOOKUP($C243,'SINAPI FEVEREIRO 2022'!$1:$1048576,4,0),IFERROR(VLOOKUP($C243,'5-COMP. PROPRIA'!$B$1:$I$647,8,0),""))</f>
        <v>7779.22</v>
      </c>
      <c r="I243" s="256">
        <f>TRUNC(($H243*'4-BDI'!$E$29),2)</f>
        <v>9976.07</v>
      </c>
      <c r="J243" s="266">
        <f t="shared" si="94"/>
        <v>15558.44</v>
      </c>
      <c r="K243" s="205">
        <f t="shared" si="95"/>
        <v>19952.14</v>
      </c>
    </row>
    <row r="244" spans="2:11" s="107" customFormat="1" ht="15.75" customHeight="1">
      <c r="B244" s="915" t="s">
        <v>8287</v>
      </c>
      <c r="C244" s="916"/>
      <c r="D244" s="916"/>
      <c r="E244" s="916"/>
      <c r="F244" s="916"/>
      <c r="G244" s="916"/>
      <c r="H244" s="916"/>
      <c r="I244" s="917"/>
      <c r="J244" s="207">
        <f>TRUNC(SUM(J215:J243),2)</f>
        <v>56278.77</v>
      </c>
      <c r="K244" s="207">
        <f>TRUNC(SUM(K215:K243),2)</f>
        <v>72169.84</v>
      </c>
    </row>
    <row r="245" spans="2:11" s="107" customFormat="1" ht="15.75" customHeight="1">
      <c r="B245" s="535" t="s">
        <v>8029</v>
      </c>
      <c r="C245" s="536"/>
      <c r="D245" s="537"/>
      <c r="E245" s="608" t="str">
        <f>QUANT!E677</f>
        <v>VENTILAÇÃO</v>
      </c>
      <c r="F245" s="539"/>
      <c r="G245" s="540"/>
      <c r="H245" s="541"/>
      <c r="I245" s="541"/>
      <c r="J245" s="541"/>
      <c r="K245" s="557"/>
    </row>
    <row r="246" spans="2:11" s="107" customFormat="1" ht="52.5" customHeight="1">
      <c r="B246" s="208" t="s">
        <v>8061</v>
      </c>
      <c r="C246" s="555">
        <f>QUANT!C679</f>
        <v>89803</v>
      </c>
      <c r="D246" s="600" t="str">
        <f>QUANT!D679</f>
        <v>SINAPI</v>
      </c>
      <c r="E246" s="203" t="str">
        <f>IFERROR(VLOOKUP($C246,'SINAPI FEVEREIRO 2022'!$1:$1048576,2,0),IFERROR(VLOOKUP($C246,'5-COMP. PROPRIA'!$B$1:$I$647,4,0),""))</f>
        <v>CURVA CURTA 90 GRAUS, PVC, SERIE NORMAL, ESGOTO PREDIAL, DN 50 MM, JUNTA ELÁSTICA, FORNECIDO E INSTALADO EM PRUMADA DE ESGOTO SANITÁRIO OU VENTILAÇÃO. AF_12/2014</v>
      </c>
      <c r="F246" s="255" t="str">
        <f>IFERROR(VLOOKUP($C246,'SINAPI FEVEREIRO 2022'!$1:$1048576,3,0),IFERROR(VLOOKUP($C246,'5-COMP. PROPRIA'!$B$1:$I$647,5,0),""))</f>
        <v>UN</v>
      </c>
      <c r="G246" s="204">
        <f>QUANT!K679</f>
        <v>6</v>
      </c>
      <c r="H246" s="256">
        <f>IFERROR(VLOOKUP($C246,'SINAPI FEVEREIRO 2022'!$1:$1048576,4,0),IFERROR(VLOOKUP($C246,'5-COMP. PROPRIA'!$B$1:$I$647,8,0),""))</f>
        <v>16.87</v>
      </c>
      <c r="I246" s="256">
        <f>TRUNC(($H246*'4-BDI'!$E$29),2)</f>
        <v>21.63</v>
      </c>
      <c r="J246" s="266">
        <f t="shared" ref="J246" si="96">TRUNC((G246*H246),2)</f>
        <v>101.22</v>
      </c>
      <c r="K246" s="205">
        <f t="shared" ref="K246" si="97">TRUNC((I246*G246),2)</f>
        <v>129.78</v>
      </c>
    </row>
    <row r="247" spans="2:11" s="107" customFormat="1" ht="50.25" customHeight="1">
      <c r="B247" s="208" t="s">
        <v>8062</v>
      </c>
      <c r="C247" s="555">
        <f>QUANT!C681</f>
        <v>89732</v>
      </c>
      <c r="D247" s="600" t="str">
        <f>QUANT!D681</f>
        <v>SINAPI</v>
      </c>
      <c r="E247" s="203" t="str">
        <f>IFERROR(VLOOKUP($C247,'SINAPI FEVEREIRO 2022'!$1:$1048576,2,0),IFERROR(VLOOKUP($C247,'5-COMP. PROPRIA'!$B$1:$I$647,4,0),""))</f>
        <v>JOELHO 45 GRAUS, PVC, SERIE NORMAL, ESGOTO PREDIAL, DN 50 MM, JUNTA ELÁSTICA, FORNECIDO E INSTALADO EM RAMAL DE DESCARGA OU RAMAL DE ESGOTO SANITÁRIO. AF_12/2014</v>
      </c>
      <c r="F247" s="255" t="str">
        <f>IFERROR(VLOOKUP($C247,'SINAPI FEVEREIRO 2022'!$1:$1048576,3,0),IFERROR(VLOOKUP($C247,'5-COMP. PROPRIA'!$B$1:$I$647,5,0),""))</f>
        <v>UN</v>
      </c>
      <c r="G247" s="204">
        <f>QUANT!K681</f>
        <v>2</v>
      </c>
      <c r="H247" s="256">
        <f>IFERROR(VLOOKUP($C247,'SINAPI FEVEREIRO 2022'!$1:$1048576,4,0),IFERROR(VLOOKUP($C247,'5-COMP. PROPRIA'!$B$1:$I$647,8,0),""))</f>
        <v>11.7</v>
      </c>
      <c r="I247" s="256">
        <f>TRUNC(($H247*'4-BDI'!$E$29),2)</f>
        <v>15</v>
      </c>
      <c r="J247" s="266">
        <f t="shared" ref="J247" si="98">TRUNC((G247*H247),2)</f>
        <v>23.4</v>
      </c>
      <c r="K247" s="205">
        <f t="shared" ref="K247" si="99">TRUNC((I247*G247),2)</f>
        <v>30</v>
      </c>
    </row>
    <row r="248" spans="2:11" s="107" customFormat="1" ht="46.5" customHeight="1">
      <c r="B248" s="208" t="s">
        <v>8063</v>
      </c>
      <c r="C248" s="555">
        <f>QUANT!C683</f>
        <v>89801</v>
      </c>
      <c r="D248" s="600" t="str">
        <f>QUANT!D683</f>
        <v>SINAPI</v>
      </c>
      <c r="E248" s="203" t="str">
        <f>IFERROR(VLOOKUP($C248,'SINAPI FEVEREIRO 2022'!$1:$1048576,2,0),IFERROR(VLOOKUP($C248,'5-COMP. PROPRIA'!$B$1:$I$647,4,0),""))</f>
        <v>JOELHO 90 GRAUS, PVC, SERIE NORMAL, ESGOTO PREDIAL, DN 50 MM, JUNTA ELÁSTICA, FORNECIDO E INSTALADO EM PRUMADA DE ESGOTO SANITÁRIO OU VENTILAÇÃO. AF_12/2014</v>
      </c>
      <c r="F248" s="255" t="str">
        <f>IFERROR(VLOOKUP($C248,'SINAPI FEVEREIRO 2022'!$1:$1048576,3,0),IFERROR(VLOOKUP($C248,'5-COMP. PROPRIA'!$B$1:$I$647,5,0),""))</f>
        <v>UN</v>
      </c>
      <c r="G248" s="204">
        <f>QUANT!K683</f>
        <v>5</v>
      </c>
      <c r="H248" s="256">
        <f>IFERROR(VLOOKUP($C248,'SINAPI FEVEREIRO 2022'!$1:$1048576,4,0),IFERROR(VLOOKUP($C248,'5-COMP. PROPRIA'!$B$1:$I$647,8,0),""))</f>
        <v>7.84</v>
      </c>
      <c r="I248" s="256">
        <f>TRUNC(($H248*'4-BDI'!$E$29),2)</f>
        <v>10.050000000000001</v>
      </c>
      <c r="J248" s="266">
        <f t="shared" ref="J248:J251" si="100">TRUNC((G248*H248),2)</f>
        <v>39.200000000000003</v>
      </c>
      <c r="K248" s="205">
        <f t="shared" ref="K248:K251" si="101">TRUNC((I248*G248),2)</f>
        <v>50.25</v>
      </c>
    </row>
    <row r="249" spans="2:11" s="107" customFormat="1" ht="37.5" customHeight="1">
      <c r="B249" s="208" t="s">
        <v>8064</v>
      </c>
      <c r="C249" s="555" t="str">
        <f>QUANT!C685</f>
        <v>CP-HIDR-7</v>
      </c>
      <c r="D249" s="600" t="str">
        <f>QUANT!D685</f>
        <v>PROPRIA</v>
      </c>
      <c r="E249" s="203" t="str">
        <f>IFERROR(VLOOKUP($C249,'SINAPI FEVEREIRO 2022'!$1:$1048576,2,0),IFERROR(VLOOKUP($C249,'5-COMP. PROPRIA'!$B$1:$I$647,4,0),""))</f>
        <v>JUNCAO SIMPLES, PVC, DN 75 X 50 MM, SERIE NORMAL PARA ESGOTO PREDIAL -  FORNECIMENTO E INSTALAÇÃO</v>
      </c>
      <c r="F249" s="255" t="str">
        <f>IFERROR(VLOOKUP($C249,'SINAPI FEVEREIRO 2022'!$1:$1048576,3,0),IFERROR(VLOOKUP($C249,'5-COMP. PROPRIA'!$B$1:$I$647,5,0),""))</f>
        <v>UN</v>
      </c>
      <c r="G249" s="204">
        <f>QUANT!K685</f>
        <v>1</v>
      </c>
      <c r="H249" s="256">
        <f>IFERROR(VLOOKUP($C249,'SINAPI FEVEREIRO 2022'!$1:$1048576,4,0),IFERROR(VLOOKUP($C249,'5-COMP. PROPRIA'!$B$1:$I$647,8,0),""))</f>
        <v>40.07</v>
      </c>
      <c r="I249" s="256">
        <f>TRUNC(($H249*'4-BDI'!$E$29),2)</f>
        <v>51.38</v>
      </c>
      <c r="J249" s="266">
        <f t="shared" si="100"/>
        <v>40.07</v>
      </c>
      <c r="K249" s="205">
        <f t="shared" si="101"/>
        <v>51.38</v>
      </c>
    </row>
    <row r="250" spans="2:11" s="107" customFormat="1" ht="51" customHeight="1">
      <c r="B250" s="208" t="s">
        <v>8065</v>
      </c>
      <c r="C250" s="555">
        <f>QUANT!C687</f>
        <v>89798</v>
      </c>
      <c r="D250" s="600" t="str">
        <f>QUANT!D687</f>
        <v>SINAPI</v>
      </c>
      <c r="E250" s="203" t="str">
        <f>IFERROR(VLOOKUP($C250,'SINAPI FEVEREIRO 2022'!$1:$1048576,2,0),IFERROR(VLOOKUP($C250,'5-COMP. PROPRIA'!$B$1:$I$647,4,0),""))</f>
        <v>TUBO PVC, SERIE NORMAL, ESGOTO PREDIAL, DN 50 MM, FORNECIDO E INSTALADO EM PRUMADA DE ESGOTO SANITÁRIO OU VENTILAÇÃO. AF_12/2014</v>
      </c>
      <c r="F250" s="255" t="str">
        <f>IFERROR(VLOOKUP($C250,'SINAPI FEVEREIRO 2022'!$1:$1048576,3,0),IFERROR(VLOOKUP($C250,'5-COMP. PROPRIA'!$B$1:$I$647,5,0),""))</f>
        <v>M</v>
      </c>
      <c r="G250" s="204">
        <f>QUANT!K687</f>
        <v>3.5</v>
      </c>
      <c r="H250" s="256">
        <f>IFERROR(VLOOKUP($C250,'SINAPI FEVEREIRO 2022'!$1:$1048576,4,0),IFERROR(VLOOKUP($C250,'5-COMP. PROPRIA'!$B$1:$I$647,8,0),""))</f>
        <v>14.1</v>
      </c>
      <c r="I250" s="256">
        <f>TRUNC(($H250*'4-BDI'!$E$29),2)</f>
        <v>18.079999999999998</v>
      </c>
      <c r="J250" s="266">
        <f t="shared" si="100"/>
        <v>49.35</v>
      </c>
      <c r="K250" s="205">
        <f t="shared" si="101"/>
        <v>63.28</v>
      </c>
    </row>
    <row r="251" spans="2:11" s="107" customFormat="1" ht="49.5" customHeight="1">
      <c r="B251" s="208" t="s">
        <v>8066</v>
      </c>
      <c r="C251" s="555">
        <f>QUANT!C689</f>
        <v>89825</v>
      </c>
      <c r="D251" s="600" t="str">
        <f>QUANT!D689</f>
        <v>SINAPI</v>
      </c>
      <c r="E251" s="203" t="str">
        <f>IFERROR(VLOOKUP($C251,'SINAPI FEVEREIRO 2022'!$1:$1048576,2,0),IFERROR(VLOOKUP($C251,'5-COMP. PROPRIA'!$B$1:$I$647,4,0),""))</f>
        <v>TE, PVC, SERIE NORMAL, ESGOTO PREDIAL, DN 50 X 50 MM, JUNTA ELÁSTICA, FORNECIDO E INSTALADO EM PRUMADA DE ESGOTO SANITÁRIO OU VENTILAÇÃO. AF_12/2014</v>
      </c>
      <c r="F251" s="255" t="str">
        <f>IFERROR(VLOOKUP($C251,'SINAPI FEVEREIRO 2022'!$1:$1048576,3,0),IFERROR(VLOOKUP($C251,'5-COMP. PROPRIA'!$B$1:$I$647,5,0),""))</f>
        <v>UN</v>
      </c>
      <c r="G251" s="204">
        <f>QUANT!K689</f>
        <v>4</v>
      </c>
      <c r="H251" s="256">
        <f>IFERROR(VLOOKUP($C251,'SINAPI FEVEREIRO 2022'!$1:$1048576,4,0),IFERROR(VLOOKUP($C251,'5-COMP. PROPRIA'!$B$1:$I$647,8,0),""))</f>
        <v>17.59</v>
      </c>
      <c r="I251" s="256">
        <f>TRUNC(($H251*'4-BDI'!$E$29),2)</f>
        <v>22.55</v>
      </c>
      <c r="J251" s="266">
        <f t="shared" si="100"/>
        <v>70.36</v>
      </c>
      <c r="K251" s="205">
        <f t="shared" si="101"/>
        <v>90.2</v>
      </c>
    </row>
    <row r="252" spans="2:11" s="107" customFormat="1" ht="33.75" customHeight="1">
      <c r="B252" s="208" t="s">
        <v>8067</v>
      </c>
      <c r="C252" s="555" t="str">
        <f>QUANT!C691</f>
        <v>CP-HIDR-8</v>
      </c>
      <c r="D252" s="600" t="str">
        <f>QUANT!D691</f>
        <v>PROPRIA</v>
      </c>
      <c r="E252" s="203" t="str">
        <f>IFERROR(VLOOKUP($C252,'SINAPI FEVEREIRO 2022'!$1:$1048576,2,0),IFERROR(VLOOKUP($C252,'5-COMP. PROPRIA'!$B$1:$I$647,4,0),""))</f>
        <v>TE, PVC, SERIE NORMAL, ESGOTO PREDIAL, DN 75 X 50 MM, JUNTA ELÁSTICA, FORNECIDO E INSTALADO VENTILAÇÃO</v>
      </c>
      <c r="F252" s="255" t="str">
        <f>IFERROR(VLOOKUP($C252,'SINAPI FEVEREIRO 2022'!$1:$1048576,3,0),IFERROR(VLOOKUP($C252,'5-COMP. PROPRIA'!$B$1:$I$647,5,0),""))</f>
        <v>UN</v>
      </c>
      <c r="G252" s="204">
        <f>QUANT!K691</f>
        <v>1</v>
      </c>
      <c r="H252" s="256">
        <f>IFERROR(VLOOKUP($C252,'SINAPI FEVEREIRO 2022'!$1:$1048576,4,0),IFERROR(VLOOKUP($C252,'5-COMP. PROPRIA'!$B$1:$I$647,8,0),""))</f>
        <v>26.06</v>
      </c>
      <c r="I252" s="256">
        <f>TRUNC(($H252*'4-BDI'!$E$29),2)</f>
        <v>33.409999999999997</v>
      </c>
      <c r="J252" s="266">
        <f t="shared" ref="J252" si="102">TRUNC((G252*H252),2)</f>
        <v>26.06</v>
      </c>
      <c r="K252" s="205">
        <f t="shared" ref="K252" si="103">TRUNC((I252*G252),2)</f>
        <v>33.409999999999997</v>
      </c>
    </row>
    <row r="253" spans="2:11" s="107" customFormat="1" ht="15.75" customHeight="1">
      <c r="B253" s="915" t="s">
        <v>8287</v>
      </c>
      <c r="C253" s="916"/>
      <c r="D253" s="916"/>
      <c r="E253" s="916"/>
      <c r="F253" s="916"/>
      <c r="G253" s="916"/>
      <c r="H253" s="916"/>
      <c r="I253" s="917"/>
      <c r="J253" s="207">
        <f>TRUNC(SUM(J246:J252),2)</f>
        <v>349.66</v>
      </c>
      <c r="K253" s="207">
        <f>TRUNC(SUM(K246:K252),2)</f>
        <v>448.3</v>
      </c>
    </row>
    <row r="254" spans="2:11" s="107" customFormat="1" ht="15.75" customHeight="1">
      <c r="B254" s="535" t="s">
        <v>8059</v>
      </c>
      <c r="C254" s="536"/>
      <c r="D254" s="537"/>
      <c r="E254" s="608" t="str">
        <f>QUANT!E693</f>
        <v>AGUA FRIA</v>
      </c>
      <c r="F254" s="539"/>
      <c r="G254" s="540"/>
      <c r="H254" s="541"/>
      <c r="I254" s="541"/>
      <c r="J254" s="541"/>
      <c r="K254" s="542"/>
    </row>
    <row r="255" spans="2:11" s="107" customFormat="1" ht="30">
      <c r="B255" s="208" t="s">
        <v>8068</v>
      </c>
      <c r="C255" s="555">
        <f>QUANT!C695</f>
        <v>94495</v>
      </c>
      <c r="D255" s="600" t="str">
        <f>QUANT!D695</f>
        <v>SINAPI</v>
      </c>
      <c r="E255" s="203" t="str">
        <f>IFERROR(VLOOKUP($C255,'SINAPI FEVEREIRO 2022'!$1:$1048576,2,0),IFERROR(VLOOKUP($C255,'5-COMP. PROPRIA'!$B$1:$I$647,4,0),""))</f>
        <v>REGISTRO DE GAVETA BRUTO, LATÃO, ROSCÁVEL, 1" - FORNECIMENTO E INSTALAÇÃO. AF_08/2021</v>
      </c>
      <c r="F255" s="255" t="str">
        <f>IFERROR(VLOOKUP($C255,'SINAPI FEVEREIRO 2022'!$1:$1048576,3,0),IFERROR(VLOOKUP($C255,'5-COMP. PROPRIA'!$B$1:$I$647,5,0),""))</f>
        <v>UN</v>
      </c>
      <c r="G255" s="204">
        <f>QUANT!K695</f>
        <v>1</v>
      </c>
      <c r="H255" s="256">
        <f>IFERROR(VLOOKUP($C255,'SINAPI FEVEREIRO 2022'!$1:$1048576,4,0),IFERROR(VLOOKUP($C255,'5-COMP. PROPRIA'!$B$1:$I$647,8,0),""))</f>
        <v>48.27</v>
      </c>
      <c r="I255" s="256">
        <f>TRUNC(($H255*'4-BDI'!$E$29),2)</f>
        <v>61.9</v>
      </c>
      <c r="J255" s="266">
        <f t="shared" ref="J255" si="104">TRUNC((G255*H255),2)</f>
        <v>48.27</v>
      </c>
      <c r="K255" s="205">
        <f t="shared" ref="K255" si="105">TRUNC((I255*G255),2)</f>
        <v>61.9</v>
      </c>
    </row>
    <row r="256" spans="2:11" s="107" customFormat="1" ht="30">
      <c r="B256" s="208" t="s">
        <v>8069</v>
      </c>
      <c r="C256" s="555">
        <f>QUANT!C697</f>
        <v>94497</v>
      </c>
      <c r="D256" s="555" t="str">
        <f>QUANT!D697</f>
        <v>SINAPI</v>
      </c>
      <c r="E256" s="203" t="str">
        <f>IFERROR(VLOOKUP($C256,'SINAPI FEVEREIRO 2022'!$1:$1048576,2,0),IFERROR(VLOOKUP($C256,'5-COMP. PROPRIA'!$B$1:$I$647,4,0),""))</f>
        <v>REGISTRO DE GAVETA BRUTO, LATÃO, ROSCÁVEL, 1 1/2" - FORNECIMENTO E INSTALAÇÃO. AF_08/2021</v>
      </c>
      <c r="F256" s="255" t="str">
        <f>IFERROR(VLOOKUP($C256,'SINAPI FEVEREIRO 2022'!$1:$1048576,3,0),IFERROR(VLOOKUP($C256,'5-COMP. PROPRIA'!$B$1:$I$647,5,0),""))</f>
        <v>UN</v>
      </c>
      <c r="G256" s="204">
        <f>QUANT!K697</f>
        <v>2</v>
      </c>
      <c r="H256" s="256">
        <f>IFERROR(VLOOKUP($C256,'SINAPI FEVEREIRO 2022'!$1:$1048576,4,0),IFERROR(VLOOKUP($C256,'5-COMP. PROPRIA'!$B$1:$I$647,8,0),""))</f>
        <v>83.28</v>
      </c>
      <c r="I256" s="256">
        <f>TRUNC(($H256*'4-BDI'!$E$29),2)</f>
        <v>106.79</v>
      </c>
      <c r="J256" s="266">
        <f t="shared" ref="J256:J259" si="106">TRUNC((G256*H256),2)</f>
        <v>166.56</v>
      </c>
      <c r="K256" s="205">
        <f t="shared" ref="K256:K259" si="107">TRUNC((I256*G256),2)</f>
        <v>213.58</v>
      </c>
    </row>
    <row r="257" spans="2:11" s="107" customFormat="1" ht="30">
      <c r="B257" s="208" t="s">
        <v>8070</v>
      </c>
      <c r="C257" s="555">
        <f>QUANT!C699</f>
        <v>94498</v>
      </c>
      <c r="D257" s="555" t="str">
        <f>QUANT!D699</f>
        <v>SINAPI</v>
      </c>
      <c r="E257" s="203" t="str">
        <f>IFERROR(VLOOKUP($C257,'SINAPI FEVEREIRO 2022'!$1:$1048576,2,0),IFERROR(VLOOKUP($C257,'5-COMP. PROPRIA'!$B$1:$I$647,4,0),""))</f>
        <v>REGISTRO DE GAVETA BRUTO, LATÃO, ROSCÁVEL, 2" - FORNECIMENTO E INSTALAÇÃO. AF_08/2021</v>
      </c>
      <c r="F257" s="255" t="str">
        <f>IFERROR(VLOOKUP($C257,'SINAPI FEVEREIRO 2022'!$1:$1048576,3,0),IFERROR(VLOOKUP($C257,'5-COMP. PROPRIA'!$B$1:$I$647,5,0),""))</f>
        <v>UN</v>
      </c>
      <c r="G257" s="204">
        <f>QUANT!K699</f>
        <v>3</v>
      </c>
      <c r="H257" s="256">
        <f>IFERROR(VLOOKUP($C257,'SINAPI FEVEREIRO 2022'!$1:$1048576,4,0),IFERROR(VLOOKUP($C257,'5-COMP. PROPRIA'!$B$1:$I$647,8,0),""))</f>
        <v>115.04</v>
      </c>
      <c r="I257" s="256">
        <f>TRUNC(($H257*'4-BDI'!$E$29),2)</f>
        <v>147.52000000000001</v>
      </c>
      <c r="J257" s="266">
        <f t="shared" si="106"/>
        <v>345.12</v>
      </c>
      <c r="K257" s="205">
        <f t="shared" si="107"/>
        <v>442.56</v>
      </c>
    </row>
    <row r="258" spans="2:11" s="107" customFormat="1" ht="30">
      <c r="B258" s="208" t="s">
        <v>8071</v>
      </c>
      <c r="C258" s="555">
        <f>QUANT!C701</f>
        <v>89353</v>
      </c>
      <c r="D258" s="555" t="str">
        <f>QUANT!D701</f>
        <v>SINAPI</v>
      </c>
      <c r="E258" s="203" t="str">
        <f>IFERROR(VLOOKUP($C258,'SINAPI FEVEREIRO 2022'!$1:$1048576,2,0),IFERROR(VLOOKUP($C258,'5-COMP. PROPRIA'!$B$1:$I$647,4,0),""))</f>
        <v>REGISTRO DE GAVETA BRUTO, LATÃO, ROSCÁVEL, 3/4" - FORNECIMENTO E INSTALAÇÃO. AF_08/2021</v>
      </c>
      <c r="F258" s="255" t="str">
        <f>IFERROR(VLOOKUP($C258,'SINAPI FEVEREIRO 2022'!$1:$1048576,3,0),IFERROR(VLOOKUP($C258,'5-COMP. PROPRIA'!$B$1:$I$647,5,0),""))</f>
        <v>UN</v>
      </c>
      <c r="G258" s="204">
        <f>QUANT!K701</f>
        <v>10</v>
      </c>
      <c r="H258" s="256">
        <f>IFERROR(VLOOKUP($C258,'SINAPI FEVEREIRO 2022'!$1:$1048576,4,0),IFERROR(VLOOKUP($C258,'5-COMP. PROPRIA'!$B$1:$I$647,8,0),""))</f>
        <v>31.17</v>
      </c>
      <c r="I258" s="256">
        <f>TRUNC(($H258*'4-BDI'!$E$29),2)</f>
        <v>39.97</v>
      </c>
      <c r="J258" s="266">
        <f t="shared" si="106"/>
        <v>311.7</v>
      </c>
      <c r="K258" s="205">
        <f t="shared" si="107"/>
        <v>399.7</v>
      </c>
    </row>
    <row r="259" spans="2:11" s="107" customFormat="1" ht="45">
      <c r="B259" s="208" t="s">
        <v>8072</v>
      </c>
      <c r="C259" s="555">
        <f>QUANT!C703</f>
        <v>94794</v>
      </c>
      <c r="D259" s="555" t="str">
        <f>QUANT!D703</f>
        <v>SINAPI</v>
      </c>
      <c r="E259" s="203" t="str">
        <f>IFERROR(VLOOKUP($C259,'SINAPI FEVEREIRO 2022'!$1:$1048576,2,0),IFERROR(VLOOKUP($C259,'5-COMP. PROPRIA'!$B$1:$I$647,4,0),""))</f>
        <v>REGISTRO DE GAVETA BRUTO, LATÃO, ROSCÁVEL, 1 1/2", COM ACABAMENTO E CANOPLA CROMADOS - FORNECIMENTO E INSTALAÇÃO. AF_08/2021</v>
      </c>
      <c r="F259" s="255" t="str">
        <f>IFERROR(VLOOKUP($C259,'SINAPI FEVEREIRO 2022'!$1:$1048576,3,0),IFERROR(VLOOKUP($C259,'5-COMP. PROPRIA'!$B$1:$I$647,5,0),""))</f>
        <v>UN</v>
      </c>
      <c r="G259" s="204">
        <f>QUANT!K703</f>
        <v>7</v>
      </c>
      <c r="H259" s="256">
        <f>IFERROR(VLOOKUP($C259,'SINAPI FEVEREIRO 2022'!$1:$1048576,4,0),IFERROR(VLOOKUP($C259,'5-COMP. PROPRIA'!$B$1:$I$647,8,0),""))</f>
        <v>131.36000000000001</v>
      </c>
      <c r="I259" s="256">
        <f>TRUNC(($H259*'4-BDI'!$E$29),2)</f>
        <v>168.45</v>
      </c>
      <c r="J259" s="266">
        <f t="shared" si="106"/>
        <v>919.52</v>
      </c>
      <c r="K259" s="205">
        <f t="shared" si="107"/>
        <v>1179.1500000000001</v>
      </c>
    </row>
    <row r="260" spans="2:11" s="107" customFormat="1" ht="45">
      <c r="B260" s="208" t="s">
        <v>8073</v>
      </c>
      <c r="C260" s="555">
        <f>QUANT!C705</f>
        <v>89987</v>
      </c>
      <c r="D260" s="555" t="str">
        <f>QUANT!D705</f>
        <v>SINAPI</v>
      </c>
      <c r="E260" s="203" t="str">
        <f>IFERROR(VLOOKUP($C260,'SINAPI FEVEREIRO 2022'!$1:$1048576,2,0),IFERROR(VLOOKUP($C260,'5-COMP. PROPRIA'!$B$1:$I$647,4,0),""))</f>
        <v>REGISTRO DE GAVETA BRUTO, LATÃO, ROSCÁVEL, 3/4", COM ACABAMENTO E CANOPLA CROMADOS - FORNECIMENTO E INSTALAÇÃO. AF_08/2021</v>
      </c>
      <c r="F260" s="255" t="str">
        <f>IFERROR(VLOOKUP($C260,'SINAPI FEVEREIRO 2022'!$1:$1048576,3,0),IFERROR(VLOOKUP($C260,'5-COMP. PROPRIA'!$B$1:$I$647,5,0),""))</f>
        <v>UN</v>
      </c>
      <c r="G260" s="204">
        <f>QUANT!K705</f>
        <v>9</v>
      </c>
      <c r="H260" s="256">
        <f>IFERROR(VLOOKUP($C260,'SINAPI FEVEREIRO 2022'!$1:$1048576,4,0),IFERROR(VLOOKUP($C260,'5-COMP. PROPRIA'!$B$1:$I$647,8,0),""))</f>
        <v>74.16</v>
      </c>
      <c r="I260" s="256">
        <f>TRUNC(($H260*'4-BDI'!$E$29),2)</f>
        <v>95.1</v>
      </c>
      <c r="J260" s="266">
        <f t="shared" ref="J260:J272" si="108">TRUNC((G260*H260),2)</f>
        <v>667.44</v>
      </c>
      <c r="K260" s="205">
        <f t="shared" ref="K260:K272" si="109">TRUNC((I260*G260),2)</f>
        <v>855.9</v>
      </c>
    </row>
    <row r="261" spans="2:11" s="107" customFormat="1" ht="45">
      <c r="B261" s="208" t="s">
        <v>8074</v>
      </c>
      <c r="C261" s="555">
        <f>QUANT!C707</f>
        <v>89985</v>
      </c>
      <c r="D261" s="600" t="str">
        <f>QUANT!D707</f>
        <v>SINAPI</v>
      </c>
      <c r="E261" s="203" t="str">
        <f>IFERROR(VLOOKUP($C261,'SINAPI FEVEREIRO 2022'!$1:$1048576,2,0),IFERROR(VLOOKUP($C261,'5-COMP. PROPRIA'!$B$1:$I$647,4,0),""))</f>
        <v>REGISTRO DE PRESSÃO BRUTO, LATÃO, ROSCÁVEL, 3/4", COM ACABAMENTO E CANOPLA CROMADOS - FORNECIMENTO E INSTALAÇÃO. AF_08/2021</v>
      </c>
      <c r="F261" s="255" t="str">
        <f>IFERROR(VLOOKUP($C261,'SINAPI FEVEREIRO 2022'!$1:$1048576,3,0),IFERROR(VLOOKUP($C261,'5-COMP. PROPRIA'!$B$1:$I$647,5,0),""))</f>
        <v>UN</v>
      </c>
      <c r="G261" s="204">
        <f>QUANT!K707</f>
        <v>3</v>
      </c>
      <c r="H261" s="256">
        <f>IFERROR(VLOOKUP($C261,'SINAPI FEVEREIRO 2022'!$1:$1048576,4,0),IFERROR(VLOOKUP($C261,'5-COMP. PROPRIA'!$B$1:$I$647,8,0),""))</f>
        <v>70.38</v>
      </c>
      <c r="I261" s="256">
        <f>TRUNC(($H261*'4-BDI'!$E$29),2)</f>
        <v>90.25</v>
      </c>
      <c r="J261" s="266">
        <f t="shared" si="108"/>
        <v>211.14</v>
      </c>
      <c r="K261" s="205">
        <f t="shared" si="109"/>
        <v>270.75</v>
      </c>
    </row>
    <row r="262" spans="2:11" s="107" customFormat="1" ht="30">
      <c r="B262" s="208" t="s">
        <v>8075</v>
      </c>
      <c r="C262" s="555">
        <f>QUANT!C709</f>
        <v>103042</v>
      </c>
      <c r="D262" s="555" t="str">
        <f>QUANT!D709</f>
        <v>SINAPI</v>
      </c>
      <c r="E262" s="203" t="str">
        <f>IFERROR(VLOOKUP($C262,'SINAPI FEVEREIRO 2022'!$1:$1048576,2,0),IFERROR(VLOOKUP($C262,'5-COMP. PROPRIA'!$B$1:$I$647,4,0),""))</f>
        <v>REGISTRO DE ESFERA, PVC, ROSCÁVEL, COM BORBOLETA, 3/4" - FORNECIMENTO E INSTALAÇÃO. AF_08/2021</v>
      </c>
      <c r="F262" s="255" t="str">
        <f>IFERROR(VLOOKUP($C262,'SINAPI FEVEREIRO 2022'!$1:$1048576,3,0),IFERROR(VLOOKUP($C262,'5-COMP. PROPRIA'!$B$1:$I$647,5,0),""))</f>
        <v>UN</v>
      </c>
      <c r="G262" s="204">
        <f>QUANT!K709</f>
        <v>1</v>
      </c>
      <c r="H262" s="256">
        <f>IFERROR(VLOOKUP($C262,'SINAPI FEVEREIRO 2022'!$1:$1048576,4,0),IFERROR(VLOOKUP($C262,'5-COMP. PROPRIA'!$B$1:$I$647,8,0),""))</f>
        <v>17.72</v>
      </c>
      <c r="I262" s="256">
        <f>TRUNC(($H262*'4-BDI'!$E$29),2)</f>
        <v>22.72</v>
      </c>
      <c r="J262" s="266">
        <f t="shared" si="108"/>
        <v>17.72</v>
      </c>
      <c r="K262" s="205">
        <f t="shared" si="109"/>
        <v>22.72</v>
      </c>
    </row>
    <row r="263" spans="2:11" s="107" customFormat="1" ht="30">
      <c r="B263" s="208" t="s">
        <v>8076</v>
      </c>
      <c r="C263" s="555">
        <f>QUANT!C711</f>
        <v>99635</v>
      </c>
      <c r="D263" s="600" t="str">
        <f>QUANT!D711</f>
        <v>SINAPI</v>
      </c>
      <c r="E263" s="203" t="str">
        <f>IFERROR(VLOOKUP($C263,'SINAPI FEVEREIRO 2022'!$1:$1048576,2,0),IFERROR(VLOOKUP($C263,'5-COMP. PROPRIA'!$B$1:$I$647,4,0),""))</f>
        <v>VÁLVULA DE DESCARGA METÁLICA, BASE 1 1/2", ACABAMENTO METALICO CROMADO - FORNECIMENTO E INSTALAÇÃO. AF_08/2021</v>
      </c>
      <c r="F263" s="255" t="str">
        <f>IFERROR(VLOOKUP($C263,'SINAPI FEVEREIRO 2022'!$1:$1048576,3,0),IFERROR(VLOOKUP($C263,'5-COMP. PROPRIA'!$B$1:$I$647,5,0),""))</f>
        <v>UN</v>
      </c>
      <c r="G263" s="204">
        <f>QUANT!K711</f>
        <v>7</v>
      </c>
      <c r="H263" s="256">
        <f>IFERROR(VLOOKUP($C263,'SINAPI FEVEREIRO 2022'!$1:$1048576,4,0),IFERROR(VLOOKUP($C263,'5-COMP. PROPRIA'!$B$1:$I$647,8,0),""))</f>
        <v>187.52</v>
      </c>
      <c r="I263" s="256">
        <f>TRUNC(($H263*'4-BDI'!$E$29),2)</f>
        <v>240.47</v>
      </c>
      <c r="J263" s="266">
        <f t="shared" si="108"/>
        <v>1312.64</v>
      </c>
      <c r="K263" s="205">
        <f t="shared" si="109"/>
        <v>1683.29</v>
      </c>
    </row>
    <row r="264" spans="2:11" s="107" customFormat="1" ht="30">
      <c r="B264" s="208" t="s">
        <v>8077</v>
      </c>
      <c r="C264" s="555">
        <f>QUANT!C713</f>
        <v>86884</v>
      </c>
      <c r="D264" s="600" t="str">
        <f>QUANT!D713</f>
        <v>SINAPI</v>
      </c>
      <c r="E264" s="203" t="str">
        <f>IFERROR(VLOOKUP($C264,'SINAPI FEVEREIRO 2022'!$1:$1048576,2,0),IFERROR(VLOOKUP($C264,'5-COMP. PROPRIA'!$B$1:$I$647,4,0),""))</f>
        <v>ENGATE FLEXÍVEL EM PLÁSTICO BRANCO, 1/2 X 30CM - FORNECIMENTO E INSTALAÇÃO. AF_01/2020</v>
      </c>
      <c r="F264" s="255" t="str">
        <f>IFERROR(VLOOKUP($C264,'SINAPI FEVEREIRO 2022'!$1:$1048576,3,0),IFERROR(VLOOKUP($C264,'5-COMP. PROPRIA'!$B$1:$I$647,5,0),""))</f>
        <v>UN</v>
      </c>
      <c r="G264" s="204">
        <f>QUANT!K713</f>
        <v>11</v>
      </c>
      <c r="H264" s="256">
        <f>IFERROR(VLOOKUP($C264,'SINAPI FEVEREIRO 2022'!$1:$1048576,4,0),IFERROR(VLOOKUP($C264,'5-COMP. PROPRIA'!$B$1:$I$647,8,0),""))</f>
        <v>8.61</v>
      </c>
      <c r="I264" s="256">
        <f>TRUNC(($H264*'4-BDI'!$E$29),2)</f>
        <v>11.04</v>
      </c>
      <c r="J264" s="266">
        <f t="shared" si="108"/>
        <v>94.71</v>
      </c>
      <c r="K264" s="205">
        <f t="shared" si="109"/>
        <v>121.44</v>
      </c>
    </row>
    <row r="265" spans="2:11" s="107" customFormat="1" ht="15">
      <c r="B265" s="208" t="s">
        <v>8078</v>
      </c>
      <c r="C265" s="555" t="str">
        <f>QUANT!C715</f>
        <v>CP-HIDR-10</v>
      </c>
      <c r="D265" s="600" t="str">
        <f>QUANT!D715</f>
        <v>PROPRIA</v>
      </c>
      <c r="E265" s="203" t="str">
        <f>IFERROR(VLOOKUP($C265,'SINAPI FEVEREIRO 2022'!$1:$1048576,2,0),IFERROR(VLOOKUP($C265,'5-COMP. PROPRIA'!$B$1:$I$647,4,0),""))</f>
        <v>TUBO DE DESCARGA VDE 38 MM. FORNECIMENTO E INSTALAÇÃO</v>
      </c>
      <c r="F265" s="255" t="str">
        <f>IFERROR(VLOOKUP($C265,'SINAPI FEVEREIRO 2022'!$1:$1048576,3,0),IFERROR(VLOOKUP($C265,'5-COMP. PROPRIA'!$B$1:$I$647,5,0),""))</f>
        <v>UN</v>
      </c>
      <c r="G265" s="204">
        <f>QUANT!K715</f>
        <v>7</v>
      </c>
      <c r="H265" s="256">
        <f>IFERROR(VLOOKUP($C265,'SINAPI FEVEREIRO 2022'!$1:$1048576,4,0),IFERROR(VLOOKUP($C265,'5-COMP. PROPRIA'!$B$1:$I$647,8,0),""))</f>
        <v>16.62</v>
      </c>
      <c r="I265" s="256">
        <f>TRUNC(($H265*'4-BDI'!$E$29),2)</f>
        <v>21.31</v>
      </c>
      <c r="J265" s="266">
        <f t="shared" si="108"/>
        <v>116.34</v>
      </c>
      <c r="K265" s="205">
        <f t="shared" si="109"/>
        <v>149.16999999999999</v>
      </c>
    </row>
    <row r="266" spans="2:11" s="107" customFormat="1" ht="30">
      <c r="B266" s="208" t="s">
        <v>8079</v>
      </c>
      <c r="C266" s="555" t="str">
        <f>QUANT!C717</f>
        <v>CP-HIDR-11</v>
      </c>
      <c r="D266" s="600" t="str">
        <f>QUANT!D717</f>
        <v>PROPRIA</v>
      </c>
      <c r="E266" s="203" t="str">
        <f>IFERROR(VLOOKUP($C266,'SINAPI FEVEREIRO 2022'!$1:$1048576,2,0),IFERROR(VLOOKUP($C266,'5-COMP. PROPRIA'!$B$1:$I$647,4,0),""))</f>
        <v>TUBO DE LIGAÇÃO LATÃO CROMADO C/ CANOPLA CROMADA P/ VASO SANITARIO 38 MM. FORNECIMENTO E INSTALAÇÃO.</v>
      </c>
      <c r="F266" s="255" t="str">
        <f>IFERROR(VLOOKUP($C266,'SINAPI FEVEREIRO 2022'!$1:$1048576,3,0),IFERROR(VLOOKUP($C266,'5-COMP. PROPRIA'!$B$1:$I$647,5,0),""))</f>
        <v>UN</v>
      </c>
      <c r="G266" s="204">
        <f>QUANT!K717</f>
        <v>7</v>
      </c>
      <c r="H266" s="256">
        <f>IFERROR(VLOOKUP($C266,'SINAPI FEVEREIRO 2022'!$1:$1048576,4,0),IFERROR(VLOOKUP($C266,'5-COMP. PROPRIA'!$B$1:$I$647,8,0),""))</f>
        <v>109.62</v>
      </c>
      <c r="I266" s="256">
        <f>TRUNC(($H266*'4-BDI'!$E$29),2)</f>
        <v>140.57</v>
      </c>
      <c r="J266" s="266">
        <f t="shared" si="108"/>
        <v>767.34</v>
      </c>
      <c r="K266" s="205">
        <f t="shared" si="109"/>
        <v>983.99</v>
      </c>
    </row>
    <row r="267" spans="2:11" s="107" customFormat="1" ht="60">
      <c r="B267" s="208" t="s">
        <v>8080</v>
      </c>
      <c r="C267" s="555">
        <f>QUANT!C719</f>
        <v>94704</v>
      </c>
      <c r="D267" s="600" t="str">
        <f>QUANT!D719</f>
        <v>SINAPI</v>
      </c>
      <c r="E267" s="203" t="str">
        <f>IFERROR(VLOOKUP($C267,'SINAPI FEVEREIRO 2022'!$1:$1048576,2,0),IFERROR(VLOOKUP($C267,'5-COMP. PROPRIA'!$B$1:$I$647,4,0),""))</f>
        <v>ADAPTADOR COM FLANGE E ANEL DE VEDAÇÃO, PVC, SOLDÁVEL, DN 32 MM X 1 , INSTALADO EM RESERVAÇÃO DE ÁGUA DE EDIFICAÇÃO QUE POSSUA RESERVATÓRIO DE FIBRA/FIBROCIMENTO   FORNECIMENTO E INSTALAÇÃO. AF_06/2016</v>
      </c>
      <c r="F267" s="255" t="str">
        <f>IFERROR(VLOOKUP($C267,'SINAPI FEVEREIRO 2022'!$1:$1048576,3,0),IFERROR(VLOOKUP($C267,'5-COMP. PROPRIA'!$B$1:$I$647,5,0),""))</f>
        <v>UN</v>
      </c>
      <c r="G267" s="204">
        <f>QUANT!K719</f>
        <v>1</v>
      </c>
      <c r="H267" s="256">
        <f>IFERROR(VLOOKUP($C267,'SINAPI FEVEREIRO 2022'!$1:$1048576,4,0),IFERROR(VLOOKUP($C267,'5-COMP. PROPRIA'!$B$1:$I$647,8,0),""))</f>
        <v>22.37</v>
      </c>
      <c r="I267" s="256">
        <f>TRUNC(($H267*'4-BDI'!$E$29),2)</f>
        <v>28.68</v>
      </c>
      <c r="J267" s="266">
        <f t="shared" si="108"/>
        <v>22.37</v>
      </c>
      <c r="K267" s="205">
        <f t="shared" si="109"/>
        <v>28.68</v>
      </c>
    </row>
    <row r="268" spans="2:11" s="107" customFormat="1" ht="60">
      <c r="B268" s="208" t="s">
        <v>8081</v>
      </c>
      <c r="C268" s="555">
        <f>QUANT!C721</f>
        <v>94706</v>
      </c>
      <c r="D268" s="600" t="str">
        <f>QUANT!D721</f>
        <v>SINAPI</v>
      </c>
      <c r="E268" s="203" t="str">
        <f>IFERROR(VLOOKUP($C268,'SINAPI FEVEREIRO 2022'!$1:$1048576,2,0),IFERROR(VLOOKUP($C268,'5-COMP. PROPRIA'!$B$1:$I$647,4,0),""))</f>
        <v>ADAPTADOR COM FLANGE E ANEL DE VEDAÇÃO, PVC, SOLDÁVEL, DN 50 MM X 1 1/2 , INSTALADO EM RESERVAÇÃO DE ÁGUA DE EDIFICAÇÃO QUE POSSUA RESERVATÓRIO DE FIBRA/FIBROCIMENTO   FORNECIMENTO E INSTALAÇÃO. AF_06/2016</v>
      </c>
      <c r="F268" s="255" t="str">
        <f>IFERROR(VLOOKUP($C268,'SINAPI FEVEREIRO 2022'!$1:$1048576,3,0),IFERROR(VLOOKUP($C268,'5-COMP. PROPRIA'!$B$1:$I$647,5,0),""))</f>
        <v>UN</v>
      </c>
      <c r="G268" s="204">
        <f>QUANT!K721</f>
        <v>3</v>
      </c>
      <c r="H268" s="256">
        <f>IFERROR(VLOOKUP($C268,'SINAPI FEVEREIRO 2022'!$1:$1048576,4,0),IFERROR(VLOOKUP($C268,'5-COMP. PROPRIA'!$B$1:$I$647,8,0),""))</f>
        <v>41.11</v>
      </c>
      <c r="I268" s="256">
        <f>TRUNC(($H268*'4-BDI'!$E$29),2)</f>
        <v>52.71</v>
      </c>
      <c r="J268" s="266">
        <f t="shared" si="108"/>
        <v>123.33</v>
      </c>
      <c r="K268" s="205">
        <f t="shared" si="109"/>
        <v>158.13</v>
      </c>
    </row>
    <row r="269" spans="2:11" s="107" customFormat="1" ht="60">
      <c r="B269" s="208" t="s">
        <v>8082</v>
      </c>
      <c r="C269" s="555">
        <f>QUANT!C723</f>
        <v>94707</v>
      </c>
      <c r="D269" s="600" t="str">
        <f>QUANT!D723</f>
        <v>SINAPI</v>
      </c>
      <c r="E269" s="203" t="str">
        <f>IFERROR(VLOOKUP($C269,'SINAPI FEVEREIRO 2022'!$1:$1048576,2,0),IFERROR(VLOOKUP($C269,'5-COMP. PROPRIA'!$B$1:$I$647,4,0),""))</f>
        <v>ADAPTADOR COM FLANGE E ANEL DE VEDAÇÃO, PVC, SOLDÁVEL, DN 60 MM X 2 , INSTALADO EM RESERVAÇÃO DE ÁGUA DE EDIFICAÇÃO QUE POSSUA RESERVATÓRIO DE FIBRA/FIBROCIMENTO   FORNECIMENTO E INSTALAÇÃO. AF_06/2016</v>
      </c>
      <c r="F269" s="255" t="str">
        <f>IFERROR(VLOOKUP($C269,'SINAPI FEVEREIRO 2022'!$1:$1048576,3,0),IFERROR(VLOOKUP($C269,'5-COMP. PROPRIA'!$B$1:$I$647,5,0),""))</f>
        <v>UN</v>
      </c>
      <c r="G269" s="204">
        <f>QUANT!K723</f>
        <v>3</v>
      </c>
      <c r="H269" s="256">
        <f>IFERROR(VLOOKUP($C269,'SINAPI FEVEREIRO 2022'!$1:$1048576,4,0),IFERROR(VLOOKUP($C269,'5-COMP. PROPRIA'!$B$1:$I$647,8,0),""))</f>
        <v>51.18</v>
      </c>
      <c r="I269" s="256">
        <f>TRUNC(($H269*'4-BDI'!$E$29),2)</f>
        <v>65.63</v>
      </c>
      <c r="J269" s="266">
        <f t="shared" si="108"/>
        <v>153.54</v>
      </c>
      <c r="K269" s="205">
        <f t="shared" si="109"/>
        <v>196.89</v>
      </c>
    </row>
    <row r="270" spans="2:11" s="107" customFormat="1" ht="60">
      <c r="B270" s="208" t="s">
        <v>8083</v>
      </c>
      <c r="C270" s="555">
        <f>QUANT!C725</f>
        <v>94708</v>
      </c>
      <c r="D270" s="600" t="str">
        <f>QUANT!D725</f>
        <v>SINAPI</v>
      </c>
      <c r="E270" s="203" t="str">
        <f>IFERROR(VLOOKUP($C270,'SINAPI FEVEREIRO 2022'!$1:$1048576,2,0),IFERROR(VLOOKUP($C270,'5-COMP. PROPRIA'!$B$1:$I$647,4,0),""))</f>
        <v>ADAPTADOR COM FLANGES LIVRES, PVC, SOLDÁVEL, DN  25 MM X 3/4 , INSTALADO EM RESERVAÇÃO DE ÁGUA DE EDIFICAÇÃO QUE POSSUA RESERVATÓRIO DE FIBRA/FIBROCIMENTO   FORNECIMENTO E INSTALAÇÃO. AF_06/2016</v>
      </c>
      <c r="F270" s="255" t="str">
        <f>IFERROR(VLOOKUP($C270,'SINAPI FEVEREIRO 2022'!$1:$1048576,3,0),IFERROR(VLOOKUP($C270,'5-COMP. PROPRIA'!$B$1:$I$647,5,0),""))</f>
        <v>UN</v>
      </c>
      <c r="G270" s="204">
        <f>QUANT!K725</f>
        <v>1</v>
      </c>
      <c r="H270" s="256">
        <f>IFERROR(VLOOKUP($C270,'SINAPI FEVEREIRO 2022'!$1:$1048576,4,0),IFERROR(VLOOKUP($C270,'5-COMP. PROPRIA'!$B$1:$I$647,8,0),""))</f>
        <v>23.55</v>
      </c>
      <c r="I270" s="256">
        <f>TRUNC(($H270*'4-BDI'!$E$29),2)</f>
        <v>30.2</v>
      </c>
      <c r="J270" s="266">
        <f t="shared" si="108"/>
        <v>23.55</v>
      </c>
      <c r="K270" s="205">
        <f t="shared" si="109"/>
        <v>30.2</v>
      </c>
    </row>
    <row r="271" spans="2:11" s="107" customFormat="1" ht="60">
      <c r="B271" s="208" t="s">
        <v>8084</v>
      </c>
      <c r="C271" s="555">
        <f>QUANT!C727</f>
        <v>94709</v>
      </c>
      <c r="D271" s="600" t="str">
        <f>QUANT!D727</f>
        <v>SINAPI</v>
      </c>
      <c r="E271" s="203" t="str">
        <f>IFERROR(VLOOKUP($C271,'SINAPI FEVEREIRO 2022'!$1:$1048576,2,0),IFERROR(VLOOKUP($C271,'5-COMP. PROPRIA'!$B$1:$I$647,4,0),""))</f>
        <v>ADAPTADOR COM FLANGES LIVRES, PVC, SOLDÁVEL, DN 32 MM X 1 , INSTALADO EM RESERVAÇÃO DE ÁGUA DE EDIFICAÇÃO QUE POSSUA RESERVATÓRIO DE FIBRA/FIBROCIMENTO   FORNECIMENTO E INSTALAÇÃO. AF_06/2016</v>
      </c>
      <c r="F271" s="255" t="str">
        <f>IFERROR(VLOOKUP($C271,'SINAPI FEVEREIRO 2022'!$1:$1048576,3,0),IFERROR(VLOOKUP($C271,'5-COMP. PROPRIA'!$B$1:$I$647,5,0),""))</f>
        <v>UN</v>
      </c>
      <c r="G271" s="204">
        <f>QUANT!K727</f>
        <v>1</v>
      </c>
      <c r="H271" s="256">
        <f>IFERROR(VLOOKUP($C271,'SINAPI FEVEREIRO 2022'!$1:$1048576,4,0),IFERROR(VLOOKUP($C271,'5-COMP. PROPRIA'!$B$1:$I$647,8,0),""))</f>
        <v>30.7</v>
      </c>
      <c r="I271" s="256">
        <f>TRUNC(($H271*'4-BDI'!$E$29),2)</f>
        <v>39.36</v>
      </c>
      <c r="J271" s="266">
        <f t="shared" si="108"/>
        <v>30.7</v>
      </c>
      <c r="K271" s="205">
        <f t="shared" si="109"/>
        <v>39.36</v>
      </c>
    </row>
    <row r="272" spans="2:11" s="107" customFormat="1" ht="60">
      <c r="B272" s="208" t="s">
        <v>8085</v>
      </c>
      <c r="C272" s="555">
        <f>QUANT!C729</f>
        <v>94711</v>
      </c>
      <c r="D272" s="600" t="str">
        <f>QUANT!D729</f>
        <v>SINAPI</v>
      </c>
      <c r="E272" s="203" t="str">
        <f>IFERROR(VLOOKUP($C272,'SINAPI FEVEREIRO 2022'!$1:$1048576,2,0),IFERROR(VLOOKUP($C272,'5-COMP. PROPRIA'!$B$1:$I$647,4,0),""))</f>
        <v>ADAPTADOR COM FLANGES LIVRES, PVC, SOLDÁVEL, DN 50 MM X 1 1/2 , INSTALADO EM RESERVAÇÃO DE ÁGUA DE EDIFICAÇÃO QUE POSSUA RESERVATÓRIO DE FIBRA/FIBROCIMENTO   FORNECIMENTO E INSTALAÇÃO. AF_06/2016</v>
      </c>
      <c r="F272" s="255" t="str">
        <f>IFERROR(VLOOKUP($C272,'SINAPI FEVEREIRO 2022'!$1:$1048576,3,0),IFERROR(VLOOKUP($C272,'5-COMP. PROPRIA'!$B$1:$I$647,5,0),""))</f>
        <v>UN</v>
      </c>
      <c r="G272" s="204">
        <f>QUANT!K729</f>
        <v>1</v>
      </c>
      <c r="H272" s="256">
        <f>IFERROR(VLOOKUP($C272,'SINAPI FEVEREIRO 2022'!$1:$1048576,4,0),IFERROR(VLOOKUP($C272,'5-COMP. PROPRIA'!$B$1:$I$647,8,0),""))</f>
        <v>58.52</v>
      </c>
      <c r="I272" s="256">
        <f>TRUNC(($H272*'4-BDI'!$E$29),2)</f>
        <v>75.040000000000006</v>
      </c>
      <c r="J272" s="266">
        <f t="shared" si="108"/>
        <v>58.52</v>
      </c>
      <c r="K272" s="205">
        <f t="shared" si="109"/>
        <v>75.040000000000006</v>
      </c>
    </row>
    <row r="273" spans="2:11" s="107" customFormat="1" ht="60">
      <c r="B273" s="208" t="s">
        <v>8086</v>
      </c>
      <c r="C273" s="555">
        <f>QUANT!C731</f>
        <v>94712</v>
      </c>
      <c r="D273" s="600" t="str">
        <f>QUANT!D731</f>
        <v>SINAPI</v>
      </c>
      <c r="E273" s="203" t="str">
        <f>IFERROR(VLOOKUP($C273,'SINAPI FEVEREIRO 2022'!$1:$1048576,2,0),IFERROR(VLOOKUP($C273,'5-COMP. PROPRIA'!$B$1:$I$647,4,0),""))</f>
        <v>ADAPTADOR COM FLANGES LIVRES, PVC, SOLDÁVEL, DN 60 MM X 2 , INSTALADO EM RESERVAÇÃO DE ÁGUA DE EDIFICAÇÃO QUE POSSUA RESERVATÓRIO DE FIBRA/FIBROCIMENTO   FORNECIMENTO E INSTALAÇÃO. AF_06/2016</v>
      </c>
      <c r="F273" s="255" t="str">
        <f>IFERROR(VLOOKUP($C273,'SINAPI FEVEREIRO 2022'!$1:$1048576,3,0),IFERROR(VLOOKUP($C273,'5-COMP. PROPRIA'!$B$1:$I$647,5,0),""))</f>
        <v>UN</v>
      </c>
      <c r="G273" s="204">
        <f>QUANT!K731</f>
        <v>3</v>
      </c>
      <c r="H273" s="256">
        <f>IFERROR(VLOOKUP($C273,'SINAPI FEVEREIRO 2022'!$1:$1048576,4,0),IFERROR(VLOOKUP($C273,'5-COMP. PROPRIA'!$B$1:$I$647,8,0),""))</f>
        <v>78.88</v>
      </c>
      <c r="I273" s="256">
        <f>TRUNC(($H273*'4-BDI'!$E$29),2)</f>
        <v>101.15</v>
      </c>
      <c r="J273" s="266">
        <f t="shared" ref="J273:J287" si="110">TRUNC((G273*H273),2)</f>
        <v>236.64</v>
      </c>
      <c r="K273" s="205">
        <f t="shared" ref="K273:K287" si="111">TRUNC((I273*G273),2)</f>
        <v>303.45</v>
      </c>
    </row>
    <row r="274" spans="2:11" s="107" customFormat="1" ht="60">
      <c r="B274" s="208" t="s">
        <v>8087</v>
      </c>
      <c r="C274" s="555">
        <f>QUANT!C733</f>
        <v>94656</v>
      </c>
      <c r="D274" s="600" t="str">
        <f>QUANT!D733</f>
        <v>SINAPI</v>
      </c>
      <c r="E274" s="203" t="str">
        <f>IFERROR(VLOOKUP($C274,'SINAPI FEVEREIRO 2022'!$1:$1048576,2,0),IFERROR(VLOOKUP($C274,'5-COMP. PROPRIA'!$B$1:$I$647,4,0),""))</f>
        <v>ADAPTADOR CURTO COM BOLSA E ROSCA PARA REGISTRO, PVC, SOLDÁVEL, DN  25 MM X 3/4 , INSTALADO EM RESERVAÇÃO DE ÁGUA DE EDIFICAÇÃO QUE POSSUA RESERVATÓRIO DE FIBRA/FIBROCIMENTO   FORNECIMENTO E INSTALAÇÃO. AF_06/2016</v>
      </c>
      <c r="F274" s="255" t="str">
        <f>IFERROR(VLOOKUP($C274,'SINAPI FEVEREIRO 2022'!$1:$1048576,3,0),IFERROR(VLOOKUP($C274,'5-COMP. PROPRIA'!$B$1:$I$647,5,0),""))</f>
        <v>UN</v>
      </c>
      <c r="G274" s="204">
        <f>QUANT!K733</f>
        <v>22</v>
      </c>
      <c r="H274" s="256">
        <f>IFERROR(VLOOKUP($C274,'SINAPI FEVEREIRO 2022'!$1:$1048576,4,0),IFERROR(VLOOKUP($C274,'5-COMP. PROPRIA'!$B$1:$I$647,8,0),""))</f>
        <v>5.56</v>
      </c>
      <c r="I274" s="256">
        <f>TRUNC(($H274*'4-BDI'!$E$29),2)</f>
        <v>7.13</v>
      </c>
      <c r="J274" s="266">
        <f t="shared" si="110"/>
        <v>122.32</v>
      </c>
      <c r="K274" s="205">
        <f t="shared" si="111"/>
        <v>156.86000000000001</v>
      </c>
    </row>
    <row r="275" spans="2:11" s="107" customFormat="1" ht="60">
      <c r="B275" s="208" t="s">
        <v>8088</v>
      </c>
      <c r="C275" s="555">
        <f>QUANT!C735</f>
        <v>94658</v>
      </c>
      <c r="D275" s="600" t="str">
        <f>QUANT!D735</f>
        <v>SINAPI</v>
      </c>
      <c r="E275" s="203" t="str">
        <f>IFERROR(VLOOKUP($C275,'SINAPI FEVEREIRO 2022'!$1:$1048576,2,0),IFERROR(VLOOKUP($C275,'5-COMP. PROPRIA'!$B$1:$I$647,4,0),""))</f>
        <v>ADAPTADOR CURTO COM BOLSA E ROSCA PARA REGISTRO, PVC, SOLDÁVEL, DN 32 MM X 1 , INSTALADO EM RESERVAÇÃO DE ÁGUA DE EDIFICAÇÃO QUE POSSUA RESERVATÓRIO DE FIBRA/FIBROCIMENTO   FORNECIMENTO E INSTALAÇÃO. AF_06/2016</v>
      </c>
      <c r="F275" s="255" t="str">
        <f>IFERROR(VLOOKUP($C275,'SINAPI FEVEREIRO 2022'!$1:$1048576,3,0),IFERROR(VLOOKUP($C275,'5-COMP. PROPRIA'!$B$1:$I$647,5,0),""))</f>
        <v>UN</v>
      </c>
      <c r="G275" s="204">
        <f>QUANT!K735</f>
        <v>2</v>
      </c>
      <c r="H275" s="256">
        <f>IFERROR(VLOOKUP($C275,'SINAPI FEVEREIRO 2022'!$1:$1048576,4,0),IFERROR(VLOOKUP($C275,'5-COMP. PROPRIA'!$B$1:$I$647,8,0),""))</f>
        <v>6.57</v>
      </c>
      <c r="I275" s="256">
        <f>TRUNC(($H275*'4-BDI'!$E$29),2)</f>
        <v>8.42</v>
      </c>
      <c r="J275" s="266">
        <f t="shared" si="110"/>
        <v>13.14</v>
      </c>
      <c r="K275" s="205">
        <f t="shared" si="111"/>
        <v>16.84</v>
      </c>
    </row>
    <row r="276" spans="2:11" s="107" customFormat="1" ht="60">
      <c r="B276" s="208" t="s">
        <v>8089</v>
      </c>
      <c r="C276" s="555">
        <f>QUANT!C737</f>
        <v>94662</v>
      </c>
      <c r="D276" s="600" t="str">
        <f>QUANT!D737</f>
        <v>SINAPI</v>
      </c>
      <c r="E276" s="203" t="str">
        <f>IFERROR(VLOOKUP($C276,'SINAPI FEVEREIRO 2022'!$1:$1048576,2,0),IFERROR(VLOOKUP($C276,'5-COMP. PROPRIA'!$B$1:$I$647,4,0),""))</f>
        <v>ADAPTADOR CURTO COM BOLSA E ROSCA PARA REGISTRO, PVC, SOLDÁVEL, DN 50 MM X 1 1/2 , INSTALADO EM RESERVAÇÃO DE ÁGUA DE EDIFICAÇÃO QUE POSSUA RESERVATÓRIO DE FIBRA/FIBROCIMENTO   FORNECIMENTO E INSTALAÇÃO. AF_06/2016</v>
      </c>
      <c r="F276" s="255" t="str">
        <f>IFERROR(VLOOKUP($C276,'SINAPI FEVEREIRO 2022'!$1:$1048576,3,0),IFERROR(VLOOKUP($C276,'5-COMP. PROPRIA'!$B$1:$I$647,5,0),""))</f>
        <v>UN</v>
      </c>
      <c r="G276" s="204">
        <f>QUANT!K737</f>
        <v>11</v>
      </c>
      <c r="H276" s="256">
        <f>IFERROR(VLOOKUP($C276,'SINAPI FEVEREIRO 2022'!$1:$1048576,4,0),IFERROR(VLOOKUP($C276,'5-COMP. PROPRIA'!$B$1:$I$647,8,0),""))</f>
        <v>12.02</v>
      </c>
      <c r="I276" s="256">
        <f>TRUNC(($H276*'4-BDI'!$E$29),2)</f>
        <v>15.41</v>
      </c>
      <c r="J276" s="266">
        <f t="shared" si="110"/>
        <v>132.22</v>
      </c>
      <c r="K276" s="205">
        <f t="shared" si="111"/>
        <v>169.51</v>
      </c>
    </row>
    <row r="277" spans="2:11" s="107" customFormat="1" ht="60">
      <c r="B277" s="208" t="s">
        <v>8090</v>
      </c>
      <c r="C277" s="555">
        <f>QUANT!C739</f>
        <v>94664</v>
      </c>
      <c r="D277" s="600" t="str">
        <f>QUANT!D739</f>
        <v>SINAPI</v>
      </c>
      <c r="E277" s="203" t="str">
        <f>IFERROR(VLOOKUP($C277,'SINAPI FEVEREIRO 2022'!$1:$1048576,2,0),IFERROR(VLOOKUP($C277,'5-COMP. PROPRIA'!$B$1:$I$647,4,0),""))</f>
        <v>ADAPTADOR CURTO COM BOLSA E ROSCA PARA REGISTRO, PVC, SOLDÁVEL, DN 60 MM X 2 , INSTALADO EM RESERVAÇÃO DE ÁGUA DE EDIFICAÇÃO QUE POSSUA RESERVATÓRIO DE FIBRA/FIBROCIMENTO   FORNECIMENTO E INSTALAÇÃO. AF_06/2016</v>
      </c>
      <c r="F277" s="255" t="str">
        <f>IFERROR(VLOOKUP($C277,'SINAPI FEVEREIRO 2022'!$1:$1048576,3,0),IFERROR(VLOOKUP($C277,'5-COMP. PROPRIA'!$B$1:$I$647,5,0),""))</f>
        <v>UN</v>
      </c>
      <c r="G277" s="204">
        <f>QUANT!K739</f>
        <v>6</v>
      </c>
      <c r="H277" s="256">
        <f>IFERROR(VLOOKUP($C277,'SINAPI FEVEREIRO 2022'!$1:$1048576,4,0),IFERROR(VLOOKUP($C277,'5-COMP. PROPRIA'!$B$1:$I$647,8,0),""))</f>
        <v>26.67</v>
      </c>
      <c r="I277" s="256">
        <f>TRUNC(($H277*'4-BDI'!$E$29),2)</f>
        <v>34.200000000000003</v>
      </c>
      <c r="J277" s="266">
        <f t="shared" si="110"/>
        <v>160.02000000000001</v>
      </c>
      <c r="K277" s="205">
        <f t="shared" si="111"/>
        <v>205.2</v>
      </c>
    </row>
    <row r="278" spans="2:11" s="107" customFormat="1" ht="30">
      <c r="B278" s="208" t="s">
        <v>8091</v>
      </c>
      <c r="C278" s="555" t="str">
        <f>QUANT!C741</f>
        <v>CP-HIDR-12</v>
      </c>
      <c r="D278" s="600" t="str">
        <f>QUANT!D741</f>
        <v>PROPRIA</v>
      </c>
      <c r="E278" s="203" t="str">
        <f>IFERROR(VLOOKUP($C278,'SINAPI FEVEREIRO 2022'!$1:$1048576,2,0),IFERROR(VLOOKUP($C278,'5-COMP. PROPRIA'!$B$1:$I$647,4,0),""))</f>
        <v>BUCHA DE REDUCAO DE PVC, SOLDAVEL, CURTA, COM 60 X 50 MM, PARA AGUA FRIA PREDIAL -  FORNECIMENTO E INSTALAÇÃO</v>
      </c>
      <c r="F278" s="255" t="str">
        <f>IFERROR(VLOOKUP($C278,'SINAPI FEVEREIRO 2022'!$1:$1048576,3,0),IFERROR(VLOOKUP($C278,'5-COMP. PROPRIA'!$B$1:$I$647,5,0),""))</f>
        <v>UN</v>
      </c>
      <c r="G278" s="204">
        <f>QUANT!K741</f>
        <v>7</v>
      </c>
      <c r="H278" s="256">
        <f>IFERROR(VLOOKUP($C278,'SINAPI FEVEREIRO 2022'!$1:$1048576,4,0),IFERROR(VLOOKUP($C278,'5-COMP. PROPRIA'!$B$1:$I$647,8,0),""))</f>
        <v>13.26</v>
      </c>
      <c r="I278" s="256">
        <f>TRUNC(($H278*'4-BDI'!$E$29),2)</f>
        <v>17</v>
      </c>
      <c r="J278" s="266">
        <f t="shared" si="110"/>
        <v>92.82</v>
      </c>
      <c r="K278" s="205">
        <f t="shared" si="111"/>
        <v>119</v>
      </c>
    </row>
    <row r="279" spans="2:11" s="107" customFormat="1" ht="30">
      <c r="B279" s="208" t="s">
        <v>8092</v>
      </c>
      <c r="C279" s="555" t="str">
        <f>QUANT!C743</f>
        <v>CP-HIDR-13</v>
      </c>
      <c r="D279" s="600" t="str">
        <f>QUANT!D743</f>
        <v>PROPRIA</v>
      </c>
      <c r="E279" s="203" t="str">
        <f>IFERROR(VLOOKUP($C279,'SINAPI FEVEREIRO 2022'!$1:$1048576,2,0),IFERROR(VLOOKUP($C279,'5-COMP. PROPRIA'!$B$1:$I$647,4,0),""))</f>
        <v>BUCHA DE REDUCAO DE PVC, SOLDAVEL, LONGA, COM 60 X 25 MM, PARA AGUA FRIA PREDIAL-  FORNECIMENTO E INSTALAÇÃO</v>
      </c>
      <c r="F279" s="255" t="str">
        <f>IFERROR(VLOOKUP($C279,'SINAPI FEVEREIRO 2022'!$1:$1048576,3,0),IFERROR(VLOOKUP($C279,'5-COMP. PROPRIA'!$B$1:$I$647,5,0),""))</f>
        <v>UN</v>
      </c>
      <c r="G279" s="204">
        <f>QUANT!K743</f>
        <v>12</v>
      </c>
      <c r="H279" s="256">
        <f>IFERROR(VLOOKUP($C279,'SINAPI FEVEREIRO 2022'!$1:$1048576,4,0),IFERROR(VLOOKUP($C279,'5-COMP. PROPRIA'!$B$1:$I$647,8,0),""))</f>
        <v>17.12</v>
      </c>
      <c r="I279" s="256">
        <f>TRUNC(($H279*'4-BDI'!$E$29),2)</f>
        <v>21.95</v>
      </c>
      <c r="J279" s="266">
        <f t="shared" si="110"/>
        <v>205.44</v>
      </c>
      <c r="K279" s="205">
        <f t="shared" si="111"/>
        <v>263.39999999999998</v>
      </c>
    </row>
    <row r="280" spans="2:11" s="107" customFormat="1" ht="30">
      <c r="B280" s="208" t="s">
        <v>8093</v>
      </c>
      <c r="C280" s="555" t="str">
        <f>QUANT!C745</f>
        <v>CP-HIDR-14</v>
      </c>
      <c r="D280" s="600" t="str">
        <f>QUANT!D745</f>
        <v>PROPRIA</v>
      </c>
      <c r="E280" s="203" t="str">
        <f>IFERROR(VLOOKUP($C280,'SINAPI FEVEREIRO 2022'!$1:$1048576,2,0),IFERROR(VLOOKUP($C280,'5-COMP. PROPRIA'!$B$1:$I$647,4,0),""))</f>
        <v>BUCHA DE REDUCAO DE PVC, SOLDAVEL, LONGA, COM 50 X 25 MM, PARA AGUA FRIA PREDIAL-  FORNECIMENTO E INSTALAÇÃO</v>
      </c>
      <c r="F280" s="255" t="str">
        <f>IFERROR(VLOOKUP($C280,'SINAPI FEVEREIRO 2022'!$1:$1048576,3,0),IFERROR(VLOOKUP($C280,'5-COMP. PROPRIA'!$B$1:$I$647,5,0),""))</f>
        <v>UN</v>
      </c>
      <c r="G280" s="204">
        <f>QUANT!K745</f>
        <v>1</v>
      </c>
      <c r="H280" s="256">
        <f>IFERROR(VLOOKUP($C280,'SINAPI FEVEREIRO 2022'!$1:$1048576,4,0),IFERROR(VLOOKUP($C280,'5-COMP. PROPRIA'!$B$1:$I$647,8,0),""))</f>
        <v>11.91</v>
      </c>
      <c r="I280" s="256">
        <f>TRUNC(($H280*'4-BDI'!$E$29),2)</f>
        <v>15.27</v>
      </c>
      <c r="J280" s="266">
        <f t="shared" si="110"/>
        <v>11.91</v>
      </c>
      <c r="K280" s="205">
        <f t="shared" si="111"/>
        <v>15.27</v>
      </c>
    </row>
    <row r="281" spans="2:11" s="107" customFormat="1" ht="30">
      <c r="B281" s="208" t="s">
        <v>8094</v>
      </c>
      <c r="C281" s="555">
        <f>QUANT!C747</f>
        <v>89364</v>
      </c>
      <c r="D281" s="600" t="str">
        <f>QUANT!D747</f>
        <v>SINAPI</v>
      </c>
      <c r="E281" s="203" t="str">
        <f>IFERROR(VLOOKUP($C281,'SINAPI FEVEREIRO 2022'!$1:$1048576,2,0),IFERROR(VLOOKUP($C281,'5-COMP. PROPRIA'!$B$1:$I$647,4,0),""))</f>
        <v>CURVA 90 GRAUS, PVC, SOLDÁVEL, DN 25MM, INSTALADO EM RAMAL OU SUB-RAMAL DE ÁGUA - FORNECIMENTO E INSTALAÇÃO. AF_12/2014</v>
      </c>
      <c r="F281" s="255" t="str">
        <f>IFERROR(VLOOKUP($C281,'SINAPI FEVEREIRO 2022'!$1:$1048576,3,0),IFERROR(VLOOKUP($C281,'5-COMP. PROPRIA'!$B$1:$I$647,5,0),""))</f>
        <v>UN</v>
      </c>
      <c r="G281" s="204">
        <f>QUANT!K747</f>
        <v>4</v>
      </c>
      <c r="H281" s="256">
        <f>IFERROR(VLOOKUP($C281,'SINAPI FEVEREIRO 2022'!$1:$1048576,4,0),IFERROR(VLOOKUP($C281,'5-COMP. PROPRIA'!$B$1:$I$647,8,0),""))</f>
        <v>9.77</v>
      </c>
      <c r="I281" s="256">
        <f>TRUNC(($H281*'4-BDI'!$E$29),2)</f>
        <v>12.52</v>
      </c>
      <c r="J281" s="266">
        <f t="shared" si="110"/>
        <v>39.08</v>
      </c>
      <c r="K281" s="205">
        <f t="shared" si="111"/>
        <v>50.08</v>
      </c>
    </row>
    <row r="282" spans="2:11" s="107" customFormat="1" ht="30">
      <c r="B282" s="208" t="s">
        <v>8095</v>
      </c>
      <c r="C282" s="555">
        <f>QUANT!C749</f>
        <v>89415</v>
      </c>
      <c r="D282" s="600" t="str">
        <f>QUANT!D749</f>
        <v>SINAPI</v>
      </c>
      <c r="E282" s="203" t="str">
        <f>IFERROR(VLOOKUP($C282,'SINAPI FEVEREIRO 2022'!$1:$1048576,2,0),IFERROR(VLOOKUP($C282,'5-COMP. PROPRIA'!$B$1:$I$647,4,0),""))</f>
        <v>CURVA 90 GRAUS, PVC, SOLDÁVEL, DN 32MM, INSTALADO EM RAMAL DE DISTRIBUIÇÃO DE ÁGUA - FORNECIMENTO E INSTALAÇÃO. AF_12/2014</v>
      </c>
      <c r="F282" s="255" t="str">
        <f>IFERROR(VLOOKUP($C282,'SINAPI FEVEREIRO 2022'!$1:$1048576,3,0),IFERROR(VLOOKUP($C282,'5-COMP. PROPRIA'!$B$1:$I$647,5,0),""))</f>
        <v>UN</v>
      </c>
      <c r="G282" s="204">
        <f>QUANT!K749</f>
        <v>2</v>
      </c>
      <c r="H282" s="256">
        <f>IFERROR(VLOOKUP($C282,'SINAPI FEVEREIRO 2022'!$1:$1048576,4,0),IFERROR(VLOOKUP($C282,'5-COMP. PROPRIA'!$B$1:$I$647,8,0),""))</f>
        <v>12.9</v>
      </c>
      <c r="I282" s="256">
        <f>TRUNC(($H282*'4-BDI'!$E$29),2)</f>
        <v>16.54</v>
      </c>
      <c r="J282" s="266">
        <f t="shared" si="110"/>
        <v>25.8</v>
      </c>
      <c r="K282" s="205">
        <f t="shared" si="111"/>
        <v>33.08</v>
      </c>
    </row>
    <row r="283" spans="2:11" s="107" customFormat="1" ht="30">
      <c r="B283" s="208" t="s">
        <v>8096</v>
      </c>
      <c r="C283" s="555">
        <f>QUANT!C751</f>
        <v>89507</v>
      </c>
      <c r="D283" s="600" t="str">
        <f>QUANT!D751</f>
        <v>SINAPI</v>
      </c>
      <c r="E283" s="203" t="str">
        <f>IFERROR(VLOOKUP($C283,'SINAPI FEVEREIRO 2022'!$1:$1048576,2,0),IFERROR(VLOOKUP($C283,'5-COMP. PROPRIA'!$B$1:$I$647,4,0),""))</f>
        <v>CURVA 90 GRAUS, PVC, SOLDÁVEL, DN 60MM, INSTALADO EM PRUMADA DE ÁGUA - FORNECIMENTO E INSTALAÇÃO. AF_12/2014</v>
      </c>
      <c r="F283" s="255" t="str">
        <f>IFERROR(VLOOKUP($C283,'SINAPI FEVEREIRO 2022'!$1:$1048576,3,0),IFERROR(VLOOKUP($C283,'5-COMP. PROPRIA'!$B$1:$I$647,5,0),""))</f>
        <v>UN</v>
      </c>
      <c r="G283" s="204">
        <f>QUANT!K751</f>
        <v>18</v>
      </c>
      <c r="H283" s="256">
        <f>IFERROR(VLOOKUP($C283,'SINAPI FEVEREIRO 2022'!$1:$1048576,4,0),IFERROR(VLOOKUP($C283,'5-COMP. PROPRIA'!$B$1:$I$647,8,0),""))</f>
        <v>49.15</v>
      </c>
      <c r="I283" s="256">
        <f>TRUNC(($H283*'4-BDI'!$E$29),2)</f>
        <v>63.02</v>
      </c>
      <c r="J283" s="266">
        <f t="shared" si="110"/>
        <v>884.7</v>
      </c>
      <c r="K283" s="205">
        <f t="shared" si="111"/>
        <v>1134.3599999999999</v>
      </c>
    </row>
    <row r="284" spans="2:11" s="107" customFormat="1" ht="30">
      <c r="B284" s="208" t="s">
        <v>8097</v>
      </c>
      <c r="C284" s="555">
        <f>QUANT!C753</f>
        <v>89409</v>
      </c>
      <c r="D284" s="600" t="str">
        <f>QUANT!D753</f>
        <v>SINAPI</v>
      </c>
      <c r="E284" s="203" t="str">
        <f>IFERROR(VLOOKUP($C284,'SINAPI FEVEREIRO 2022'!$1:$1048576,2,0),IFERROR(VLOOKUP($C284,'5-COMP. PROPRIA'!$B$1:$I$647,4,0),""))</f>
        <v>JOELHO 45 GRAUS, PVC, SOLDÁVEL, DN 25MM, INSTALADO EM RAMAL DE DISTRIBUIÇÃO DE ÁGUA - FORNECIMENTO E INSTALAÇÃO. AF_12/2014</v>
      </c>
      <c r="F284" s="255" t="str">
        <f>IFERROR(VLOOKUP($C284,'SINAPI FEVEREIRO 2022'!$1:$1048576,3,0),IFERROR(VLOOKUP($C284,'5-COMP. PROPRIA'!$B$1:$I$647,5,0),""))</f>
        <v>UN</v>
      </c>
      <c r="G284" s="204">
        <f>QUANT!K753</f>
        <v>2</v>
      </c>
      <c r="H284" s="256">
        <f>IFERROR(VLOOKUP($C284,'SINAPI FEVEREIRO 2022'!$1:$1048576,4,0),IFERROR(VLOOKUP($C284,'5-COMP. PROPRIA'!$B$1:$I$647,8,0),""))</f>
        <v>5.96</v>
      </c>
      <c r="I284" s="256">
        <f>TRUNC(($H284*'4-BDI'!$E$29),2)</f>
        <v>7.64</v>
      </c>
      <c r="J284" s="266">
        <f t="shared" si="110"/>
        <v>11.92</v>
      </c>
      <c r="K284" s="205">
        <f t="shared" si="111"/>
        <v>15.28</v>
      </c>
    </row>
    <row r="285" spans="2:11" s="107" customFormat="1" ht="30">
      <c r="B285" s="208" t="s">
        <v>8098</v>
      </c>
      <c r="C285" s="555">
        <f>QUANT!C755</f>
        <v>89506</v>
      </c>
      <c r="D285" s="600" t="str">
        <f>QUANT!D755</f>
        <v>SINAPI</v>
      </c>
      <c r="E285" s="203" t="str">
        <f>IFERROR(VLOOKUP($C285,'SINAPI FEVEREIRO 2022'!$1:$1048576,2,0),IFERROR(VLOOKUP($C285,'5-COMP. PROPRIA'!$B$1:$I$647,4,0),""))</f>
        <v>JOELHO 45 GRAUS, PVC, SOLDÁVEL, DN 60MM, INSTALADO EM PRUMADA DE ÁGUA - FORNECIMENTO E INSTALAÇÃO. AF_12/2014</v>
      </c>
      <c r="F285" s="255" t="str">
        <f>IFERROR(VLOOKUP($C285,'SINAPI FEVEREIRO 2022'!$1:$1048576,3,0),IFERROR(VLOOKUP($C285,'5-COMP. PROPRIA'!$B$1:$I$647,5,0),""))</f>
        <v>UN</v>
      </c>
      <c r="G285" s="204">
        <f>QUANT!K755</f>
        <v>1</v>
      </c>
      <c r="H285" s="256">
        <f>IFERROR(VLOOKUP($C285,'SINAPI FEVEREIRO 2022'!$1:$1048576,4,0),IFERROR(VLOOKUP($C285,'5-COMP. PROPRIA'!$B$1:$I$647,8,0),""))</f>
        <v>39.67</v>
      </c>
      <c r="I285" s="256">
        <f>TRUNC(($H285*'4-BDI'!$E$29),2)</f>
        <v>50.87</v>
      </c>
      <c r="J285" s="266">
        <f t="shared" si="110"/>
        <v>39.67</v>
      </c>
      <c r="K285" s="205">
        <f t="shared" si="111"/>
        <v>50.87</v>
      </c>
    </row>
    <row r="286" spans="2:11" s="107" customFormat="1" ht="30">
      <c r="B286" s="208" t="s">
        <v>8099</v>
      </c>
      <c r="C286" s="555">
        <f>QUANT!C757</f>
        <v>89408</v>
      </c>
      <c r="D286" s="600" t="str">
        <f>QUANT!D757</f>
        <v>SINAPI</v>
      </c>
      <c r="E286" s="203" t="str">
        <f>IFERROR(VLOOKUP($C286,'SINAPI FEVEREIRO 2022'!$1:$1048576,2,0),IFERROR(VLOOKUP($C286,'5-COMP. PROPRIA'!$B$1:$I$647,4,0),""))</f>
        <v>JOELHO 90 GRAUS, PVC, SOLDÁVEL, DN 25MM, INSTALADO EM RAMAL DE DISTRIBUIÇÃO DE ÁGUA - FORNECIMENTO E INSTALAÇÃO. AF_12/2014</v>
      </c>
      <c r="F286" s="255" t="str">
        <f>IFERROR(VLOOKUP($C286,'SINAPI FEVEREIRO 2022'!$1:$1048576,3,0),IFERROR(VLOOKUP($C286,'5-COMP. PROPRIA'!$B$1:$I$647,5,0),""))</f>
        <v>UN</v>
      </c>
      <c r="G286" s="204">
        <f>QUANT!K757</f>
        <v>34</v>
      </c>
      <c r="H286" s="256">
        <f>IFERROR(VLOOKUP($C286,'SINAPI FEVEREIRO 2022'!$1:$1048576,4,0),IFERROR(VLOOKUP($C286,'5-COMP. PROPRIA'!$B$1:$I$647,8,0),""))</f>
        <v>5.14</v>
      </c>
      <c r="I286" s="256">
        <f>TRUNC(($H286*'4-BDI'!$E$29),2)</f>
        <v>6.59</v>
      </c>
      <c r="J286" s="266">
        <f t="shared" si="110"/>
        <v>174.76</v>
      </c>
      <c r="K286" s="205">
        <f t="shared" si="111"/>
        <v>224.06</v>
      </c>
    </row>
    <row r="287" spans="2:11" s="107" customFormat="1" ht="30">
      <c r="B287" s="208" t="s">
        <v>8100</v>
      </c>
      <c r="C287" s="555">
        <f>QUANT!C759</f>
        <v>89501</v>
      </c>
      <c r="D287" s="600" t="str">
        <f>QUANT!D759</f>
        <v>SINAPI</v>
      </c>
      <c r="E287" s="203" t="str">
        <f>IFERROR(VLOOKUP($C287,'SINAPI FEVEREIRO 2022'!$1:$1048576,2,0),IFERROR(VLOOKUP($C287,'5-COMP. PROPRIA'!$B$1:$I$647,4,0),""))</f>
        <v>JOELHO 90 GRAUS, PVC, SOLDÁVEL, DN 50MM, INSTALADO EM PRUMADA DE ÁGUA - FORNECIMENTO E INSTALAÇÃO. AF_12/2014</v>
      </c>
      <c r="F287" s="255" t="str">
        <f>IFERROR(VLOOKUP($C287,'SINAPI FEVEREIRO 2022'!$1:$1048576,3,0),IFERROR(VLOOKUP($C287,'5-COMP. PROPRIA'!$B$1:$I$647,5,0),""))</f>
        <v>UN</v>
      </c>
      <c r="G287" s="204">
        <f>QUANT!K759</f>
        <v>3</v>
      </c>
      <c r="H287" s="256">
        <f>IFERROR(VLOOKUP($C287,'SINAPI FEVEREIRO 2022'!$1:$1048576,4,0),IFERROR(VLOOKUP($C287,'5-COMP. PROPRIA'!$B$1:$I$647,8,0),""))</f>
        <v>13.07</v>
      </c>
      <c r="I287" s="256">
        <f>TRUNC(($H287*'4-BDI'!$E$29),2)</f>
        <v>16.760000000000002</v>
      </c>
      <c r="J287" s="266">
        <f t="shared" si="110"/>
        <v>39.21</v>
      </c>
      <c r="K287" s="205">
        <f t="shared" si="111"/>
        <v>50.28</v>
      </c>
    </row>
    <row r="288" spans="2:11" s="107" customFormat="1" ht="30">
      <c r="B288" s="208" t="s">
        <v>8101</v>
      </c>
      <c r="C288" s="555">
        <f>QUANT!C761</f>
        <v>89505</v>
      </c>
      <c r="D288" s="600" t="str">
        <f>QUANT!D761</f>
        <v>SINAPI</v>
      </c>
      <c r="E288" s="203" t="str">
        <f>IFERROR(VLOOKUP($C288,'SINAPI FEVEREIRO 2022'!$1:$1048576,2,0),IFERROR(VLOOKUP($C288,'5-COMP. PROPRIA'!$B$1:$I$647,4,0),""))</f>
        <v>JOELHO 90 GRAUS, PVC, SOLDÁVEL, DN 60MM, INSTALADO EM PRUMADA DE ÁGUA - FORNECIMENTO E INSTALAÇÃO. AF_12/2014</v>
      </c>
      <c r="F288" s="255" t="str">
        <f>IFERROR(VLOOKUP($C288,'SINAPI FEVEREIRO 2022'!$1:$1048576,3,0),IFERROR(VLOOKUP($C288,'5-COMP. PROPRIA'!$B$1:$I$647,5,0),""))</f>
        <v>UN</v>
      </c>
      <c r="G288" s="204">
        <f>QUANT!K761</f>
        <v>5</v>
      </c>
      <c r="H288" s="256">
        <f>IFERROR(VLOOKUP($C288,'SINAPI FEVEREIRO 2022'!$1:$1048576,4,0),IFERROR(VLOOKUP($C288,'5-COMP. PROPRIA'!$B$1:$I$647,8,0),""))</f>
        <v>35.11</v>
      </c>
      <c r="I288" s="256">
        <f>TRUNC(($H288*'4-BDI'!$E$29),2)</f>
        <v>45.02</v>
      </c>
      <c r="J288" s="266">
        <f t="shared" ref="J288:J290" si="112">TRUNC((G288*H288),2)</f>
        <v>175.55</v>
      </c>
      <c r="K288" s="205">
        <f t="shared" ref="K288:K290" si="113">TRUNC((I288*G288),2)</f>
        <v>225.1</v>
      </c>
    </row>
    <row r="289" spans="2:11" s="107" customFormat="1" ht="30">
      <c r="B289" s="208" t="s">
        <v>8102</v>
      </c>
      <c r="C289" s="555">
        <f>QUANT!C763</f>
        <v>89446</v>
      </c>
      <c r="D289" s="600" t="str">
        <f>QUANT!D763</f>
        <v>SINAPI</v>
      </c>
      <c r="E289" s="203" t="str">
        <f>IFERROR(VLOOKUP($C289,'SINAPI FEVEREIRO 2022'!$1:$1048576,2,0),IFERROR(VLOOKUP($C289,'5-COMP. PROPRIA'!$B$1:$I$647,4,0),""))</f>
        <v>TUBO, PVC, SOLDÁVEL, DN 25MM, INSTALADO EM PRUMADA DE ÁGUA - FORNECIMENTO E INSTALAÇÃO. AF_12/2014</v>
      </c>
      <c r="F289" s="255" t="str">
        <f>IFERROR(VLOOKUP($C289,'SINAPI FEVEREIRO 2022'!$1:$1048576,3,0),IFERROR(VLOOKUP($C289,'5-COMP. PROPRIA'!$B$1:$I$647,5,0),""))</f>
        <v>M</v>
      </c>
      <c r="G289" s="204">
        <f>QUANT!K763</f>
        <v>121.27</v>
      </c>
      <c r="H289" s="256">
        <f>IFERROR(VLOOKUP($C289,'SINAPI FEVEREIRO 2022'!$1:$1048576,4,0),IFERROR(VLOOKUP($C289,'5-COMP. PROPRIA'!$B$1:$I$647,8,0),""))</f>
        <v>4.7699999999999996</v>
      </c>
      <c r="I289" s="256">
        <f>TRUNC(($H289*'4-BDI'!$E$29),2)</f>
        <v>6.11</v>
      </c>
      <c r="J289" s="266">
        <f t="shared" si="112"/>
        <v>578.45000000000005</v>
      </c>
      <c r="K289" s="205">
        <f t="shared" si="113"/>
        <v>740.95</v>
      </c>
    </row>
    <row r="290" spans="2:11" s="107" customFormat="1" ht="30">
      <c r="B290" s="208" t="s">
        <v>8103</v>
      </c>
      <c r="C290" s="555">
        <f>QUANT!C765</f>
        <v>89403</v>
      </c>
      <c r="D290" s="600" t="str">
        <f>QUANT!D765</f>
        <v>SINAPI</v>
      </c>
      <c r="E290" s="203" t="str">
        <f>IFERROR(VLOOKUP($C290,'SINAPI FEVEREIRO 2022'!$1:$1048576,2,0),IFERROR(VLOOKUP($C290,'5-COMP. PROPRIA'!$B$1:$I$647,4,0),""))</f>
        <v>TUBO, PVC, SOLDÁVEL, DN 32MM, INSTALADO EM RAMAL DE DISTRIBUIÇÃO DE ÁGUA - FORNECIMENTO E INSTALAÇÃO. AF_12/2014</v>
      </c>
      <c r="F290" s="255" t="str">
        <f>IFERROR(VLOOKUP($C290,'SINAPI FEVEREIRO 2022'!$1:$1048576,3,0),IFERROR(VLOOKUP($C290,'5-COMP. PROPRIA'!$B$1:$I$647,5,0),""))</f>
        <v>M</v>
      </c>
      <c r="G290" s="204">
        <f>QUANT!K765</f>
        <v>9.48</v>
      </c>
      <c r="H290" s="256">
        <f>IFERROR(VLOOKUP($C290,'SINAPI FEVEREIRO 2022'!$1:$1048576,4,0),IFERROR(VLOOKUP($C290,'5-COMP. PROPRIA'!$B$1:$I$647,8,0),""))</f>
        <v>14.19</v>
      </c>
      <c r="I290" s="256">
        <f>TRUNC(($H290*'4-BDI'!$E$29),2)</f>
        <v>18.190000000000001</v>
      </c>
      <c r="J290" s="266">
        <f t="shared" si="112"/>
        <v>134.52000000000001</v>
      </c>
      <c r="K290" s="205">
        <f t="shared" si="113"/>
        <v>172.44</v>
      </c>
    </row>
    <row r="291" spans="2:11" s="107" customFormat="1" ht="30">
      <c r="B291" s="208" t="s">
        <v>8104</v>
      </c>
      <c r="C291" s="555">
        <f>QUANT!C767</f>
        <v>89449</v>
      </c>
      <c r="D291" s="600" t="str">
        <f>QUANT!D767</f>
        <v>SINAPI</v>
      </c>
      <c r="E291" s="203" t="str">
        <f>IFERROR(VLOOKUP($C291,'SINAPI FEVEREIRO 2022'!$1:$1048576,2,0),IFERROR(VLOOKUP($C291,'5-COMP. PROPRIA'!$B$1:$I$647,4,0),""))</f>
        <v>TUBO, PVC, SOLDÁVEL, DN 50MM, INSTALADO EM PRUMADA DE ÁGUA - FORNECIMENTO E INSTALAÇÃO. AF_12/2014</v>
      </c>
      <c r="F291" s="255" t="str">
        <f>IFERROR(VLOOKUP($C291,'SINAPI FEVEREIRO 2022'!$1:$1048576,3,0),IFERROR(VLOOKUP($C291,'5-COMP. PROPRIA'!$B$1:$I$647,5,0),""))</f>
        <v>M</v>
      </c>
      <c r="G291" s="204">
        <f>QUANT!K767</f>
        <v>22.55</v>
      </c>
      <c r="H291" s="256">
        <f>IFERROR(VLOOKUP($C291,'SINAPI FEVEREIRO 2022'!$1:$1048576,4,0),IFERROR(VLOOKUP($C291,'5-COMP. PROPRIA'!$B$1:$I$647,8,0),""))</f>
        <v>16.899999999999999</v>
      </c>
      <c r="I291" s="256">
        <f>TRUNC(($H291*'4-BDI'!$E$29),2)</f>
        <v>21.67</v>
      </c>
      <c r="J291" s="266">
        <f t="shared" ref="J291:J303" si="114">TRUNC((G291*H291),2)</f>
        <v>381.09</v>
      </c>
      <c r="K291" s="205">
        <f t="shared" ref="K291:K303" si="115">TRUNC((I291*G291),2)</f>
        <v>488.65</v>
      </c>
    </row>
    <row r="292" spans="2:11" s="107" customFormat="1" ht="30">
      <c r="B292" s="208" t="s">
        <v>8105</v>
      </c>
      <c r="C292" s="555">
        <f>QUANT!C769</f>
        <v>89450</v>
      </c>
      <c r="D292" s="600" t="str">
        <f>QUANT!D769</f>
        <v>SINAPI</v>
      </c>
      <c r="E292" s="203" t="str">
        <f>IFERROR(VLOOKUP($C292,'SINAPI FEVEREIRO 2022'!$1:$1048576,2,0),IFERROR(VLOOKUP($C292,'5-COMP. PROPRIA'!$B$1:$I$647,4,0),""))</f>
        <v>TUBO, PVC, SOLDÁVEL, DN 60MM, INSTALADO EM PRUMADA DE ÁGUA - FORNECIMENTO E INSTALAÇÃO. AF_12/2014</v>
      </c>
      <c r="F292" s="255" t="str">
        <f>IFERROR(VLOOKUP($C292,'SINAPI FEVEREIRO 2022'!$1:$1048576,3,0),IFERROR(VLOOKUP($C292,'5-COMP. PROPRIA'!$B$1:$I$647,5,0),""))</f>
        <v>M</v>
      </c>
      <c r="G292" s="204">
        <f>QUANT!K769</f>
        <v>115.03</v>
      </c>
      <c r="H292" s="256">
        <f>IFERROR(VLOOKUP($C292,'SINAPI FEVEREIRO 2022'!$1:$1048576,4,0),IFERROR(VLOOKUP($C292,'5-COMP. PROPRIA'!$B$1:$I$647,8,0),""))</f>
        <v>27.98</v>
      </c>
      <c r="I292" s="256">
        <f>TRUNC(($H292*'4-BDI'!$E$29),2)</f>
        <v>35.880000000000003</v>
      </c>
      <c r="J292" s="266">
        <f t="shared" si="114"/>
        <v>3218.53</v>
      </c>
      <c r="K292" s="205">
        <f t="shared" si="115"/>
        <v>4127.2700000000004</v>
      </c>
    </row>
    <row r="293" spans="2:11" s="107" customFormat="1" ht="30">
      <c r="B293" s="208" t="s">
        <v>8106</v>
      </c>
      <c r="C293" s="555">
        <f>QUANT!C771</f>
        <v>89440</v>
      </c>
      <c r="D293" s="600" t="str">
        <f>QUANT!D771</f>
        <v>SINAPI</v>
      </c>
      <c r="E293" s="203" t="str">
        <f>IFERROR(VLOOKUP($C293,'SINAPI FEVEREIRO 2022'!$1:$1048576,2,0),IFERROR(VLOOKUP($C293,'5-COMP. PROPRIA'!$B$1:$I$647,4,0),""))</f>
        <v>TE, PVC, SOLDÁVEL, DN 25MM, INSTALADO EM RAMAL DE DISTRIBUIÇÃO DE ÁGUA - FORNECIMENTO E INSTALAÇÃO. AF_12/2014</v>
      </c>
      <c r="F293" s="255" t="str">
        <f>IFERROR(VLOOKUP($C293,'SINAPI FEVEREIRO 2022'!$1:$1048576,3,0),IFERROR(VLOOKUP($C293,'5-COMP. PROPRIA'!$B$1:$I$647,5,0),""))</f>
        <v>UN</v>
      </c>
      <c r="G293" s="204">
        <f>QUANT!K771</f>
        <v>8</v>
      </c>
      <c r="H293" s="256">
        <f>IFERROR(VLOOKUP($C293,'SINAPI FEVEREIRO 2022'!$1:$1048576,4,0),IFERROR(VLOOKUP($C293,'5-COMP. PROPRIA'!$B$1:$I$647,8,0),""))</f>
        <v>7.41</v>
      </c>
      <c r="I293" s="256">
        <f>TRUNC(($H293*'4-BDI'!$E$29),2)</f>
        <v>9.5</v>
      </c>
      <c r="J293" s="266">
        <f t="shared" si="114"/>
        <v>59.28</v>
      </c>
      <c r="K293" s="205">
        <f t="shared" si="115"/>
        <v>76</v>
      </c>
    </row>
    <row r="294" spans="2:11" s="107" customFormat="1" ht="30">
      <c r="B294" s="208" t="s">
        <v>8107</v>
      </c>
      <c r="C294" s="555">
        <f>QUANT!C773</f>
        <v>89625</v>
      </c>
      <c r="D294" s="600" t="str">
        <f>QUANT!D773</f>
        <v>SINAPI</v>
      </c>
      <c r="E294" s="203" t="str">
        <f>IFERROR(VLOOKUP($C294,'SINAPI FEVEREIRO 2022'!$1:$1048576,2,0),IFERROR(VLOOKUP($C294,'5-COMP. PROPRIA'!$B$1:$I$647,4,0),""))</f>
        <v>TE, PVC, SOLDÁVEL, DN 50MM, INSTALADO EM PRUMADA DE ÁGUA - FORNECIMENTO E INSTALAÇÃO. AF_12/2014</v>
      </c>
      <c r="F294" s="255" t="str">
        <f>IFERROR(VLOOKUP($C294,'SINAPI FEVEREIRO 2022'!$1:$1048576,3,0),IFERROR(VLOOKUP($C294,'5-COMP. PROPRIA'!$B$1:$I$647,5,0),""))</f>
        <v>UN</v>
      </c>
      <c r="G294" s="204">
        <f>QUANT!K773</f>
        <v>1</v>
      </c>
      <c r="H294" s="256">
        <f>IFERROR(VLOOKUP($C294,'SINAPI FEVEREIRO 2022'!$1:$1048576,4,0),IFERROR(VLOOKUP($C294,'5-COMP. PROPRIA'!$B$1:$I$647,8,0),""))</f>
        <v>20.74</v>
      </c>
      <c r="I294" s="256">
        <f>TRUNC(($H294*'4-BDI'!$E$29),2)</f>
        <v>26.59</v>
      </c>
      <c r="J294" s="266">
        <f t="shared" si="114"/>
        <v>20.74</v>
      </c>
      <c r="K294" s="205">
        <f t="shared" si="115"/>
        <v>26.59</v>
      </c>
    </row>
    <row r="295" spans="2:11" s="107" customFormat="1" ht="30">
      <c r="B295" s="208" t="s">
        <v>8108</v>
      </c>
      <c r="C295" s="555">
        <f>QUANT!C775</f>
        <v>89628</v>
      </c>
      <c r="D295" s="600" t="str">
        <f>QUANT!D775</f>
        <v>SINAPI</v>
      </c>
      <c r="E295" s="203" t="str">
        <f>IFERROR(VLOOKUP($C295,'SINAPI FEVEREIRO 2022'!$1:$1048576,2,0),IFERROR(VLOOKUP($C295,'5-COMP. PROPRIA'!$B$1:$I$647,4,0),""))</f>
        <v>TE, PVC, SOLDÁVEL, DN 60MM, INSTALADO EM PRUMADA DE ÁGUA - FORNECIMENTO E INSTALAÇÃO. AF_12/2014</v>
      </c>
      <c r="F295" s="255" t="str">
        <f>IFERROR(VLOOKUP($C295,'SINAPI FEVEREIRO 2022'!$1:$1048576,3,0),IFERROR(VLOOKUP($C295,'5-COMP. PROPRIA'!$B$1:$I$647,5,0),""))</f>
        <v>UN</v>
      </c>
      <c r="G295" s="204">
        <f>QUANT!K775</f>
        <v>17</v>
      </c>
      <c r="H295" s="256">
        <f>IFERROR(VLOOKUP($C295,'SINAPI FEVEREIRO 2022'!$1:$1048576,4,0),IFERROR(VLOOKUP($C295,'5-COMP. PROPRIA'!$B$1:$I$647,8,0),""))</f>
        <v>44.95</v>
      </c>
      <c r="I295" s="256">
        <f>TRUNC(($H295*'4-BDI'!$E$29),2)</f>
        <v>57.64</v>
      </c>
      <c r="J295" s="266">
        <f t="shared" si="114"/>
        <v>764.15</v>
      </c>
      <c r="K295" s="205">
        <f t="shared" si="115"/>
        <v>979.88</v>
      </c>
    </row>
    <row r="296" spans="2:11" s="107" customFormat="1" ht="45">
      <c r="B296" s="208" t="s">
        <v>8109</v>
      </c>
      <c r="C296" s="555">
        <f>QUANT!C777</f>
        <v>89366</v>
      </c>
      <c r="D296" s="600" t="str">
        <f>QUANT!D777</f>
        <v>SINAPI</v>
      </c>
      <c r="E296" s="203" t="str">
        <f>IFERROR(VLOOKUP($C296,'SINAPI FEVEREIRO 2022'!$1:$1048576,2,0),IFERROR(VLOOKUP($C296,'5-COMP. PROPRIA'!$B$1:$I$647,4,0),""))</f>
        <v>JOELHO 90 GRAUS COM BUCHA DE LATÃO, PVC, SOLDÁVEL, DN 25MM, X 3/4 INSTALADO EM RAMAL OU SUB-RAMAL DE ÁGUA - FORNECIMENTO E INSTALAÇÃO. AF_12/2014</v>
      </c>
      <c r="F296" s="255" t="str">
        <f>IFERROR(VLOOKUP($C296,'SINAPI FEVEREIRO 2022'!$1:$1048576,3,0),IFERROR(VLOOKUP($C296,'5-COMP. PROPRIA'!$B$1:$I$647,5,0),""))</f>
        <v>UN</v>
      </c>
      <c r="G296" s="204">
        <f>QUANT!K777</f>
        <v>6</v>
      </c>
      <c r="H296" s="256">
        <f>IFERROR(VLOOKUP($C296,'SINAPI FEVEREIRO 2022'!$1:$1048576,4,0),IFERROR(VLOOKUP($C296,'5-COMP. PROPRIA'!$B$1:$I$647,8,0),""))</f>
        <v>14.27</v>
      </c>
      <c r="I296" s="256">
        <f>TRUNC(($H296*'4-BDI'!$E$29),2)</f>
        <v>18.29</v>
      </c>
      <c r="J296" s="266">
        <f t="shared" si="114"/>
        <v>85.62</v>
      </c>
      <c r="K296" s="205">
        <f t="shared" si="115"/>
        <v>109.74</v>
      </c>
    </row>
    <row r="297" spans="2:11" s="107" customFormat="1" ht="45">
      <c r="B297" s="208" t="s">
        <v>8110</v>
      </c>
      <c r="C297" s="555">
        <f>QUANT!C779</f>
        <v>90373</v>
      </c>
      <c r="D297" s="600" t="str">
        <f>QUANT!D779</f>
        <v>SINAPI</v>
      </c>
      <c r="E297" s="203" t="str">
        <f>IFERROR(VLOOKUP($C297,'SINAPI FEVEREIRO 2022'!$1:$1048576,2,0),IFERROR(VLOOKUP($C297,'5-COMP. PROPRIA'!$B$1:$I$647,4,0),""))</f>
        <v>JOELHO 90 GRAUS COM BUCHA DE LATÃO, PVC, SOLDÁVEL, DN 25MM, X 1/2 INSTALADO EM RAMAL OU SUB-RAMAL DE ÁGUA - FORNECIMENTO E INSTALAÇÃO. AF_12/2014</v>
      </c>
      <c r="F297" s="255" t="str">
        <f>IFERROR(VLOOKUP($C297,'SINAPI FEVEREIRO 2022'!$1:$1048576,3,0),IFERROR(VLOOKUP($C297,'5-COMP. PROPRIA'!$B$1:$I$647,5,0),""))</f>
        <v>UN</v>
      </c>
      <c r="G297" s="204">
        <f>QUANT!K779</f>
        <v>8</v>
      </c>
      <c r="H297" s="256">
        <f>IFERROR(VLOOKUP($C297,'SINAPI FEVEREIRO 2022'!$1:$1048576,4,0),IFERROR(VLOOKUP($C297,'5-COMP. PROPRIA'!$B$1:$I$647,8,0),""))</f>
        <v>13.04</v>
      </c>
      <c r="I297" s="256">
        <f>TRUNC(($H297*'4-BDI'!$E$29),2)</f>
        <v>16.72</v>
      </c>
      <c r="J297" s="266">
        <f t="shared" si="114"/>
        <v>104.32</v>
      </c>
      <c r="K297" s="205">
        <f t="shared" si="115"/>
        <v>133.76</v>
      </c>
    </row>
    <row r="298" spans="2:11" s="107" customFormat="1" ht="45">
      <c r="B298" s="208" t="s">
        <v>8111</v>
      </c>
      <c r="C298" s="555">
        <f>QUANT!C781</f>
        <v>89396</v>
      </c>
      <c r="D298" s="600" t="str">
        <f>QUANT!D781</f>
        <v>SINAPI</v>
      </c>
      <c r="E298" s="203" t="str">
        <f>IFERROR(VLOOKUP($C298,'SINAPI FEVEREIRO 2022'!$1:$1048576,2,0),IFERROR(VLOOKUP($C298,'5-COMP. PROPRIA'!$B$1:$I$647,4,0),""))</f>
        <v>TÊ COM BUCHA DE LATÃO NA BOLSA CENTRAL, PVC, SOLDÁVEL, DN 25MM X 1/2, INSTALADO EM RAMAL OU SUB-RAMAL DE ÁGUA - FORNECIMENTO E INSTALAÇÃO. AF_12/2014</v>
      </c>
      <c r="F298" s="255" t="str">
        <f>IFERROR(VLOOKUP($C298,'SINAPI FEVEREIRO 2022'!$1:$1048576,3,0),IFERROR(VLOOKUP($C298,'5-COMP. PROPRIA'!$B$1:$I$647,5,0),""))</f>
        <v>UN</v>
      </c>
      <c r="G298" s="204">
        <f>QUANT!K781</f>
        <v>2</v>
      </c>
      <c r="H298" s="256">
        <f>IFERROR(VLOOKUP($C298,'SINAPI FEVEREIRO 2022'!$1:$1048576,4,0),IFERROR(VLOOKUP($C298,'5-COMP. PROPRIA'!$B$1:$I$647,8,0),""))</f>
        <v>18.36</v>
      </c>
      <c r="I298" s="256">
        <f>TRUNC(($H298*'4-BDI'!$E$29),2)</f>
        <v>23.54</v>
      </c>
      <c r="J298" s="266">
        <f t="shared" si="114"/>
        <v>36.72</v>
      </c>
      <c r="K298" s="205">
        <f t="shared" si="115"/>
        <v>47.08</v>
      </c>
    </row>
    <row r="299" spans="2:11" s="107" customFormat="1" ht="45">
      <c r="B299" s="208" t="s">
        <v>8112</v>
      </c>
      <c r="C299" s="555">
        <f>QUANT!C783</f>
        <v>90374</v>
      </c>
      <c r="D299" s="600" t="str">
        <f>QUANT!D783</f>
        <v>SINAPI</v>
      </c>
      <c r="E299" s="203" t="str">
        <f>IFERROR(VLOOKUP($C299,'SINAPI FEVEREIRO 2022'!$1:$1048576,2,0),IFERROR(VLOOKUP($C299,'5-COMP. PROPRIA'!$B$1:$I$647,4,0),""))</f>
        <v>TÊ COM BUCHA DE LATÃO NA BOLSA CENTRAL, PVC, SOLDÁVEL, DN 25MM X 3/4, INSTALADO EM RAMAL OU SUB-RAMAL DE ÁGUA - FORNECIMENTO E INSTALAÇÃO. AF_03/2015</v>
      </c>
      <c r="F299" s="255" t="str">
        <f>IFERROR(VLOOKUP($C299,'SINAPI FEVEREIRO 2022'!$1:$1048576,3,0),IFERROR(VLOOKUP($C299,'5-COMP. PROPRIA'!$B$1:$I$647,5,0),""))</f>
        <v>UN</v>
      </c>
      <c r="G299" s="204">
        <f>QUANT!K783</f>
        <v>2</v>
      </c>
      <c r="H299" s="256">
        <f>IFERROR(VLOOKUP($C299,'SINAPI FEVEREIRO 2022'!$1:$1048576,4,0),IFERROR(VLOOKUP($C299,'5-COMP. PROPRIA'!$B$1:$I$647,8,0),""))</f>
        <v>20.72</v>
      </c>
      <c r="I299" s="256">
        <f>TRUNC(($H299*'4-BDI'!$E$29),2)</f>
        <v>26.57</v>
      </c>
      <c r="J299" s="266">
        <f t="shared" si="114"/>
        <v>41.44</v>
      </c>
      <c r="K299" s="205">
        <f t="shared" si="115"/>
        <v>53.14</v>
      </c>
    </row>
    <row r="300" spans="2:11" s="107" customFormat="1" ht="120">
      <c r="B300" s="208" t="s">
        <v>8113</v>
      </c>
      <c r="C300" s="555" t="str">
        <f>QUANT!C785</f>
        <v>CP-HIDR-16</v>
      </c>
      <c r="D300" s="600" t="str">
        <f>QUANT!D785</f>
        <v>PROPRIA</v>
      </c>
      <c r="E300" s="414" t="str">
        <f>IFERROR(VLOOKUP($C300,'SINAPI FEVEREIRO 2022'!$1:$1048576,2,0),IFERROR(VLOOKUP($C300,'5-COMP. PROPRIA'!$B$1:$I$647,4,0),""))</f>
        <v>FORNECIMENTO E MONTAGEM DE RESERVATÓRIO COLUNA CILÍNDRICA TIPO TUBULAR DE CAP.15.000L, COM AS SEGUINTES DIMENSÕES: -COLUNA SECA: Ø 1,27 X 2,80M; -RESERVA: Ø 2,00M x 7,20M; -ALTURA TOTAL: 10,00M; INCLUSO ESCADA TIPO MARINHEIRO COM PROTEÇÃO NA PARTE EXTERNA, GUARDA CORPO PARTE EXTERNA NO TOPO, TAMPA SUPERIOR, DEGRAUS NA PARTE INTERNA, CHUMBADORES TIPO "J" COM ROSCAS, PINTURA EPÓXI DUAS DEMÃOS COM FUNDO ANTICORROSIVO, INCLUSO BLOCO SOBRE ESTACA DE CONCRETO E SPDA</v>
      </c>
      <c r="F300" s="255" t="str">
        <f>IFERROR(VLOOKUP($C300,'SINAPI FEVEREIRO 2022'!$1:$1048576,3,0),IFERROR(VLOOKUP($C300,'5-COMP. PROPRIA'!$B$1:$I$647,5,0),""))</f>
        <v>UN</v>
      </c>
      <c r="G300" s="204">
        <f>QUANT!K785</f>
        <v>1</v>
      </c>
      <c r="H300" s="256">
        <f>IFERROR(VLOOKUP($C300,'SINAPI FEVEREIRO 2022'!$1:$1048576,4,0),IFERROR(VLOOKUP($C300,'5-COMP. PROPRIA'!$B$1:$I$647,8,0),""))</f>
        <v>35865.75</v>
      </c>
      <c r="I300" s="256">
        <f>TRUNC(($H300*'4-BDI'!$E$29),2)</f>
        <v>45994.23</v>
      </c>
      <c r="J300" s="266">
        <f t="shared" si="114"/>
        <v>35865.75</v>
      </c>
      <c r="K300" s="205">
        <f t="shared" si="115"/>
        <v>45994.23</v>
      </c>
    </row>
    <row r="301" spans="2:11" s="107" customFormat="1" ht="30">
      <c r="B301" s="208" t="s">
        <v>8114</v>
      </c>
      <c r="C301" s="555">
        <f>QUANT!C787</f>
        <v>102619</v>
      </c>
      <c r="D301" s="600" t="str">
        <f>QUANT!D787</f>
        <v>SINAPI</v>
      </c>
      <c r="E301" s="203" t="str">
        <f>IFERROR(VLOOKUP($C301,'SINAPI FEVEREIRO 2022'!$1:$1048576,2,0),IFERROR(VLOOKUP($C301,'5-COMP. PROPRIA'!$B$1:$I$647,4,0),""))</f>
        <v>CAIXA D´ÁGUA EM POLIÉSTER REFORÇADO COM FIBRA DE VIDRO, 10000 LITROS - FORNECIMENTO E INSTALAÇÃO. AF_06/2021</v>
      </c>
      <c r="F301" s="255" t="str">
        <f>IFERROR(VLOOKUP($C301,'SINAPI FEVEREIRO 2022'!$1:$1048576,3,0),IFERROR(VLOOKUP($C301,'5-COMP. PROPRIA'!$B$1:$I$647,5,0),""))</f>
        <v>UN</v>
      </c>
      <c r="G301" s="204">
        <f>QUANT!K787</f>
        <v>1</v>
      </c>
      <c r="H301" s="256">
        <f>IFERROR(VLOOKUP($C301,'SINAPI FEVEREIRO 2022'!$1:$1048576,4,0),IFERROR(VLOOKUP($C301,'5-COMP. PROPRIA'!$B$1:$I$647,8,0),""))</f>
        <v>5648.76</v>
      </c>
      <c r="I301" s="256">
        <f>TRUNC(($H301*'4-BDI'!$E$29),2)</f>
        <v>7243.96</v>
      </c>
      <c r="J301" s="266">
        <f t="shared" si="114"/>
        <v>5648.76</v>
      </c>
      <c r="K301" s="205">
        <f t="shared" si="115"/>
        <v>7243.96</v>
      </c>
    </row>
    <row r="302" spans="2:11" s="107" customFormat="1" ht="30">
      <c r="B302" s="208" t="s">
        <v>8115</v>
      </c>
      <c r="C302" s="555">
        <f>QUANT!C789</f>
        <v>102113</v>
      </c>
      <c r="D302" s="600" t="str">
        <f>QUANT!D789</f>
        <v>SINAPI</v>
      </c>
      <c r="E302" s="203" t="str">
        <f>IFERROR(VLOOKUP($C302,'SINAPI FEVEREIRO 2022'!$1:$1048576,2,0),IFERROR(VLOOKUP($C302,'5-COMP. PROPRIA'!$B$1:$I$647,4,0),""))</f>
        <v>BOMBA CENTRÍFUGA, TRIFÁSICA, 1 CV OU 0,99 HP, HM 14 A 40 M, Q 0,6 A 8,4 M3/H - FORNECIMENTO E INSTALAÇÃO. AF_12/2020</v>
      </c>
      <c r="F302" s="255" t="str">
        <f>IFERROR(VLOOKUP($C302,'SINAPI FEVEREIRO 2022'!$1:$1048576,3,0),IFERROR(VLOOKUP($C302,'5-COMP. PROPRIA'!$B$1:$I$647,5,0),""))</f>
        <v>UN</v>
      </c>
      <c r="G302" s="204">
        <f>QUANT!K789</f>
        <v>1</v>
      </c>
      <c r="H302" s="256">
        <f>IFERROR(VLOOKUP($C302,'SINAPI FEVEREIRO 2022'!$1:$1048576,4,0),IFERROR(VLOOKUP($C302,'5-COMP. PROPRIA'!$B$1:$I$647,8,0),""))</f>
        <v>1248.3699999999999</v>
      </c>
      <c r="I302" s="256">
        <f>TRUNC(($H302*'4-BDI'!$E$29),2)</f>
        <v>1600.9</v>
      </c>
      <c r="J302" s="266">
        <f t="shared" si="114"/>
        <v>1248.3699999999999</v>
      </c>
      <c r="K302" s="205">
        <f t="shared" si="115"/>
        <v>1600.9</v>
      </c>
    </row>
    <row r="303" spans="2:11" s="107" customFormat="1" ht="30">
      <c r="B303" s="208" t="s">
        <v>8116</v>
      </c>
      <c r="C303" s="555" t="str">
        <f>QUANT!C791</f>
        <v>CP-HIDR-20</v>
      </c>
      <c r="D303" s="600" t="str">
        <f>QUANT!D791</f>
        <v>PROPRIA</v>
      </c>
      <c r="E303" s="203" t="str">
        <f>IFERROR(VLOOKUP($C303,'SINAPI FEVEREIRO 2022'!$1:$1048576,2,0),IFERROR(VLOOKUP($C303,'5-COMP. PROPRIA'!$B$1:$I$647,4,0),""))</f>
        <v xml:space="preserve">JOELHO DE REDUÇÃO, PVC, ROSCAVEL,  90 GRAUS, 1/2'' - FORNECIMENTO E INSTALAÇÃO. </v>
      </c>
      <c r="F303" s="255" t="str">
        <f>IFERROR(VLOOKUP($C303,'SINAPI FEVEREIRO 2022'!$1:$1048576,3,0),IFERROR(VLOOKUP($C303,'5-COMP. PROPRIA'!$B$1:$I$647,5,0),""))</f>
        <v>UN</v>
      </c>
      <c r="G303" s="204">
        <f>QUANT!K791</f>
        <v>1</v>
      </c>
      <c r="H303" s="256">
        <f>IFERROR(VLOOKUP($C303,'SINAPI FEVEREIRO 2022'!$1:$1048576,4,0),IFERROR(VLOOKUP($C303,'5-COMP. PROPRIA'!$B$1:$I$647,8,0),""))</f>
        <v>8.4</v>
      </c>
      <c r="I303" s="256">
        <f>TRUNC(($H303*'4-BDI'!$E$29),2)</f>
        <v>10.77</v>
      </c>
      <c r="J303" s="266">
        <f t="shared" si="114"/>
        <v>8.4</v>
      </c>
      <c r="K303" s="205">
        <f t="shared" si="115"/>
        <v>10.77</v>
      </c>
    </row>
    <row r="304" spans="2:11" s="107" customFormat="1" ht="15.75" customHeight="1">
      <c r="B304" s="915" t="s">
        <v>8287</v>
      </c>
      <c r="C304" s="916"/>
      <c r="D304" s="916"/>
      <c r="E304" s="916"/>
      <c r="F304" s="916"/>
      <c r="G304" s="916"/>
      <c r="H304" s="916"/>
      <c r="I304" s="917"/>
      <c r="J304" s="207">
        <f>TRUNC(SUM(J255:J303),2)</f>
        <v>55951.85</v>
      </c>
      <c r="K304" s="207">
        <f>TRUNC(SUM(K255:K303),2)</f>
        <v>71750.45</v>
      </c>
    </row>
    <row r="305" spans="2:11" s="107" customFormat="1" ht="15.75" customHeight="1">
      <c r="B305" s="535" t="s">
        <v>8060</v>
      </c>
      <c r="C305" s="536"/>
      <c r="D305" s="537"/>
      <c r="E305" s="608" t="str">
        <f>QUANT!E793</f>
        <v>LOUÇAS E METAIS</v>
      </c>
      <c r="F305" s="539"/>
      <c r="G305" s="540"/>
      <c r="H305" s="541"/>
      <c r="I305" s="541"/>
      <c r="J305" s="541"/>
      <c r="K305" s="542"/>
    </row>
    <row r="306" spans="2:11" s="107" customFormat="1" ht="30">
      <c r="B306" s="208" t="s">
        <v>8117</v>
      </c>
      <c r="C306" s="555">
        <f>QUANT!C795</f>
        <v>100860</v>
      </c>
      <c r="D306" s="600" t="str">
        <f>QUANT!D795</f>
        <v>SINAPI</v>
      </c>
      <c r="E306" s="203" t="str">
        <f>IFERROR(VLOOKUP($C306,'SINAPI FEVEREIRO 2022'!$1:$1048576,2,0),IFERROR(VLOOKUP($C306,'5-COMP. PROPRIA'!$B$1:$I$647,4,0),""))</f>
        <v>CHUVEIRO ELÉTRICO COMUM CORPO PLÁSTICO, TIPO DUCHA  FORNECIMENTO E INSTALAÇÃO. AF_01/2020</v>
      </c>
      <c r="F306" s="255" t="str">
        <f>IFERROR(VLOOKUP($C306,'SINAPI FEVEREIRO 2022'!$1:$1048576,3,0),IFERROR(VLOOKUP($C306,'5-COMP. PROPRIA'!$B$1:$I$647,5,0),""))</f>
        <v>UN</v>
      </c>
      <c r="G306" s="204">
        <f>QUANT!K795</f>
        <v>3</v>
      </c>
      <c r="H306" s="256">
        <f>IFERROR(VLOOKUP($C306,'SINAPI FEVEREIRO 2022'!$1:$1048576,4,0),IFERROR(VLOOKUP($C306,'5-COMP. PROPRIA'!$B$1:$I$647,8,0),""))</f>
        <v>85.29</v>
      </c>
      <c r="I306" s="256">
        <f>TRUNC(($H306*'4-BDI'!$E$29),2)</f>
        <v>109.37</v>
      </c>
      <c r="J306" s="266">
        <f t="shared" ref="J306" si="116">TRUNC((G306*H306),2)</f>
        <v>255.87</v>
      </c>
      <c r="K306" s="205">
        <f t="shared" ref="K306" si="117">TRUNC((I306*G306),2)</f>
        <v>328.11</v>
      </c>
    </row>
    <row r="307" spans="2:11" s="107" customFormat="1" ht="30">
      <c r="B307" s="208" t="s">
        <v>8118</v>
      </c>
      <c r="C307" s="555">
        <f>QUANT!C797</f>
        <v>86910</v>
      </c>
      <c r="D307" s="600" t="str">
        <f>QUANT!D797</f>
        <v>SINAPI</v>
      </c>
      <c r="E307" s="203" t="str">
        <f>IFERROR(VLOOKUP($C307,'SINAPI FEVEREIRO 2022'!$1:$1048576,2,0),IFERROR(VLOOKUP($C307,'5-COMP. PROPRIA'!$B$1:$I$647,4,0),""))</f>
        <v>TORNEIRA CROMADA TUBO MÓVEL, DE PAREDE, 1/2 OU 3/4, PARA PIA DE COZINHA, PADRÃO MÉDIO - FORNECIMENTO E INSTALAÇÃO. AF_01/2020</v>
      </c>
      <c r="F307" s="255" t="str">
        <f>IFERROR(VLOOKUP($C307,'SINAPI FEVEREIRO 2022'!$1:$1048576,3,0),IFERROR(VLOOKUP($C307,'5-COMP. PROPRIA'!$B$1:$I$647,5,0),""))</f>
        <v>UN</v>
      </c>
      <c r="G307" s="204">
        <f>QUANT!K797</f>
        <v>3</v>
      </c>
      <c r="H307" s="256">
        <f>IFERROR(VLOOKUP($C307,'SINAPI FEVEREIRO 2022'!$1:$1048576,4,0),IFERROR(VLOOKUP($C307,'5-COMP. PROPRIA'!$B$1:$I$647,8,0),""))</f>
        <v>111.23</v>
      </c>
      <c r="I307" s="256">
        <f>TRUNC(($H307*'4-BDI'!$E$29),2)</f>
        <v>142.63999999999999</v>
      </c>
      <c r="J307" s="266">
        <f t="shared" ref="J307:J314" si="118">TRUNC((G307*H307),2)</f>
        <v>333.69</v>
      </c>
      <c r="K307" s="205">
        <f t="shared" ref="K307:K314" si="119">TRUNC((I307*G307),2)</f>
        <v>427.92</v>
      </c>
    </row>
    <row r="308" spans="2:11" s="107" customFormat="1" ht="30">
      <c r="B308" s="208" t="s">
        <v>8119</v>
      </c>
      <c r="C308" s="555">
        <f>QUANT!C799</f>
        <v>86914</v>
      </c>
      <c r="D308" s="600" t="str">
        <f>QUANT!D799</f>
        <v>SINAPI</v>
      </c>
      <c r="E308" s="203" t="str">
        <f>IFERROR(VLOOKUP($C308,'SINAPI FEVEREIRO 2022'!$1:$1048576,2,0),IFERROR(VLOOKUP($C308,'5-COMP. PROPRIA'!$B$1:$I$647,4,0),""))</f>
        <v>TORNEIRA CROMADA 1/2 OU 3/4 PARA TANQUE, PADRÃO MÉDIO - FORNECIMENTO E INSTALAÇÃO. AF_01/2020</v>
      </c>
      <c r="F308" s="255" t="str">
        <f>IFERROR(VLOOKUP($C308,'SINAPI FEVEREIRO 2022'!$1:$1048576,3,0),IFERROR(VLOOKUP($C308,'5-COMP. PROPRIA'!$B$1:$I$647,5,0),""))</f>
        <v>UN</v>
      </c>
      <c r="G308" s="204">
        <f>QUANT!K799</f>
        <v>8</v>
      </c>
      <c r="H308" s="256">
        <f>IFERROR(VLOOKUP($C308,'SINAPI FEVEREIRO 2022'!$1:$1048576,4,0),IFERROR(VLOOKUP($C308,'5-COMP. PROPRIA'!$B$1:$I$647,8,0),""))</f>
        <v>85.2</v>
      </c>
      <c r="I308" s="256">
        <f>TRUNC(($H308*'4-BDI'!$E$29),2)</f>
        <v>109.26</v>
      </c>
      <c r="J308" s="266">
        <f t="shared" si="118"/>
        <v>681.6</v>
      </c>
      <c r="K308" s="205">
        <f t="shared" si="119"/>
        <v>874.08</v>
      </c>
    </row>
    <row r="309" spans="2:11" s="107" customFormat="1" ht="30">
      <c r="B309" s="208" t="s">
        <v>8120</v>
      </c>
      <c r="C309" s="555">
        <f>QUANT!C801</f>
        <v>86906</v>
      </c>
      <c r="D309" s="600" t="str">
        <f>QUANT!D801</f>
        <v>SINAPI</v>
      </c>
      <c r="E309" s="203" t="str">
        <f>IFERROR(VLOOKUP($C309,'SINAPI FEVEREIRO 2022'!$1:$1048576,2,0),IFERROR(VLOOKUP($C309,'5-COMP. PROPRIA'!$B$1:$I$647,4,0),""))</f>
        <v>TORNEIRA CROMADA DE MESA, 1/2 OU 3/4, PARA LAVATÓRIO, PADRÃO POPULAR - FORNECIMENTO E INSTALAÇÃO. AF_01/2020</v>
      </c>
      <c r="F309" s="255" t="str">
        <f>IFERROR(VLOOKUP($C309,'SINAPI FEVEREIRO 2022'!$1:$1048576,3,0),IFERROR(VLOOKUP($C309,'5-COMP. PROPRIA'!$B$1:$I$647,5,0),""))</f>
        <v>UN</v>
      </c>
      <c r="G309" s="204">
        <f>QUANT!K801</f>
        <v>9</v>
      </c>
      <c r="H309" s="256">
        <f>IFERROR(VLOOKUP($C309,'SINAPI FEVEREIRO 2022'!$1:$1048576,4,0),IFERROR(VLOOKUP($C309,'5-COMP. PROPRIA'!$B$1:$I$647,8,0),""))</f>
        <v>64.94</v>
      </c>
      <c r="I309" s="256">
        <f>TRUNC(($H309*'4-BDI'!$E$29),2)</f>
        <v>83.27</v>
      </c>
      <c r="J309" s="266">
        <f t="shared" si="118"/>
        <v>584.46</v>
      </c>
      <c r="K309" s="205">
        <f t="shared" si="119"/>
        <v>749.43</v>
      </c>
    </row>
    <row r="310" spans="2:11" s="107" customFormat="1" ht="45">
      <c r="B310" s="208" t="s">
        <v>8121</v>
      </c>
      <c r="C310" s="555">
        <f>QUANT!C803</f>
        <v>95470</v>
      </c>
      <c r="D310" s="600" t="str">
        <f>QUANT!D803</f>
        <v>SINAPI</v>
      </c>
      <c r="E310" s="203" t="str">
        <f>IFERROR(VLOOKUP($C310,'SINAPI FEVEREIRO 2022'!$1:$1048576,2,0),IFERROR(VLOOKUP($C310,'5-COMP. PROPRIA'!$B$1:$I$647,4,0),""))</f>
        <v>VASO SANITARIO SIFONADO CONVENCIONAL COM LOUÇA BRANCA, INCLUSO CONJUNTO DE LIGAÇÃO PARA BACIA SANITÁRIA AJUSTÁVEL - FORNECIMENTO E INSTALAÇÃO. AF_10/2016</v>
      </c>
      <c r="F310" s="255" t="str">
        <f>IFERROR(VLOOKUP($C310,'SINAPI FEVEREIRO 2022'!$1:$1048576,3,0),IFERROR(VLOOKUP($C310,'5-COMP. PROPRIA'!$B$1:$I$647,5,0),""))</f>
        <v>UN</v>
      </c>
      <c r="G310" s="204">
        <f>QUANT!K803</f>
        <v>7</v>
      </c>
      <c r="H310" s="256">
        <f>IFERROR(VLOOKUP($C310,'SINAPI FEVEREIRO 2022'!$1:$1048576,4,0),IFERROR(VLOOKUP($C310,'5-COMP. PROPRIA'!$B$1:$I$647,8,0),""))</f>
        <v>283.87</v>
      </c>
      <c r="I310" s="256">
        <f>TRUNC(($H310*'4-BDI'!$E$29),2)</f>
        <v>364.03</v>
      </c>
      <c r="J310" s="266">
        <f t="shared" si="118"/>
        <v>1987.09</v>
      </c>
      <c r="K310" s="205">
        <f t="shared" si="119"/>
        <v>2548.21</v>
      </c>
    </row>
    <row r="311" spans="2:11" s="107" customFormat="1" ht="60">
      <c r="B311" s="208" t="s">
        <v>8122</v>
      </c>
      <c r="C311" s="555">
        <f>QUANT!C805</f>
        <v>95472</v>
      </c>
      <c r="D311" s="600" t="str">
        <f>QUANT!D805</f>
        <v>SINAPI</v>
      </c>
      <c r="E311" s="203" t="str">
        <f>IFERROR(VLOOKUP($C311,'SINAPI FEVEREIRO 2022'!$1:$1048576,2,0),IFERROR(VLOOKUP($C311,'5-COMP. PROPRIA'!$B$1:$I$647,4,0),""))</f>
        <v>VASO SANITARIO SIFONADO CONVENCIONAL PARA PCD SEM FURO FRONTAL COM LOUÇA BRANCA SEM ASSENTO, INCLUSO CONJUNTO DE LIGAÇÃO PARA BACIA SANITÁRIA AJUSTÁVEL - FORNECIMENTO E INSTALAÇÃO. AF_01/2020</v>
      </c>
      <c r="F311" s="255" t="str">
        <f>IFERROR(VLOOKUP($C311,'SINAPI FEVEREIRO 2022'!$1:$1048576,3,0),IFERROR(VLOOKUP($C311,'5-COMP. PROPRIA'!$B$1:$I$647,5,0),""))</f>
        <v>UN</v>
      </c>
      <c r="G311" s="204">
        <f>QUANT!K805</f>
        <v>1</v>
      </c>
      <c r="H311" s="256">
        <f>IFERROR(VLOOKUP($C311,'SINAPI FEVEREIRO 2022'!$1:$1048576,4,0),IFERROR(VLOOKUP($C311,'5-COMP. PROPRIA'!$B$1:$I$647,8,0),""))</f>
        <v>703.62</v>
      </c>
      <c r="I311" s="256">
        <f>TRUNC(($H311*'4-BDI'!$E$29),2)</f>
        <v>902.32</v>
      </c>
      <c r="J311" s="266">
        <f t="shared" si="118"/>
        <v>703.62</v>
      </c>
      <c r="K311" s="205">
        <f t="shared" si="119"/>
        <v>902.32</v>
      </c>
    </row>
    <row r="312" spans="2:11" s="107" customFormat="1" ht="30">
      <c r="B312" s="208" t="s">
        <v>8123</v>
      </c>
      <c r="C312" s="555">
        <f>QUANT!C807</f>
        <v>100849</v>
      </c>
      <c r="D312" s="600" t="str">
        <f>QUANT!D807</f>
        <v>SINAPI</v>
      </c>
      <c r="E312" s="203" t="str">
        <f>IFERROR(VLOOKUP($C312,'SINAPI FEVEREIRO 2022'!$1:$1048576,2,0),IFERROR(VLOOKUP($C312,'5-COMP. PROPRIA'!$B$1:$I$647,4,0),""))</f>
        <v>ASSENTO SANITÁRIO CONVENCIONAL - FORNECIMENTO E INSTALACAO. AF_01/2020</v>
      </c>
      <c r="F312" s="255" t="str">
        <f>IFERROR(VLOOKUP($C312,'SINAPI FEVEREIRO 2022'!$1:$1048576,3,0),IFERROR(VLOOKUP($C312,'5-COMP. PROPRIA'!$B$1:$I$647,5,0),""))</f>
        <v>UN</v>
      </c>
      <c r="G312" s="204">
        <f>QUANT!K807</f>
        <v>7</v>
      </c>
      <c r="H312" s="256">
        <f>IFERROR(VLOOKUP($C312,'SINAPI FEVEREIRO 2022'!$1:$1048576,4,0),IFERROR(VLOOKUP($C312,'5-COMP. PROPRIA'!$B$1:$I$647,8,0),""))</f>
        <v>47.71</v>
      </c>
      <c r="I312" s="256">
        <f>TRUNC(($H312*'4-BDI'!$E$29),2)</f>
        <v>61.18</v>
      </c>
      <c r="J312" s="266">
        <f t="shared" si="118"/>
        <v>333.97</v>
      </c>
      <c r="K312" s="205">
        <f t="shared" si="119"/>
        <v>428.26</v>
      </c>
    </row>
    <row r="313" spans="2:11" s="107" customFormat="1" ht="30">
      <c r="B313" s="208" t="s">
        <v>8124</v>
      </c>
      <c r="C313" s="555" t="str">
        <f>QUANT!C809</f>
        <v>CP-HIDR-17</v>
      </c>
      <c r="D313" s="600" t="str">
        <f>QUANT!D809</f>
        <v>PROPRIA</v>
      </c>
      <c r="E313" s="203" t="str">
        <f>IFERROR(VLOOKUP($C313,'SINAPI FEVEREIRO 2022'!$1:$1048576,2,0),IFERROR(VLOOKUP($C313,'5-COMP. PROPRIA'!$B$1:$I$647,4,0),""))</f>
        <v>ASSENTO SANITÁRIO ELEVADO PARA PNE- FORNECIMENTO E INSTALAÇÃO</v>
      </c>
      <c r="F313" s="255" t="str">
        <f>IFERROR(VLOOKUP($C313,'SINAPI FEVEREIRO 2022'!$1:$1048576,3,0),IFERROR(VLOOKUP($C313,'5-COMP. PROPRIA'!$B$1:$I$647,5,0),""))</f>
        <v>UN</v>
      </c>
      <c r="G313" s="204">
        <f>QUANT!K809</f>
        <v>1</v>
      </c>
      <c r="H313" s="256">
        <f>IFERROR(VLOOKUP($C313,'SINAPI FEVEREIRO 2022'!$1:$1048576,4,0),IFERROR(VLOOKUP($C313,'5-COMP. PROPRIA'!$B$1:$I$647,8,0),""))</f>
        <v>153.41999999999999</v>
      </c>
      <c r="I313" s="256">
        <f>TRUNC(($H313*'4-BDI'!$E$29),2)</f>
        <v>196.74</v>
      </c>
      <c r="J313" s="266">
        <f t="shared" si="118"/>
        <v>153.41999999999999</v>
      </c>
      <c r="K313" s="205">
        <f t="shared" si="119"/>
        <v>196.74</v>
      </c>
    </row>
    <row r="314" spans="2:11" s="107" customFormat="1" ht="30">
      <c r="B314" s="208" t="s">
        <v>8125</v>
      </c>
      <c r="C314" s="555">
        <f>QUANT!C811</f>
        <v>100855</v>
      </c>
      <c r="D314" s="600" t="str">
        <f>QUANT!D811</f>
        <v>SINAPI</v>
      </c>
      <c r="E314" s="203" t="str">
        <f>IFERROR(VLOOKUP($C314,'SINAPI FEVEREIRO 2022'!$1:$1048576,2,0),IFERROR(VLOOKUP($C314,'5-COMP. PROPRIA'!$B$1:$I$647,4,0),""))</f>
        <v>SABONETEIRA DE PAREDE EM PLASTICO ABS COM ACABAMENTO CROMADO E ACRILICO, INCLUSO FIXAÇÃO. AF_01/2020</v>
      </c>
      <c r="F314" s="255" t="str">
        <f>IFERROR(VLOOKUP($C314,'SINAPI FEVEREIRO 2022'!$1:$1048576,3,0),IFERROR(VLOOKUP($C314,'5-COMP. PROPRIA'!$B$1:$I$647,5,0),""))</f>
        <v>UN</v>
      </c>
      <c r="G314" s="204">
        <f>QUANT!K811</f>
        <v>5</v>
      </c>
      <c r="H314" s="256">
        <f>IFERROR(VLOOKUP($C314,'SINAPI FEVEREIRO 2022'!$1:$1048576,4,0),IFERROR(VLOOKUP($C314,'5-COMP. PROPRIA'!$B$1:$I$647,8,0),""))</f>
        <v>38.5</v>
      </c>
      <c r="I314" s="256">
        <f>TRUNC(($H314*'4-BDI'!$E$29),2)</f>
        <v>49.37</v>
      </c>
      <c r="J314" s="266">
        <f t="shared" si="118"/>
        <v>192.5</v>
      </c>
      <c r="K314" s="205">
        <f t="shared" si="119"/>
        <v>246.85</v>
      </c>
    </row>
    <row r="315" spans="2:11" s="107" customFormat="1" ht="30">
      <c r="B315" s="208" t="s">
        <v>8126</v>
      </c>
      <c r="C315" s="555">
        <f>QUANT!C813</f>
        <v>95544</v>
      </c>
      <c r="D315" s="600" t="str">
        <f>QUANT!D813</f>
        <v>SINAPI</v>
      </c>
      <c r="E315" s="203" t="str">
        <f>IFERROR(VLOOKUP($C315,'SINAPI FEVEREIRO 2022'!$1:$1048576,2,0),IFERROR(VLOOKUP($C315,'5-COMP. PROPRIA'!$B$1:$I$647,4,0),""))</f>
        <v>PAPELEIRA DE PAREDE EM METAL CROMADO SEM TAMPA, INCLUSO FIXAÇÃO. AF_01/2020</v>
      </c>
      <c r="F315" s="255" t="str">
        <f>IFERROR(VLOOKUP($C315,'SINAPI FEVEREIRO 2022'!$1:$1048576,3,0),IFERROR(VLOOKUP($C315,'5-COMP. PROPRIA'!$B$1:$I$647,5,0),""))</f>
        <v>UN</v>
      </c>
      <c r="G315" s="204">
        <f>QUANT!K813</f>
        <v>8</v>
      </c>
      <c r="H315" s="256">
        <f>IFERROR(VLOOKUP($C315,'SINAPI FEVEREIRO 2022'!$1:$1048576,4,0),IFERROR(VLOOKUP($C315,'5-COMP. PROPRIA'!$B$1:$I$647,8,0),""))</f>
        <v>39.299999999999997</v>
      </c>
      <c r="I315" s="256">
        <f>TRUNC(($H315*'4-BDI'!$E$29),2)</f>
        <v>50.39</v>
      </c>
      <c r="J315" s="266">
        <f t="shared" ref="J315" si="120">TRUNC((G315*H315),2)</f>
        <v>314.39999999999998</v>
      </c>
      <c r="K315" s="205">
        <f t="shared" ref="K315" si="121">TRUNC((I315*G315),2)</f>
        <v>403.12</v>
      </c>
    </row>
    <row r="316" spans="2:11" s="107" customFormat="1" ht="30">
      <c r="B316" s="208" t="s">
        <v>8127</v>
      </c>
      <c r="C316" s="555">
        <f>QUANT!C815</f>
        <v>100869</v>
      </c>
      <c r="D316" s="600" t="str">
        <f>QUANT!D815</f>
        <v>SINAPI</v>
      </c>
      <c r="E316" s="203" t="str">
        <f>IFERROR(VLOOKUP($C316,'SINAPI FEVEREIRO 2022'!$1:$1048576,2,0),IFERROR(VLOOKUP($C316,'5-COMP. PROPRIA'!$B$1:$I$647,4,0),""))</f>
        <v>BARRA DE APOIO RETA, EM ACO INOX POLIDO, COMPRIMENTO 90 CM,  FIXADA NA PAREDE - FORNECIMENTO E INSTALAÇÃO. AF_01/2020</v>
      </c>
      <c r="F316" s="255" t="str">
        <f>IFERROR(VLOOKUP($C316,'SINAPI FEVEREIRO 2022'!$1:$1048576,3,0),IFERROR(VLOOKUP($C316,'5-COMP. PROPRIA'!$B$1:$I$647,5,0),""))</f>
        <v>UN</v>
      </c>
      <c r="G316" s="204">
        <f>QUANT!K815</f>
        <v>2</v>
      </c>
      <c r="H316" s="256">
        <f>IFERROR(VLOOKUP($C316,'SINAPI FEVEREIRO 2022'!$1:$1048576,4,0),IFERROR(VLOOKUP($C316,'5-COMP. PROPRIA'!$B$1:$I$647,8,0),""))</f>
        <v>388.88</v>
      </c>
      <c r="I316" s="256">
        <f>TRUNC(($H316*'4-BDI'!$E$29),2)</f>
        <v>498.69</v>
      </c>
      <c r="J316" s="266">
        <f t="shared" ref="J316:J317" si="122">TRUNC((G316*H316),2)</f>
        <v>777.76</v>
      </c>
      <c r="K316" s="205">
        <f t="shared" ref="K316:K317" si="123">TRUNC((I316*G316),2)</f>
        <v>997.38</v>
      </c>
    </row>
    <row r="317" spans="2:11" s="107" customFormat="1" ht="30">
      <c r="B317" s="208" t="s">
        <v>8128</v>
      </c>
      <c r="C317" s="555">
        <f>QUANT!C817</f>
        <v>100874</v>
      </c>
      <c r="D317" s="600" t="str">
        <f>QUANT!D817</f>
        <v>SINAPI</v>
      </c>
      <c r="E317" s="203" t="str">
        <f>IFERROR(VLOOKUP($C317,'SINAPI FEVEREIRO 2022'!$1:$1048576,2,0),IFERROR(VLOOKUP($C317,'5-COMP. PROPRIA'!$B$1:$I$647,4,0),""))</f>
        <v>PUXADOR PARA PCD, FIXADO NA PORTA - FORNECIMENTO E INSTALAÇÃO. AF_01/2020</v>
      </c>
      <c r="F317" s="255" t="str">
        <f>IFERROR(VLOOKUP($C317,'SINAPI FEVEREIRO 2022'!$1:$1048576,3,0),IFERROR(VLOOKUP($C317,'5-COMP. PROPRIA'!$B$1:$I$647,5,0),""))</f>
        <v>UN</v>
      </c>
      <c r="G317" s="204">
        <f>QUANT!K817</f>
        <v>1</v>
      </c>
      <c r="H317" s="256">
        <f>IFERROR(VLOOKUP($C317,'SINAPI FEVEREIRO 2022'!$1:$1048576,4,0),IFERROR(VLOOKUP($C317,'5-COMP. PROPRIA'!$B$1:$I$647,8,0),""))</f>
        <v>339.91</v>
      </c>
      <c r="I317" s="256">
        <f>TRUNC(($H317*'4-BDI'!$E$29),2)</f>
        <v>435.9</v>
      </c>
      <c r="J317" s="266">
        <f t="shared" si="122"/>
        <v>339.91</v>
      </c>
      <c r="K317" s="205">
        <f t="shared" si="123"/>
        <v>435.9</v>
      </c>
    </row>
    <row r="318" spans="2:11" s="107" customFormat="1" ht="45">
      <c r="B318" s="208" t="s">
        <v>8129</v>
      </c>
      <c r="C318" s="555">
        <f>QUANT!C819</f>
        <v>86936</v>
      </c>
      <c r="D318" s="600" t="str">
        <f>QUANT!D819</f>
        <v>SINAPI</v>
      </c>
      <c r="E318" s="203" t="str">
        <f>IFERROR(VLOOKUP($C318,'SINAPI FEVEREIRO 2022'!$1:$1048576,2,0),IFERROR(VLOOKUP($C318,'5-COMP. PROPRIA'!$B$1:$I$647,4,0),""))</f>
        <v>CUBA DE EMBUTIR DE AÇO INOXIDÁVEL MÉDIA, INCLUSO VÁLVULA TIPO AMERICANA E SIFÃO TIPO GARRAFA EM METAL CROMADO - FORNECIMENTO E INSTALAÇÃO. AF_01/2020</v>
      </c>
      <c r="F318" s="255" t="str">
        <f>IFERROR(VLOOKUP($C318,'SINAPI FEVEREIRO 2022'!$1:$1048576,3,0),IFERROR(VLOOKUP($C318,'5-COMP. PROPRIA'!$B$1:$I$647,5,0),""))</f>
        <v>UN</v>
      </c>
      <c r="G318" s="204">
        <f>QUANT!K819</f>
        <v>2</v>
      </c>
      <c r="H318" s="256">
        <f>IFERROR(VLOOKUP($C318,'SINAPI FEVEREIRO 2022'!$1:$1048576,4,0),IFERROR(VLOOKUP($C318,'5-COMP. PROPRIA'!$B$1:$I$647,8,0),""))</f>
        <v>441.18</v>
      </c>
      <c r="I318" s="256">
        <f>TRUNC(($H318*'4-BDI'!$E$29),2)</f>
        <v>565.76</v>
      </c>
      <c r="J318" s="266">
        <f t="shared" ref="J318:J323" si="124">TRUNC((G318*H318),2)</f>
        <v>882.36</v>
      </c>
      <c r="K318" s="205">
        <f t="shared" ref="K318:K323" si="125">TRUNC((I318*G318),2)</f>
        <v>1131.52</v>
      </c>
    </row>
    <row r="319" spans="2:11" s="107" customFormat="1" ht="60">
      <c r="B319" s="208" t="s">
        <v>8130</v>
      </c>
      <c r="C319" s="555">
        <f>QUANT!C821</f>
        <v>86939</v>
      </c>
      <c r="D319" s="600" t="str">
        <f>QUANT!D821</f>
        <v>SINAPI</v>
      </c>
      <c r="E319" s="203" t="str">
        <f>IFERROR(VLOOKUP($C319,'SINAPI FEVEREIRO 2022'!$1:$1048576,2,0),IFERROR(VLOOKUP($C319,'5-COMP. PROPRIA'!$B$1:$I$647,4,0),""))</f>
        <v>LAVATÓRIO LOUÇA BRANCA COM COLUNA, *44 X 35,5* CM, PADRÃO POPULAR, INCLUSO SIFÃO FLEXÍVEL EM PVC, VÁLVULA E ENGATE FLEXÍVEL 30CM EM PLÁSTICO E COM TORNEIRA CROMADA PADRÃO POPULAR - FORNECIMENTO E INSTALAÇÃO. AF_01/2020</v>
      </c>
      <c r="F319" s="255" t="str">
        <f>IFERROR(VLOOKUP($C319,'SINAPI FEVEREIRO 2022'!$1:$1048576,3,0),IFERROR(VLOOKUP($C319,'5-COMP. PROPRIA'!$B$1:$I$647,5,0),""))</f>
        <v>UN</v>
      </c>
      <c r="G319" s="204">
        <f>QUANT!K821</f>
        <v>1</v>
      </c>
      <c r="H319" s="256">
        <f>IFERROR(VLOOKUP($C319,'SINAPI FEVEREIRO 2022'!$1:$1048576,4,0),IFERROR(VLOOKUP($C319,'5-COMP. PROPRIA'!$B$1:$I$647,8,0),""))</f>
        <v>388.87</v>
      </c>
      <c r="I319" s="256">
        <f>TRUNC(($H319*'4-BDI'!$E$29),2)</f>
        <v>498.68</v>
      </c>
      <c r="J319" s="266">
        <f t="shared" si="124"/>
        <v>388.87</v>
      </c>
      <c r="K319" s="205">
        <f t="shared" si="125"/>
        <v>498.68</v>
      </c>
    </row>
    <row r="320" spans="2:11" s="107" customFormat="1" ht="30">
      <c r="B320" s="208" t="s">
        <v>8131</v>
      </c>
      <c r="C320" s="555" t="str">
        <f>QUANT!C823</f>
        <v>CP-HIDR-18</v>
      </c>
      <c r="D320" s="600" t="str">
        <f>QUANT!D823</f>
        <v>PROPRIA</v>
      </c>
      <c r="E320" s="203" t="str">
        <f>IFERROR(VLOOKUP($C320,'SINAPI FEVEREIRO 2022'!$1:$1048576,2,0),IFERROR(VLOOKUP($C320,'5-COMP. PROPRIA'!$B$1:$I$647,4,0),""))</f>
        <v>CUBA DE INOX PARA PIA (0,60X0,50X0,50) COM VALVULA EM METAL E SIFÃO EM METAL - FORNECIMENTO E INSTALAÇÃO</v>
      </c>
      <c r="F320" s="255" t="str">
        <f>IFERROR(VLOOKUP($C320,'SINAPI FEVEREIRO 2022'!$1:$1048576,3,0),IFERROR(VLOOKUP($C320,'5-COMP. PROPRIA'!$B$1:$I$647,5,0),""))</f>
        <v>UN</v>
      </c>
      <c r="G320" s="204">
        <f>QUANT!K823</f>
        <v>1</v>
      </c>
      <c r="H320" s="256">
        <f>IFERROR(VLOOKUP($C320,'SINAPI FEVEREIRO 2022'!$1:$1048576,4,0),IFERROR(VLOOKUP($C320,'5-COMP. PROPRIA'!$B$1:$I$647,8,0),""))</f>
        <v>1629.09</v>
      </c>
      <c r="I320" s="256">
        <f>TRUNC(($H320*'4-BDI'!$E$29),2)</f>
        <v>2089.14</v>
      </c>
      <c r="J320" s="266">
        <f t="shared" si="124"/>
        <v>1629.09</v>
      </c>
      <c r="K320" s="205">
        <f t="shared" si="125"/>
        <v>2089.14</v>
      </c>
    </row>
    <row r="321" spans="2:12" s="107" customFormat="1" ht="45">
      <c r="B321" s="208" t="s">
        <v>8132</v>
      </c>
      <c r="C321" s="555">
        <f>QUANT!C825</f>
        <v>86937</v>
      </c>
      <c r="D321" s="600" t="str">
        <f>QUANT!D825</f>
        <v>SINAPI</v>
      </c>
      <c r="E321" s="203" t="str">
        <f>IFERROR(VLOOKUP($C321,'SINAPI FEVEREIRO 2022'!$1:$1048576,2,0),IFERROR(VLOOKUP($C321,'5-COMP. PROPRIA'!$B$1:$I$647,4,0),""))</f>
        <v>CUBA DE EMBUTIR OVAL EM LOUÇA BRANCA, 35 X 50CM OU EQUIVALENTE, INCLUSO VÁLVULA EM METAL CROMADO E SIFÃO FLEXÍVEL EM PVC - FORNECIMENTO E INSTALAÇÃO. AF_01/2020</v>
      </c>
      <c r="F321" s="255" t="str">
        <f>IFERROR(VLOOKUP($C321,'SINAPI FEVEREIRO 2022'!$1:$1048576,3,0),IFERROR(VLOOKUP($C321,'5-COMP. PROPRIA'!$B$1:$I$647,5,0),""))</f>
        <v>UN</v>
      </c>
      <c r="G321" s="204">
        <f>QUANT!K825</f>
        <v>7</v>
      </c>
      <c r="H321" s="256">
        <f>IFERROR(VLOOKUP($C321,'SINAPI FEVEREIRO 2022'!$1:$1048576,4,0),IFERROR(VLOOKUP($C321,'5-COMP. PROPRIA'!$B$1:$I$647,8,0),""))</f>
        <v>194.15</v>
      </c>
      <c r="I321" s="256">
        <f>TRUNC(($H321*'4-BDI'!$E$29),2)</f>
        <v>248.97</v>
      </c>
      <c r="J321" s="266">
        <f t="shared" si="124"/>
        <v>1359.05</v>
      </c>
      <c r="K321" s="205">
        <f t="shared" si="125"/>
        <v>1742.79</v>
      </c>
    </row>
    <row r="322" spans="2:12" s="107" customFormat="1" ht="30">
      <c r="B322" s="208" t="s">
        <v>8133</v>
      </c>
      <c r="C322" s="555" t="str">
        <f>QUANT!C827</f>
        <v>CP-HIDR-19</v>
      </c>
      <c r="D322" s="600" t="str">
        <f>QUANT!D827</f>
        <v>PROPRIA</v>
      </c>
      <c r="E322" s="203" t="str">
        <f>IFERROR(VLOOKUP($C322,'SINAPI FEVEREIRO 2022'!$1:$1048576,2,0),IFERROR(VLOOKUP($C322,'5-COMP. PROPRIA'!$B$1:$I$647,4,0),""))</f>
        <v>LAVATÓRIO DE CANTO SUSPENSO PCD COM BARRA DE INOX - FORNECIMENTO E INSTALAÇÃO</v>
      </c>
      <c r="F322" s="255" t="str">
        <f>IFERROR(VLOOKUP($C322,'SINAPI FEVEREIRO 2022'!$1:$1048576,3,0),IFERROR(VLOOKUP($C322,'5-COMP. PROPRIA'!$B$1:$I$647,5,0),""))</f>
        <v>UN</v>
      </c>
      <c r="G322" s="204">
        <f>QUANT!K827</f>
        <v>1</v>
      </c>
      <c r="H322" s="256">
        <f>IFERROR(VLOOKUP($C322,'SINAPI FEVEREIRO 2022'!$1:$1048576,4,0),IFERROR(VLOOKUP($C322,'5-COMP. PROPRIA'!$B$1:$I$647,8,0),""))</f>
        <v>652.27</v>
      </c>
      <c r="I322" s="256">
        <f>TRUNC(($H322*'4-BDI'!$E$29),2)</f>
        <v>836.47</v>
      </c>
      <c r="J322" s="266">
        <f t="shared" si="124"/>
        <v>652.27</v>
      </c>
      <c r="K322" s="205">
        <f t="shared" si="125"/>
        <v>836.47</v>
      </c>
    </row>
    <row r="323" spans="2:12" s="107" customFormat="1" ht="30">
      <c r="B323" s="208" t="s">
        <v>8134</v>
      </c>
      <c r="C323" s="555">
        <f>QUANT!C829</f>
        <v>100875</v>
      </c>
      <c r="D323" s="600" t="str">
        <f>QUANT!D829</f>
        <v>SINAPI</v>
      </c>
      <c r="E323" s="203" t="str">
        <f>IFERROR(VLOOKUP($C323,'SINAPI FEVEREIRO 2022'!$1:$1048576,2,0),IFERROR(VLOOKUP($C323,'5-COMP. PROPRIA'!$B$1:$I$647,4,0),""))</f>
        <v>BANCO ARTICULADO, EM ACO INOX, PARA PCD, FIXADO NA PAREDE - FORNECIMENTO E INSTALAÇÃO. AF_01/2020</v>
      </c>
      <c r="F323" s="255" t="str">
        <f>IFERROR(VLOOKUP($C323,'SINAPI FEVEREIRO 2022'!$1:$1048576,3,0),IFERROR(VLOOKUP($C323,'5-COMP. PROPRIA'!$B$1:$I$647,5,0),""))</f>
        <v>UN</v>
      </c>
      <c r="G323" s="204">
        <f>QUANT!K829</f>
        <v>1</v>
      </c>
      <c r="H323" s="256">
        <f>IFERROR(VLOOKUP($C323,'SINAPI FEVEREIRO 2022'!$1:$1048576,4,0),IFERROR(VLOOKUP($C323,'5-COMP. PROPRIA'!$B$1:$I$647,8,0),""))</f>
        <v>1225.51</v>
      </c>
      <c r="I323" s="256">
        <f>TRUNC(($H323*'4-BDI'!$E$29),2)</f>
        <v>1571.59</v>
      </c>
      <c r="J323" s="266">
        <f t="shared" si="124"/>
        <v>1225.51</v>
      </c>
      <c r="K323" s="205">
        <f t="shared" si="125"/>
        <v>1571.59</v>
      </c>
    </row>
    <row r="324" spans="2:12" s="107" customFormat="1" ht="15.75">
      <c r="B324" s="915" t="s">
        <v>8287</v>
      </c>
      <c r="C324" s="916"/>
      <c r="D324" s="916"/>
      <c r="E324" s="916"/>
      <c r="F324" s="916"/>
      <c r="G324" s="916"/>
      <c r="H324" s="916"/>
      <c r="I324" s="917"/>
      <c r="J324" s="207">
        <f>TRUNC(SUM(J306:J323),2)</f>
        <v>12795.44</v>
      </c>
      <c r="K324" s="207">
        <f>TRUNC(SUM(K306:K323),2)</f>
        <v>16408.509999999998</v>
      </c>
    </row>
    <row r="325" spans="2:12" s="107" customFormat="1" ht="15.75" customHeight="1">
      <c r="B325" s="915" t="s">
        <v>8286</v>
      </c>
      <c r="C325" s="916"/>
      <c r="D325" s="916"/>
      <c r="E325" s="916"/>
      <c r="F325" s="916"/>
      <c r="G325" s="916"/>
      <c r="H325" s="916"/>
      <c r="I325" s="917"/>
      <c r="J325" s="207">
        <f>TRUNC(SUM(J244,J253,J304,J324),2)</f>
        <v>125375.72</v>
      </c>
      <c r="K325" s="207">
        <f>TRUNC(SUM(K244,K253,K304,K324),2)</f>
        <v>160777.1</v>
      </c>
    </row>
    <row r="326" spans="2:12" s="107" customFormat="1" ht="15.75" customHeight="1">
      <c r="B326" s="285" t="s">
        <v>4127</v>
      </c>
      <c r="C326" s="286"/>
      <c r="D326" s="287"/>
      <c r="E326" s="288" t="str">
        <f>QUANT!E831</f>
        <v>AGUAS PLUVIAIS</v>
      </c>
      <c r="F326" s="289"/>
      <c r="G326" s="290"/>
      <c r="H326" s="291"/>
      <c r="I326" s="291"/>
      <c r="J326" s="291"/>
      <c r="K326" s="292"/>
    </row>
    <row r="327" spans="2:12" s="107" customFormat="1" ht="45">
      <c r="B327" s="208" t="s">
        <v>8135</v>
      </c>
      <c r="C327" s="201">
        <f>QUANT!C833</f>
        <v>89578</v>
      </c>
      <c r="D327" s="201" t="str">
        <f>QUANT!D833</f>
        <v>SINAPI</v>
      </c>
      <c r="E327" s="203" t="str">
        <f>IFERROR(VLOOKUP($C327,'SINAPI FEVEREIRO 2022'!$1:$1048576,2,0),IFERROR(VLOOKUP($C327,'5-COMP. PROPRIA'!$B$1:$I$647,4,0),""))</f>
        <v>TUBO PVC, SÉRIE R, ÁGUA PLUVIAL, DN 100 MM, FORNECIDO E INSTALADO EM CONDUTORES VERTICAIS DE ÁGUAS PLUVIAIS. AF_12/2014</v>
      </c>
      <c r="F327" s="255" t="str">
        <f>IFERROR(VLOOKUP($C327,'SINAPI FEVEREIRO 2022'!$1:$1048576,3,0),IFERROR(VLOOKUP($C327,'5-COMP. PROPRIA'!$B$1:$I$647,5,0),""))</f>
        <v>M</v>
      </c>
      <c r="G327" s="204">
        <f>QUANT!K833</f>
        <v>1</v>
      </c>
      <c r="H327" s="256">
        <f>IFERROR(VLOOKUP($C327,'SINAPI FEVEREIRO 2022'!$1:$1048576,4,0),IFERROR(VLOOKUP($C327,'5-COMP. PROPRIA'!$B$1:$I$647,8,0),""))</f>
        <v>51.52</v>
      </c>
      <c r="I327" s="256">
        <f>TRUNC(($H327*'4-BDI'!$E$29),2)</f>
        <v>66.06</v>
      </c>
      <c r="J327" s="266">
        <f>TRUNC((G327*H327),2)</f>
        <v>51.52</v>
      </c>
      <c r="K327" s="205">
        <f>TRUNC((I327*G327),2)</f>
        <v>66.06</v>
      </c>
    </row>
    <row r="328" spans="2:12" s="107" customFormat="1" ht="45">
      <c r="B328" s="208" t="s">
        <v>8136</v>
      </c>
      <c r="C328" s="201">
        <f>QUANT!C835</f>
        <v>89809</v>
      </c>
      <c r="D328" s="201" t="str">
        <f>QUANT!D835</f>
        <v>SINAPI</v>
      </c>
      <c r="E328" s="203" t="str">
        <f>IFERROR(VLOOKUP($C328,'SINAPI FEVEREIRO 2022'!$1:$1048576,2,0),IFERROR(VLOOKUP($C328,'5-COMP. PROPRIA'!$B$1:$I$647,4,0),""))</f>
        <v>JOELHO 90 GRAUS, PVC, SERIE NORMAL, ESGOTO PREDIAL, DN 100 MM, JUNTA ELÁSTICA, FORNECIDO E INSTALADO EM PRUMADA DE ESGOTO SANITÁRIO OU VENTILAÇÃO. AF_12/2014</v>
      </c>
      <c r="F328" s="255" t="str">
        <f>IFERROR(VLOOKUP($C328,'SINAPI FEVEREIRO 2022'!$1:$1048576,3,0),IFERROR(VLOOKUP($C328,'5-COMP. PROPRIA'!$B$1:$I$647,5,0),""))</f>
        <v>UN</v>
      </c>
      <c r="G328" s="204">
        <f>QUANT!K835</f>
        <v>1</v>
      </c>
      <c r="H328" s="256">
        <f>IFERROR(VLOOKUP($C328,'SINAPI FEVEREIRO 2022'!$1:$1048576,4,0),IFERROR(VLOOKUP($C328,'5-COMP. PROPRIA'!$B$1:$I$647,8,0),""))</f>
        <v>20.73</v>
      </c>
      <c r="I328" s="256">
        <f>TRUNC(($H328*'4-BDI'!$E$29),2)</f>
        <v>26.58</v>
      </c>
      <c r="J328" s="266">
        <f t="shared" ref="J328" si="126">TRUNC((G328*H328),2)</f>
        <v>20.73</v>
      </c>
      <c r="K328" s="205">
        <f t="shared" ref="K328" si="127">TRUNC((I328*G328),2)</f>
        <v>26.58</v>
      </c>
    </row>
    <row r="329" spans="2:12" s="107" customFormat="1" ht="45">
      <c r="B329" s="208" t="s">
        <v>8137</v>
      </c>
      <c r="C329" s="201">
        <f>QUANT!C837</f>
        <v>89671</v>
      </c>
      <c r="D329" s="201" t="str">
        <f>QUANT!D837</f>
        <v>SINAPI</v>
      </c>
      <c r="E329" s="203" t="str">
        <f>IFERROR(VLOOKUP($C329,'SINAPI FEVEREIRO 2022'!$1:$1048576,2,0),IFERROR(VLOOKUP($C329,'5-COMP. PROPRIA'!$B$1:$I$647,4,0),""))</f>
        <v>LUVA DE CORRER, PVC, SERIE R, ÁGUA PLUVIAL, DN 100 MM, JUNTA ELÁSTICA, FORNECIDO E INSTALADO EM CONDUTORES VERTICAIS DE ÁGUAS PLUVIAIS. AF_12/2014</v>
      </c>
      <c r="F329" s="255" t="str">
        <f>IFERROR(VLOOKUP($C329,'SINAPI FEVEREIRO 2022'!$1:$1048576,3,0),IFERROR(VLOOKUP($C329,'5-COMP. PROPRIA'!$B$1:$I$647,5,0),""))</f>
        <v>UN</v>
      </c>
      <c r="G329" s="204">
        <f>QUANT!K837</f>
        <v>1</v>
      </c>
      <c r="H329" s="256">
        <f>IFERROR(VLOOKUP($C329,'SINAPI FEVEREIRO 2022'!$1:$1048576,4,0),IFERROR(VLOOKUP($C329,'5-COMP. PROPRIA'!$B$1:$I$647,8,0),""))</f>
        <v>40.729999999999997</v>
      </c>
      <c r="I329" s="256">
        <f>TRUNC(($H329*'4-BDI'!$E$29),2)</f>
        <v>52.23</v>
      </c>
      <c r="J329" s="266">
        <f t="shared" ref="J329:J332" si="128">TRUNC((G329*H329),2)</f>
        <v>40.729999999999997</v>
      </c>
      <c r="K329" s="205">
        <f t="shared" ref="K329:K332" si="129">TRUNC((I329*G329),2)</f>
        <v>52.23</v>
      </c>
    </row>
    <row r="330" spans="2:12" s="107" customFormat="1" ht="45">
      <c r="B330" s="208" t="s">
        <v>8138</v>
      </c>
      <c r="C330" s="201">
        <f>QUANT!C839</f>
        <v>94228</v>
      </c>
      <c r="D330" s="201" t="str">
        <f>QUANT!D839</f>
        <v>SINAPI</v>
      </c>
      <c r="E330" s="203" t="str">
        <f>IFERROR(VLOOKUP($C330,'SINAPI FEVEREIRO 2022'!$1:$1048576,2,0),IFERROR(VLOOKUP($C330,'5-COMP. PROPRIA'!$B$1:$I$647,4,0),""))</f>
        <v>CALHA EM CHAPA DE AÇO GALVANIZADO NÚMERO 24, DESENVOLVIMENTO DE 50 CM, INCLUSO TRANSPORTE VERTICAL. AF_07/2019</v>
      </c>
      <c r="F330" s="255" t="str">
        <f>IFERROR(VLOOKUP($C330,'SINAPI FEVEREIRO 2022'!$1:$1048576,3,0),IFERROR(VLOOKUP($C330,'5-COMP. PROPRIA'!$B$1:$I$647,5,0),""))</f>
        <v>M</v>
      </c>
      <c r="G330" s="204">
        <f>QUANT!K839</f>
        <v>147.57999999999998</v>
      </c>
      <c r="H330" s="256">
        <f>IFERROR(VLOOKUP($C330,'SINAPI FEVEREIRO 2022'!$1:$1048576,4,0),IFERROR(VLOOKUP($C330,'5-COMP. PROPRIA'!$B$1:$I$647,8,0),""))</f>
        <v>88.17</v>
      </c>
      <c r="I330" s="256">
        <f>TRUNC(($H330*'4-BDI'!$E$29),2)</f>
        <v>113.06</v>
      </c>
      <c r="J330" s="266">
        <f t="shared" si="128"/>
        <v>13012.12</v>
      </c>
      <c r="K330" s="205">
        <f t="shared" si="129"/>
        <v>16685.39</v>
      </c>
    </row>
    <row r="331" spans="2:12" s="107" customFormat="1" ht="45">
      <c r="B331" s="208" t="s">
        <v>8139</v>
      </c>
      <c r="C331" s="201">
        <f>QUANT!C845</f>
        <v>89580</v>
      </c>
      <c r="D331" s="201" t="str">
        <f>QUANT!D845</f>
        <v>SINAPI</v>
      </c>
      <c r="E331" s="203" t="str">
        <f>IFERROR(VLOOKUP($C331,'SINAPI FEVEREIRO 2022'!$1:$1048576,2,0),IFERROR(VLOOKUP($C331,'5-COMP. PROPRIA'!$B$1:$I$647,4,0),""))</f>
        <v>TUBO PVC, SÉRIE R, ÁGUA PLUVIAL, DN 150 MM, FORNECIDO E INSTALADO EM CONDUTORES VERTICAIS DE ÁGUAS PLUVIAIS. AF_12/2014</v>
      </c>
      <c r="F331" s="255" t="str">
        <f>IFERROR(VLOOKUP($C331,'SINAPI FEVEREIRO 2022'!$1:$1048576,3,0),IFERROR(VLOOKUP($C331,'5-COMP. PROPRIA'!$B$1:$I$647,5,0),""))</f>
        <v>M</v>
      </c>
      <c r="G331" s="204">
        <f>QUANT!K845</f>
        <v>36</v>
      </c>
      <c r="H331" s="256">
        <f>IFERROR(VLOOKUP($C331,'SINAPI FEVEREIRO 2022'!$1:$1048576,4,0),IFERROR(VLOOKUP($C331,'5-COMP. PROPRIA'!$B$1:$I$647,8,0),""))</f>
        <v>102.36</v>
      </c>
      <c r="I331" s="256">
        <f>TRUNC(($H331*'4-BDI'!$E$29),2)</f>
        <v>131.26</v>
      </c>
      <c r="J331" s="266">
        <f t="shared" si="128"/>
        <v>3684.96</v>
      </c>
      <c r="K331" s="205">
        <f t="shared" si="129"/>
        <v>4725.3599999999997</v>
      </c>
    </row>
    <row r="332" spans="2:12" s="107" customFormat="1" ht="45">
      <c r="B332" s="208" t="s">
        <v>8140</v>
      </c>
      <c r="C332" s="201">
        <f>QUANT!C847</f>
        <v>89590</v>
      </c>
      <c r="D332" s="201" t="str">
        <f>QUANT!D847</f>
        <v>SINAPI</v>
      </c>
      <c r="E332" s="203" t="str">
        <f>IFERROR(VLOOKUP($C332,'SINAPI FEVEREIRO 2022'!$1:$1048576,2,0),IFERROR(VLOOKUP($C332,'5-COMP. PROPRIA'!$B$1:$I$647,4,0),""))</f>
        <v>JOELHO 90 GRAUS, PVC, SERIE R, ÁGUA PLUVIAL, DN 150 MM, JUNTA ELÁSTICA, FORNECIDO E INSTALADO EM CONDUTORES VERTICAIS DE ÁGUAS PLUVIAIS. AF_12/2014</v>
      </c>
      <c r="F332" s="255" t="str">
        <f>IFERROR(VLOOKUP($C332,'SINAPI FEVEREIRO 2022'!$1:$1048576,3,0),IFERROR(VLOOKUP($C332,'5-COMP. PROPRIA'!$B$1:$I$647,5,0),""))</f>
        <v>UN</v>
      </c>
      <c r="G332" s="204">
        <f>QUANT!K847</f>
        <v>20</v>
      </c>
      <c r="H332" s="256">
        <f>IFERROR(VLOOKUP($C332,'SINAPI FEVEREIRO 2022'!$1:$1048576,4,0),IFERROR(VLOOKUP($C332,'5-COMP. PROPRIA'!$B$1:$I$647,8,0),""))</f>
        <v>156.16</v>
      </c>
      <c r="I332" s="256">
        <f>TRUNC(($H332*'4-BDI'!$E$29),2)</f>
        <v>200.25</v>
      </c>
      <c r="J332" s="266">
        <f t="shared" si="128"/>
        <v>3123.2</v>
      </c>
      <c r="K332" s="205">
        <f t="shared" si="129"/>
        <v>4005</v>
      </c>
    </row>
    <row r="333" spans="2:12" s="107" customFormat="1" ht="15.75" customHeight="1">
      <c r="B333" s="915" t="s">
        <v>8286</v>
      </c>
      <c r="C333" s="916"/>
      <c r="D333" s="916"/>
      <c r="E333" s="916"/>
      <c r="F333" s="916"/>
      <c r="G333" s="916"/>
      <c r="H333" s="916"/>
      <c r="I333" s="917"/>
      <c r="J333" s="207">
        <f>TRUNC(SUM(J327:J332),2)</f>
        <v>19933.259999999998</v>
      </c>
      <c r="K333" s="207">
        <f>TRUNC(SUM(K327:K332),2)</f>
        <v>25560.62</v>
      </c>
    </row>
    <row r="334" spans="2:12" s="279" customFormat="1" ht="15.75">
      <c r="B334" s="285" t="s">
        <v>4128</v>
      </c>
      <c r="C334" s="286"/>
      <c r="D334" s="287"/>
      <c r="E334" s="288" t="str">
        <f>QUANT!E849</f>
        <v xml:space="preserve">INSTALAÇÕES ELÉTRICAS </v>
      </c>
      <c r="F334" s="289"/>
      <c r="G334" s="290"/>
      <c r="H334" s="291"/>
      <c r="I334" s="291"/>
      <c r="J334" s="291"/>
      <c r="K334" s="292"/>
      <c r="L334" s="729"/>
    </row>
    <row r="335" spans="2:12" s="280" customFormat="1" ht="15.75">
      <c r="B335" s="535" t="s">
        <v>8290</v>
      </c>
      <c r="C335" s="536"/>
      <c r="D335" s="537"/>
      <c r="E335" s="538" t="str">
        <f>QUANT!E851</f>
        <v>CABO UNIPOLAR (COBRE)</v>
      </c>
      <c r="F335" s="539"/>
      <c r="G335" s="540"/>
      <c r="H335" s="541"/>
      <c r="I335" s="541"/>
      <c r="J335" s="541"/>
      <c r="K335" s="557"/>
    </row>
    <row r="336" spans="2:12" s="120" customFormat="1" ht="45">
      <c r="B336" s="208" t="s">
        <v>8291</v>
      </c>
      <c r="C336" s="201">
        <f>QUANT!C853</f>
        <v>91926</v>
      </c>
      <c r="D336" s="201" t="str">
        <f>QUANT!D853</f>
        <v>SINAPI</v>
      </c>
      <c r="E336" s="203" t="str">
        <f>IFERROR(VLOOKUP($C336,'SINAPI FEVEREIRO 2022'!$1:$1048576,2,0),IFERROR(VLOOKUP($C336,'5-COMP. PROPRIA'!$B$1:$I$647,4,0),""))</f>
        <v>CABO DE COBRE FLEXÍVEL ISOLADO, 2,5 MM², ANTI-CHAMA 450/750 V, PARA CIRCUITOS TERMINAIS - FORNECIMENTO E INSTALAÇÃO. AF_12/2015</v>
      </c>
      <c r="F336" s="255" t="str">
        <f>IFERROR(VLOOKUP($C336,'SINAPI FEVEREIRO 2022'!$1:$1048576,3,0),IFERROR(VLOOKUP($C336,'5-COMP. PROPRIA'!$B$1:$I$647,5,0),""))</f>
        <v>M</v>
      </c>
      <c r="G336" s="204">
        <f>QUANT!K853</f>
        <v>4901.6000000000004</v>
      </c>
      <c r="H336" s="256">
        <f>IFERROR(VLOOKUP($C336,'SINAPI FEVEREIRO 2022'!$1:$1048576,4,0),IFERROR(VLOOKUP($C336,'5-COMP. PROPRIA'!$B$1:$I$647,8,0),""))</f>
        <v>3.99</v>
      </c>
      <c r="I336" s="256">
        <f>TRUNC(($H336*'4-BDI'!$E$29),2)</f>
        <v>5.1100000000000003</v>
      </c>
      <c r="J336" s="266">
        <f>TRUNC((G336*H336),2)</f>
        <v>19557.38</v>
      </c>
      <c r="K336" s="205">
        <f>TRUNC((I336*G336),2)</f>
        <v>25047.17</v>
      </c>
    </row>
    <row r="337" spans="2:11" s="120" customFormat="1" ht="45">
      <c r="B337" s="208" t="s">
        <v>8292</v>
      </c>
      <c r="C337" s="201">
        <f>QUANT!C854</f>
        <v>91928</v>
      </c>
      <c r="D337" s="201" t="str">
        <f>QUANT!D854</f>
        <v>SINAPI</v>
      </c>
      <c r="E337" s="203" t="str">
        <f>IFERROR(VLOOKUP($C337,'SINAPI FEVEREIRO 2022'!$1:$1048576,2,0),IFERROR(VLOOKUP($C337,'5-COMP. PROPRIA'!$B$1:$I$647,4,0),""))</f>
        <v>CABO DE COBRE FLEXÍVEL ISOLADO, 4 MM², ANTI-CHAMA 450/750 V, PARA CIRCUITOS TERMINAIS - FORNECIMENTO E INSTALAÇÃO. AF_12/2015</v>
      </c>
      <c r="F337" s="255" t="str">
        <f>IFERROR(VLOOKUP($C337,'SINAPI FEVEREIRO 2022'!$1:$1048576,3,0),IFERROR(VLOOKUP($C337,'5-COMP. PROPRIA'!$B$1:$I$647,5,0),""))</f>
        <v>M</v>
      </c>
      <c r="G337" s="204">
        <f>QUANT!K854</f>
        <v>2009</v>
      </c>
      <c r="H337" s="256">
        <f>IFERROR(VLOOKUP($C337,'SINAPI FEVEREIRO 2022'!$1:$1048576,4,0),IFERROR(VLOOKUP($C337,'5-COMP. PROPRIA'!$B$1:$I$647,8,0),""))</f>
        <v>6.66</v>
      </c>
      <c r="I337" s="256">
        <f>TRUNC(($H337*'4-BDI'!$E$29),2)</f>
        <v>8.5399999999999991</v>
      </c>
      <c r="J337" s="266">
        <f t="shared" ref="J337:J344" si="130">TRUNC((G337*H337),2)</f>
        <v>13379.94</v>
      </c>
      <c r="K337" s="205">
        <f t="shared" ref="K337:K344" si="131">TRUNC((I337*G337),2)</f>
        <v>17156.86</v>
      </c>
    </row>
    <row r="338" spans="2:11" s="120" customFormat="1" ht="30">
      <c r="B338" s="208" t="s">
        <v>8293</v>
      </c>
      <c r="C338" s="201">
        <f>QUANT!C855</f>
        <v>92982</v>
      </c>
      <c r="D338" s="201" t="str">
        <f>QUANT!D855</f>
        <v>SINAPI</v>
      </c>
      <c r="E338" s="203" t="str">
        <f>IFERROR(VLOOKUP($C338,'SINAPI FEVEREIRO 2022'!$1:$1048576,2,0),IFERROR(VLOOKUP($C338,'5-COMP. PROPRIA'!$B$1:$I$647,4,0),""))</f>
        <v>CABO DE COBRE FLEXÍVEL ISOLADO, 16 MM², ANTI-CHAMA 0,6/1,0 KV, PARA DISTRIBUIÇÃO - FORNECIMENTO E INSTALAÇÃO. AF_12/2015</v>
      </c>
      <c r="F338" s="255" t="str">
        <f>IFERROR(VLOOKUP($C338,'SINAPI FEVEREIRO 2022'!$1:$1048576,3,0),IFERROR(VLOOKUP($C338,'5-COMP. PROPRIA'!$B$1:$I$647,5,0),""))</f>
        <v>M</v>
      </c>
      <c r="G338" s="204">
        <f>QUANT!K855</f>
        <v>30</v>
      </c>
      <c r="H338" s="256">
        <f>IFERROR(VLOOKUP($C338,'SINAPI FEVEREIRO 2022'!$1:$1048576,4,0),IFERROR(VLOOKUP($C338,'5-COMP. PROPRIA'!$B$1:$I$647,8,0),""))</f>
        <v>18.61</v>
      </c>
      <c r="I338" s="256">
        <f>TRUNC(($H338*'4-BDI'!$E$29),2)</f>
        <v>23.86</v>
      </c>
      <c r="J338" s="266">
        <f t="shared" si="130"/>
        <v>558.29999999999995</v>
      </c>
      <c r="K338" s="205">
        <f t="shared" si="131"/>
        <v>715.8</v>
      </c>
    </row>
    <row r="339" spans="2:11" s="120" customFormat="1" ht="45">
      <c r="B339" s="208" t="s">
        <v>8294</v>
      </c>
      <c r="C339" s="201">
        <f>QUANT!C856</f>
        <v>92984</v>
      </c>
      <c r="D339" s="201" t="str">
        <f>QUANT!D856</f>
        <v>SINAPI</v>
      </c>
      <c r="E339" s="203" t="str">
        <f>IFERROR(VLOOKUP($C339,'SINAPI FEVEREIRO 2022'!$1:$1048576,2,0),IFERROR(VLOOKUP($C339,'5-COMP. PROPRIA'!$B$1:$I$647,4,0),""))</f>
        <v>CABO DE COBRE FLEXÍVEL ISOLADO, 25 MM², ANTI-CHAMA 0,6/1,0 KV, PARA REDE ENTERRADA DE DISTRIBUIÇÃO DE ENERGIA ELÉTRICA - FORNECIMENTO E INSTALAÇÃO. AF_12/2021</v>
      </c>
      <c r="F339" s="255" t="str">
        <f>IFERROR(VLOOKUP($C339,'SINAPI FEVEREIRO 2022'!$1:$1048576,3,0),IFERROR(VLOOKUP($C339,'5-COMP. PROPRIA'!$B$1:$I$647,5,0),""))</f>
        <v>M</v>
      </c>
      <c r="G339" s="204">
        <f>QUANT!K856</f>
        <v>35.799999999999997</v>
      </c>
      <c r="H339" s="256">
        <f>IFERROR(VLOOKUP($C339,'SINAPI FEVEREIRO 2022'!$1:$1048576,4,0),IFERROR(VLOOKUP($C339,'5-COMP. PROPRIA'!$B$1:$I$647,8,0),""))</f>
        <v>29.43</v>
      </c>
      <c r="I339" s="256">
        <f>TRUNC(($H339*'4-BDI'!$E$29),2)</f>
        <v>37.74</v>
      </c>
      <c r="J339" s="266">
        <f t="shared" si="130"/>
        <v>1053.5899999999999</v>
      </c>
      <c r="K339" s="205">
        <f t="shared" si="131"/>
        <v>1351.09</v>
      </c>
    </row>
    <row r="340" spans="2:11" s="120" customFormat="1" ht="45">
      <c r="B340" s="208" t="s">
        <v>8295</v>
      </c>
      <c r="C340" s="201">
        <f>QUANT!C857</f>
        <v>92986</v>
      </c>
      <c r="D340" s="201" t="str">
        <f>QUANT!D857</f>
        <v>SINAPI</v>
      </c>
      <c r="E340" s="203" t="str">
        <f>IFERROR(VLOOKUP($C340,'SINAPI FEVEREIRO 2022'!$1:$1048576,2,0),IFERROR(VLOOKUP($C340,'5-COMP. PROPRIA'!$B$1:$I$647,4,0),""))</f>
        <v>CABO DE COBRE FLEXÍVEL ISOLADO, 35 MM², ANTI-CHAMA 0,6/1,0 KV, PARA REDE ENTERRADA DE DISTRIBUIÇÃO DE ENERGIA ELÉTRICA - FORNECIMENTO E INSTALAÇÃO. AF_12/2021</v>
      </c>
      <c r="F340" s="255" t="str">
        <f>IFERROR(VLOOKUP($C340,'SINAPI FEVEREIRO 2022'!$1:$1048576,3,0),IFERROR(VLOOKUP($C340,'5-COMP. PROPRIA'!$B$1:$I$647,5,0),""))</f>
        <v>M</v>
      </c>
      <c r="G340" s="204">
        <f>QUANT!K857</f>
        <v>50</v>
      </c>
      <c r="H340" s="256">
        <f>IFERROR(VLOOKUP($C340,'SINAPI FEVEREIRO 2022'!$1:$1048576,4,0),IFERROR(VLOOKUP($C340,'5-COMP. PROPRIA'!$B$1:$I$647,8,0),""))</f>
        <v>40.08</v>
      </c>
      <c r="I340" s="256">
        <f>TRUNC(($H340*'4-BDI'!$E$29),2)</f>
        <v>51.39</v>
      </c>
      <c r="J340" s="266">
        <f t="shared" si="130"/>
        <v>2004</v>
      </c>
      <c r="K340" s="205">
        <f t="shared" si="131"/>
        <v>2569.5</v>
      </c>
    </row>
    <row r="341" spans="2:11" s="120" customFormat="1" ht="45">
      <c r="B341" s="208" t="s">
        <v>8296</v>
      </c>
      <c r="C341" s="201">
        <f>QUANT!C858</f>
        <v>101564</v>
      </c>
      <c r="D341" s="201" t="str">
        <f>QUANT!D858</f>
        <v>SINAPI</v>
      </c>
      <c r="E341" s="203" t="str">
        <f>IFERROR(VLOOKUP($C341,'SINAPI FEVEREIRO 2022'!$1:$1048576,2,0),IFERROR(VLOOKUP($C341,'5-COMP. PROPRIA'!$B$1:$I$647,4,0),""))</f>
        <v>CABO DE COBRE FLEXÍVEL ISOLADO, 50 MM², 0,6/1,0 KV, PARA REDE AÉREA DE DISTRIBUIÇÃO DE ENERGIA ELÉTRICA DE BAIXA TENSÃO - FORNECIMENTO E INSTALAÇÃO. AF_07/2020</v>
      </c>
      <c r="F341" s="255" t="str">
        <f>IFERROR(VLOOKUP($C341,'SINAPI FEVEREIRO 2022'!$1:$1048576,3,0),IFERROR(VLOOKUP($C341,'5-COMP. PROPRIA'!$B$1:$I$647,5,0),""))</f>
        <v>M</v>
      </c>
      <c r="G341" s="204">
        <f>QUANT!K858</f>
        <v>120</v>
      </c>
      <c r="H341" s="256">
        <f>IFERROR(VLOOKUP($C341,'SINAPI FEVEREIRO 2022'!$1:$1048576,4,0),IFERROR(VLOOKUP($C341,'5-COMP. PROPRIA'!$B$1:$I$647,8,0),""))</f>
        <v>55.02</v>
      </c>
      <c r="I341" s="256">
        <f>TRUNC(($H341*'4-BDI'!$E$29),2)</f>
        <v>70.55</v>
      </c>
      <c r="J341" s="266">
        <f t="shared" si="130"/>
        <v>6602.4</v>
      </c>
      <c r="K341" s="205">
        <f t="shared" si="131"/>
        <v>8466</v>
      </c>
    </row>
    <row r="342" spans="2:11" s="120" customFormat="1" ht="45">
      <c r="B342" s="208" t="s">
        <v>13318</v>
      </c>
      <c r="C342" s="201">
        <f>QUANT!C859</f>
        <v>91930</v>
      </c>
      <c r="D342" s="201" t="str">
        <f>QUANT!D859</f>
        <v>SINAPI</v>
      </c>
      <c r="E342" s="203" t="str">
        <f>IFERROR(VLOOKUP($C342,'SINAPI FEVEREIRO 2022'!$1:$1048576,2,0),IFERROR(VLOOKUP($C342,'5-COMP. PROPRIA'!$B$1:$I$647,4,0),""))</f>
        <v>CABO DE COBRE FLEXÍVEL ISOLADO, 6 MM², ANTI-CHAMA 450/750 V, PARA CIRCUITOS TERMINAIS - FORNECIMENTO E INSTALAÇÃO. AF_12/2015</v>
      </c>
      <c r="F342" s="255" t="str">
        <f>IFERROR(VLOOKUP($C342,'SINAPI FEVEREIRO 2022'!$1:$1048576,3,0),IFERROR(VLOOKUP($C342,'5-COMP. PROPRIA'!$B$1:$I$647,5,0),""))</f>
        <v>M</v>
      </c>
      <c r="G342" s="204">
        <f>QUANT!K859</f>
        <v>252</v>
      </c>
      <c r="H342" s="256">
        <f>IFERROR(VLOOKUP($C342,'SINAPI FEVEREIRO 2022'!$1:$1048576,4,0),IFERROR(VLOOKUP($C342,'5-COMP. PROPRIA'!$B$1:$I$647,8,0),""))</f>
        <v>9.17</v>
      </c>
      <c r="I342" s="256">
        <f>TRUNC(($H342*'4-BDI'!$E$29),2)</f>
        <v>11.75</v>
      </c>
      <c r="J342" s="266">
        <f t="shared" si="130"/>
        <v>2310.84</v>
      </c>
      <c r="K342" s="205">
        <f t="shared" si="131"/>
        <v>2961</v>
      </c>
    </row>
    <row r="343" spans="2:11" s="120" customFormat="1" ht="30">
      <c r="B343" s="208" t="s">
        <v>13319</v>
      </c>
      <c r="C343" s="201">
        <f>QUANT!C860</f>
        <v>92980</v>
      </c>
      <c r="D343" s="201" t="str">
        <f>QUANT!D860</f>
        <v>SINAPI</v>
      </c>
      <c r="E343" s="203" t="str">
        <f>IFERROR(VLOOKUP($C343,'SINAPI FEVEREIRO 2022'!$1:$1048576,2,0),IFERROR(VLOOKUP($C343,'5-COMP. PROPRIA'!$B$1:$I$647,4,0),""))</f>
        <v>CABO DE COBRE FLEXÍVEL ISOLADO, 10 MM², ANTI-CHAMA 0,6/1,0 KV, PARA DISTRIBUIÇÃO - FORNECIMENTO E INSTALAÇÃO. AF_12/2015</v>
      </c>
      <c r="F343" s="255" t="str">
        <f>IFERROR(VLOOKUP($C343,'SINAPI FEVEREIRO 2022'!$1:$1048576,3,0),IFERROR(VLOOKUP($C343,'5-COMP. PROPRIA'!$B$1:$I$647,5,0),""))</f>
        <v>M</v>
      </c>
      <c r="G343" s="204">
        <f>QUANT!K860</f>
        <v>170</v>
      </c>
      <c r="H343" s="256">
        <f>IFERROR(VLOOKUP($C343,'SINAPI FEVEREIRO 2022'!$1:$1048576,4,0),IFERROR(VLOOKUP($C343,'5-COMP. PROPRIA'!$B$1:$I$647,8,0),""))</f>
        <v>12.16</v>
      </c>
      <c r="I343" s="256">
        <f>TRUNC(($H343*'4-BDI'!$E$29),2)</f>
        <v>15.59</v>
      </c>
      <c r="J343" s="266">
        <f t="shared" si="130"/>
        <v>2067.1999999999998</v>
      </c>
      <c r="K343" s="205">
        <f t="shared" si="131"/>
        <v>2650.3</v>
      </c>
    </row>
    <row r="344" spans="2:11" s="120" customFormat="1" ht="45">
      <c r="B344" s="208" t="s">
        <v>13320</v>
      </c>
      <c r="C344" s="201">
        <f>QUANT!C861</f>
        <v>101565</v>
      </c>
      <c r="D344" s="201" t="str">
        <f>QUANT!D861</f>
        <v>SINAPI</v>
      </c>
      <c r="E344" s="203" t="str">
        <f>IFERROR(VLOOKUP($C344,'SINAPI FEVEREIRO 2022'!$1:$1048576,2,0),IFERROR(VLOOKUP($C344,'5-COMP. PROPRIA'!$B$1:$I$647,4,0),""))</f>
        <v>CABO DE COBRE FLEXÍVEL ISOLADO, 70 MM², 0,6/1,0 KV, PARA REDE AÉREA DE DISTRIBUIÇÃO DE ENERGIA ELÉTRICA DE BAIXA TENSÃO - FORNECIMENTO E INSTALAÇÃO. AF_07/2020</v>
      </c>
      <c r="F344" s="255" t="str">
        <f>IFERROR(VLOOKUP($C344,'SINAPI FEVEREIRO 2022'!$1:$1048576,3,0),IFERROR(VLOOKUP($C344,'5-COMP. PROPRIA'!$B$1:$I$647,5,0),""))</f>
        <v>M</v>
      </c>
      <c r="G344" s="204">
        <f>QUANT!K861</f>
        <v>150</v>
      </c>
      <c r="H344" s="256">
        <f>IFERROR(VLOOKUP($C344,'SINAPI FEVEREIRO 2022'!$1:$1048576,4,0),IFERROR(VLOOKUP($C344,'5-COMP. PROPRIA'!$B$1:$I$647,8,0),""))</f>
        <v>76.209999999999994</v>
      </c>
      <c r="I344" s="256">
        <f>TRUNC(($H344*'4-BDI'!$E$29),2)</f>
        <v>97.73</v>
      </c>
      <c r="J344" s="266">
        <f t="shared" si="130"/>
        <v>11431.5</v>
      </c>
      <c r="K344" s="205">
        <f t="shared" si="131"/>
        <v>14659.5</v>
      </c>
    </row>
    <row r="345" spans="2:11" s="120" customFormat="1" ht="15.75" customHeight="1">
      <c r="B345" s="915" t="s">
        <v>8287</v>
      </c>
      <c r="C345" s="916"/>
      <c r="D345" s="916"/>
      <c r="E345" s="916"/>
      <c r="F345" s="916"/>
      <c r="G345" s="916"/>
      <c r="H345" s="916"/>
      <c r="I345" s="917"/>
      <c r="J345" s="207">
        <f>TRUNC(SUM(J336:J344),2)</f>
        <v>58965.15</v>
      </c>
      <c r="K345" s="207">
        <f>TRUNC(SUM(K336:K344),2)</f>
        <v>75577.22</v>
      </c>
    </row>
    <row r="346" spans="2:11" s="280" customFormat="1" ht="15.75">
      <c r="B346" s="738" t="s">
        <v>8297</v>
      </c>
      <c r="C346" s="609"/>
      <c r="D346" s="609"/>
      <c r="E346" s="610" t="str">
        <f>QUANT!E863</f>
        <v>EMBUTIDOS</v>
      </c>
      <c r="F346" s="611"/>
      <c r="G346" s="612"/>
      <c r="H346" s="613"/>
      <c r="I346" s="613"/>
      <c r="J346" s="614"/>
      <c r="K346" s="615"/>
    </row>
    <row r="347" spans="2:11" s="120" customFormat="1" ht="30">
      <c r="B347" s="208" t="s">
        <v>8298</v>
      </c>
      <c r="C347" s="201">
        <f>QUANT!C865</f>
        <v>91953</v>
      </c>
      <c r="D347" s="201" t="str">
        <f>QUANT!D865</f>
        <v>SINAPI</v>
      </c>
      <c r="E347" s="203" t="str">
        <f>IFERROR(VLOOKUP($C347,'SINAPI FEVEREIRO 2022'!$1:$1048576,2,0),IFERROR(VLOOKUP($C347,'5-COMP. PROPRIA'!$B$1:$I$647,4,0),""))</f>
        <v>INTERRUPTOR SIMPLES (1 MÓDULO), 10A/250V, INCLUINDO SUPORTE E PLACA - FORNECIMENTO E INSTALAÇÃO. AF_12/2015</v>
      </c>
      <c r="F347" s="255" t="str">
        <f>IFERROR(VLOOKUP($C347,'SINAPI FEVEREIRO 2022'!$1:$1048576,3,0),IFERROR(VLOOKUP($C347,'5-COMP. PROPRIA'!$B$1:$I$647,5,0),""))</f>
        <v>UN</v>
      </c>
      <c r="G347" s="204">
        <f>QUANT!K865</f>
        <v>9</v>
      </c>
      <c r="H347" s="256">
        <f>IFERROR(VLOOKUP($C347,'SINAPI FEVEREIRO 2022'!$1:$1048576,4,0),IFERROR(VLOOKUP($C347,'5-COMP. PROPRIA'!$B$1:$I$647,8,0),""))</f>
        <v>19.920000000000002</v>
      </c>
      <c r="I347" s="256">
        <f>TRUNC(($H347*'4-BDI'!$E$29),2)</f>
        <v>25.54</v>
      </c>
      <c r="J347" s="266">
        <f t="shared" ref="J347:J374" si="132">TRUNC((G347*H347),2)</f>
        <v>179.28</v>
      </c>
      <c r="K347" s="205">
        <f t="shared" ref="K347:K374" si="133">TRUNC((I347*G347),2)</f>
        <v>229.86</v>
      </c>
    </row>
    <row r="348" spans="2:11" s="120" customFormat="1" ht="45">
      <c r="B348" s="208" t="s">
        <v>8299</v>
      </c>
      <c r="C348" s="201">
        <f>QUANT!C866</f>
        <v>92023</v>
      </c>
      <c r="D348" s="201" t="str">
        <f>QUANT!D866</f>
        <v>SINAPI</v>
      </c>
      <c r="E348" s="203" t="str">
        <f>IFERROR(VLOOKUP($C348,'SINAPI FEVEREIRO 2022'!$1:$1048576,2,0),IFERROR(VLOOKUP($C348,'5-COMP. PROPRIA'!$B$1:$I$647,4,0),""))</f>
        <v>INTERRUPTOR SIMPLES (1 MÓDULO) COM 1 TOMADA DE EMBUTIR 2P+T 10 A,  INCLUINDO SUPORTE E PLACA - FORNECIMENTO E INSTALAÇÃO. AF_12/2015</v>
      </c>
      <c r="F348" s="255" t="str">
        <f>IFERROR(VLOOKUP($C348,'SINAPI FEVEREIRO 2022'!$1:$1048576,3,0),IFERROR(VLOOKUP($C348,'5-COMP. PROPRIA'!$B$1:$I$647,5,0),""))</f>
        <v>UN</v>
      </c>
      <c r="G348" s="204">
        <f>QUANT!K866</f>
        <v>4</v>
      </c>
      <c r="H348" s="256">
        <f>IFERROR(VLOOKUP($C348,'SINAPI FEVEREIRO 2022'!$1:$1048576,4,0),IFERROR(VLOOKUP($C348,'5-COMP. PROPRIA'!$B$1:$I$647,8,0),""))</f>
        <v>35.200000000000003</v>
      </c>
      <c r="I348" s="256">
        <f>TRUNC(($H348*'4-BDI'!$E$29),2)</f>
        <v>45.14</v>
      </c>
      <c r="J348" s="266">
        <f t="shared" ref="J348:J363" si="134">TRUNC((G348*H348),2)</f>
        <v>140.80000000000001</v>
      </c>
      <c r="K348" s="205">
        <f t="shared" ref="K348:K363" si="135">TRUNC((I348*G348),2)</f>
        <v>180.56</v>
      </c>
    </row>
    <row r="349" spans="2:11" s="120" customFormat="1" ht="30">
      <c r="B349" s="208" t="s">
        <v>8300</v>
      </c>
      <c r="C349" s="201">
        <f>QUANT!C867</f>
        <v>91997</v>
      </c>
      <c r="D349" s="201" t="str">
        <f>QUANT!D867</f>
        <v>SINAPI</v>
      </c>
      <c r="E349" s="203" t="str">
        <f>IFERROR(VLOOKUP($C349,'SINAPI FEVEREIRO 2022'!$1:$1048576,2,0),IFERROR(VLOOKUP($C349,'5-COMP. PROPRIA'!$B$1:$I$647,4,0),""))</f>
        <v>TOMADA MÉDIA DE EMBUTIR (1 MÓDULO), 2P+T 20 A, INCLUINDO SUPORTE E PLACA - FORNECIMENTO E INSTALAÇÃO. AF_12/2015</v>
      </c>
      <c r="F349" s="255" t="str">
        <f>IFERROR(VLOOKUP($C349,'SINAPI FEVEREIRO 2022'!$1:$1048576,3,0),IFERROR(VLOOKUP($C349,'5-COMP. PROPRIA'!$B$1:$I$647,5,0),""))</f>
        <v>UN</v>
      </c>
      <c r="G349" s="204">
        <f>QUANT!K867</f>
        <v>1</v>
      </c>
      <c r="H349" s="256">
        <f>IFERROR(VLOOKUP($C349,'SINAPI FEVEREIRO 2022'!$1:$1048576,4,0),IFERROR(VLOOKUP($C349,'5-COMP. PROPRIA'!$B$1:$I$647,8,0),""))</f>
        <v>25.49</v>
      </c>
      <c r="I349" s="256">
        <f>TRUNC(($H349*'4-BDI'!$E$29),2)</f>
        <v>32.68</v>
      </c>
      <c r="J349" s="266">
        <f t="shared" si="134"/>
        <v>25.49</v>
      </c>
      <c r="K349" s="205">
        <f t="shared" si="135"/>
        <v>32.68</v>
      </c>
    </row>
    <row r="350" spans="2:11" s="120" customFormat="1" ht="30">
      <c r="B350" s="208" t="s">
        <v>8301</v>
      </c>
      <c r="C350" s="201">
        <f>QUANT!C868</f>
        <v>91992</v>
      </c>
      <c r="D350" s="201" t="str">
        <f>QUANT!D868</f>
        <v>SINAPI</v>
      </c>
      <c r="E350" s="203" t="str">
        <f>IFERROR(VLOOKUP($C350,'SINAPI FEVEREIRO 2022'!$1:$1048576,2,0),IFERROR(VLOOKUP($C350,'5-COMP. PROPRIA'!$B$1:$I$647,4,0),""))</f>
        <v>TOMADA ALTA DE EMBUTIR (1 MÓDULO), 2P+T 10 A, INCLUINDO SUPORTE E PLACA - FORNECIMENTO E INSTALAÇÃO. AF_12/2015</v>
      </c>
      <c r="F350" s="255" t="str">
        <f>IFERROR(VLOOKUP($C350,'SINAPI FEVEREIRO 2022'!$1:$1048576,3,0),IFERROR(VLOOKUP($C350,'5-COMP. PROPRIA'!$B$1:$I$647,5,0),""))</f>
        <v>UN</v>
      </c>
      <c r="G350" s="204">
        <f>QUANT!K868</f>
        <v>27</v>
      </c>
      <c r="H350" s="256">
        <f>IFERROR(VLOOKUP($C350,'SINAPI FEVEREIRO 2022'!$1:$1048576,4,0),IFERROR(VLOOKUP($C350,'5-COMP. PROPRIA'!$B$1:$I$647,8,0),""))</f>
        <v>30.14</v>
      </c>
      <c r="I350" s="256">
        <f>TRUNC(($H350*'4-BDI'!$E$29),2)</f>
        <v>38.65</v>
      </c>
      <c r="J350" s="266">
        <f t="shared" si="134"/>
        <v>813.78</v>
      </c>
      <c r="K350" s="205">
        <f t="shared" si="135"/>
        <v>1043.55</v>
      </c>
    </row>
    <row r="351" spans="2:11" s="120" customFormat="1" ht="30">
      <c r="B351" s="208" t="s">
        <v>8302</v>
      </c>
      <c r="C351" s="201">
        <f>QUANT!C869</f>
        <v>91996</v>
      </c>
      <c r="D351" s="201" t="str">
        <f>QUANT!D869</f>
        <v>SINAPI</v>
      </c>
      <c r="E351" s="203" t="str">
        <f>IFERROR(VLOOKUP($C351,'SINAPI FEVEREIRO 2022'!$1:$1048576,2,0),IFERROR(VLOOKUP($C351,'5-COMP. PROPRIA'!$B$1:$I$647,4,0),""))</f>
        <v>TOMADA MÉDIA DE EMBUTIR (1 MÓDULO), 2P+T 10 A, INCLUINDO SUPORTE E PLACA - FORNECIMENTO E INSTALAÇÃO. AF_12/2015</v>
      </c>
      <c r="F351" s="255" t="str">
        <f>IFERROR(VLOOKUP($C351,'SINAPI FEVEREIRO 2022'!$1:$1048576,3,0),IFERROR(VLOOKUP($C351,'5-COMP. PROPRIA'!$B$1:$I$647,5,0),""))</f>
        <v>UN</v>
      </c>
      <c r="G351" s="204">
        <f>QUANT!K869</f>
        <v>10</v>
      </c>
      <c r="H351" s="256">
        <f>IFERROR(VLOOKUP($C351,'SINAPI FEVEREIRO 2022'!$1:$1048576,4,0),IFERROR(VLOOKUP($C351,'5-COMP. PROPRIA'!$B$1:$I$647,8,0),""))</f>
        <v>23.61</v>
      </c>
      <c r="I351" s="256">
        <f>TRUNC(($H351*'4-BDI'!$E$29),2)</f>
        <v>30.27</v>
      </c>
      <c r="J351" s="266">
        <f t="shared" si="134"/>
        <v>236.1</v>
      </c>
      <c r="K351" s="205">
        <f t="shared" si="135"/>
        <v>302.7</v>
      </c>
    </row>
    <row r="352" spans="2:11" s="120" customFormat="1" ht="30">
      <c r="B352" s="208" t="s">
        <v>8303</v>
      </c>
      <c r="C352" s="201">
        <f>QUANT!C870</f>
        <v>92004</v>
      </c>
      <c r="D352" s="201" t="str">
        <f>QUANT!D870</f>
        <v>SINAPI</v>
      </c>
      <c r="E352" s="203" t="str">
        <f>IFERROR(VLOOKUP($C352,'SINAPI FEVEREIRO 2022'!$1:$1048576,2,0),IFERROR(VLOOKUP($C352,'5-COMP. PROPRIA'!$B$1:$I$647,4,0),""))</f>
        <v>TOMADA MÉDIA DE EMBUTIR (2 MÓDULOS), 2P+T 10 A, INCLUINDO SUPORTE E PLACA - FORNECIMENTO E INSTALAÇÃO. AF_12/2015</v>
      </c>
      <c r="F352" s="255" t="str">
        <f>IFERROR(VLOOKUP($C352,'SINAPI FEVEREIRO 2022'!$1:$1048576,3,0),IFERROR(VLOOKUP($C352,'5-COMP. PROPRIA'!$B$1:$I$647,5,0),""))</f>
        <v>UN</v>
      </c>
      <c r="G352" s="204">
        <f>QUANT!K870</f>
        <v>2</v>
      </c>
      <c r="H352" s="256">
        <f>IFERROR(VLOOKUP($C352,'SINAPI FEVEREIRO 2022'!$1:$1048576,4,0),IFERROR(VLOOKUP($C352,'5-COMP. PROPRIA'!$B$1:$I$647,8,0),""))</f>
        <v>38.9</v>
      </c>
      <c r="I352" s="256">
        <f>TRUNC(($H352*'4-BDI'!$E$29),2)</f>
        <v>49.88</v>
      </c>
      <c r="J352" s="266">
        <f t="shared" si="134"/>
        <v>77.8</v>
      </c>
      <c r="K352" s="205">
        <f t="shared" si="135"/>
        <v>99.76</v>
      </c>
    </row>
    <row r="353" spans="2:11" s="120" customFormat="1" ht="30">
      <c r="B353" s="208" t="s">
        <v>8304</v>
      </c>
      <c r="C353" s="201">
        <f>QUANT!C871</f>
        <v>92008</v>
      </c>
      <c r="D353" s="201" t="str">
        <f>QUANT!D871</f>
        <v>SINAPI</v>
      </c>
      <c r="E353" s="203" t="str">
        <f>IFERROR(VLOOKUP($C353,'SINAPI FEVEREIRO 2022'!$1:$1048576,2,0),IFERROR(VLOOKUP($C353,'5-COMP. PROPRIA'!$B$1:$I$647,4,0),""))</f>
        <v>TOMADA BAIXA DE EMBUTIR (2 MÓDULOS), 2P+T 10 A, INCLUINDO SUPORTE E PLACA - FORNECIMENTO E INSTALAÇÃO. AF_12/2015</v>
      </c>
      <c r="F353" s="255" t="str">
        <f>IFERROR(VLOOKUP($C353,'SINAPI FEVEREIRO 2022'!$1:$1048576,3,0),IFERROR(VLOOKUP($C353,'5-COMP. PROPRIA'!$B$1:$I$647,5,0),""))</f>
        <v>UN</v>
      </c>
      <c r="G353" s="204">
        <f>QUANT!K871</f>
        <v>24</v>
      </c>
      <c r="H353" s="256">
        <f>IFERROR(VLOOKUP($C353,'SINAPI FEVEREIRO 2022'!$1:$1048576,4,0),IFERROR(VLOOKUP($C353,'5-COMP. PROPRIA'!$B$1:$I$647,8,0),""))</f>
        <v>33.83</v>
      </c>
      <c r="I353" s="256">
        <f>TRUNC(($H353*'4-BDI'!$E$29),2)</f>
        <v>43.38</v>
      </c>
      <c r="J353" s="266">
        <f t="shared" si="134"/>
        <v>811.92</v>
      </c>
      <c r="K353" s="205">
        <f t="shared" si="135"/>
        <v>1041.1199999999999</v>
      </c>
    </row>
    <row r="354" spans="2:11" s="120" customFormat="1" ht="30">
      <c r="B354" s="208" t="s">
        <v>8305</v>
      </c>
      <c r="C354" s="201">
        <f>QUANT!C872</f>
        <v>91993</v>
      </c>
      <c r="D354" s="201" t="str">
        <f>QUANT!D872</f>
        <v>SINAPI</v>
      </c>
      <c r="E354" s="203" t="str">
        <f>IFERROR(VLOOKUP($C354,'SINAPI FEVEREIRO 2022'!$1:$1048576,2,0),IFERROR(VLOOKUP($C354,'5-COMP. PROPRIA'!$B$1:$I$647,4,0),""))</f>
        <v>TOMADA ALTA DE EMBUTIR (1 MÓDULO), 2P+T 20 A, INCLUINDO SUPORTE E PLACA - FORNECIMENTO E INSTALAÇÃO. AF_12/2015</v>
      </c>
      <c r="F354" s="255" t="str">
        <f>IFERROR(VLOOKUP($C354,'SINAPI FEVEREIRO 2022'!$1:$1048576,3,0),IFERROR(VLOOKUP($C354,'5-COMP. PROPRIA'!$B$1:$I$647,5,0),""))</f>
        <v>UN</v>
      </c>
      <c r="G354" s="204">
        <f>QUANT!K872</f>
        <v>21</v>
      </c>
      <c r="H354" s="256">
        <f>IFERROR(VLOOKUP($C354,'SINAPI FEVEREIRO 2022'!$1:$1048576,4,0),IFERROR(VLOOKUP($C354,'5-COMP. PROPRIA'!$B$1:$I$647,8,0),""))</f>
        <v>32.020000000000003</v>
      </c>
      <c r="I354" s="256">
        <f>TRUNC(($H354*'4-BDI'!$E$29),2)</f>
        <v>41.06</v>
      </c>
      <c r="J354" s="266">
        <f t="shared" si="134"/>
        <v>672.42</v>
      </c>
      <c r="K354" s="205">
        <f t="shared" si="135"/>
        <v>862.26</v>
      </c>
    </row>
    <row r="355" spans="2:11" s="120" customFormat="1" ht="30">
      <c r="B355" s="208" t="s">
        <v>8306</v>
      </c>
      <c r="C355" s="201">
        <f>QUANT!C873</f>
        <v>92000</v>
      </c>
      <c r="D355" s="201" t="str">
        <f>QUANT!D873</f>
        <v>SINAPI</v>
      </c>
      <c r="E355" s="203" t="str">
        <f>IFERROR(VLOOKUP($C355,'SINAPI FEVEREIRO 2022'!$1:$1048576,2,0),IFERROR(VLOOKUP($C355,'5-COMP. PROPRIA'!$B$1:$I$647,4,0),""))</f>
        <v>TOMADA BAIXA DE EMBUTIR (1 MÓDULO), 2P+T 10 A, INCLUINDO SUPORTE E PLACA - FORNECIMENTO E INSTALAÇÃO. AF_12/2015</v>
      </c>
      <c r="F355" s="255" t="str">
        <f>IFERROR(VLOOKUP($C355,'SINAPI FEVEREIRO 2022'!$1:$1048576,3,0),IFERROR(VLOOKUP($C355,'5-COMP. PROPRIA'!$B$1:$I$647,5,0),""))</f>
        <v>UN</v>
      </c>
      <c r="G355" s="204">
        <f>QUANT!K873</f>
        <v>7</v>
      </c>
      <c r="H355" s="256">
        <f>IFERROR(VLOOKUP($C355,'SINAPI FEVEREIRO 2022'!$1:$1048576,4,0),IFERROR(VLOOKUP($C355,'5-COMP. PROPRIA'!$B$1:$I$647,8,0),""))</f>
        <v>21.07</v>
      </c>
      <c r="I355" s="256">
        <f>TRUNC(($H355*'4-BDI'!$E$29),2)</f>
        <v>27.02</v>
      </c>
      <c r="J355" s="266">
        <f t="shared" si="134"/>
        <v>147.49</v>
      </c>
      <c r="K355" s="205">
        <f t="shared" si="135"/>
        <v>189.14</v>
      </c>
    </row>
    <row r="356" spans="2:11" s="120" customFormat="1" ht="30">
      <c r="B356" s="208" t="s">
        <v>8307</v>
      </c>
      <c r="C356" s="201">
        <f>QUANT!C874</f>
        <v>91941</v>
      </c>
      <c r="D356" s="201" t="str">
        <f>QUANT!D874</f>
        <v>SINAPI</v>
      </c>
      <c r="E356" s="203" t="str">
        <f>IFERROR(VLOOKUP($C356,'SINAPI FEVEREIRO 2022'!$1:$1048576,2,0),IFERROR(VLOOKUP($C356,'5-COMP. PROPRIA'!$B$1:$I$647,4,0),""))</f>
        <v>CAIXA RETANGULAR 4" X 2" BAIXA (0,30 M DO PISO), PVC, INSTALADA EM PAREDE - FORNECIMENTO E INSTALAÇÃO. AF_12/2015</v>
      </c>
      <c r="F356" s="255" t="str">
        <f>IFERROR(VLOOKUP($C356,'SINAPI FEVEREIRO 2022'!$1:$1048576,3,0),IFERROR(VLOOKUP($C356,'5-COMP. PROPRIA'!$B$1:$I$647,5,0),""))</f>
        <v>UN</v>
      </c>
      <c r="G356" s="204">
        <f>QUANT!K874</f>
        <v>17</v>
      </c>
      <c r="H356" s="256">
        <f>IFERROR(VLOOKUP($C356,'SINAPI FEVEREIRO 2022'!$1:$1048576,4,0),IFERROR(VLOOKUP($C356,'5-COMP. PROPRIA'!$B$1:$I$647,8,0),""))</f>
        <v>7.77</v>
      </c>
      <c r="I356" s="256">
        <f>TRUNC(($H356*'4-BDI'!$E$29),2)</f>
        <v>9.9600000000000009</v>
      </c>
      <c r="J356" s="266">
        <f t="shared" si="134"/>
        <v>132.09</v>
      </c>
      <c r="K356" s="205">
        <f t="shared" si="135"/>
        <v>169.32</v>
      </c>
    </row>
    <row r="357" spans="2:11" s="120" customFormat="1" ht="30">
      <c r="B357" s="208" t="s">
        <v>8308</v>
      </c>
      <c r="C357" s="201">
        <f>QUANT!C875</f>
        <v>91940</v>
      </c>
      <c r="D357" s="201" t="str">
        <f>QUANT!D875</f>
        <v>SINAPI</v>
      </c>
      <c r="E357" s="203" t="str">
        <f>IFERROR(VLOOKUP($C357,'SINAPI FEVEREIRO 2022'!$1:$1048576,2,0),IFERROR(VLOOKUP($C357,'5-COMP. PROPRIA'!$B$1:$I$647,4,0),""))</f>
        <v>CAIXA RETANGULAR 4" X 2" MÉDIA (1,30 M DO PISO), PVC, INSTALADA EM PAREDE - FORNECIMENTO E INSTALAÇÃO. AF_12/2015</v>
      </c>
      <c r="F357" s="255" t="str">
        <f>IFERROR(VLOOKUP($C357,'SINAPI FEVEREIRO 2022'!$1:$1048576,3,0),IFERROR(VLOOKUP($C357,'5-COMP. PROPRIA'!$B$1:$I$647,5,0),""))</f>
        <v>UN</v>
      </c>
      <c r="G357" s="204">
        <f>QUANT!K875</f>
        <v>22</v>
      </c>
      <c r="H357" s="256">
        <f>IFERROR(VLOOKUP($C357,'SINAPI FEVEREIRO 2022'!$1:$1048576,4,0),IFERROR(VLOOKUP($C357,'5-COMP. PROPRIA'!$B$1:$I$647,8,0),""))</f>
        <v>11.31</v>
      </c>
      <c r="I357" s="256">
        <f>TRUNC(($H357*'4-BDI'!$E$29),2)</f>
        <v>14.5</v>
      </c>
      <c r="J357" s="266">
        <f t="shared" si="134"/>
        <v>248.82</v>
      </c>
      <c r="K357" s="205">
        <f t="shared" si="135"/>
        <v>319</v>
      </c>
    </row>
    <row r="358" spans="2:11" s="120" customFormat="1" ht="30">
      <c r="B358" s="208" t="s">
        <v>8309</v>
      </c>
      <c r="C358" s="201">
        <f>QUANT!C876</f>
        <v>92867</v>
      </c>
      <c r="D358" s="201" t="str">
        <f>QUANT!D876</f>
        <v>SINAPI</v>
      </c>
      <c r="E358" s="203" t="str">
        <f>IFERROR(VLOOKUP($C358,'SINAPI FEVEREIRO 2022'!$1:$1048576,2,0),IFERROR(VLOOKUP($C358,'5-COMP. PROPRIA'!$B$1:$I$647,4,0),""))</f>
        <v>CAIXA RETANGULAR 4" X 2" ALTA (2,00 M DO PISO), METÁLICA, INSTALADA EM PAREDE - FORNECIMENTO E INSTALAÇÃO. AF_12/2015</v>
      </c>
      <c r="F358" s="255" t="str">
        <f>IFERROR(VLOOKUP($C358,'SINAPI FEVEREIRO 2022'!$1:$1048576,3,0),IFERROR(VLOOKUP($C358,'5-COMP. PROPRIA'!$B$1:$I$647,5,0),""))</f>
        <v>UN</v>
      </c>
      <c r="G358" s="204">
        <f>QUANT!K876</f>
        <v>47</v>
      </c>
      <c r="H358" s="256">
        <f>IFERROR(VLOOKUP($C358,'SINAPI FEVEREIRO 2022'!$1:$1048576,4,0),IFERROR(VLOOKUP($C358,'5-COMP. PROPRIA'!$B$1:$I$647,8,0),""))</f>
        <v>20.440000000000001</v>
      </c>
      <c r="I358" s="256">
        <f>TRUNC(($H358*'4-BDI'!$E$29),2)</f>
        <v>26.21</v>
      </c>
      <c r="J358" s="266">
        <f t="shared" si="134"/>
        <v>960.68</v>
      </c>
      <c r="K358" s="205">
        <f t="shared" si="135"/>
        <v>1231.8699999999999</v>
      </c>
    </row>
    <row r="359" spans="2:11" s="120" customFormat="1" ht="54" customHeight="1">
      <c r="B359" s="208" t="s">
        <v>8310</v>
      </c>
      <c r="C359" s="201">
        <f>QUANT!C877</f>
        <v>97886</v>
      </c>
      <c r="D359" s="201" t="str">
        <f>QUANT!D877</f>
        <v>SINAPI</v>
      </c>
      <c r="E359" s="203" t="str">
        <f>IFERROR(VLOOKUP($C359,'SINAPI FEVEREIRO 2022'!$1:$1048576,2,0),IFERROR(VLOOKUP($C359,'5-COMP. PROPRIA'!$B$1:$I$647,4,0),""))</f>
        <v>CAIXA ENTERRADA ELÉTRICA RETANGULAR, EM ALVENARIA COM TIJOLOS CERÂMICOS MACIÇOS, FUNDO COM BRITA, DIMENSÕES INTERNAS: 0,3X0,3X0,3 M. AF_12/2020</v>
      </c>
      <c r="F359" s="255" t="str">
        <f>IFERROR(VLOOKUP($C359,'SINAPI FEVEREIRO 2022'!$1:$1048576,3,0),IFERROR(VLOOKUP($C359,'5-COMP. PROPRIA'!$B$1:$I$647,5,0),""))</f>
        <v>UN</v>
      </c>
      <c r="G359" s="204">
        <f>QUANT!K877</f>
        <v>4</v>
      </c>
      <c r="H359" s="256">
        <f>IFERROR(VLOOKUP($C359,'SINAPI FEVEREIRO 2022'!$1:$1048576,4,0),IFERROR(VLOOKUP($C359,'5-COMP. PROPRIA'!$B$1:$I$647,8,0),""))</f>
        <v>152.99</v>
      </c>
      <c r="I359" s="256">
        <f>TRUNC(($H359*'4-BDI'!$E$29),2)</f>
        <v>196.19</v>
      </c>
      <c r="J359" s="266">
        <f t="shared" si="134"/>
        <v>611.96</v>
      </c>
      <c r="K359" s="205">
        <f t="shared" si="135"/>
        <v>784.76</v>
      </c>
    </row>
    <row r="360" spans="2:11" s="120" customFormat="1" ht="15">
      <c r="B360" s="208" t="s">
        <v>8311</v>
      </c>
      <c r="C360" s="201" t="str">
        <f>QUANT!C878</f>
        <v>CP-ELE-02</v>
      </c>
      <c r="D360" s="201" t="str">
        <f>QUANT!D878</f>
        <v>PROPRIA</v>
      </c>
      <c r="E360" s="203" t="str">
        <f>IFERROR(VLOOKUP($C360,'SINAPI FEVEREIRO 2022'!$1:$1048576,2,0),IFERROR(VLOOKUP($C360,'5-COMP. PROPRIA'!$B$1:$I$647,4,0),""))</f>
        <v>VENTILADOR DE PAREDE 50 cm - FORNECIMENTO E INSTALAÇÃO</v>
      </c>
      <c r="F360" s="255" t="str">
        <f>IFERROR(VLOOKUP($C360,'SINAPI FEVEREIRO 2022'!$1:$1048576,3,0),IFERROR(VLOOKUP($C360,'5-COMP. PROPRIA'!$B$1:$I$647,5,0),""))</f>
        <v>UNI</v>
      </c>
      <c r="G360" s="204">
        <f>QUANT!K878</f>
        <v>5</v>
      </c>
      <c r="H360" s="256">
        <f>IFERROR(VLOOKUP($C360,'SINAPI FEVEREIRO 2022'!$1:$1048576,4,0),IFERROR(VLOOKUP($C360,'5-COMP. PROPRIA'!$B$1:$I$647,8,0),""))</f>
        <v>233.72</v>
      </c>
      <c r="I360" s="256">
        <f>TRUNC(($H360*'4-BDI'!$E$29),2)</f>
        <v>299.72000000000003</v>
      </c>
      <c r="J360" s="266">
        <f t="shared" si="134"/>
        <v>1168.5999999999999</v>
      </c>
      <c r="K360" s="205">
        <f t="shared" si="135"/>
        <v>1498.6</v>
      </c>
    </row>
    <row r="361" spans="2:11" s="120" customFormat="1" ht="15">
      <c r="B361" s="208" t="s">
        <v>8312</v>
      </c>
      <c r="C361" s="201" t="str">
        <f>QUANT!C879</f>
        <v>CP-ELE-03</v>
      </c>
      <c r="D361" s="201" t="str">
        <f>QUANT!D879</f>
        <v>PROPRIA</v>
      </c>
      <c r="E361" s="203" t="str">
        <f>IFERROR(VLOOKUP($C361,'SINAPI FEVEREIRO 2022'!$1:$1048576,2,0),IFERROR(VLOOKUP($C361,'5-COMP. PROPRIA'!$B$1:$I$647,4,0),""))</f>
        <v>VENTILADOR DE TETO 98 cm - FORNECIMENTO E INSTALAÇÃO</v>
      </c>
      <c r="F361" s="255" t="str">
        <f>IFERROR(VLOOKUP($C361,'SINAPI FEVEREIRO 2022'!$1:$1048576,3,0),IFERROR(VLOOKUP($C361,'5-COMP. PROPRIA'!$B$1:$I$647,5,0),""))</f>
        <v>UNI</v>
      </c>
      <c r="G361" s="204">
        <f>QUANT!K879</f>
        <v>38</v>
      </c>
      <c r="H361" s="256">
        <f>IFERROR(VLOOKUP($C361,'SINAPI FEVEREIRO 2022'!$1:$1048576,4,0),IFERROR(VLOOKUP($C361,'5-COMP. PROPRIA'!$B$1:$I$647,8,0),""))</f>
        <v>153.88</v>
      </c>
      <c r="I361" s="256">
        <f>TRUNC(($H361*'4-BDI'!$E$29),2)</f>
        <v>197.33</v>
      </c>
      <c r="J361" s="266">
        <f t="shared" si="134"/>
        <v>5847.44</v>
      </c>
      <c r="K361" s="205">
        <f t="shared" si="135"/>
        <v>7498.54</v>
      </c>
    </row>
    <row r="362" spans="2:11" s="120" customFormat="1" ht="30">
      <c r="B362" s="208" t="s">
        <v>13321</v>
      </c>
      <c r="C362" s="201">
        <f>QUANT!C880</f>
        <v>102137</v>
      </c>
      <c r="D362" s="201" t="str">
        <f>QUANT!D880</f>
        <v>SINAPI</v>
      </c>
      <c r="E362" s="203" t="str">
        <f>IFERROR(VLOOKUP($C362,'SINAPI FEVEREIRO 2022'!$1:$1048576,2,0),IFERROR(VLOOKUP($C362,'5-COMP. PROPRIA'!$B$1:$I$647,4,0),""))</f>
        <v>CHAVE DE BOIA AUTOMÁTICA SUPERIOR/INFERIOR 15A/250V - FORNECIMENTO E INSTALAÇÃO. AF_12/2020</v>
      </c>
      <c r="F362" s="255" t="str">
        <f>IFERROR(VLOOKUP($C362,'SINAPI FEVEREIRO 2022'!$1:$1048576,3,0),IFERROR(VLOOKUP($C362,'5-COMP. PROPRIA'!$B$1:$I$647,5,0),""))</f>
        <v>UN</v>
      </c>
      <c r="G362" s="204">
        <f>QUANT!K880</f>
        <v>2</v>
      </c>
      <c r="H362" s="256">
        <f>IFERROR(VLOOKUP($C362,'SINAPI FEVEREIRO 2022'!$1:$1048576,4,0),IFERROR(VLOOKUP($C362,'5-COMP. PROPRIA'!$B$1:$I$647,8,0),""))</f>
        <v>67.680000000000007</v>
      </c>
      <c r="I362" s="256">
        <f>TRUNC(($H362*'4-BDI'!$E$29),2)</f>
        <v>86.79</v>
      </c>
      <c r="J362" s="266">
        <f t="shared" si="134"/>
        <v>135.36000000000001</v>
      </c>
      <c r="K362" s="205">
        <f t="shared" si="135"/>
        <v>173.58</v>
      </c>
    </row>
    <row r="363" spans="2:11" s="120" customFormat="1" ht="15">
      <c r="B363" s="208" t="s">
        <v>13322</v>
      </c>
      <c r="C363" s="201" t="str">
        <f>QUANT!C881</f>
        <v>CP-ELE-14</v>
      </c>
      <c r="D363" s="201" t="str">
        <f>QUANT!D881</f>
        <v>PROPRIA</v>
      </c>
      <c r="E363" s="203" t="str">
        <f>IFERROR(VLOOKUP($C363,'SINAPI FEVEREIRO 2022'!$1:$1048576,2,0),IFERROR(VLOOKUP($C363,'5-COMP. PROPRIA'!$B$1:$I$647,4,0),""))</f>
        <v xml:space="preserve">BOMBA PERIFÉRICA 1,5CV BIFÁSICA   </v>
      </c>
      <c r="F363" s="255" t="str">
        <f>IFERROR(VLOOKUP($C363,'SINAPI FEVEREIRO 2022'!$1:$1048576,3,0),IFERROR(VLOOKUP($C363,'5-COMP. PROPRIA'!$B$1:$I$647,5,0),""))</f>
        <v>UN</v>
      </c>
      <c r="G363" s="204">
        <f>QUANT!K881</f>
        <v>1</v>
      </c>
      <c r="H363" s="256">
        <f>IFERROR(VLOOKUP($C363,'SINAPI FEVEREIRO 2022'!$1:$1048576,4,0),IFERROR(VLOOKUP($C363,'5-COMP. PROPRIA'!$B$1:$I$647,8,0),""))</f>
        <v>624.17999999999995</v>
      </c>
      <c r="I363" s="256">
        <f>TRUNC(($H363*'4-BDI'!$E$29),2)</f>
        <v>800.44</v>
      </c>
      <c r="J363" s="266">
        <f t="shared" si="134"/>
        <v>624.17999999999995</v>
      </c>
      <c r="K363" s="205">
        <f t="shared" si="135"/>
        <v>800.44</v>
      </c>
    </row>
    <row r="364" spans="2:11" s="120" customFormat="1" ht="15.75" customHeight="1">
      <c r="B364" s="915" t="s">
        <v>8287</v>
      </c>
      <c r="C364" s="916"/>
      <c r="D364" s="916"/>
      <c r="E364" s="916"/>
      <c r="F364" s="916"/>
      <c r="G364" s="916"/>
      <c r="H364" s="916"/>
      <c r="I364" s="917"/>
      <c r="J364" s="207">
        <f>TRUNC(SUM(J347:J363),2)</f>
        <v>12834.21</v>
      </c>
      <c r="K364" s="207">
        <f>TRUNC(SUM(K347:K363),2)</f>
        <v>16457.740000000002</v>
      </c>
    </row>
    <row r="365" spans="2:11" s="280" customFormat="1" ht="30.75" customHeight="1">
      <c r="B365" s="738" t="s">
        <v>8313</v>
      </c>
      <c r="C365" s="609"/>
      <c r="D365" s="609"/>
      <c r="E365" s="610" t="str">
        <f>QUANT!E883</f>
        <v>QUEBRA E RASGO EM ALVENARIA, VALAS, CARGA E TRANSPORTE DE ENTULHO</v>
      </c>
      <c r="F365" s="611"/>
      <c r="G365" s="612"/>
      <c r="H365" s="613"/>
      <c r="I365" s="613"/>
      <c r="J365" s="614"/>
      <c r="K365" s="615"/>
    </row>
    <row r="366" spans="2:11" s="120" customFormat="1" ht="30">
      <c r="B366" s="208" t="s">
        <v>8314</v>
      </c>
      <c r="C366" s="201">
        <f>QUANT!C885</f>
        <v>90447</v>
      </c>
      <c r="D366" s="201" t="str">
        <f>QUANT!D885</f>
        <v>SINAPI</v>
      </c>
      <c r="E366" s="203" t="str">
        <f>IFERROR(VLOOKUP($C366,'SINAPI FEVEREIRO 2022'!$1:$1048576,2,0),IFERROR(VLOOKUP($C366,'5-COMP. PROPRIA'!$B$1:$I$647,4,0),""))</f>
        <v>RASGO EM ALVENARIA PARA ELETRODUTOS COM DIAMETROS MENORES OU IGUAIS A 40 MM. AF_05/2015</v>
      </c>
      <c r="F366" s="255" t="str">
        <f>IFERROR(VLOOKUP($C366,'SINAPI FEVEREIRO 2022'!$1:$1048576,3,0),IFERROR(VLOOKUP($C366,'5-COMP. PROPRIA'!$B$1:$I$647,5,0),""))</f>
        <v>M</v>
      </c>
      <c r="G366" s="204">
        <f>QUANT!K885</f>
        <v>115.9</v>
      </c>
      <c r="H366" s="256">
        <f>IFERROR(VLOOKUP($C366,'SINAPI FEVEREIRO 2022'!$1:$1048576,4,0),IFERROR(VLOOKUP($C366,'5-COMP. PROPRIA'!$B$1:$I$647,8,0),""))</f>
        <v>4.72</v>
      </c>
      <c r="I366" s="256">
        <f>TRUNC(($H366*'4-BDI'!$E$29),2)</f>
        <v>6.05</v>
      </c>
      <c r="J366" s="266">
        <f t="shared" si="132"/>
        <v>547.04</v>
      </c>
      <c r="K366" s="205">
        <f t="shared" si="133"/>
        <v>701.19</v>
      </c>
    </row>
    <row r="367" spans="2:11" s="120" customFormat="1" ht="30">
      <c r="B367" s="208" t="s">
        <v>8316</v>
      </c>
      <c r="C367" s="201">
        <f>QUANT!C891</f>
        <v>91222</v>
      </c>
      <c r="D367" s="201" t="str">
        <f>QUANT!D891</f>
        <v>SINAPI</v>
      </c>
      <c r="E367" s="203" t="str">
        <f>IFERROR(VLOOKUP($C367,'SINAPI FEVEREIRO 2022'!$1:$1048576,2,0),IFERROR(VLOOKUP($C367,'5-COMP. PROPRIA'!$B$1:$I$647,4,0),""))</f>
        <v>RASGO EM ALVENARIA PARA RAMAIS/ DISTRIBUIÇÃO COM DIÂMETROS MAIORES QUE 40 MM E MENORES OU IGUAIS A 75 MM. AF_05/2015</v>
      </c>
      <c r="F367" s="255" t="str">
        <f>IFERROR(VLOOKUP($C367,'SINAPI FEVEREIRO 2022'!$1:$1048576,3,0),IFERROR(VLOOKUP($C367,'5-COMP. PROPRIA'!$B$1:$I$647,5,0),""))</f>
        <v>M</v>
      </c>
      <c r="G367" s="204">
        <f>QUANT!K891</f>
        <v>3</v>
      </c>
      <c r="H367" s="256">
        <f>IFERROR(VLOOKUP($C367,'SINAPI FEVEREIRO 2022'!$1:$1048576,4,0),IFERROR(VLOOKUP($C367,'5-COMP. PROPRIA'!$B$1:$I$647,8,0),""))</f>
        <v>10.220000000000001</v>
      </c>
      <c r="I367" s="256">
        <f>TRUNC(($H367*'4-BDI'!$E$29),2)</f>
        <v>13.1</v>
      </c>
      <c r="J367" s="266">
        <f t="shared" si="132"/>
        <v>30.66</v>
      </c>
      <c r="K367" s="205">
        <f t="shared" si="133"/>
        <v>39.299999999999997</v>
      </c>
    </row>
    <row r="368" spans="2:11" s="120" customFormat="1" ht="30">
      <c r="B368" s="208" t="s">
        <v>8315</v>
      </c>
      <c r="C368" s="201">
        <f>QUANT!C895</f>
        <v>90456</v>
      </c>
      <c r="D368" s="201" t="str">
        <f>QUANT!D895</f>
        <v>SINAPI</v>
      </c>
      <c r="E368" s="203" t="str">
        <f>IFERROR(VLOOKUP($C368,'SINAPI FEVEREIRO 2022'!$1:$1048576,2,0),IFERROR(VLOOKUP($C368,'5-COMP. PROPRIA'!$B$1:$I$647,4,0),""))</f>
        <v>QUEBRA EM ALVENARIA PARA INSTALAÇÃO DE CAIXA DE TOMADA (4X4 OU 4X2). AF_05/2015</v>
      </c>
      <c r="F368" s="255" t="str">
        <f>IFERROR(VLOOKUP($C368,'SINAPI FEVEREIRO 2022'!$1:$1048576,3,0),IFERROR(VLOOKUP($C368,'5-COMP. PROPRIA'!$B$1:$I$647,5,0),""))</f>
        <v>UN</v>
      </c>
      <c r="G368" s="204">
        <f>QUANT!K895</f>
        <v>86</v>
      </c>
      <c r="H368" s="256">
        <f>IFERROR(VLOOKUP($C368,'SINAPI FEVEREIRO 2022'!$1:$1048576,4,0),IFERROR(VLOOKUP($C368,'5-COMP. PROPRIA'!$B$1:$I$647,8,0),""))</f>
        <v>3.04</v>
      </c>
      <c r="I368" s="256">
        <f>TRUNC(($H368*'4-BDI'!$E$29),2)</f>
        <v>3.89</v>
      </c>
      <c r="J368" s="266">
        <f t="shared" si="132"/>
        <v>261.44</v>
      </c>
      <c r="K368" s="205">
        <f t="shared" si="133"/>
        <v>334.54</v>
      </c>
    </row>
    <row r="369" spans="2:11" s="120" customFormat="1" ht="30">
      <c r="B369" s="208" t="s">
        <v>8318</v>
      </c>
      <c r="C369" s="201">
        <f>QUANT!C896</f>
        <v>90444</v>
      </c>
      <c r="D369" s="201" t="str">
        <f>QUANT!D896</f>
        <v>SINAPI</v>
      </c>
      <c r="E369" s="203" t="str">
        <f>IFERROR(VLOOKUP($C369,'SINAPI FEVEREIRO 2022'!$1:$1048576,2,0),IFERROR(VLOOKUP($C369,'5-COMP. PROPRIA'!$B$1:$I$647,4,0),""))</f>
        <v>RASGO EM CONTRAPISO PARA RAMAIS/ DISTRIBUIÇÃO COM DIÂMETROS MENORES OU IGUAIS A 40 MM. AF_05/2015</v>
      </c>
      <c r="F369" s="255" t="str">
        <f>IFERROR(VLOOKUP($C369,'SINAPI FEVEREIRO 2022'!$1:$1048576,3,0),IFERROR(VLOOKUP($C369,'5-COMP. PROPRIA'!$B$1:$I$647,5,0),""))</f>
        <v>M</v>
      </c>
      <c r="G369" s="204">
        <f>QUANT!K896</f>
        <v>20</v>
      </c>
      <c r="H369" s="256">
        <f>IFERROR(VLOOKUP($C369,'SINAPI FEVEREIRO 2022'!$1:$1048576,4,0),IFERROR(VLOOKUP($C369,'5-COMP. PROPRIA'!$B$1:$I$647,8,0),""))</f>
        <v>17.940000000000001</v>
      </c>
      <c r="I369" s="256">
        <f>TRUNC(($H369*'4-BDI'!$E$29),2)</f>
        <v>23</v>
      </c>
      <c r="J369" s="266">
        <f t="shared" si="132"/>
        <v>358.8</v>
      </c>
      <c r="K369" s="205">
        <f t="shared" si="133"/>
        <v>460</v>
      </c>
    </row>
    <row r="370" spans="2:11" s="120" customFormat="1" ht="15">
      <c r="B370" s="208" t="s">
        <v>8319</v>
      </c>
      <c r="C370" s="201" t="str">
        <f>QUANT!C897</f>
        <v>CP-ELE-REP-01</v>
      </c>
      <c r="D370" s="201" t="str">
        <f>QUANT!D897</f>
        <v>PROPRIA</v>
      </c>
      <c r="E370" s="203" t="str">
        <f>IFERROR(VLOOKUP($C370,'SINAPI FEVEREIRO 2022'!$1:$1048576,2,0),IFERROR(VLOOKUP($C370,'5-COMP. PROPRIA'!$B$1:$I$647,4,0),""))</f>
        <v>REPARO EM RASGO DE PAREDE</v>
      </c>
      <c r="F370" s="255" t="str">
        <f>IFERROR(VLOOKUP($C370,'SINAPI FEVEREIRO 2022'!$1:$1048576,3,0),IFERROR(VLOOKUP($C370,'5-COMP. PROPRIA'!$B$1:$I$647,5,0),""))</f>
        <v>M2</v>
      </c>
      <c r="G370" s="204">
        <f>QUANT!K897</f>
        <v>8.41</v>
      </c>
      <c r="H370" s="256">
        <f>IFERROR(VLOOKUP($C370,'SINAPI FEVEREIRO 2022'!$1:$1048576,4,0),IFERROR(VLOOKUP($C370,'5-COMP. PROPRIA'!$B$1:$I$647,8,0),""))</f>
        <v>41.44</v>
      </c>
      <c r="I370" s="256">
        <f>TRUNC(($H370*'4-BDI'!$E$29),2)</f>
        <v>53.14</v>
      </c>
      <c r="J370" s="266">
        <f t="shared" si="132"/>
        <v>348.51</v>
      </c>
      <c r="K370" s="205">
        <f t="shared" si="133"/>
        <v>446.9</v>
      </c>
    </row>
    <row r="371" spans="2:11" s="120" customFormat="1" ht="30">
      <c r="B371" s="208" t="s">
        <v>8317</v>
      </c>
      <c r="C371" s="201">
        <f>QUANT!C898</f>
        <v>90458</v>
      </c>
      <c r="D371" s="201" t="str">
        <f>QUANT!D898</f>
        <v>SINAPI</v>
      </c>
      <c r="E371" s="203" t="str">
        <f>IFERROR(VLOOKUP($C371,'SINAPI FEVEREIRO 2022'!$1:$1048576,2,0),IFERROR(VLOOKUP($C371,'5-COMP. PROPRIA'!$B$1:$I$647,4,0),""))</f>
        <v>QUEBRA EM ALVENARIA PARA INSTALAÇÃO DE QUADRO DISTRIBUIÇÃO GRANDE (76X40 CM). AF_05/2015</v>
      </c>
      <c r="F371" s="255" t="str">
        <f>IFERROR(VLOOKUP($C371,'SINAPI FEVEREIRO 2022'!$1:$1048576,3,0),IFERROR(VLOOKUP($C371,'5-COMP. PROPRIA'!$B$1:$I$647,5,0),""))</f>
        <v>UN</v>
      </c>
      <c r="G371" s="204">
        <f>QUANT!K898</f>
        <v>2</v>
      </c>
      <c r="H371" s="256">
        <f>IFERROR(VLOOKUP($C371,'SINAPI FEVEREIRO 2022'!$1:$1048576,4,0),IFERROR(VLOOKUP($C371,'5-COMP. PROPRIA'!$B$1:$I$647,8,0),""))</f>
        <v>19.7</v>
      </c>
      <c r="I371" s="256">
        <f>TRUNC(($H371*'4-BDI'!$E$29),2)</f>
        <v>25.26</v>
      </c>
      <c r="J371" s="266">
        <f t="shared" si="132"/>
        <v>39.4</v>
      </c>
      <c r="K371" s="205">
        <f t="shared" si="133"/>
        <v>50.52</v>
      </c>
    </row>
    <row r="372" spans="2:11" s="120" customFormat="1" ht="15.75" customHeight="1">
      <c r="B372" s="915" t="s">
        <v>8287</v>
      </c>
      <c r="C372" s="916"/>
      <c r="D372" s="916"/>
      <c r="E372" s="916"/>
      <c r="F372" s="916"/>
      <c r="G372" s="916"/>
      <c r="H372" s="916"/>
      <c r="I372" s="917"/>
      <c r="J372" s="207">
        <f>TRUNC(SUM(J366:J371),2)</f>
        <v>1585.85</v>
      </c>
      <c r="K372" s="207">
        <f>TRUNC(SUM(K366:K371),2)</f>
        <v>2032.45</v>
      </c>
    </row>
    <row r="373" spans="2:11" s="280" customFormat="1" ht="15.75">
      <c r="B373" s="738" t="s">
        <v>8320</v>
      </c>
      <c r="C373" s="609"/>
      <c r="D373" s="609"/>
      <c r="E373" s="610" t="str">
        <f>QUANT!E900</f>
        <v>DISJUNTORES</v>
      </c>
      <c r="F373" s="611"/>
      <c r="G373" s="612"/>
      <c r="H373" s="613"/>
      <c r="I373" s="613"/>
      <c r="J373" s="614"/>
      <c r="K373" s="615"/>
    </row>
    <row r="374" spans="2:11" s="120" customFormat="1" ht="30">
      <c r="B374" s="208" t="s">
        <v>8321</v>
      </c>
      <c r="C374" s="201">
        <f>QUANT!C902</f>
        <v>93653</v>
      </c>
      <c r="D374" s="201" t="str">
        <f>QUANT!D902</f>
        <v>SINAPI</v>
      </c>
      <c r="E374" s="203" t="str">
        <f>IFERROR(VLOOKUP($C374,'SINAPI FEVEREIRO 2022'!$1:$1048576,2,0),IFERROR(VLOOKUP($C374,'5-COMP. PROPRIA'!$B$1:$I$647,4,0),""))</f>
        <v>DISJUNTOR MONOPOLAR TIPO DIN, CORRENTE NOMINAL DE 10A - FORNECIMENTO E INSTALAÇÃO. AF_10/2020</v>
      </c>
      <c r="F374" s="255" t="str">
        <f>IFERROR(VLOOKUP($C374,'SINAPI FEVEREIRO 2022'!$1:$1048576,3,0),IFERROR(VLOOKUP($C374,'5-COMP. PROPRIA'!$B$1:$I$647,5,0),""))</f>
        <v>UN</v>
      </c>
      <c r="G374" s="204">
        <f>QUANT!K902</f>
        <v>10</v>
      </c>
      <c r="H374" s="256">
        <f>IFERROR(VLOOKUP($C374,'SINAPI FEVEREIRO 2022'!$1:$1048576,4,0),IFERROR(VLOOKUP($C374,'5-COMP. PROPRIA'!$B$1:$I$647,8,0),""))</f>
        <v>11.61</v>
      </c>
      <c r="I374" s="256">
        <f>TRUNC(($H374*'4-BDI'!$E$29),2)</f>
        <v>14.88</v>
      </c>
      <c r="J374" s="266">
        <f t="shared" si="132"/>
        <v>116.1</v>
      </c>
      <c r="K374" s="205">
        <f t="shared" si="133"/>
        <v>148.80000000000001</v>
      </c>
    </row>
    <row r="375" spans="2:11" s="120" customFormat="1" ht="30">
      <c r="B375" s="208" t="s">
        <v>8322</v>
      </c>
      <c r="C375" s="201">
        <f>QUANT!C903</f>
        <v>93654</v>
      </c>
      <c r="D375" s="201" t="str">
        <f>QUANT!D903</f>
        <v>SINAPI</v>
      </c>
      <c r="E375" s="203" t="str">
        <f>IFERROR(VLOOKUP($C375,'SINAPI FEVEREIRO 2022'!$1:$1048576,2,0),IFERROR(VLOOKUP($C375,'5-COMP. PROPRIA'!$B$1:$I$647,4,0),""))</f>
        <v>DISJUNTOR MONOPOLAR TIPO DIN, CORRENTE NOMINAL DE 16A - FORNECIMENTO E INSTALAÇÃO. AF_10/2020</v>
      </c>
      <c r="F375" s="255" t="str">
        <f>IFERROR(VLOOKUP($C375,'SINAPI FEVEREIRO 2022'!$1:$1048576,3,0),IFERROR(VLOOKUP($C375,'5-COMP. PROPRIA'!$B$1:$I$647,5,0),""))</f>
        <v>UN</v>
      </c>
      <c r="G375" s="204">
        <f>QUANT!K903</f>
        <v>20</v>
      </c>
      <c r="H375" s="256">
        <f>IFERROR(VLOOKUP($C375,'SINAPI FEVEREIRO 2022'!$1:$1048576,4,0),IFERROR(VLOOKUP($C375,'5-COMP. PROPRIA'!$B$1:$I$647,8,0),""))</f>
        <v>12.04</v>
      </c>
      <c r="I375" s="256">
        <f>TRUNC(($H375*'4-BDI'!$E$29),2)</f>
        <v>15.44</v>
      </c>
      <c r="J375" s="266">
        <f t="shared" ref="J375:J387" si="136">TRUNC((G375*H375),2)</f>
        <v>240.8</v>
      </c>
      <c r="K375" s="205">
        <f t="shared" ref="K375:K387" si="137">TRUNC((I375*G375),2)</f>
        <v>308.8</v>
      </c>
    </row>
    <row r="376" spans="2:11" s="120" customFormat="1" ht="30">
      <c r="B376" s="208" t="s">
        <v>8323</v>
      </c>
      <c r="C376" s="201">
        <f>QUANT!C904</f>
        <v>93655</v>
      </c>
      <c r="D376" s="201" t="str">
        <f>QUANT!D904</f>
        <v>SINAPI</v>
      </c>
      <c r="E376" s="203" t="str">
        <f>IFERROR(VLOOKUP($C376,'SINAPI FEVEREIRO 2022'!$1:$1048576,2,0),IFERROR(VLOOKUP($C376,'5-COMP. PROPRIA'!$B$1:$I$647,4,0),""))</f>
        <v>DISJUNTOR MONOPOLAR TIPO DIN, CORRENTE NOMINAL DE 20A - FORNECIMENTO E INSTALAÇÃO. AF_10/2020</v>
      </c>
      <c r="F376" s="255" t="str">
        <f>IFERROR(VLOOKUP($C376,'SINAPI FEVEREIRO 2022'!$1:$1048576,3,0),IFERROR(VLOOKUP($C376,'5-COMP. PROPRIA'!$B$1:$I$647,5,0),""))</f>
        <v>UN</v>
      </c>
      <c r="G376" s="204">
        <f>QUANT!K904</f>
        <v>1</v>
      </c>
      <c r="H376" s="256">
        <f>IFERROR(VLOOKUP($C376,'SINAPI FEVEREIRO 2022'!$1:$1048576,4,0),IFERROR(VLOOKUP($C376,'5-COMP. PROPRIA'!$B$1:$I$647,8,0),""))</f>
        <v>12.92</v>
      </c>
      <c r="I376" s="256">
        <f>TRUNC(($H376*'4-BDI'!$E$29),2)</f>
        <v>16.559999999999999</v>
      </c>
      <c r="J376" s="266">
        <f t="shared" si="136"/>
        <v>12.92</v>
      </c>
      <c r="K376" s="205">
        <f t="shared" si="137"/>
        <v>16.559999999999999</v>
      </c>
    </row>
    <row r="377" spans="2:11" s="120" customFormat="1" ht="30">
      <c r="B377" s="208" t="s">
        <v>8324</v>
      </c>
      <c r="C377" s="201">
        <f>QUANT!C905</f>
        <v>93656</v>
      </c>
      <c r="D377" s="201" t="str">
        <f>QUANT!D905</f>
        <v>SINAPI</v>
      </c>
      <c r="E377" s="203" t="str">
        <f>IFERROR(VLOOKUP($C377,'SINAPI FEVEREIRO 2022'!$1:$1048576,2,0),IFERROR(VLOOKUP($C377,'5-COMP. PROPRIA'!$B$1:$I$647,4,0),""))</f>
        <v>DISJUNTOR MONOPOLAR TIPO DIN, CORRENTE NOMINAL DE 25A - FORNECIMENTO E INSTALAÇÃO. AF_10/2020</v>
      </c>
      <c r="F377" s="255" t="str">
        <f>IFERROR(VLOOKUP($C377,'SINAPI FEVEREIRO 2022'!$1:$1048576,3,0),IFERROR(VLOOKUP($C377,'5-COMP. PROPRIA'!$B$1:$I$647,5,0),""))</f>
        <v>UN</v>
      </c>
      <c r="G377" s="204">
        <f>QUANT!K905</f>
        <v>1</v>
      </c>
      <c r="H377" s="256">
        <f>IFERROR(VLOOKUP($C377,'SINAPI FEVEREIRO 2022'!$1:$1048576,4,0),IFERROR(VLOOKUP($C377,'5-COMP. PROPRIA'!$B$1:$I$647,8,0),""))</f>
        <v>12.92</v>
      </c>
      <c r="I377" s="256">
        <f>TRUNC(($H377*'4-BDI'!$E$29),2)</f>
        <v>16.559999999999999</v>
      </c>
      <c r="J377" s="266">
        <f t="shared" si="136"/>
        <v>12.92</v>
      </c>
      <c r="K377" s="205">
        <f t="shared" si="137"/>
        <v>16.559999999999999</v>
      </c>
    </row>
    <row r="378" spans="2:11" s="120" customFormat="1" ht="30">
      <c r="B378" s="208" t="s">
        <v>8325</v>
      </c>
      <c r="C378" s="201">
        <f>QUANT!C906</f>
        <v>93660</v>
      </c>
      <c r="D378" s="201" t="str">
        <f>QUANT!D906</f>
        <v>SINAPI</v>
      </c>
      <c r="E378" s="203" t="str">
        <f>IFERROR(VLOOKUP($C378,'SINAPI FEVEREIRO 2022'!$1:$1048576,2,0),IFERROR(VLOOKUP($C378,'5-COMP. PROPRIA'!$B$1:$I$647,4,0),""))</f>
        <v>DISJUNTOR BIPOLAR TIPO DIN, CORRENTE NOMINAL DE 10A - FORNECIMENTO E INSTALAÇÃO. AF_10/2020</v>
      </c>
      <c r="F378" s="255" t="str">
        <f>IFERROR(VLOOKUP($C378,'SINAPI FEVEREIRO 2022'!$1:$1048576,3,0),IFERROR(VLOOKUP($C378,'5-COMP. PROPRIA'!$B$1:$I$647,5,0),""))</f>
        <v>UN</v>
      </c>
      <c r="G378" s="204">
        <f>QUANT!K906</f>
        <v>2</v>
      </c>
      <c r="H378" s="256">
        <f>IFERROR(VLOOKUP($C378,'SINAPI FEVEREIRO 2022'!$1:$1048576,4,0),IFERROR(VLOOKUP($C378,'5-COMP. PROPRIA'!$B$1:$I$647,8,0),""))</f>
        <v>59.23</v>
      </c>
      <c r="I378" s="256">
        <f>TRUNC(($H378*'4-BDI'!$E$29),2)</f>
        <v>75.95</v>
      </c>
      <c r="J378" s="266">
        <f t="shared" si="136"/>
        <v>118.46</v>
      </c>
      <c r="K378" s="205">
        <f t="shared" si="137"/>
        <v>151.9</v>
      </c>
    </row>
    <row r="379" spans="2:11" s="120" customFormat="1" ht="30">
      <c r="B379" s="208" t="s">
        <v>8326</v>
      </c>
      <c r="C379" s="201">
        <f>QUANT!C907</f>
        <v>93663</v>
      </c>
      <c r="D379" s="201" t="str">
        <f>QUANT!D907</f>
        <v>SINAPI</v>
      </c>
      <c r="E379" s="203" t="str">
        <f>IFERROR(VLOOKUP($C379,'SINAPI FEVEREIRO 2022'!$1:$1048576,2,0),IFERROR(VLOOKUP($C379,'5-COMP. PROPRIA'!$B$1:$I$647,4,0),""))</f>
        <v>DISJUNTOR BIPOLAR TIPO DIN, CORRENTE NOMINAL DE 25A - FORNECIMENTO E INSTALAÇÃO. AF_10/2020</v>
      </c>
      <c r="F379" s="255" t="str">
        <f>IFERROR(VLOOKUP($C379,'SINAPI FEVEREIRO 2022'!$1:$1048576,3,0),IFERROR(VLOOKUP($C379,'5-COMP. PROPRIA'!$B$1:$I$647,5,0),""))</f>
        <v>UN</v>
      </c>
      <c r="G379" s="204">
        <f>QUANT!K907</f>
        <v>26</v>
      </c>
      <c r="H379" s="256">
        <f>IFERROR(VLOOKUP($C379,'SINAPI FEVEREIRO 2022'!$1:$1048576,4,0),IFERROR(VLOOKUP($C379,'5-COMP. PROPRIA'!$B$1:$I$647,8,0),""))</f>
        <v>61.85</v>
      </c>
      <c r="I379" s="256">
        <f>TRUNC(($H379*'4-BDI'!$E$29),2)</f>
        <v>79.31</v>
      </c>
      <c r="J379" s="266">
        <f t="shared" si="136"/>
        <v>1608.1</v>
      </c>
      <c r="K379" s="205">
        <f t="shared" si="137"/>
        <v>2062.06</v>
      </c>
    </row>
    <row r="380" spans="2:11" s="120" customFormat="1" ht="30">
      <c r="B380" s="208" t="s">
        <v>8327</v>
      </c>
      <c r="C380" s="201">
        <f>QUANT!C908</f>
        <v>93671</v>
      </c>
      <c r="D380" s="201" t="str">
        <f>QUANT!D908</f>
        <v>SINAPI</v>
      </c>
      <c r="E380" s="203" t="str">
        <f>IFERROR(VLOOKUP($C380,'SINAPI FEVEREIRO 2022'!$1:$1048576,2,0),IFERROR(VLOOKUP($C380,'5-COMP. PROPRIA'!$B$1:$I$647,4,0),""))</f>
        <v>DISJUNTOR TRIPOLAR TIPO DIN, CORRENTE NOMINAL DE 32A - FORNECIMENTO E INSTALAÇÃO. AF_10/2020</v>
      </c>
      <c r="F380" s="255" t="str">
        <f>IFERROR(VLOOKUP($C380,'SINAPI FEVEREIRO 2022'!$1:$1048576,3,0),IFERROR(VLOOKUP($C380,'5-COMP. PROPRIA'!$B$1:$I$647,5,0),""))</f>
        <v>UN</v>
      </c>
      <c r="G380" s="204">
        <f>QUANT!K908</f>
        <v>2</v>
      </c>
      <c r="H380" s="256">
        <f>IFERROR(VLOOKUP($C380,'SINAPI FEVEREIRO 2022'!$1:$1048576,4,0),IFERROR(VLOOKUP($C380,'5-COMP. PROPRIA'!$B$1:$I$647,8,0),""))</f>
        <v>80.75</v>
      </c>
      <c r="I380" s="256">
        <f>TRUNC(($H380*'4-BDI'!$E$29),2)</f>
        <v>103.55</v>
      </c>
      <c r="J380" s="266">
        <f t="shared" si="136"/>
        <v>161.5</v>
      </c>
      <c r="K380" s="205">
        <f t="shared" si="137"/>
        <v>207.1</v>
      </c>
    </row>
    <row r="381" spans="2:11" s="120" customFormat="1" ht="15">
      <c r="B381" s="208" t="s">
        <v>8328</v>
      </c>
      <c r="C381" s="201" t="str">
        <f>QUANT!C909</f>
        <v>CP-ELE-08</v>
      </c>
      <c r="D381" s="201" t="str">
        <f>QUANT!D909</f>
        <v>PROPRIA</v>
      </c>
      <c r="E381" s="203" t="str">
        <f>IFERROR(VLOOKUP($C381,'SINAPI FEVEREIRO 2022'!$1:$1048576,2,0),IFERROR(VLOOKUP($C381,'5-COMP. PROPRIA'!$B$1:$I$647,4,0),""))</f>
        <v>DISJUNTOR TERMOMAGNETICO TRIPOLAR DIN 150A</v>
      </c>
      <c r="F381" s="255" t="str">
        <f>IFERROR(VLOOKUP($C381,'SINAPI FEVEREIRO 2022'!$1:$1048576,3,0),IFERROR(VLOOKUP($C381,'5-COMP. PROPRIA'!$B$1:$I$647,5,0),""))</f>
        <v>UN</v>
      </c>
      <c r="G381" s="204">
        <f>QUANT!K909</f>
        <v>2</v>
      </c>
      <c r="H381" s="256">
        <f>IFERROR(VLOOKUP($C381,'SINAPI FEVEREIRO 2022'!$1:$1048576,4,0),IFERROR(VLOOKUP($C381,'5-COMP. PROPRIA'!$B$1:$I$647,8,0),""))</f>
        <v>432.98</v>
      </c>
      <c r="I381" s="256">
        <f>TRUNC(($H381*'4-BDI'!$E$29),2)</f>
        <v>555.25</v>
      </c>
      <c r="J381" s="266">
        <f t="shared" si="136"/>
        <v>865.96</v>
      </c>
      <c r="K381" s="205">
        <f t="shared" si="137"/>
        <v>1110.5</v>
      </c>
    </row>
    <row r="382" spans="2:11" s="120" customFormat="1" ht="15">
      <c r="B382" s="208" t="s">
        <v>8329</v>
      </c>
      <c r="C382" s="201" t="str">
        <f>QUANT!C910</f>
        <v>CP-ELE-07</v>
      </c>
      <c r="D382" s="201" t="str">
        <f>QUANT!D910</f>
        <v>PROPRIA</v>
      </c>
      <c r="E382" s="203" t="str">
        <f>IFERROR(VLOOKUP($C382,'SINAPI FEVEREIRO 2022'!$1:$1048576,2,0),IFERROR(VLOOKUP($C382,'5-COMP. PROPRIA'!$B$1:$I$647,4,0),""))</f>
        <v>DISJUNTOR EM CAIXA MOLDADA TRIPOLAR 175A</v>
      </c>
      <c r="F382" s="255" t="str">
        <f>IFERROR(VLOOKUP($C382,'SINAPI FEVEREIRO 2022'!$1:$1048576,3,0),IFERROR(VLOOKUP($C382,'5-COMP. PROPRIA'!$B$1:$I$647,5,0),""))</f>
        <v>UN</v>
      </c>
      <c r="G382" s="204">
        <f>QUANT!K910</f>
        <v>2</v>
      </c>
      <c r="H382" s="256">
        <f>IFERROR(VLOOKUP($C382,'SINAPI FEVEREIRO 2022'!$1:$1048576,4,0),IFERROR(VLOOKUP($C382,'5-COMP. PROPRIA'!$B$1:$I$647,8,0),""))</f>
        <v>117.72</v>
      </c>
      <c r="I382" s="256">
        <f>TRUNC(($H382*'4-BDI'!$E$29),2)</f>
        <v>150.96</v>
      </c>
      <c r="J382" s="266">
        <f t="shared" si="136"/>
        <v>235.44</v>
      </c>
      <c r="K382" s="205">
        <f t="shared" si="137"/>
        <v>301.92</v>
      </c>
    </row>
    <row r="383" spans="2:11" s="120" customFormat="1" ht="15">
      <c r="B383" s="208" t="s">
        <v>8330</v>
      </c>
      <c r="C383" s="201" t="str">
        <f>QUANT!C911</f>
        <v>CP-ELE-06</v>
      </c>
      <c r="D383" s="201" t="str">
        <f>QUANT!D911</f>
        <v>PROPRIA</v>
      </c>
      <c r="E383" s="203" t="str">
        <f>IFERROR(VLOOKUP($C383,'SINAPI FEVEREIRO 2022'!$1:$1048576,2,0),IFERROR(VLOOKUP($C383,'5-COMP. PROPRIA'!$B$1:$I$647,4,0),""))</f>
        <v xml:space="preserve">DISPOSITIVO DE PROTEÇÃO CONTRA SURTO - 175V - 40KA </v>
      </c>
      <c r="F383" s="255" t="str">
        <f>IFERROR(VLOOKUP($C383,'SINAPI FEVEREIRO 2022'!$1:$1048576,3,0),IFERROR(VLOOKUP($C383,'5-COMP. PROPRIA'!$B$1:$I$647,5,0),""))</f>
        <v>UNI</v>
      </c>
      <c r="G383" s="204">
        <f>QUANT!K911</f>
        <v>12</v>
      </c>
      <c r="H383" s="256">
        <f>IFERROR(VLOOKUP($C383,'SINAPI FEVEREIRO 2022'!$1:$1048576,4,0),IFERROR(VLOOKUP($C383,'5-COMP. PROPRIA'!$B$1:$I$647,8,0),""))</f>
        <v>138.56</v>
      </c>
      <c r="I383" s="256">
        <f>TRUNC(($H383*'4-BDI'!$E$29),2)</f>
        <v>177.68</v>
      </c>
      <c r="J383" s="266">
        <f t="shared" si="136"/>
        <v>1662.72</v>
      </c>
      <c r="K383" s="205">
        <f t="shared" si="137"/>
        <v>2132.16</v>
      </c>
    </row>
    <row r="384" spans="2:11" s="120" customFormat="1" ht="15">
      <c r="B384" s="208" t="s">
        <v>8331</v>
      </c>
      <c r="C384" s="201" t="str">
        <f>QUANT!C912</f>
        <v>CP-ELE-11</v>
      </c>
      <c r="D384" s="201" t="str">
        <f>QUANT!D912</f>
        <v>PROPRIA</v>
      </c>
      <c r="E384" s="203" t="str">
        <f>IFERROR(VLOOKUP($C384,'SINAPI FEVEREIRO 2022'!$1:$1048576,2,0),IFERROR(VLOOKUP($C384,'5-COMP. PROPRIA'!$B$1:$I$647,4,0),""))</f>
        <v xml:space="preserve">DISPOSITIVO DR, 2 POLOS, SENSIBILIDADE DE 30 MA, CORRENTE DE 25 A   </v>
      </c>
      <c r="F384" s="255" t="str">
        <f>IFERROR(VLOOKUP($C384,'SINAPI FEVEREIRO 2022'!$1:$1048576,3,0),IFERROR(VLOOKUP($C384,'5-COMP. PROPRIA'!$B$1:$I$647,5,0),""))</f>
        <v>UN</v>
      </c>
      <c r="G384" s="204">
        <f>QUANT!K912</f>
        <v>1</v>
      </c>
      <c r="H384" s="256">
        <f>IFERROR(VLOOKUP($C384,'SINAPI FEVEREIRO 2022'!$1:$1048576,4,0),IFERROR(VLOOKUP($C384,'5-COMP. PROPRIA'!$B$1:$I$647,8,0),""))</f>
        <v>159.61000000000001</v>
      </c>
      <c r="I384" s="256">
        <f>TRUNC(($H384*'4-BDI'!$E$29),2)</f>
        <v>204.68</v>
      </c>
      <c r="J384" s="266">
        <f t="shared" si="136"/>
        <v>159.61000000000001</v>
      </c>
      <c r="K384" s="205">
        <f t="shared" si="137"/>
        <v>204.68</v>
      </c>
    </row>
    <row r="385" spans="2:11" s="120" customFormat="1" ht="15">
      <c r="B385" s="208" t="s">
        <v>8332</v>
      </c>
      <c r="C385" s="201" t="str">
        <f>QUANT!C913</f>
        <v>CP-ELE-12</v>
      </c>
      <c r="D385" s="201" t="str">
        <f>QUANT!D913</f>
        <v>PROPRIA</v>
      </c>
      <c r="E385" s="203" t="str">
        <f>IFERROR(VLOOKUP($C385,'SINAPI FEVEREIRO 2022'!$1:$1048576,2,0),IFERROR(VLOOKUP($C385,'5-COMP. PROPRIA'!$B$1:$I$647,4,0),""))</f>
        <v>DISPOSITIVO DR, 2 POLOS, SENSIBILIDADE DE 30 MA, CORRENTE DE 40 A</v>
      </c>
      <c r="F385" s="255" t="str">
        <f>IFERROR(VLOOKUP($C385,'SINAPI FEVEREIRO 2022'!$1:$1048576,3,0),IFERROR(VLOOKUP($C385,'5-COMP. PROPRIA'!$B$1:$I$647,5,0),""))</f>
        <v>UN</v>
      </c>
      <c r="G385" s="204">
        <f>QUANT!K913</f>
        <v>1</v>
      </c>
      <c r="H385" s="256">
        <f>IFERROR(VLOOKUP($C385,'SINAPI FEVEREIRO 2022'!$1:$1048576,4,0),IFERROR(VLOOKUP($C385,'5-COMP. PROPRIA'!$B$1:$I$647,8,0),""))</f>
        <v>165.01</v>
      </c>
      <c r="I385" s="256">
        <f>TRUNC(($H385*'4-BDI'!$E$29),2)</f>
        <v>211.6</v>
      </c>
      <c r="J385" s="266">
        <f t="shared" si="136"/>
        <v>165.01</v>
      </c>
      <c r="K385" s="205">
        <f t="shared" si="137"/>
        <v>211.6</v>
      </c>
    </row>
    <row r="386" spans="2:11" s="120" customFormat="1" ht="30">
      <c r="B386" s="208" t="s">
        <v>13323</v>
      </c>
      <c r="C386" s="201">
        <f>QUANT!C914</f>
        <v>101902</v>
      </c>
      <c r="D386" s="201" t="str">
        <f>QUANT!D914</f>
        <v>SINAPI</v>
      </c>
      <c r="E386" s="203" t="str">
        <f>IFERROR(VLOOKUP($C386,'SINAPI FEVEREIRO 2022'!$1:$1048576,2,0),IFERROR(VLOOKUP($C386,'5-COMP. PROPRIA'!$B$1:$I$647,4,0),""))</f>
        <v>CONTATOR TRIPOLAR I NOMINAL 22A - FORNECIMENTO E INSTALAÇÃO. AF_10/2020</v>
      </c>
      <c r="F386" s="255" t="str">
        <f>IFERROR(VLOOKUP($C386,'SINAPI FEVEREIRO 2022'!$1:$1048576,3,0),IFERROR(VLOOKUP($C386,'5-COMP. PROPRIA'!$B$1:$I$647,5,0),""))</f>
        <v>UN</v>
      </c>
      <c r="G386" s="204">
        <f>QUANT!K914</f>
        <v>1</v>
      </c>
      <c r="H386" s="256">
        <f>IFERROR(VLOOKUP($C386,'SINAPI FEVEREIRO 2022'!$1:$1048576,4,0),IFERROR(VLOOKUP($C386,'5-COMP. PROPRIA'!$B$1:$I$647,8,0),""))</f>
        <v>170.01</v>
      </c>
      <c r="I386" s="256">
        <f>TRUNC(($H386*'4-BDI'!$E$29),2)</f>
        <v>218.02</v>
      </c>
      <c r="J386" s="266">
        <f t="shared" si="136"/>
        <v>170.01</v>
      </c>
      <c r="K386" s="205">
        <f t="shared" si="137"/>
        <v>218.02</v>
      </c>
    </row>
    <row r="387" spans="2:11" s="120" customFormat="1" ht="15">
      <c r="B387" s="208" t="s">
        <v>13324</v>
      </c>
      <c r="C387" s="201" t="str">
        <f>QUANT!C915</f>
        <v>CP-ELE-13</v>
      </c>
      <c r="D387" s="201" t="str">
        <f>QUANT!D915</f>
        <v>PROPRIA</v>
      </c>
      <c r="E387" s="203" t="str">
        <f>IFERROR(VLOOKUP($C387,'SINAPI FEVEREIRO 2022'!$1:$1048576,2,0),IFERROR(VLOOKUP($C387,'5-COMP. PROPRIA'!$B$1:$I$647,4,0),""))</f>
        <v xml:space="preserve">DISJUNTOR MOTOR DE 4A A 6A      </v>
      </c>
      <c r="F387" s="255" t="str">
        <f>IFERROR(VLOOKUP($C387,'SINAPI FEVEREIRO 2022'!$1:$1048576,3,0),IFERROR(VLOOKUP($C387,'5-COMP. PROPRIA'!$B$1:$I$647,5,0),""))</f>
        <v>UN</v>
      </c>
      <c r="G387" s="204">
        <f>QUANT!K915</f>
        <v>1</v>
      </c>
      <c r="H387" s="256">
        <f>IFERROR(VLOOKUP($C387,'SINAPI FEVEREIRO 2022'!$1:$1048576,4,0),IFERROR(VLOOKUP($C387,'5-COMP. PROPRIA'!$B$1:$I$647,8,0),""))</f>
        <v>315.72000000000003</v>
      </c>
      <c r="I387" s="256">
        <f>TRUNC(($H387*'4-BDI'!$E$29),2)</f>
        <v>404.87</v>
      </c>
      <c r="J387" s="266">
        <f t="shared" si="136"/>
        <v>315.72000000000003</v>
      </c>
      <c r="K387" s="205">
        <f t="shared" si="137"/>
        <v>404.87</v>
      </c>
    </row>
    <row r="388" spans="2:11" s="120" customFormat="1" ht="15.75" customHeight="1">
      <c r="B388" s="915" t="s">
        <v>8287</v>
      </c>
      <c r="C388" s="916"/>
      <c r="D388" s="916"/>
      <c r="E388" s="916"/>
      <c r="F388" s="916"/>
      <c r="G388" s="916"/>
      <c r="H388" s="916"/>
      <c r="I388" s="917"/>
      <c r="J388" s="207">
        <f>TRUNC(SUM(J374:J387),2)</f>
        <v>5845.27</v>
      </c>
      <c r="K388" s="207">
        <f>TRUNC(SUM(K374:K387),2)</f>
        <v>7495.53</v>
      </c>
    </row>
    <row r="389" spans="2:11" s="280" customFormat="1" ht="15.75">
      <c r="B389" s="738" t="s">
        <v>8333</v>
      </c>
      <c r="C389" s="609"/>
      <c r="D389" s="609"/>
      <c r="E389" s="610" t="str">
        <f>QUANT!E917</f>
        <v>ELETRODUTO PVC FLEXÍVEL</v>
      </c>
      <c r="F389" s="611"/>
      <c r="G389" s="612"/>
      <c r="H389" s="613"/>
      <c r="I389" s="613"/>
      <c r="J389" s="616"/>
      <c r="K389" s="615"/>
    </row>
    <row r="390" spans="2:11" s="120" customFormat="1" ht="45">
      <c r="B390" s="208" t="s">
        <v>8334</v>
      </c>
      <c r="C390" s="201">
        <f>QUANT!C919</f>
        <v>91834</v>
      </c>
      <c r="D390" s="201" t="str">
        <f>QUANT!D919</f>
        <v>SINAPI</v>
      </c>
      <c r="E390" s="203" t="str">
        <f>IFERROR(VLOOKUP($C390,'SINAPI FEVEREIRO 2022'!$1:$1048576,2,0),IFERROR(VLOOKUP($C390,'5-COMP. PROPRIA'!$B$1:$I$647,4,0),""))</f>
        <v>ELETRODUTO FLEXÍVEL CORRUGADO, PVC, DN 25 MM (3/4"), PARA CIRCUITOS TERMINAIS, INSTALADO EM FORRO - FORNECIMENTO E INSTALAÇÃO. AF_12/2015</v>
      </c>
      <c r="F390" s="255" t="str">
        <f>IFERROR(VLOOKUP($C390,'SINAPI FEVEREIRO 2022'!$1:$1048576,3,0),IFERROR(VLOOKUP($C390,'5-COMP. PROPRIA'!$B$1:$I$647,5,0),""))</f>
        <v>M</v>
      </c>
      <c r="G390" s="204">
        <f>QUANT!K919</f>
        <v>1400</v>
      </c>
      <c r="H390" s="256">
        <f>IFERROR(VLOOKUP($C390,'SINAPI FEVEREIRO 2022'!$1:$1048576,4,0),IFERROR(VLOOKUP($C390,'5-COMP. PROPRIA'!$B$1:$I$647,8,0),""))</f>
        <v>7.5</v>
      </c>
      <c r="I390" s="256">
        <f>TRUNC(($H390*'4-BDI'!$E$29),2)</f>
        <v>9.61</v>
      </c>
      <c r="J390" s="266">
        <f t="shared" ref="J390:J392" si="138">TRUNC((G390*H390),2)</f>
        <v>10500</v>
      </c>
      <c r="K390" s="205">
        <f t="shared" ref="K390:K392" si="139">TRUNC((I390*G390),2)</f>
        <v>13454</v>
      </c>
    </row>
    <row r="391" spans="2:11" s="120" customFormat="1" ht="45">
      <c r="B391" s="208" t="s">
        <v>8335</v>
      </c>
      <c r="C391" s="201">
        <f>QUANT!C920</f>
        <v>91836</v>
      </c>
      <c r="D391" s="201" t="str">
        <f>QUANT!D920</f>
        <v>SINAPI</v>
      </c>
      <c r="E391" s="203" t="str">
        <f>IFERROR(VLOOKUP($C391,'SINAPI FEVEREIRO 2022'!$1:$1048576,2,0),IFERROR(VLOOKUP($C391,'5-COMP. PROPRIA'!$B$1:$I$647,4,0),""))</f>
        <v>ELETRODUTO FLEXÍVEL CORRUGADO, PVC, DN 32 MM (1"), PARA CIRCUITOS TERMINAIS, INSTALADO EM FORRO - FORNECIMENTO E INSTALAÇÃO. AF_12/2015</v>
      </c>
      <c r="F391" s="255" t="str">
        <f>IFERROR(VLOOKUP($C391,'SINAPI FEVEREIRO 2022'!$1:$1048576,3,0),IFERROR(VLOOKUP($C391,'5-COMP. PROPRIA'!$B$1:$I$647,5,0),""))</f>
        <v>M</v>
      </c>
      <c r="G391" s="204">
        <f>QUANT!K920</f>
        <v>100</v>
      </c>
      <c r="H391" s="256">
        <f>IFERROR(VLOOKUP($C391,'SINAPI FEVEREIRO 2022'!$1:$1048576,4,0),IFERROR(VLOOKUP($C391,'5-COMP. PROPRIA'!$B$1:$I$647,8,0),""))</f>
        <v>9.81</v>
      </c>
      <c r="I391" s="256">
        <f>TRUNC(($H391*'4-BDI'!$E$29),2)</f>
        <v>12.58</v>
      </c>
      <c r="J391" s="266">
        <f t="shared" si="138"/>
        <v>981</v>
      </c>
      <c r="K391" s="205">
        <f t="shared" si="139"/>
        <v>1258</v>
      </c>
    </row>
    <row r="392" spans="2:11" s="120" customFormat="1" ht="45">
      <c r="B392" s="208" t="s">
        <v>8336</v>
      </c>
      <c r="C392" s="201">
        <f>QUANT!C921</f>
        <v>97669</v>
      </c>
      <c r="D392" s="201" t="str">
        <f>QUANT!D921</f>
        <v>SINAPI</v>
      </c>
      <c r="E392" s="203" t="str">
        <f>IFERROR(VLOOKUP($C392,'SINAPI FEVEREIRO 2022'!$1:$1048576,2,0),IFERROR(VLOOKUP($C392,'5-COMP. PROPRIA'!$B$1:$I$647,4,0),""))</f>
        <v>ELETRODUTO FLEXÍVEL CORRUGADO, PEAD, DN 90 (3"), PARA REDE ENTERRADA DE DISTRIBUIÇÃO DE ENERGIA ELÉTRICA - FORNECIMENTO E INSTALAÇÃO. AF_12/2021</v>
      </c>
      <c r="F392" s="255" t="str">
        <f>IFERROR(VLOOKUP($C392,'SINAPI FEVEREIRO 2022'!$1:$1048576,3,0),IFERROR(VLOOKUP($C392,'5-COMP. PROPRIA'!$B$1:$I$647,5,0),""))</f>
        <v>M</v>
      </c>
      <c r="G392" s="204">
        <f>QUANT!K921</f>
        <v>65</v>
      </c>
      <c r="H392" s="256">
        <f>IFERROR(VLOOKUP($C392,'SINAPI FEVEREIRO 2022'!$1:$1048576,4,0),IFERROR(VLOOKUP($C392,'5-COMP. PROPRIA'!$B$1:$I$647,8,0),""))</f>
        <v>12.96</v>
      </c>
      <c r="I392" s="256">
        <f>TRUNC(($H392*'4-BDI'!$E$29),2)</f>
        <v>16.61</v>
      </c>
      <c r="J392" s="266">
        <f t="shared" si="138"/>
        <v>842.4</v>
      </c>
      <c r="K392" s="205">
        <f t="shared" si="139"/>
        <v>1079.6500000000001</v>
      </c>
    </row>
    <row r="393" spans="2:11" s="120" customFormat="1" ht="15.75" customHeight="1">
      <c r="B393" s="915" t="s">
        <v>8287</v>
      </c>
      <c r="C393" s="916"/>
      <c r="D393" s="916"/>
      <c r="E393" s="916"/>
      <c r="F393" s="916"/>
      <c r="G393" s="916"/>
      <c r="H393" s="916"/>
      <c r="I393" s="917"/>
      <c r="J393" s="207">
        <f>TRUNC(SUM(J390:J392),2)</f>
        <v>12323.4</v>
      </c>
      <c r="K393" s="207">
        <f>TRUNC(SUM(K390:K392),2)</f>
        <v>15791.65</v>
      </c>
    </row>
    <row r="394" spans="2:11" s="280" customFormat="1" ht="15.75">
      <c r="B394" s="738" t="s">
        <v>8337</v>
      </c>
      <c r="C394" s="609"/>
      <c r="D394" s="609"/>
      <c r="E394" s="610" t="str">
        <f>QUANT!E923</f>
        <v>LUMINÁRIAS E ACESSÓRIOS</v>
      </c>
      <c r="F394" s="611"/>
      <c r="G394" s="612"/>
      <c r="H394" s="613"/>
      <c r="I394" s="613"/>
      <c r="J394" s="616"/>
      <c r="K394" s="615"/>
    </row>
    <row r="395" spans="2:11" s="120" customFormat="1" ht="30">
      <c r="B395" s="208" t="s">
        <v>8338</v>
      </c>
      <c r="C395" s="201" t="str">
        <f>QUANT!C925</f>
        <v>CP-ELE-05</v>
      </c>
      <c r="D395" s="201" t="str">
        <f>QUANT!D925</f>
        <v>PROPRIA</v>
      </c>
      <c r="E395" s="203" t="str">
        <f>IFERROR(VLOOKUP($C395,'SINAPI FEVEREIRO 2022'!$1:$1048576,2,0),IFERROR(VLOOKUP($C395,'5-COMP. PROPRIA'!$B$1:$I$647,4,0),""))</f>
        <v>LUMINARIA DE TETO PLAFON/PLAFONIER EM PLASTICO COM BASE E27, POTENCIA 40 W (INCLUI LAMPADA LED) - FORNECIMENTO E INSTALAÇÃO</v>
      </c>
      <c r="F395" s="255" t="str">
        <f>IFERROR(VLOOKUP($C395,'SINAPI FEVEREIRO 2022'!$1:$1048576,3,0),IFERROR(VLOOKUP($C395,'5-COMP. PROPRIA'!$B$1:$I$647,5,0),""))</f>
        <v>UNI</v>
      </c>
      <c r="G395" s="204">
        <f>QUANT!K925</f>
        <v>100</v>
      </c>
      <c r="H395" s="256">
        <f>IFERROR(VLOOKUP($C395,'SINAPI FEVEREIRO 2022'!$1:$1048576,4,0),IFERROR(VLOOKUP($C395,'5-COMP. PROPRIA'!$B$1:$I$647,8,0),""))</f>
        <v>95.61</v>
      </c>
      <c r="I395" s="256">
        <f>TRUNC(($H395*'4-BDI'!$E$29),2)</f>
        <v>122.61</v>
      </c>
      <c r="J395" s="266">
        <f t="shared" ref="J395" si="140">TRUNC((G395*H395),2)</f>
        <v>9561</v>
      </c>
      <c r="K395" s="205">
        <f t="shared" ref="K395" si="141">TRUNC((I395*G395),2)</f>
        <v>12261</v>
      </c>
    </row>
    <row r="396" spans="2:11" s="120" customFormat="1" ht="30">
      <c r="B396" s="208" t="s">
        <v>8339</v>
      </c>
      <c r="C396" s="201" t="str">
        <f>QUANT!C926</f>
        <v>CP-ELE-04</v>
      </c>
      <c r="D396" s="201" t="str">
        <f>QUANT!D926</f>
        <v>PROPRIA</v>
      </c>
      <c r="E396" s="203" t="str">
        <f>IFERROR(VLOOKUP($C396,'SINAPI FEVEREIRO 2022'!$1:$1048576,2,0),IFERROR(VLOOKUP($C396,'5-COMP. PROPRIA'!$B$1:$I$647,4,0),""))</f>
        <v>LUMINARIA Á PROVA DE EXPLOSÃO LED 20 W (INCLUI LAMPADA) - FORNECIMENTO E INSTALAÇÃO</v>
      </c>
      <c r="F396" s="255" t="str">
        <f>IFERROR(VLOOKUP($C396,'SINAPI FEVEREIRO 2022'!$1:$1048576,3,0),IFERROR(VLOOKUP($C396,'5-COMP. PROPRIA'!$B$1:$I$647,5,0),""))</f>
        <v>UNI</v>
      </c>
      <c r="G396" s="204">
        <f>QUANT!K926</f>
        <v>4</v>
      </c>
      <c r="H396" s="256">
        <f>IFERROR(VLOOKUP($C396,'SINAPI FEVEREIRO 2022'!$1:$1048576,4,0),IFERROR(VLOOKUP($C396,'5-COMP. PROPRIA'!$B$1:$I$647,8,0),""))</f>
        <v>182.09</v>
      </c>
      <c r="I396" s="256">
        <f>TRUNC(($H396*'4-BDI'!$E$29),2)</f>
        <v>233.51</v>
      </c>
      <c r="J396" s="266">
        <f t="shared" ref="J396:J398" si="142">TRUNC((G396*H396),2)</f>
        <v>728.36</v>
      </c>
      <c r="K396" s="205">
        <f t="shared" ref="K396:K398" si="143">TRUNC((I396*G396),2)</f>
        <v>934.04</v>
      </c>
    </row>
    <row r="397" spans="2:11" s="120" customFormat="1" ht="30">
      <c r="B397" s="208" t="s">
        <v>8340</v>
      </c>
      <c r="C397" s="201">
        <f>QUANT!C927</f>
        <v>97599</v>
      </c>
      <c r="D397" s="201" t="str">
        <f>QUANT!D927</f>
        <v>SINAPI</v>
      </c>
      <c r="E397" s="203" t="str">
        <f>IFERROR(VLOOKUP($C397,'SINAPI FEVEREIRO 2022'!$1:$1048576,2,0),IFERROR(VLOOKUP($C397,'5-COMP. PROPRIA'!$B$1:$I$647,4,0),""))</f>
        <v>LUMINÁRIA DE EMERGÊNCIA, COM 30 LÂMPADAS LED DE 2 W, SEM REATOR - FORNECIMENTO E INSTALAÇÃO. AF_02/2020</v>
      </c>
      <c r="F397" s="255" t="str">
        <f>IFERROR(VLOOKUP($C397,'SINAPI FEVEREIRO 2022'!$1:$1048576,3,0),IFERROR(VLOOKUP($C397,'5-COMP. PROPRIA'!$B$1:$I$647,5,0),""))</f>
        <v>UN</v>
      </c>
      <c r="G397" s="204">
        <f>QUANT!K927</f>
        <v>20</v>
      </c>
      <c r="H397" s="256">
        <f>IFERROR(VLOOKUP($C397,'SINAPI FEVEREIRO 2022'!$1:$1048576,4,0),IFERROR(VLOOKUP($C397,'5-COMP. PROPRIA'!$B$1:$I$647,8,0),""))</f>
        <v>23.32</v>
      </c>
      <c r="I397" s="256">
        <f>TRUNC(($H397*'4-BDI'!$E$29),2)</f>
        <v>29.9</v>
      </c>
      <c r="J397" s="266">
        <f t="shared" si="142"/>
        <v>466.4</v>
      </c>
      <c r="K397" s="205">
        <f t="shared" si="143"/>
        <v>598</v>
      </c>
    </row>
    <row r="398" spans="2:11" s="120" customFormat="1" ht="15">
      <c r="B398" s="208" t="s">
        <v>8341</v>
      </c>
      <c r="C398" s="201" t="str">
        <f>QUANT!C928</f>
        <v>CP-ELE-01</v>
      </c>
      <c r="D398" s="201" t="str">
        <f>QUANT!D928</f>
        <v>PROPRIA</v>
      </c>
      <c r="E398" s="203" t="str">
        <f>IFERROR(VLOOKUP($C398,'SINAPI FEVEREIRO 2022'!$1:$1048576,2,0),IFERROR(VLOOKUP($C398,'5-COMP. PROPRIA'!$B$1:$I$647,4,0),""))</f>
        <v>REFLETOR LED 50 W - FORNECIMENTO E INSTALAÇÃO</v>
      </c>
      <c r="F398" s="255" t="str">
        <f>IFERROR(VLOOKUP($C398,'SINAPI FEVEREIRO 2022'!$1:$1048576,3,0),IFERROR(VLOOKUP($C398,'5-COMP. PROPRIA'!$B$1:$I$647,5,0),""))</f>
        <v>UNI</v>
      </c>
      <c r="G398" s="204">
        <f>QUANT!K928</f>
        <v>21</v>
      </c>
      <c r="H398" s="256">
        <f>IFERROR(VLOOKUP($C398,'SINAPI FEVEREIRO 2022'!$1:$1048576,4,0),IFERROR(VLOOKUP($C398,'5-COMP. PROPRIA'!$B$1:$I$647,8,0),""))</f>
        <v>231.76</v>
      </c>
      <c r="I398" s="256">
        <f>TRUNC(($H398*'4-BDI'!$E$29),2)</f>
        <v>297.2</v>
      </c>
      <c r="J398" s="266">
        <f t="shared" si="142"/>
        <v>4866.96</v>
      </c>
      <c r="K398" s="205">
        <f t="shared" si="143"/>
        <v>6241.2</v>
      </c>
    </row>
    <row r="399" spans="2:11" s="120" customFormat="1" ht="30.75" customHeight="1">
      <c r="B399" s="208" t="s">
        <v>8342</v>
      </c>
      <c r="C399" s="201">
        <f>QUANT!C929</f>
        <v>91937</v>
      </c>
      <c r="D399" s="201" t="str">
        <f>QUANT!D929</f>
        <v>SINAPI</v>
      </c>
      <c r="E399" s="203" t="str">
        <f>IFERROR(VLOOKUP($C399,'SINAPI FEVEREIRO 2022'!$1:$1048576,2,0),IFERROR(VLOOKUP($C399,'5-COMP. PROPRIA'!$B$1:$I$647,4,0),""))</f>
        <v>CAIXA OCTOGONAL 3" X 3", PVC, INSTALADA EM LAJE - FORNECIMENTO E INSTALAÇÃO. AF_12/2015</v>
      </c>
      <c r="F399" s="255" t="str">
        <f>IFERROR(VLOOKUP($C399,'SINAPI FEVEREIRO 2022'!$1:$1048576,3,0),IFERROR(VLOOKUP($C399,'5-COMP. PROPRIA'!$B$1:$I$647,5,0),""))</f>
        <v>UN</v>
      </c>
      <c r="G399" s="204">
        <f>QUANT!K929</f>
        <v>100</v>
      </c>
      <c r="H399" s="256">
        <f>IFERROR(VLOOKUP($C399,'SINAPI FEVEREIRO 2022'!$1:$1048576,4,0),IFERROR(VLOOKUP($C399,'5-COMP. PROPRIA'!$B$1:$I$647,8,0),""))</f>
        <v>8.9499999999999993</v>
      </c>
      <c r="I399" s="256">
        <f>TRUNC(($H399*'4-BDI'!$E$29),2)</f>
        <v>11.47</v>
      </c>
      <c r="J399" s="266">
        <f t="shared" ref="J399" si="144">TRUNC((G399*H399),2)</f>
        <v>895</v>
      </c>
      <c r="K399" s="205">
        <f t="shared" ref="K399" si="145">TRUNC((I399*G399),2)</f>
        <v>1147</v>
      </c>
    </row>
    <row r="400" spans="2:11" s="120" customFormat="1" ht="30.75" customHeight="1">
      <c r="B400" s="208" t="s">
        <v>8343</v>
      </c>
      <c r="C400" s="201" t="str">
        <f>QUANT!C930</f>
        <v>CP-ELE-10</v>
      </c>
      <c r="D400" s="201" t="str">
        <f>QUANT!D930</f>
        <v>PROPRIA</v>
      </c>
      <c r="E400" s="203" t="str">
        <f>IFERROR(VLOOKUP($C400,'SINAPI FEVEREIRO 2022'!$1:$1048576,2,0),IFERROR(VLOOKUP($C400,'5-COMP. PROPRIA'!$B$1:$I$647,4,0),""))</f>
        <v>REFLETOR LED 100 W - FORNECIMENTO E INSTALAÇÃO</v>
      </c>
      <c r="F400" s="255" t="str">
        <f>IFERROR(VLOOKUP($C400,'SINAPI FEVEREIRO 2022'!$1:$1048576,3,0),IFERROR(VLOOKUP($C400,'5-COMP. PROPRIA'!$B$1:$I$647,5,0),""))</f>
        <v>UN</v>
      </c>
      <c r="G400" s="204">
        <f>QUANT!K930</f>
        <v>6</v>
      </c>
      <c r="H400" s="256">
        <f>IFERROR(VLOOKUP($C400,'SINAPI FEVEREIRO 2022'!$1:$1048576,4,0),IFERROR(VLOOKUP($C400,'5-COMP. PROPRIA'!$B$1:$I$647,8,0),""))</f>
        <v>116.99</v>
      </c>
      <c r="I400" s="256">
        <f>TRUNC(($H400*'4-BDI'!$E$29),2)</f>
        <v>150.02000000000001</v>
      </c>
      <c r="J400" s="266">
        <f t="shared" ref="J400" si="146">TRUNC((G400*H400),2)</f>
        <v>701.94</v>
      </c>
      <c r="K400" s="205">
        <f t="shared" ref="K400" si="147">TRUNC((I400*G400),2)</f>
        <v>900.12</v>
      </c>
    </row>
    <row r="401" spans="2:11" s="120" customFormat="1" ht="15.75" customHeight="1">
      <c r="B401" s="915" t="s">
        <v>8287</v>
      </c>
      <c r="C401" s="916"/>
      <c r="D401" s="916"/>
      <c r="E401" s="916"/>
      <c r="F401" s="916"/>
      <c r="G401" s="916"/>
      <c r="H401" s="916"/>
      <c r="I401" s="917"/>
      <c r="J401" s="207">
        <f>TRUNC(SUM(J395:J400),2)</f>
        <v>17219.66</v>
      </c>
      <c r="K401" s="207">
        <f>TRUNC(SUM(K395:K400),2)</f>
        <v>22081.360000000001</v>
      </c>
    </row>
    <row r="402" spans="2:11" s="280" customFormat="1" ht="15.75">
      <c r="B402" s="738" t="s">
        <v>8344</v>
      </c>
      <c r="C402" s="609"/>
      <c r="D402" s="609"/>
      <c r="E402" s="610" t="str">
        <f>QUANT!E932</f>
        <v>QUADROS DE DISTRIBUIÇÃO</v>
      </c>
      <c r="F402" s="611"/>
      <c r="G402" s="612"/>
      <c r="H402" s="613"/>
      <c r="I402" s="613"/>
      <c r="J402" s="616"/>
      <c r="K402" s="615"/>
    </row>
    <row r="403" spans="2:11" s="120" customFormat="1" ht="45">
      <c r="B403" s="208" t="s">
        <v>8345</v>
      </c>
      <c r="C403" s="201">
        <f>QUANT!C934</f>
        <v>101876</v>
      </c>
      <c r="D403" s="201" t="str">
        <f>QUANT!D934</f>
        <v>SINAPI</v>
      </c>
      <c r="E403" s="203" t="str">
        <f>IFERROR(VLOOKUP($C403,'SINAPI FEVEREIRO 2022'!$1:$1048576,2,0),IFERROR(VLOOKUP($C403,'5-COMP. PROPRIA'!$B$1:$I$647,4,0),""))</f>
        <v>QUADRO DE DISTRIBUIÇÃO DE ENERGIA EM PVC, DE EMBUTIR, SEM BARRAMENTO, PARA 6 DISJUNTORES - FORNECIMENTO E INSTALAÇÃO. AF_10/2020</v>
      </c>
      <c r="F403" s="255" t="str">
        <f>IFERROR(VLOOKUP($C403,'SINAPI FEVEREIRO 2022'!$1:$1048576,3,0),IFERROR(VLOOKUP($C403,'5-COMP. PROPRIA'!$B$1:$I$647,5,0),""))</f>
        <v>UN</v>
      </c>
      <c r="G403" s="204">
        <f>QUANT!K934</f>
        <v>1</v>
      </c>
      <c r="H403" s="256">
        <f>IFERROR(VLOOKUP($C403,'SINAPI FEVEREIRO 2022'!$1:$1048576,4,0),IFERROR(VLOOKUP($C403,'5-COMP. PROPRIA'!$B$1:$I$647,8,0),""))</f>
        <v>68.25</v>
      </c>
      <c r="I403" s="256">
        <f>TRUNC(($H403*'4-BDI'!$E$29),2)</f>
        <v>87.52</v>
      </c>
      <c r="J403" s="266">
        <f t="shared" ref="J403" si="148">TRUNC((G403*H403),2)</f>
        <v>68.25</v>
      </c>
      <c r="K403" s="205">
        <f t="shared" ref="K403" si="149">TRUNC((I403*G403),2)</f>
        <v>87.52</v>
      </c>
    </row>
    <row r="404" spans="2:11" s="120" customFormat="1" ht="45">
      <c r="B404" s="208" t="s">
        <v>8346</v>
      </c>
      <c r="C404" s="201">
        <f>QUANT!C935</f>
        <v>101883</v>
      </c>
      <c r="D404" s="201" t="str">
        <f>QUANT!D935</f>
        <v>SINAPI</v>
      </c>
      <c r="E404" s="203" t="str">
        <f>IFERROR(VLOOKUP($C404,'SINAPI FEVEREIRO 2022'!$1:$1048576,2,0),IFERROR(VLOOKUP($C404,'5-COMP. PROPRIA'!$B$1:$I$647,4,0),""))</f>
        <v>QUADRO DE DISTRIBUIÇÃO DE ENERGIA EM CHAPA DE AÇO GALVANIZADO, DE EMBUTIR, COM BARRAMENTO TRIFÁSICO, PARA 18 DISJUNTORES DIN 100A - FORNECIMENTO E INSTALAÇÃO. AF_10/2020</v>
      </c>
      <c r="F404" s="255" t="str">
        <f>IFERROR(VLOOKUP($C404,'SINAPI FEVEREIRO 2022'!$1:$1048576,3,0),IFERROR(VLOOKUP($C404,'5-COMP. PROPRIA'!$B$1:$I$647,5,0),""))</f>
        <v>UN</v>
      </c>
      <c r="G404" s="204">
        <f>QUANT!K935</f>
        <v>1</v>
      </c>
      <c r="H404" s="256">
        <f>IFERROR(VLOOKUP($C404,'SINAPI FEVEREIRO 2022'!$1:$1048576,4,0),IFERROR(VLOOKUP($C404,'5-COMP. PROPRIA'!$B$1:$I$647,8,0),""))</f>
        <v>636.65</v>
      </c>
      <c r="I404" s="256">
        <f>TRUNC(($H404*'4-BDI'!$E$29),2)</f>
        <v>816.43</v>
      </c>
      <c r="J404" s="266">
        <f t="shared" ref="J404:J405" si="150">TRUNC((G404*H404),2)</f>
        <v>636.65</v>
      </c>
      <c r="K404" s="205">
        <f t="shared" ref="K404:K405" si="151">TRUNC((I404*G404),2)</f>
        <v>816.43</v>
      </c>
    </row>
    <row r="405" spans="2:11" s="120" customFormat="1" ht="30">
      <c r="B405" s="208" t="s">
        <v>8347</v>
      </c>
      <c r="C405" s="201" t="str">
        <f>QUANT!C936</f>
        <v>CP-ELE-09</v>
      </c>
      <c r="D405" s="201" t="str">
        <f>QUANT!D936</f>
        <v>PROPRIA</v>
      </c>
      <c r="E405" s="203" t="str">
        <f>IFERROR(VLOOKUP($C405,'SINAPI FEVEREIRO 2022'!$1:$1048576,2,0),IFERROR(VLOOKUP($C405,'5-COMP. PROPRIA'!$B$1:$I$647,4,0),""))</f>
        <v xml:space="preserve">QUADRO DE DISTRIBUICAO COM BARRAMENTO TRIFASICO, DE EMBUTIR, EM CHAPA DE ACO GALVANIZADO, PARA 48 DISJUNTORES DIN  </v>
      </c>
      <c r="F405" s="255" t="str">
        <f>IFERROR(VLOOKUP($C405,'SINAPI FEVEREIRO 2022'!$1:$1048576,3,0),IFERROR(VLOOKUP($C405,'5-COMP. PROPRIA'!$B$1:$I$647,5,0),""))</f>
        <v>UN</v>
      </c>
      <c r="G405" s="204">
        <f>QUANT!K936</f>
        <v>2</v>
      </c>
      <c r="H405" s="256">
        <f>IFERROR(VLOOKUP($C405,'SINAPI FEVEREIRO 2022'!$1:$1048576,4,0),IFERROR(VLOOKUP($C405,'5-COMP. PROPRIA'!$B$1:$I$647,8,0),""))</f>
        <v>1344.51</v>
      </c>
      <c r="I405" s="256">
        <f>TRUNC(($H405*'4-BDI'!$E$29),2)</f>
        <v>1724.19</v>
      </c>
      <c r="J405" s="266">
        <f t="shared" si="150"/>
        <v>2689.02</v>
      </c>
      <c r="K405" s="205">
        <f t="shared" si="151"/>
        <v>3448.38</v>
      </c>
    </row>
    <row r="406" spans="2:11" s="120" customFormat="1" ht="15.75" customHeight="1">
      <c r="B406" s="915" t="s">
        <v>8287</v>
      </c>
      <c r="C406" s="916"/>
      <c r="D406" s="916"/>
      <c r="E406" s="916"/>
      <c r="F406" s="916"/>
      <c r="G406" s="916"/>
      <c r="H406" s="916"/>
      <c r="I406" s="917"/>
      <c r="J406" s="207">
        <f>TRUNC(SUM(J403:J405),2)</f>
        <v>3393.92</v>
      </c>
      <c r="K406" s="207">
        <f>TRUNC(SUM(K403:K405),2)</f>
        <v>4352.33</v>
      </c>
    </row>
    <row r="407" spans="2:11" s="120" customFormat="1" ht="15.75" customHeight="1">
      <c r="B407" s="915" t="s">
        <v>8286</v>
      </c>
      <c r="C407" s="916"/>
      <c r="D407" s="916"/>
      <c r="E407" s="916"/>
      <c r="F407" s="916"/>
      <c r="G407" s="916"/>
      <c r="H407" s="916"/>
      <c r="I407" s="917"/>
      <c r="J407" s="207">
        <f>TRUNC(SUM(J345,J364,J372,J388,J393,J401,J406),2)</f>
        <v>112167.46</v>
      </c>
      <c r="K407" s="207">
        <f>TRUNC(SUM(K345,K364,K372,K388,K393,K401,K406),2)</f>
        <v>143788.28</v>
      </c>
    </row>
    <row r="408" spans="2:11" s="120" customFormat="1" ht="15.75" customHeight="1">
      <c r="B408" s="739" t="s">
        <v>4129</v>
      </c>
      <c r="C408" s="601"/>
      <c r="D408" s="601"/>
      <c r="E408" s="602" t="str">
        <f>QUANT!E938</f>
        <v>CABEAMENTO</v>
      </c>
      <c r="F408" s="603"/>
      <c r="G408" s="604"/>
      <c r="H408" s="605"/>
      <c r="I408" s="605"/>
      <c r="J408" s="606"/>
      <c r="K408" s="607"/>
    </row>
    <row r="409" spans="2:11" s="120" customFormat="1" ht="15.75" customHeight="1">
      <c r="B409" s="738" t="s">
        <v>8348</v>
      </c>
      <c r="C409" s="609"/>
      <c r="D409" s="609"/>
      <c r="E409" s="610" t="str">
        <f>QUANT!E940</f>
        <v>QUEBRA E RASGO EM ALVENARIA, VALAS CARGA E TRANSPORTE DE ENTULHO</v>
      </c>
      <c r="F409" s="611"/>
      <c r="G409" s="612"/>
      <c r="H409" s="613"/>
      <c r="I409" s="613"/>
      <c r="J409" s="616"/>
      <c r="K409" s="615"/>
    </row>
    <row r="410" spans="2:11" s="120" customFormat="1" ht="27.75" customHeight="1">
      <c r="B410" s="208" t="s">
        <v>13325</v>
      </c>
      <c r="C410" s="201">
        <f>QUANT!C942</f>
        <v>90447</v>
      </c>
      <c r="D410" s="201" t="str">
        <f>QUANT!D942</f>
        <v>SINAPI</v>
      </c>
      <c r="E410" s="203" t="str">
        <f>IFERROR(VLOOKUP($C410,'SINAPI FEVEREIRO 2022'!$1:$1048576,2,0),IFERROR(VLOOKUP($C410,'5-COMP. PROPRIA'!$B$1:$I$647,4,0),""))</f>
        <v>RASGO EM ALVENARIA PARA ELETRODUTOS COM DIAMETROS MENORES OU IGUAIS A 40 MM. AF_05/2015</v>
      </c>
      <c r="F410" s="255" t="str">
        <f>IFERROR(VLOOKUP($C410,'SINAPI FEVEREIRO 2022'!$1:$1048576,3,0),IFERROR(VLOOKUP($C410,'5-COMP. PROPRIA'!$B$1:$I$647,5,0),""))</f>
        <v>M</v>
      </c>
      <c r="G410" s="204">
        <f>QUANT!K942</f>
        <v>27</v>
      </c>
      <c r="H410" s="256">
        <f>IFERROR(VLOOKUP($C410,'SINAPI FEVEREIRO 2022'!$1:$1048576,4,0),IFERROR(VLOOKUP($C410,'5-COMP. PROPRIA'!$B$1:$I$647,8,0),""))</f>
        <v>4.72</v>
      </c>
      <c r="I410" s="256">
        <f>TRUNC(($H410*'4-BDI'!$E$29),2)</f>
        <v>6.05</v>
      </c>
      <c r="J410" s="266">
        <f t="shared" ref="J410:J411" si="152">TRUNC((G410*H410),2)</f>
        <v>127.44</v>
      </c>
      <c r="K410" s="205">
        <f t="shared" ref="K410:K411" si="153">TRUNC((I410*G410),2)</f>
        <v>163.35</v>
      </c>
    </row>
    <row r="411" spans="2:11" s="120" customFormat="1" ht="15.75" customHeight="1">
      <c r="B411" s="208" t="s">
        <v>13326</v>
      </c>
      <c r="C411" s="201" t="str">
        <f>QUANT!C944</f>
        <v>CP-ELE-REP-01</v>
      </c>
      <c r="D411" s="201" t="str">
        <f>QUANT!D944</f>
        <v>PROPRIA</v>
      </c>
      <c r="E411" s="203" t="str">
        <f>IFERROR(VLOOKUP($C411,'SINAPI FEVEREIRO 2022'!$1:$1048576,2,0),IFERROR(VLOOKUP($C411,'5-COMP. PROPRIA'!$B$1:$I$647,4,0),""))</f>
        <v>REPARO EM RASGO DE PAREDE</v>
      </c>
      <c r="F411" s="255" t="str">
        <f>IFERROR(VLOOKUP($C411,'SINAPI FEVEREIRO 2022'!$1:$1048576,3,0),IFERROR(VLOOKUP($C411,'5-COMP. PROPRIA'!$B$1:$I$647,5,0),""))</f>
        <v>M2</v>
      </c>
      <c r="G411" s="204">
        <f>QUANT!K944</f>
        <v>2.7</v>
      </c>
      <c r="H411" s="256">
        <f>IFERROR(VLOOKUP($C411,'SINAPI FEVEREIRO 2022'!$1:$1048576,4,0),IFERROR(VLOOKUP($C411,'5-COMP. PROPRIA'!$B$1:$I$647,8,0),""))</f>
        <v>41.44</v>
      </c>
      <c r="I411" s="256">
        <f>TRUNC(($H411*'4-BDI'!$E$29),2)</f>
        <v>53.14</v>
      </c>
      <c r="J411" s="266">
        <f t="shared" si="152"/>
        <v>111.88</v>
      </c>
      <c r="K411" s="205">
        <f t="shared" si="153"/>
        <v>143.47</v>
      </c>
    </row>
    <row r="412" spans="2:11" s="120" customFormat="1" ht="15.75" customHeight="1">
      <c r="B412" s="915" t="s">
        <v>8287</v>
      </c>
      <c r="C412" s="916"/>
      <c r="D412" s="916"/>
      <c r="E412" s="916"/>
      <c r="F412" s="916"/>
      <c r="G412" s="916"/>
      <c r="H412" s="916"/>
      <c r="I412" s="917"/>
      <c r="J412" s="207">
        <f>TRUNC(SUM(J410:J411),2)</f>
        <v>239.32</v>
      </c>
      <c r="K412" s="207">
        <f>TRUNC(SUM(K410:K411),2)</f>
        <v>306.82</v>
      </c>
    </row>
    <row r="413" spans="2:11" s="120" customFormat="1" ht="15.75" customHeight="1">
      <c r="B413" s="738" t="s">
        <v>8349</v>
      </c>
      <c r="C413" s="609"/>
      <c r="D413" s="609"/>
      <c r="E413" s="610" t="str">
        <f>QUANT!E946</f>
        <v>REDE ESTRUTURADA</v>
      </c>
      <c r="F413" s="611"/>
      <c r="G413" s="612"/>
      <c r="H413" s="613"/>
      <c r="I413" s="613"/>
      <c r="J413" s="616"/>
      <c r="K413" s="615"/>
    </row>
    <row r="414" spans="2:11" s="120" customFormat="1" ht="27" customHeight="1">
      <c r="B414" s="208" t="s">
        <v>13327</v>
      </c>
      <c r="C414" s="201">
        <f>QUANT!C948</f>
        <v>98302</v>
      </c>
      <c r="D414" s="201" t="str">
        <f>QUANT!D948</f>
        <v>SINAPI</v>
      </c>
      <c r="E414" s="203" t="str">
        <f>IFERROR(VLOOKUP($C414,'SINAPI FEVEREIRO 2022'!$1:$1048576,2,0),IFERROR(VLOOKUP($C414,'5-COMP. PROPRIA'!$B$1:$I$647,4,0),""))</f>
        <v>PATCH PANEL 24 PORTAS, CATEGORIA 6 - FORNECIMENTO E INSTALAÇÃO. AF_11/2019</v>
      </c>
      <c r="F414" s="255" t="str">
        <f>IFERROR(VLOOKUP($C414,'SINAPI FEVEREIRO 2022'!$1:$1048576,3,0),IFERROR(VLOOKUP($C414,'5-COMP. PROPRIA'!$B$1:$I$647,5,0),""))</f>
        <v>UN</v>
      </c>
      <c r="G414" s="204">
        <f>QUANT!K948</f>
        <v>1</v>
      </c>
      <c r="H414" s="256">
        <f>IFERROR(VLOOKUP($C414,'SINAPI FEVEREIRO 2022'!$1:$1048576,4,0),IFERROR(VLOOKUP($C414,'5-COMP. PROPRIA'!$B$1:$I$647,8,0),""))</f>
        <v>687.61</v>
      </c>
      <c r="I414" s="256">
        <f>TRUNC(($H414*'4-BDI'!$E$29),2)</f>
        <v>881.79</v>
      </c>
      <c r="J414" s="266">
        <f t="shared" ref="J414" si="154">TRUNC((G414*H414),2)</f>
        <v>687.61</v>
      </c>
      <c r="K414" s="205">
        <f t="shared" ref="K414" si="155">TRUNC((I414*G414),2)</f>
        <v>881.79</v>
      </c>
    </row>
    <row r="415" spans="2:11" s="120" customFormat="1" ht="15">
      <c r="B415" s="208" t="s">
        <v>13328</v>
      </c>
      <c r="C415" s="201" t="str">
        <f>QUANT!C949</f>
        <v>CP-RED-01</v>
      </c>
      <c r="D415" s="201" t="str">
        <f>QUANT!D949</f>
        <v>PROPRIA</v>
      </c>
      <c r="E415" s="203" t="str">
        <f>IFERROR(VLOOKUP($C415,'SINAPI FEVEREIRO 2022'!$1:$1048576,2,0),IFERROR(VLOOKUP($C415,'5-COMP. PROPRIA'!$B$1:$I$647,4,0),""))</f>
        <v>SWITCH 24P 10/100/1000 2P SFP L2 C/ GER</v>
      </c>
      <c r="F415" s="255" t="str">
        <f>IFERROR(VLOOKUP($C415,'SINAPI FEVEREIRO 2022'!$1:$1048576,3,0),IFERROR(VLOOKUP($C415,'5-COMP. PROPRIA'!$B$1:$I$647,5,0),""))</f>
        <v>UN</v>
      </c>
      <c r="G415" s="204">
        <f>QUANT!K949</f>
        <v>1</v>
      </c>
      <c r="H415" s="256">
        <f>IFERROR(VLOOKUP($C415,'SINAPI FEVEREIRO 2022'!$1:$1048576,4,0),IFERROR(VLOOKUP($C415,'5-COMP. PROPRIA'!$B$1:$I$647,8,0),""))</f>
        <v>3784.72</v>
      </c>
      <c r="I415" s="256">
        <f>TRUNC(($H415*'4-BDI'!$E$29),2)</f>
        <v>4853.5200000000004</v>
      </c>
      <c r="J415" s="266">
        <f t="shared" ref="J415:J426" si="156">TRUNC((G415*H415),2)</f>
        <v>3784.72</v>
      </c>
      <c r="K415" s="205">
        <f t="shared" ref="K415:K426" si="157">TRUNC((I415*G415),2)</f>
        <v>4853.5200000000004</v>
      </c>
    </row>
    <row r="416" spans="2:11" s="120" customFormat="1" ht="15.75" customHeight="1">
      <c r="B416" s="208" t="s">
        <v>13329</v>
      </c>
      <c r="C416" s="201" t="str">
        <f>QUANT!C950</f>
        <v>CP-RED-02</v>
      </c>
      <c r="D416" s="201" t="str">
        <f>QUANT!D950</f>
        <v>PROPRIA</v>
      </c>
      <c r="E416" s="203" t="str">
        <f>IFERROR(VLOOKUP($C416,'SINAPI FEVEREIRO 2022'!$1:$1048576,2,0),IFERROR(VLOOKUP($C416,'5-COMP. PROPRIA'!$B$1:$I$647,4,0),""))</f>
        <v xml:space="preserve">GUIA DE CABOS HORIZONTAL FECHADA PADRÃO 19” </v>
      </c>
      <c r="F416" s="255" t="str">
        <f>IFERROR(VLOOKUP($C416,'SINAPI FEVEREIRO 2022'!$1:$1048576,3,0),IFERROR(VLOOKUP($C416,'5-COMP. PROPRIA'!$B$1:$I$647,5,0),""))</f>
        <v>UN</v>
      </c>
      <c r="G416" s="204">
        <f>QUANT!K950</f>
        <v>2</v>
      </c>
      <c r="H416" s="256">
        <f>IFERROR(VLOOKUP($C416,'SINAPI FEVEREIRO 2022'!$1:$1048576,4,0),IFERROR(VLOOKUP($C416,'5-COMP. PROPRIA'!$B$1:$I$647,8,0),""))</f>
        <v>27.29</v>
      </c>
      <c r="I416" s="256">
        <f>TRUNC(($H416*'4-BDI'!$E$29),2)</f>
        <v>34.99</v>
      </c>
      <c r="J416" s="266">
        <f t="shared" si="156"/>
        <v>54.58</v>
      </c>
      <c r="K416" s="205">
        <f t="shared" si="157"/>
        <v>69.98</v>
      </c>
    </row>
    <row r="417" spans="2:11" s="120" customFormat="1" ht="15.75" customHeight="1">
      <c r="B417" s="208" t="s">
        <v>13330</v>
      </c>
      <c r="C417" s="201" t="str">
        <f>QUANT!C951</f>
        <v>CP-RED-03</v>
      </c>
      <c r="D417" s="201" t="str">
        <f>QUANT!D951</f>
        <v>PROPRIA</v>
      </c>
      <c r="E417" s="203" t="str">
        <f>IFERROR(VLOOKUP($C417,'SINAPI FEVEREIRO 2022'!$1:$1048576,2,0),IFERROR(VLOOKUP($C417,'5-COMP. PROPRIA'!$B$1:$I$647,4,0),""))</f>
        <v>BANDEJA DESLIZANTE P/ RACK 19"</v>
      </c>
      <c r="F417" s="255" t="str">
        <f>IFERROR(VLOOKUP($C417,'SINAPI FEVEREIRO 2022'!$1:$1048576,3,0),IFERROR(VLOOKUP($C417,'5-COMP. PROPRIA'!$B$1:$I$647,5,0),""))</f>
        <v>UN</v>
      </c>
      <c r="G417" s="204">
        <f>QUANT!K951</f>
        <v>2</v>
      </c>
      <c r="H417" s="256">
        <f>IFERROR(VLOOKUP($C417,'SINAPI FEVEREIRO 2022'!$1:$1048576,4,0),IFERROR(VLOOKUP($C417,'5-COMP. PROPRIA'!$B$1:$I$647,8,0),""))</f>
        <v>114.46</v>
      </c>
      <c r="I417" s="256">
        <f>TRUNC(($H417*'4-BDI'!$E$29),2)</f>
        <v>146.78</v>
      </c>
      <c r="J417" s="266">
        <f t="shared" si="156"/>
        <v>228.92</v>
      </c>
      <c r="K417" s="205">
        <f t="shared" si="157"/>
        <v>293.56</v>
      </c>
    </row>
    <row r="418" spans="2:11" s="120" customFormat="1" ht="15.75" customHeight="1">
      <c r="B418" s="208" t="s">
        <v>13331</v>
      </c>
      <c r="C418" s="201" t="str">
        <f>QUANT!C952</f>
        <v>CP-RED-04</v>
      </c>
      <c r="D418" s="201" t="str">
        <f>QUANT!D952</f>
        <v>PROPRIA</v>
      </c>
      <c r="E418" s="203" t="str">
        <f>IFERROR(VLOOKUP($C418,'SINAPI FEVEREIRO 2022'!$1:$1048576,2,0),IFERROR(VLOOKUP($C418,'5-COMP. PROPRIA'!$B$1:$I$647,4,0),""))</f>
        <v>ANEL ORGANIZADOR DE CABOS</v>
      </c>
      <c r="F418" s="255" t="str">
        <f>IFERROR(VLOOKUP($C418,'SINAPI FEVEREIRO 2022'!$1:$1048576,3,0),IFERROR(VLOOKUP($C418,'5-COMP. PROPRIA'!$B$1:$I$647,5,0),""))</f>
        <v>UN</v>
      </c>
      <c r="G418" s="204">
        <f>QUANT!K952</f>
        <v>2</v>
      </c>
      <c r="H418" s="256">
        <f>IFERROR(VLOOKUP($C418,'SINAPI FEVEREIRO 2022'!$1:$1048576,4,0),IFERROR(VLOOKUP($C418,'5-COMP. PROPRIA'!$B$1:$I$647,8,0),""))</f>
        <v>14.36</v>
      </c>
      <c r="I418" s="256">
        <f>TRUNC(($H418*'4-BDI'!$E$29),2)</f>
        <v>18.41</v>
      </c>
      <c r="J418" s="266">
        <f t="shared" si="156"/>
        <v>28.72</v>
      </c>
      <c r="K418" s="205">
        <f t="shared" si="157"/>
        <v>36.82</v>
      </c>
    </row>
    <row r="419" spans="2:11" s="120" customFormat="1" ht="15.75" customHeight="1">
      <c r="B419" s="208" t="s">
        <v>13332</v>
      </c>
      <c r="C419" s="201" t="str">
        <f>QUANT!C953</f>
        <v>CP-RED-05</v>
      </c>
      <c r="D419" s="201" t="str">
        <f>QUANT!D953</f>
        <v>PROPRIA</v>
      </c>
      <c r="E419" s="203" t="str">
        <f>IFERROR(VLOOKUP($C419,'SINAPI FEVEREIRO 2022'!$1:$1048576,2,0),IFERROR(VLOOKUP($C419,'5-COMP. PROPRIA'!$B$1:$I$647,4,0),""))</f>
        <v>MINI RACK DE PAREDE PADRÃO 19”</v>
      </c>
      <c r="F419" s="255" t="str">
        <f>IFERROR(VLOOKUP($C419,'SINAPI FEVEREIRO 2022'!$1:$1048576,3,0),IFERROR(VLOOKUP($C419,'5-COMP. PROPRIA'!$B$1:$I$647,5,0),""))</f>
        <v>UN</v>
      </c>
      <c r="G419" s="204">
        <f>QUANT!K953</f>
        <v>2</v>
      </c>
      <c r="H419" s="256">
        <f>IFERROR(VLOOKUP($C419,'SINAPI FEVEREIRO 2022'!$1:$1048576,4,0),IFERROR(VLOOKUP($C419,'5-COMP. PROPRIA'!$B$1:$I$647,8,0),""))</f>
        <v>705.72</v>
      </c>
      <c r="I419" s="256">
        <f>TRUNC(($H419*'4-BDI'!$E$29),2)</f>
        <v>905.01</v>
      </c>
      <c r="J419" s="266">
        <f t="shared" si="156"/>
        <v>1411.44</v>
      </c>
      <c r="K419" s="205">
        <f t="shared" si="157"/>
        <v>1810.02</v>
      </c>
    </row>
    <row r="420" spans="2:11" s="120" customFormat="1" ht="15.75" customHeight="1">
      <c r="B420" s="208" t="s">
        <v>13333</v>
      </c>
      <c r="C420" s="201" t="str">
        <f>QUANT!C954</f>
        <v>CP-RED-06</v>
      </c>
      <c r="D420" s="201" t="str">
        <f>QUANT!D954</f>
        <v>PROPRIA</v>
      </c>
      <c r="E420" s="203" t="str">
        <f>IFERROR(VLOOKUP($C420,'SINAPI FEVEREIRO 2022'!$1:$1048576,2,0),IFERROR(VLOOKUP($C420,'5-COMP. PROPRIA'!$B$1:$I$647,4,0),""))</f>
        <v>CABO DE REDE 1,5 METROS PATCH CORD CAT6 UTP</v>
      </c>
      <c r="F420" s="255" t="str">
        <f>IFERROR(VLOOKUP($C420,'SINAPI FEVEREIRO 2022'!$1:$1048576,3,0),IFERROR(VLOOKUP($C420,'5-COMP. PROPRIA'!$B$1:$I$647,5,0),""))</f>
        <v>UN</v>
      </c>
      <c r="G420" s="204">
        <f>QUANT!K954</f>
        <v>4</v>
      </c>
      <c r="H420" s="256">
        <f>IFERROR(VLOOKUP($C420,'SINAPI FEVEREIRO 2022'!$1:$1048576,4,0),IFERROR(VLOOKUP($C420,'5-COMP. PROPRIA'!$B$1:$I$647,8,0),""))</f>
        <v>12.58</v>
      </c>
      <c r="I420" s="256">
        <f>TRUNC(($H420*'4-BDI'!$E$29),2)</f>
        <v>16.13</v>
      </c>
      <c r="J420" s="266">
        <f t="shared" si="156"/>
        <v>50.32</v>
      </c>
      <c r="K420" s="205">
        <f t="shared" si="157"/>
        <v>64.52</v>
      </c>
    </row>
    <row r="421" spans="2:11" s="120" customFormat="1" ht="32.25" customHeight="1">
      <c r="B421" s="208" t="s">
        <v>13334</v>
      </c>
      <c r="C421" s="201">
        <f>QUANT!C955</f>
        <v>98297</v>
      </c>
      <c r="D421" s="201" t="str">
        <f>QUANT!D955</f>
        <v>SINAPI</v>
      </c>
      <c r="E421" s="203" t="str">
        <f>IFERROR(VLOOKUP($C421,'SINAPI FEVEREIRO 2022'!$1:$1048576,2,0),IFERROR(VLOOKUP($C421,'5-COMP. PROPRIA'!$B$1:$I$647,4,0),""))</f>
        <v>CABO ELETRÔNICO CATEGORIA 6, INSTALADO EM EDIFICAÇÃO INSTITUCIONAL - FORNECIMENTO E INSTALAÇÃO. AF_11/2019</v>
      </c>
      <c r="F421" s="255" t="str">
        <f>IFERROR(VLOOKUP($C421,'SINAPI FEVEREIRO 2022'!$1:$1048576,3,0),IFERROR(VLOOKUP($C421,'5-COMP. PROPRIA'!$B$1:$I$647,5,0),""))</f>
        <v>M</v>
      </c>
      <c r="G421" s="204">
        <f>QUANT!K955</f>
        <v>150</v>
      </c>
      <c r="H421" s="256">
        <f>IFERROR(VLOOKUP($C421,'SINAPI FEVEREIRO 2022'!$1:$1048576,4,0),IFERROR(VLOOKUP($C421,'5-COMP. PROPRIA'!$B$1:$I$647,8,0),""))</f>
        <v>2.79</v>
      </c>
      <c r="I421" s="256">
        <f>TRUNC(($H421*'4-BDI'!$E$29),2)</f>
        <v>3.57</v>
      </c>
      <c r="J421" s="266">
        <f t="shared" si="156"/>
        <v>418.5</v>
      </c>
      <c r="K421" s="205">
        <f t="shared" si="157"/>
        <v>535.5</v>
      </c>
    </row>
    <row r="422" spans="2:11" s="120" customFormat="1" ht="15.75" customHeight="1">
      <c r="B422" s="208" t="s">
        <v>13335</v>
      </c>
      <c r="C422" s="201">
        <f>QUANT!C956</f>
        <v>98307</v>
      </c>
      <c r="D422" s="201" t="str">
        <f>QUANT!D956</f>
        <v>SINAPI</v>
      </c>
      <c r="E422" s="203" t="str">
        <f>IFERROR(VLOOKUP($C422,'SINAPI FEVEREIRO 2022'!$1:$1048576,2,0),IFERROR(VLOOKUP($C422,'5-COMP. PROPRIA'!$B$1:$I$647,4,0),""))</f>
        <v>TOMADA DE REDE RJ45 - FORNECIMENTO E INSTALAÇÃO. AF_11/2019</v>
      </c>
      <c r="F422" s="255" t="str">
        <f>IFERROR(VLOOKUP($C422,'SINAPI FEVEREIRO 2022'!$1:$1048576,3,0),IFERROR(VLOOKUP($C422,'5-COMP. PROPRIA'!$B$1:$I$647,5,0),""))</f>
        <v>UN</v>
      </c>
      <c r="G422" s="204">
        <f>QUANT!K956</f>
        <v>16</v>
      </c>
      <c r="H422" s="256">
        <f>IFERROR(VLOOKUP($C422,'SINAPI FEVEREIRO 2022'!$1:$1048576,4,0),IFERROR(VLOOKUP($C422,'5-COMP. PROPRIA'!$B$1:$I$647,8,0),""))</f>
        <v>37.840000000000003</v>
      </c>
      <c r="I422" s="256">
        <f>TRUNC(($H422*'4-BDI'!$E$29),2)</f>
        <v>48.52</v>
      </c>
      <c r="J422" s="266">
        <f t="shared" si="156"/>
        <v>605.44000000000005</v>
      </c>
      <c r="K422" s="205">
        <f t="shared" si="157"/>
        <v>776.32</v>
      </c>
    </row>
    <row r="423" spans="2:11" s="120" customFormat="1" ht="30.75" customHeight="1">
      <c r="B423" s="208" t="s">
        <v>13336</v>
      </c>
      <c r="C423" s="201">
        <f>QUANT!C957</f>
        <v>98308</v>
      </c>
      <c r="D423" s="201" t="str">
        <f>QUANT!D957</f>
        <v>SINAPI</v>
      </c>
      <c r="E423" s="203" t="str">
        <f>IFERROR(VLOOKUP($C423,'SINAPI FEVEREIRO 2022'!$1:$1048576,2,0),IFERROR(VLOOKUP($C423,'5-COMP. PROPRIA'!$B$1:$I$647,4,0),""))</f>
        <v>TOMADA PARA TELEFONE RJ11 - FORNECIMENTO E INSTALAÇÃO. AF_11/2019</v>
      </c>
      <c r="F423" s="255" t="str">
        <f>IFERROR(VLOOKUP($C423,'SINAPI FEVEREIRO 2022'!$1:$1048576,3,0),IFERROR(VLOOKUP($C423,'5-COMP. PROPRIA'!$B$1:$I$647,5,0),""))</f>
        <v>UN</v>
      </c>
      <c r="G423" s="204">
        <f>QUANT!K957</f>
        <v>1</v>
      </c>
      <c r="H423" s="256">
        <f>IFERROR(VLOOKUP($C423,'SINAPI FEVEREIRO 2022'!$1:$1048576,4,0),IFERROR(VLOOKUP($C423,'5-COMP. PROPRIA'!$B$1:$I$647,8,0),""))</f>
        <v>24.54</v>
      </c>
      <c r="I423" s="256">
        <f>TRUNC(($H423*'4-BDI'!$E$29),2)</f>
        <v>31.47</v>
      </c>
      <c r="J423" s="266">
        <f t="shared" si="156"/>
        <v>24.54</v>
      </c>
      <c r="K423" s="205">
        <f t="shared" si="157"/>
        <v>31.47</v>
      </c>
    </row>
    <row r="424" spans="2:11" s="120" customFormat="1" ht="34.5" customHeight="1">
      <c r="B424" s="208" t="s">
        <v>13337</v>
      </c>
      <c r="C424" s="201">
        <f>QUANT!C958</f>
        <v>91941</v>
      </c>
      <c r="D424" s="201" t="str">
        <f>QUANT!D958</f>
        <v>SINAPI</v>
      </c>
      <c r="E424" s="203" t="str">
        <f>IFERROR(VLOOKUP($C424,'SINAPI FEVEREIRO 2022'!$1:$1048576,2,0),IFERROR(VLOOKUP($C424,'5-COMP. PROPRIA'!$B$1:$I$647,4,0),""))</f>
        <v>CAIXA RETANGULAR 4" X 2" BAIXA (0,30 M DO PISO), PVC, INSTALADA EM PAREDE - FORNECIMENTO E INSTALAÇÃO. AF_12/2015</v>
      </c>
      <c r="F424" s="255" t="str">
        <f>IFERROR(VLOOKUP($C424,'SINAPI FEVEREIRO 2022'!$1:$1048576,3,0),IFERROR(VLOOKUP($C424,'5-COMP. PROPRIA'!$B$1:$I$647,5,0),""))</f>
        <v>UN</v>
      </c>
      <c r="G424" s="204">
        <f>QUANT!K958</f>
        <v>16</v>
      </c>
      <c r="H424" s="256">
        <f>IFERROR(VLOOKUP($C424,'SINAPI FEVEREIRO 2022'!$1:$1048576,4,0),IFERROR(VLOOKUP($C424,'5-COMP. PROPRIA'!$B$1:$I$647,8,0),""))</f>
        <v>7.77</v>
      </c>
      <c r="I424" s="256">
        <f>TRUNC(($H424*'4-BDI'!$E$29),2)</f>
        <v>9.9600000000000009</v>
      </c>
      <c r="J424" s="266">
        <f t="shared" si="156"/>
        <v>124.32</v>
      </c>
      <c r="K424" s="205">
        <f t="shared" si="157"/>
        <v>159.36000000000001</v>
      </c>
    </row>
    <row r="425" spans="2:11" s="120" customFormat="1" ht="47.25" customHeight="1">
      <c r="B425" s="208" t="s">
        <v>13338</v>
      </c>
      <c r="C425" s="201">
        <f>QUANT!C959</f>
        <v>91836</v>
      </c>
      <c r="D425" s="201" t="str">
        <f>QUANT!D959</f>
        <v>SINAPI</v>
      </c>
      <c r="E425" s="203" t="str">
        <f>IFERROR(VLOOKUP($C425,'SINAPI FEVEREIRO 2022'!$1:$1048576,2,0),IFERROR(VLOOKUP($C425,'5-COMP. PROPRIA'!$B$1:$I$647,4,0),""))</f>
        <v>ELETRODUTO FLEXÍVEL CORRUGADO, PVC, DN 32 MM (1"), PARA CIRCUITOS TERMINAIS, INSTALADO EM FORRO - FORNECIMENTO E INSTALAÇÃO. AF_12/2015</v>
      </c>
      <c r="F425" s="255" t="str">
        <f>IFERROR(VLOOKUP($C425,'SINAPI FEVEREIRO 2022'!$1:$1048576,3,0),IFERROR(VLOOKUP($C425,'5-COMP. PROPRIA'!$B$1:$I$647,5,0),""))</f>
        <v>M</v>
      </c>
      <c r="G425" s="204">
        <f>QUANT!K959</f>
        <v>50</v>
      </c>
      <c r="H425" s="256">
        <f>IFERROR(VLOOKUP($C425,'SINAPI FEVEREIRO 2022'!$1:$1048576,4,0),IFERROR(VLOOKUP($C425,'5-COMP. PROPRIA'!$B$1:$I$647,8,0),""))</f>
        <v>9.81</v>
      </c>
      <c r="I425" s="256">
        <f>TRUNC(($H425*'4-BDI'!$E$29),2)</f>
        <v>12.58</v>
      </c>
      <c r="J425" s="266">
        <f t="shared" si="156"/>
        <v>490.5</v>
      </c>
      <c r="K425" s="205">
        <f t="shared" si="157"/>
        <v>629</v>
      </c>
    </row>
    <row r="426" spans="2:11" s="120" customFormat="1" ht="51.75" customHeight="1">
      <c r="B426" s="208" t="s">
        <v>13339</v>
      </c>
      <c r="C426" s="201">
        <f>QUANT!C960</f>
        <v>91864</v>
      </c>
      <c r="D426" s="201" t="str">
        <f>QUANT!D960</f>
        <v>SINAPI</v>
      </c>
      <c r="E426" s="203" t="str">
        <f>IFERROR(VLOOKUP($C426,'SINAPI FEVEREIRO 2022'!$1:$1048576,2,0),IFERROR(VLOOKUP($C426,'5-COMP. PROPRIA'!$B$1:$I$647,4,0),""))</f>
        <v>ELETRODUTO RÍGIDO ROSCÁVEL, PVC, DN 32 MM (1"), PARA CIRCUITOS TERMINAIS, INSTALADO EM FORRO - FORNECIMENTO E INSTALAÇÃO. AF_12/2015</v>
      </c>
      <c r="F426" s="255" t="str">
        <f>IFERROR(VLOOKUP($C426,'SINAPI FEVEREIRO 2022'!$1:$1048576,3,0),IFERROR(VLOOKUP($C426,'5-COMP. PROPRIA'!$B$1:$I$647,5,0),""))</f>
        <v>M</v>
      </c>
      <c r="G426" s="204">
        <f>QUANT!K960</f>
        <v>9</v>
      </c>
      <c r="H426" s="256">
        <f>IFERROR(VLOOKUP($C426,'SINAPI FEVEREIRO 2022'!$1:$1048576,4,0),IFERROR(VLOOKUP($C426,'5-COMP. PROPRIA'!$B$1:$I$647,8,0),""))</f>
        <v>12.74</v>
      </c>
      <c r="I426" s="256">
        <f>TRUNC(($H426*'4-BDI'!$E$29),2)</f>
        <v>16.329999999999998</v>
      </c>
      <c r="J426" s="266">
        <f t="shared" si="156"/>
        <v>114.66</v>
      </c>
      <c r="K426" s="205">
        <f t="shared" si="157"/>
        <v>146.97</v>
      </c>
    </row>
    <row r="427" spans="2:11" s="120" customFormat="1" ht="15.75" customHeight="1">
      <c r="B427" s="915" t="s">
        <v>8287</v>
      </c>
      <c r="C427" s="916"/>
      <c r="D427" s="916"/>
      <c r="E427" s="916"/>
      <c r="F427" s="916"/>
      <c r="G427" s="916"/>
      <c r="H427" s="916"/>
      <c r="I427" s="917"/>
      <c r="J427" s="207">
        <f>TRUNC(SUM(J414:J426),2)</f>
        <v>8024.27</v>
      </c>
      <c r="K427" s="207">
        <f>TRUNC(SUM(K414:K426),2)</f>
        <v>10288.83</v>
      </c>
    </row>
    <row r="428" spans="2:11" s="120" customFormat="1" ht="15.75" customHeight="1">
      <c r="B428" s="915" t="s">
        <v>8286</v>
      </c>
      <c r="C428" s="916"/>
      <c r="D428" s="916"/>
      <c r="E428" s="916"/>
      <c r="F428" s="916"/>
      <c r="G428" s="916"/>
      <c r="H428" s="916"/>
      <c r="I428" s="917"/>
      <c r="J428" s="207">
        <f>TRUNC(SUM(J412,J427),2)</f>
        <v>8263.59</v>
      </c>
      <c r="K428" s="207">
        <f>TRUNC(SUM(K412,K427),2)</f>
        <v>10595.65</v>
      </c>
    </row>
    <row r="429" spans="2:11" s="280" customFormat="1" ht="15.75">
      <c r="B429" s="739" t="s">
        <v>6148</v>
      </c>
      <c r="C429" s="601"/>
      <c r="D429" s="601"/>
      <c r="E429" s="602" t="str">
        <f>QUANT!E962</f>
        <v>DRENO-AR</v>
      </c>
      <c r="F429" s="603"/>
      <c r="G429" s="604"/>
      <c r="H429" s="605"/>
      <c r="I429" s="605"/>
      <c r="J429" s="606"/>
      <c r="K429" s="607"/>
    </row>
    <row r="430" spans="2:11" s="120" customFormat="1" ht="30">
      <c r="B430" s="208" t="s">
        <v>8350</v>
      </c>
      <c r="C430" s="201">
        <f>QUANT!C964</f>
        <v>89865</v>
      </c>
      <c r="D430" s="201" t="str">
        <f>QUANT!D964</f>
        <v>SINAPI</v>
      </c>
      <c r="E430" s="203" t="str">
        <f>IFERROR(VLOOKUP($C430,'SINAPI FEVEREIRO 2022'!$1:$1048576,2,0),IFERROR(VLOOKUP($C430,'5-COMP. PROPRIA'!$B$1:$I$647,4,0),""))</f>
        <v>TUBO, PVC, SOLDÁVEL, DN 25MM, INSTALADO EM DRENO DE AR-CONDICIONADO - FORNECIMENTO E INSTALAÇÃO. AF_12/2014</v>
      </c>
      <c r="F430" s="255" t="str">
        <f>IFERROR(VLOOKUP($C430,'SINAPI FEVEREIRO 2022'!$1:$1048576,3,0),IFERROR(VLOOKUP($C430,'5-COMP. PROPRIA'!$B$1:$I$647,5,0),""))</f>
        <v>M</v>
      </c>
      <c r="G430" s="204">
        <f>QUANT!K964</f>
        <v>90</v>
      </c>
      <c r="H430" s="256">
        <f>IFERROR(VLOOKUP($C430,'SINAPI FEVEREIRO 2022'!$1:$1048576,4,0),IFERROR(VLOOKUP($C430,'5-COMP. PROPRIA'!$B$1:$I$647,8,0),""))</f>
        <v>10.83</v>
      </c>
      <c r="I430" s="256">
        <f>TRUNC(($H430*'4-BDI'!$E$29),2)</f>
        <v>13.88</v>
      </c>
      <c r="J430" s="266">
        <f t="shared" ref="J430" si="158">TRUNC((G430*H430),2)</f>
        <v>974.7</v>
      </c>
      <c r="K430" s="205">
        <f t="shared" ref="K430" si="159">TRUNC((I430*G430),2)</f>
        <v>1249.2</v>
      </c>
    </row>
    <row r="431" spans="2:11" s="120" customFormat="1" ht="30">
      <c r="B431" s="208" t="s">
        <v>8352</v>
      </c>
      <c r="C431" s="201">
        <f>QUANT!C965</f>
        <v>89866</v>
      </c>
      <c r="D431" s="201" t="str">
        <f>QUANT!D965</f>
        <v>SINAPI</v>
      </c>
      <c r="E431" s="203" t="str">
        <f>IFERROR(VLOOKUP($C431,'SINAPI FEVEREIRO 2022'!$1:$1048576,2,0),IFERROR(VLOOKUP($C431,'5-COMP. PROPRIA'!$B$1:$I$647,4,0),""))</f>
        <v>JOELHO 90 GRAUS, PVC, SOLDÁVEL, DN 25MM, INSTALADO EM DRENO DE AR-CONDICIONADO - FORNECIMENTO E INSTALAÇÃO. AF_12/2014</v>
      </c>
      <c r="F431" s="255" t="str">
        <f>IFERROR(VLOOKUP($C431,'SINAPI FEVEREIRO 2022'!$1:$1048576,3,0),IFERROR(VLOOKUP($C431,'5-COMP. PROPRIA'!$B$1:$I$647,5,0),""))</f>
        <v>UN</v>
      </c>
      <c r="G431" s="204">
        <f>QUANT!K965</f>
        <v>31</v>
      </c>
      <c r="H431" s="256">
        <f>IFERROR(VLOOKUP($C431,'SINAPI FEVEREIRO 2022'!$1:$1048576,4,0),IFERROR(VLOOKUP($C431,'5-COMP. PROPRIA'!$B$1:$I$647,8,0),""))</f>
        <v>4.45</v>
      </c>
      <c r="I431" s="256">
        <f>TRUNC(($H431*'4-BDI'!$E$29),2)</f>
        <v>5.7</v>
      </c>
      <c r="J431" s="266">
        <f t="shared" ref="J431:J435" si="160">TRUNC((G431*H431),2)</f>
        <v>137.94999999999999</v>
      </c>
      <c r="K431" s="205">
        <f t="shared" ref="K431:K435" si="161">TRUNC((I431*G431),2)</f>
        <v>176.7</v>
      </c>
    </row>
    <row r="432" spans="2:11" s="120" customFormat="1" ht="30">
      <c r="B432" s="208" t="s">
        <v>8353</v>
      </c>
      <c r="C432" s="201">
        <f>QUANT!C966</f>
        <v>89867</v>
      </c>
      <c r="D432" s="201" t="str">
        <f>QUANT!D966</f>
        <v>SINAPI</v>
      </c>
      <c r="E432" s="203" t="str">
        <f>IFERROR(VLOOKUP($C432,'SINAPI FEVEREIRO 2022'!$1:$1048576,2,0),IFERROR(VLOOKUP($C432,'5-COMP. PROPRIA'!$B$1:$I$647,4,0),""))</f>
        <v>JOELHO 45 GRAUS, PVC, SOLDÁVEL, DN 25MM, INSTALADO EM DRENO DE AR-CONDICIONADO - FORNECIMENTO E INSTALAÇÃO. AF_12/2014</v>
      </c>
      <c r="F432" s="255" t="str">
        <f>IFERROR(VLOOKUP($C432,'SINAPI FEVEREIRO 2022'!$1:$1048576,3,0),IFERROR(VLOOKUP($C432,'5-COMP. PROPRIA'!$B$1:$I$647,5,0),""))</f>
        <v>UN</v>
      </c>
      <c r="G432" s="204">
        <f>QUANT!K966</f>
        <v>20</v>
      </c>
      <c r="H432" s="256">
        <f>IFERROR(VLOOKUP($C432,'SINAPI FEVEREIRO 2022'!$1:$1048576,4,0),IFERROR(VLOOKUP($C432,'5-COMP. PROPRIA'!$B$1:$I$647,8,0),""))</f>
        <v>5.27</v>
      </c>
      <c r="I432" s="256">
        <f>TRUNC(($H432*'4-BDI'!$E$29),2)</f>
        <v>6.75</v>
      </c>
      <c r="J432" s="266">
        <f t="shared" si="160"/>
        <v>105.4</v>
      </c>
      <c r="K432" s="205">
        <f t="shared" si="161"/>
        <v>135</v>
      </c>
    </row>
    <row r="433" spans="2:11" s="120" customFormat="1" ht="30">
      <c r="B433" s="208" t="s">
        <v>8354</v>
      </c>
      <c r="C433" s="201">
        <f>QUANT!C967</f>
        <v>89869</v>
      </c>
      <c r="D433" s="201" t="str">
        <f>QUANT!D967</f>
        <v>SINAPI</v>
      </c>
      <c r="E433" s="203" t="str">
        <f>IFERROR(VLOOKUP($C433,'SINAPI FEVEREIRO 2022'!$1:$1048576,2,0),IFERROR(VLOOKUP($C433,'5-COMP. PROPRIA'!$B$1:$I$647,4,0),""))</f>
        <v>TE, PVC, SOLDÁVEL, DN 25MM, INSTALADO EM DRENO DE AR-CONDICIONADO - FORNECIMENTO E INSTALAÇÃO. AF_12/2014</v>
      </c>
      <c r="F433" s="255" t="str">
        <f>IFERROR(VLOOKUP($C433,'SINAPI FEVEREIRO 2022'!$1:$1048576,3,0),IFERROR(VLOOKUP($C433,'5-COMP. PROPRIA'!$B$1:$I$647,5,0),""))</f>
        <v>UN</v>
      </c>
      <c r="G433" s="204">
        <f>QUANT!K967</f>
        <v>9</v>
      </c>
      <c r="H433" s="256">
        <f>IFERROR(VLOOKUP($C433,'SINAPI FEVEREIRO 2022'!$1:$1048576,4,0),IFERROR(VLOOKUP($C433,'5-COMP. PROPRIA'!$B$1:$I$647,8,0),""))</f>
        <v>7.57</v>
      </c>
      <c r="I433" s="256">
        <f>TRUNC(($H433*'4-BDI'!$E$29),2)</f>
        <v>9.6999999999999993</v>
      </c>
      <c r="J433" s="266">
        <f t="shared" si="160"/>
        <v>68.13</v>
      </c>
      <c r="K433" s="205">
        <f t="shared" si="161"/>
        <v>87.3</v>
      </c>
    </row>
    <row r="434" spans="2:11" s="120" customFormat="1" ht="30">
      <c r="B434" s="208" t="s">
        <v>8355</v>
      </c>
      <c r="C434" s="201">
        <f>QUANT!C968</f>
        <v>90447</v>
      </c>
      <c r="D434" s="201" t="str">
        <f>QUANT!D968</f>
        <v>SINAPI</v>
      </c>
      <c r="E434" s="203" t="str">
        <f>IFERROR(VLOOKUP($C434,'SINAPI FEVEREIRO 2022'!$1:$1048576,2,0),IFERROR(VLOOKUP($C434,'5-COMP. PROPRIA'!$B$1:$I$647,4,0),""))</f>
        <v>RASGO EM ALVENARIA PARA ELETRODUTOS COM DIAMETROS MENORES OU IGUAIS A 40 MM. AF_05/2015</v>
      </c>
      <c r="F434" s="255" t="str">
        <f>IFERROR(VLOOKUP($C434,'SINAPI FEVEREIRO 2022'!$1:$1048576,3,0),IFERROR(VLOOKUP($C434,'5-COMP. PROPRIA'!$B$1:$I$647,5,0),""))</f>
        <v>M</v>
      </c>
      <c r="G434" s="204">
        <f>QUANT!K968</f>
        <v>90</v>
      </c>
      <c r="H434" s="256">
        <f>IFERROR(VLOOKUP($C434,'SINAPI FEVEREIRO 2022'!$1:$1048576,4,0),IFERROR(VLOOKUP($C434,'5-COMP. PROPRIA'!$B$1:$I$647,8,0),""))</f>
        <v>4.72</v>
      </c>
      <c r="I434" s="256">
        <f>TRUNC(($H434*'4-BDI'!$E$29),2)</f>
        <v>6.05</v>
      </c>
      <c r="J434" s="266">
        <f t="shared" si="160"/>
        <v>424.8</v>
      </c>
      <c r="K434" s="205">
        <f t="shared" si="161"/>
        <v>544.5</v>
      </c>
    </row>
    <row r="435" spans="2:11" s="120" customFormat="1" ht="15">
      <c r="B435" s="208" t="s">
        <v>8356</v>
      </c>
      <c r="C435" s="201" t="str">
        <f>QUANT!C969</f>
        <v>CP-ELE-REP-01</v>
      </c>
      <c r="D435" s="201" t="str">
        <f>QUANT!D969</f>
        <v>PROPRIA</v>
      </c>
      <c r="E435" s="203" t="str">
        <f>IFERROR(VLOOKUP($C435,'SINAPI FEVEREIRO 2022'!$1:$1048576,2,0),IFERROR(VLOOKUP($C435,'5-COMP. PROPRIA'!$B$1:$I$647,4,0),""))</f>
        <v>REPARO EM RASGO DE PAREDE</v>
      </c>
      <c r="F435" s="255" t="str">
        <f>IFERROR(VLOOKUP($C435,'SINAPI FEVEREIRO 2022'!$1:$1048576,3,0),IFERROR(VLOOKUP($C435,'5-COMP. PROPRIA'!$B$1:$I$647,5,0),""))</f>
        <v>M2</v>
      </c>
      <c r="G435" s="204">
        <f>QUANT!K969</f>
        <v>6.3</v>
      </c>
      <c r="H435" s="256">
        <f>IFERROR(VLOOKUP($C435,'SINAPI FEVEREIRO 2022'!$1:$1048576,4,0),IFERROR(VLOOKUP($C435,'5-COMP. PROPRIA'!$B$1:$I$647,8,0),""))</f>
        <v>41.44</v>
      </c>
      <c r="I435" s="256">
        <f>TRUNC(($H435*'4-BDI'!$E$29),2)</f>
        <v>53.14</v>
      </c>
      <c r="J435" s="266">
        <f t="shared" si="160"/>
        <v>261.07</v>
      </c>
      <c r="K435" s="205">
        <f t="shared" si="161"/>
        <v>334.78</v>
      </c>
    </row>
    <row r="436" spans="2:11" s="120" customFormat="1" ht="15.75" customHeight="1">
      <c r="B436" s="915" t="s">
        <v>8286</v>
      </c>
      <c r="C436" s="916"/>
      <c r="D436" s="916"/>
      <c r="E436" s="916"/>
      <c r="F436" s="916"/>
      <c r="G436" s="916"/>
      <c r="H436" s="916"/>
      <c r="I436" s="917"/>
      <c r="J436" s="207">
        <f>TRUNC(SUM(J430:J435),2)</f>
        <v>1972.05</v>
      </c>
      <c r="K436" s="207">
        <f>TRUNC(SUM(K430:K435),2)</f>
        <v>2527.48</v>
      </c>
    </row>
    <row r="437" spans="2:11" s="280" customFormat="1" ht="15.75">
      <c r="B437" s="739" t="s">
        <v>6169</v>
      </c>
      <c r="C437" s="601"/>
      <c r="D437" s="601"/>
      <c r="E437" s="602" t="str">
        <f>QUANT!E971</f>
        <v>SPDA</v>
      </c>
      <c r="F437" s="603"/>
      <c r="G437" s="604"/>
      <c r="H437" s="605"/>
      <c r="I437" s="605"/>
      <c r="J437" s="606"/>
      <c r="K437" s="607"/>
    </row>
    <row r="438" spans="2:11" s="120" customFormat="1" ht="30">
      <c r="B438" s="208" t="s">
        <v>8357</v>
      </c>
      <c r="C438" s="201">
        <f>QUANT!C973</f>
        <v>96984</v>
      </c>
      <c r="D438" s="201" t="str">
        <f>QUANT!D973</f>
        <v xml:space="preserve">SINAPI </v>
      </c>
      <c r="E438" s="203" t="str">
        <f>IFERROR(VLOOKUP($C438,'SINAPI FEVEREIRO 2022'!$1:$1048576,2,0),IFERROR(VLOOKUP($C438,'5-COMP. PROPRIA'!$B$1:$I$647,4,0),""))</f>
        <v>ELETRODUTO PVC 40MM (1 ¼ ) PARA SPDA - FORNECIMENTO E INSTALAÇÃO. AF_12/2017</v>
      </c>
      <c r="F438" s="255" t="str">
        <f>IFERROR(VLOOKUP($C438,'SINAPI FEVEREIRO 2022'!$1:$1048576,3,0),IFERROR(VLOOKUP($C438,'5-COMP. PROPRIA'!$B$1:$I$647,5,0),""))</f>
        <v>UN</v>
      </c>
      <c r="G438" s="204">
        <f>QUANT!K973</f>
        <v>22</v>
      </c>
      <c r="H438" s="256">
        <f>IFERROR(VLOOKUP($C438,'SINAPI FEVEREIRO 2022'!$1:$1048576,4,0),IFERROR(VLOOKUP($C438,'5-COMP. PROPRIA'!$B$1:$I$647,8,0),""))</f>
        <v>45.57</v>
      </c>
      <c r="I438" s="256">
        <f>TRUNC(($H438*'4-BDI'!$E$29),2)</f>
        <v>58.43</v>
      </c>
      <c r="J438" s="266">
        <f t="shared" ref="J438" si="162">TRUNC((G438*H438),2)</f>
        <v>1002.54</v>
      </c>
      <c r="K438" s="205">
        <f t="shared" ref="K438" si="163">TRUNC((I438*G438),2)</f>
        <v>1285.46</v>
      </c>
    </row>
    <row r="439" spans="2:11" s="120" customFormat="1" ht="30">
      <c r="B439" s="208" t="s">
        <v>8358</v>
      </c>
      <c r="C439" s="201">
        <f>QUANT!C974</f>
        <v>96985</v>
      </c>
      <c r="D439" s="201" t="str">
        <f>QUANT!D974</f>
        <v xml:space="preserve">SINAPI </v>
      </c>
      <c r="E439" s="203" t="str">
        <f>IFERROR(VLOOKUP($C439,'SINAPI FEVEREIRO 2022'!$1:$1048576,2,0),IFERROR(VLOOKUP($C439,'5-COMP. PROPRIA'!$B$1:$I$647,4,0),""))</f>
        <v>HASTE DE ATERRAMENTO 5/8  PARA SPDA - FORNECIMENTO E INSTALAÇÃO. AF_12/2017</v>
      </c>
      <c r="F439" s="255" t="str">
        <f>IFERROR(VLOOKUP($C439,'SINAPI FEVEREIRO 2022'!$1:$1048576,3,0),IFERROR(VLOOKUP($C439,'5-COMP. PROPRIA'!$B$1:$I$647,5,0),""))</f>
        <v>UN</v>
      </c>
      <c r="G439" s="204">
        <f>QUANT!K974</f>
        <v>53</v>
      </c>
      <c r="H439" s="256">
        <f>IFERROR(VLOOKUP($C439,'SINAPI FEVEREIRO 2022'!$1:$1048576,4,0),IFERROR(VLOOKUP($C439,'5-COMP. PROPRIA'!$B$1:$I$647,8,0),""))</f>
        <v>60.39</v>
      </c>
      <c r="I439" s="256">
        <f>TRUNC(($H439*'4-BDI'!$E$29),2)</f>
        <v>77.44</v>
      </c>
      <c r="J439" s="266">
        <f t="shared" ref="J439:J450" si="164">TRUNC((G439*H439),2)</f>
        <v>3200.67</v>
      </c>
      <c r="K439" s="205">
        <f t="shared" ref="K439:K450" si="165">TRUNC((I439*G439),2)</f>
        <v>4104.32</v>
      </c>
    </row>
    <row r="440" spans="2:11" s="120" customFormat="1" ht="30">
      <c r="B440" s="208" t="s">
        <v>8359</v>
      </c>
      <c r="C440" s="201" t="str">
        <f>QUANT!C975</f>
        <v>CP-SPDA-01</v>
      </c>
      <c r="D440" s="201" t="str">
        <f>QUANT!D975</f>
        <v>PROPRIA</v>
      </c>
      <c r="E440" s="203" t="str">
        <f>IFERROR(VLOOKUP($C440,'SINAPI FEVEREIRO 2022'!$1:$1048576,2,0),IFERROR(VLOOKUP($C440,'5-COMP. PROPRIA'!$B$1:$I$647,4,0),""))</f>
        <v>CAIXA DE INSPEÇÃO, PVC DE 12'', COM TAMPA DE FERRO FUNDIDO, CONFORME DETALHE NO PROJETO, FORNECIMENTO E INSTALAÇÃO</v>
      </c>
      <c r="F440" s="255" t="str">
        <f>IFERROR(VLOOKUP($C440,'SINAPI FEVEREIRO 2022'!$1:$1048576,3,0),IFERROR(VLOOKUP($C440,'5-COMP. PROPRIA'!$B$1:$I$647,5,0),""))</f>
        <v>UNI</v>
      </c>
      <c r="G440" s="204">
        <f>QUANT!K975</f>
        <v>19</v>
      </c>
      <c r="H440" s="256">
        <f>IFERROR(VLOOKUP($C440,'SINAPI FEVEREIRO 2022'!$1:$1048576,4,0),IFERROR(VLOOKUP($C440,'5-COMP. PROPRIA'!$B$1:$I$647,8,0),""))</f>
        <v>88.25</v>
      </c>
      <c r="I440" s="256">
        <f>TRUNC(($H440*'4-BDI'!$E$29),2)</f>
        <v>113.17</v>
      </c>
      <c r="J440" s="266">
        <f t="shared" si="164"/>
        <v>1676.75</v>
      </c>
      <c r="K440" s="205">
        <f t="shared" si="165"/>
        <v>2150.23</v>
      </c>
    </row>
    <row r="441" spans="2:11" s="120" customFormat="1" ht="30">
      <c r="B441" s="208" t="s">
        <v>13340</v>
      </c>
      <c r="C441" s="201">
        <f>QUANT!C976</f>
        <v>96977</v>
      </c>
      <c r="D441" s="201" t="str">
        <f>QUANT!D976</f>
        <v>SINAPI</v>
      </c>
      <c r="E441" s="203" t="str">
        <f>IFERROR(VLOOKUP($C441,'SINAPI FEVEREIRO 2022'!$1:$1048576,2,0),IFERROR(VLOOKUP($C441,'5-COMP. PROPRIA'!$B$1:$I$647,4,0),""))</f>
        <v>CORDOALHA DE COBRE NU 50 MM², ENTERRADA, SEM ISOLADOR - FORNECIMENTO E INSTALAÇÃO. AF_12/2017</v>
      </c>
      <c r="F441" s="255" t="str">
        <f>IFERROR(VLOOKUP($C441,'SINAPI FEVEREIRO 2022'!$1:$1048576,3,0),IFERROR(VLOOKUP($C441,'5-COMP. PROPRIA'!$B$1:$I$647,5,0),""))</f>
        <v>M</v>
      </c>
      <c r="G441" s="204">
        <f>QUANT!K976</f>
        <v>258.04000000000002</v>
      </c>
      <c r="H441" s="256">
        <f>IFERROR(VLOOKUP($C441,'SINAPI FEVEREIRO 2022'!$1:$1048576,4,0),IFERROR(VLOOKUP($C441,'5-COMP. PROPRIA'!$B$1:$I$647,8,0),""))</f>
        <v>46.72</v>
      </c>
      <c r="I441" s="256">
        <f>TRUNC(($H441*'4-BDI'!$E$29),2)</f>
        <v>59.91</v>
      </c>
      <c r="J441" s="266">
        <f t="shared" si="164"/>
        <v>12055.62</v>
      </c>
      <c r="K441" s="205">
        <f t="shared" si="165"/>
        <v>15459.17</v>
      </c>
    </row>
    <row r="442" spans="2:11" s="120" customFormat="1" ht="30">
      <c r="B442" s="208" t="s">
        <v>13341</v>
      </c>
      <c r="C442" s="201">
        <f>QUANT!C977</f>
        <v>96974</v>
      </c>
      <c r="D442" s="201" t="str">
        <f>QUANT!D977</f>
        <v xml:space="preserve">SINAPI </v>
      </c>
      <c r="E442" s="203" t="str">
        <f>IFERROR(VLOOKUP($C442,'SINAPI FEVEREIRO 2022'!$1:$1048576,2,0),IFERROR(VLOOKUP($C442,'5-COMP. PROPRIA'!$B$1:$I$647,4,0),""))</f>
        <v>CORDOALHA DE COBRE NU 50 MM², NÃO ENTERRADA, COM ISOLADOR - FORNECIMENTO E INSTALAÇÃO. AF_12/2017</v>
      </c>
      <c r="F442" s="255" t="str">
        <f>IFERROR(VLOOKUP($C442,'SINAPI FEVEREIRO 2022'!$1:$1048576,3,0),IFERROR(VLOOKUP($C442,'5-COMP. PROPRIA'!$B$1:$I$647,5,0),""))</f>
        <v>M</v>
      </c>
      <c r="G442" s="204">
        <f>QUANT!K977</f>
        <v>106.4</v>
      </c>
      <c r="H442" s="256">
        <f>IFERROR(VLOOKUP($C442,'SINAPI FEVEREIRO 2022'!$1:$1048576,4,0),IFERROR(VLOOKUP($C442,'5-COMP. PROPRIA'!$B$1:$I$647,8,0),""))</f>
        <v>64.459999999999994</v>
      </c>
      <c r="I442" s="256">
        <f>TRUNC(($H442*'4-BDI'!$E$29),2)</f>
        <v>82.66</v>
      </c>
      <c r="J442" s="266">
        <f t="shared" si="164"/>
        <v>6858.54</v>
      </c>
      <c r="K442" s="205">
        <f t="shared" si="165"/>
        <v>8795.02</v>
      </c>
    </row>
    <row r="443" spans="2:11" s="120" customFormat="1" ht="30">
      <c r="B443" s="208" t="s">
        <v>13342</v>
      </c>
      <c r="C443" s="201" t="str">
        <f>QUANT!C978</f>
        <v>CP-SPDA-02</v>
      </c>
      <c r="D443" s="201" t="str">
        <f>QUANT!D978</f>
        <v>PROPRIA</v>
      </c>
      <c r="E443" s="203" t="str">
        <f>IFERROR(VLOOKUP($C443,'SINAPI FEVEREIRO 2022'!$1:$1048576,2,0),IFERROR(VLOOKUP($C443,'5-COMP. PROPRIA'!$B$1:$I$647,4,0),""))</f>
        <v>GRAMPO CONECTOR GTDU PARA HASTE DE ATERRAMENTO DUPLO 5/8'' - 50MM² - FORNECIMENTO E INSTALAÇÃO</v>
      </c>
      <c r="F443" s="255" t="str">
        <f>IFERROR(VLOOKUP($C443,'SINAPI FEVEREIRO 2022'!$1:$1048576,3,0),IFERROR(VLOOKUP($C443,'5-COMP. PROPRIA'!$B$1:$I$647,5,0),""))</f>
        <v>UNI</v>
      </c>
      <c r="G443" s="204">
        <f>QUANT!K978</f>
        <v>53</v>
      </c>
      <c r="H443" s="256">
        <f>IFERROR(VLOOKUP($C443,'SINAPI FEVEREIRO 2022'!$1:$1048576,4,0),IFERROR(VLOOKUP($C443,'5-COMP. PROPRIA'!$B$1:$I$647,8,0),""))</f>
        <v>16.899999999999999</v>
      </c>
      <c r="I443" s="256">
        <f>TRUNC(($H443*'4-BDI'!$E$29),2)</f>
        <v>21.67</v>
      </c>
      <c r="J443" s="266">
        <f t="shared" si="164"/>
        <v>895.7</v>
      </c>
      <c r="K443" s="205">
        <f t="shared" si="165"/>
        <v>1148.51</v>
      </c>
    </row>
    <row r="444" spans="2:11" s="120" customFormat="1" ht="30">
      <c r="B444" s="208" t="s">
        <v>13343</v>
      </c>
      <c r="C444" s="201" t="str">
        <f>QUANT!C979</f>
        <v>CP-SPDA-03</v>
      </c>
      <c r="D444" s="201" t="str">
        <f>QUANT!D979</f>
        <v>PROPRIA</v>
      </c>
      <c r="E444" s="203" t="str">
        <f>IFERROR(VLOOKUP($C444,'SINAPI FEVEREIRO 2022'!$1:$1048576,2,0),IFERROR(VLOOKUP($C444,'5-COMP. PROPRIA'!$B$1:$I$647,4,0),""))</f>
        <v>GRAMPO CONECTOR MINI-BAR EM BRONZE ESTANHADO TEL-583 - FORNECIMENTO E INSTALAÇÃO</v>
      </c>
      <c r="F444" s="255" t="str">
        <f>IFERROR(VLOOKUP($C444,'SINAPI FEVEREIRO 2022'!$1:$1048576,3,0),IFERROR(VLOOKUP($C444,'5-COMP. PROPRIA'!$B$1:$I$647,5,0),""))</f>
        <v>UNI</v>
      </c>
      <c r="G444" s="204">
        <f>QUANT!K979</f>
        <v>19</v>
      </c>
      <c r="H444" s="256">
        <f>IFERROR(VLOOKUP($C444,'SINAPI FEVEREIRO 2022'!$1:$1048576,4,0),IFERROR(VLOOKUP($C444,'5-COMP. PROPRIA'!$B$1:$I$647,8,0),""))</f>
        <v>10.31</v>
      </c>
      <c r="I444" s="256">
        <f>TRUNC(($H444*'4-BDI'!$E$29),2)</f>
        <v>13.22</v>
      </c>
      <c r="J444" s="266">
        <f t="shared" si="164"/>
        <v>195.89</v>
      </c>
      <c r="K444" s="205">
        <f t="shared" si="165"/>
        <v>251.18</v>
      </c>
    </row>
    <row r="445" spans="2:11" s="120" customFormat="1" ht="30">
      <c r="B445" s="208" t="s">
        <v>13344</v>
      </c>
      <c r="C445" s="201">
        <f>QUANT!C980</f>
        <v>96973</v>
      </c>
      <c r="D445" s="201" t="str">
        <f>QUANT!D980</f>
        <v>PROPRIA</v>
      </c>
      <c r="E445" s="203" t="str">
        <f>IFERROR(VLOOKUP($C445,'SINAPI FEVEREIRO 2022'!$1:$1048576,2,0),IFERROR(VLOOKUP($C445,'5-COMP. PROPRIA'!$B$1:$I$647,4,0),""))</f>
        <v>CORDOALHA DE COBRE NU 35 MM², NÃO ENTERRADA, COM ISOLADOR - FORNECIMENTO E INSTALAÇÃO. AF_12/2017</v>
      </c>
      <c r="F445" s="255" t="str">
        <f>IFERROR(VLOOKUP($C445,'SINAPI FEVEREIRO 2022'!$1:$1048576,3,0),IFERROR(VLOOKUP($C445,'5-COMP. PROPRIA'!$B$1:$I$647,5,0),""))</f>
        <v>M</v>
      </c>
      <c r="G445" s="204">
        <f>QUANT!K980</f>
        <v>536.30999999999995</v>
      </c>
      <c r="H445" s="256">
        <f>IFERROR(VLOOKUP($C445,'SINAPI FEVEREIRO 2022'!$1:$1048576,4,0),IFERROR(VLOOKUP($C445,'5-COMP. PROPRIA'!$B$1:$I$647,8,0),""))</f>
        <v>49.7</v>
      </c>
      <c r="I445" s="256">
        <f>TRUNC(($H445*'4-BDI'!$E$29),2)</f>
        <v>63.73</v>
      </c>
      <c r="J445" s="266">
        <f t="shared" si="164"/>
        <v>26654.6</v>
      </c>
      <c r="K445" s="205">
        <f t="shared" si="165"/>
        <v>34179.03</v>
      </c>
    </row>
    <row r="446" spans="2:11" s="120" customFormat="1" ht="30">
      <c r="B446" s="208" t="s">
        <v>13345</v>
      </c>
      <c r="C446" s="201" t="str">
        <f>QUANT!C981</f>
        <v>CP-SPDA-06</v>
      </c>
      <c r="D446" s="201" t="str">
        <f>QUANT!D981</f>
        <v>PROPRIA</v>
      </c>
      <c r="E446" s="203" t="str">
        <f>IFERROR(VLOOKUP($C446,'SINAPI FEVEREIRO 2022'!$1:$1048576,2,0),IFERROR(VLOOKUP($C446,'5-COMP. PROPRIA'!$B$1:$I$647,4,0),""))</f>
        <v>CAIXA DE EQUALIZAÇÃO DE POTÊNCIAS 200X200MM EM AÇO COM BARRAMENTO, EXPESSURA 9MM - FORNECIMENTO E INSTALAÇÃO</v>
      </c>
      <c r="F446" s="255" t="str">
        <f>IFERROR(VLOOKUP($C446,'SINAPI FEVEREIRO 2022'!$1:$1048576,3,0),IFERROR(VLOOKUP($C446,'5-COMP. PROPRIA'!$B$1:$I$647,5,0),""))</f>
        <v>UNI</v>
      </c>
      <c r="G446" s="204">
        <f>QUANT!K981</f>
        <v>1</v>
      </c>
      <c r="H446" s="256">
        <f>IFERROR(VLOOKUP($C446,'SINAPI FEVEREIRO 2022'!$1:$1048576,4,0),IFERROR(VLOOKUP($C446,'5-COMP. PROPRIA'!$B$1:$I$647,8,0),""))</f>
        <v>434.24</v>
      </c>
      <c r="I446" s="256">
        <f>TRUNC(($H446*'4-BDI'!$E$29),2)</f>
        <v>556.86</v>
      </c>
      <c r="J446" s="266">
        <f t="shared" si="164"/>
        <v>434.24</v>
      </c>
      <c r="K446" s="205">
        <f t="shared" si="165"/>
        <v>556.86</v>
      </c>
    </row>
    <row r="447" spans="2:11" s="120" customFormat="1" ht="30">
      <c r="B447" s="208" t="s">
        <v>13346</v>
      </c>
      <c r="C447" s="201">
        <f>QUANT!C982</f>
        <v>93358</v>
      </c>
      <c r="D447" s="201" t="str">
        <f>QUANT!D982</f>
        <v>SINAPI</v>
      </c>
      <c r="E447" s="203" t="str">
        <f>IFERROR(VLOOKUP($C447,'SINAPI FEVEREIRO 2022'!$1:$1048576,2,0),IFERROR(VLOOKUP($C447,'5-COMP. PROPRIA'!$B$1:$I$647,4,0),""))</f>
        <v>ESCAVAÇÃO MANUAL DE VALA COM PROFUNDIDADE MENOR OU IGUAL A 1,30 M. AF_02/2021</v>
      </c>
      <c r="F447" s="255" t="str">
        <f>IFERROR(VLOOKUP($C447,'SINAPI FEVEREIRO 2022'!$1:$1048576,3,0),IFERROR(VLOOKUP($C447,'5-COMP. PROPRIA'!$B$1:$I$647,5,0),""))</f>
        <v>M3</v>
      </c>
      <c r="G447" s="204">
        <f>QUANT!K982</f>
        <v>38.71</v>
      </c>
      <c r="H447" s="256">
        <f>IFERROR(VLOOKUP($C447,'SINAPI FEVEREIRO 2022'!$1:$1048576,4,0),IFERROR(VLOOKUP($C447,'5-COMP. PROPRIA'!$B$1:$I$647,8,0),""))</f>
        <v>59.97</v>
      </c>
      <c r="I447" s="256">
        <f>TRUNC(($H447*'4-BDI'!$E$29),2)</f>
        <v>76.900000000000006</v>
      </c>
      <c r="J447" s="266">
        <f t="shared" si="164"/>
        <v>2321.4299999999998</v>
      </c>
      <c r="K447" s="205">
        <f t="shared" si="165"/>
        <v>2976.79</v>
      </c>
    </row>
    <row r="448" spans="2:11" s="120" customFormat="1" ht="15">
      <c r="B448" s="208" t="s">
        <v>13347</v>
      </c>
      <c r="C448" s="201">
        <f>QUANT!C983</f>
        <v>96995</v>
      </c>
      <c r="D448" s="201" t="str">
        <f>QUANT!D983</f>
        <v>SINAPI</v>
      </c>
      <c r="E448" s="203" t="str">
        <f>IFERROR(VLOOKUP($C448,'SINAPI FEVEREIRO 2022'!$1:$1048576,2,0),IFERROR(VLOOKUP($C448,'5-COMP. PROPRIA'!$B$1:$I$647,4,0),""))</f>
        <v>REATERRO MANUAL APILOADO COM SOQUETE. AF_10/2017</v>
      </c>
      <c r="F448" s="255" t="str">
        <f>IFERROR(VLOOKUP($C448,'SINAPI FEVEREIRO 2022'!$1:$1048576,3,0),IFERROR(VLOOKUP($C448,'5-COMP. PROPRIA'!$B$1:$I$647,5,0),""))</f>
        <v>M3</v>
      </c>
      <c r="G448" s="204">
        <f>QUANT!K983</f>
        <v>38.71</v>
      </c>
      <c r="H448" s="256">
        <f>IFERROR(VLOOKUP($C448,'SINAPI FEVEREIRO 2022'!$1:$1048576,4,0),IFERROR(VLOOKUP($C448,'5-COMP. PROPRIA'!$B$1:$I$647,8,0),""))</f>
        <v>36.36</v>
      </c>
      <c r="I448" s="256">
        <f>TRUNC(($H448*'4-BDI'!$E$29),2)</f>
        <v>46.62</v>
      </c>
      <c r="J448" s="266">
        <f t="shared" si="164"/>
        <v>1407.49</v>
      </c>
      <c r="K448" s="205">
        <f t="shared" si="165"/>
        <v>1804.66</v>
      </c>
    </row>
    <row r="449" spans="2:12" s="120" customFormat="1" ht="15">
      <c r="B449" s="208" t="s">
        <v>13348</v>
      </c>
      <c r="C449" s="201" t="str">
        <f>QUANT!C984</f>
        <v>CP-SPDA-07</v>
      </c>
      <c r="D449" s="201" t="str">
        <f>QUANT!D984</f>
        <v>SINAPI</v>
      </c>
      <c r="E449" s="203" t="str">
        <f>IFERROR(VLOOKUP($C449,'SINAPI FEVEREIRO 2022'!$1:$1048576,2,0),IFERROR(VLOOKUP($C449,'5-COMP. PROPRIA'!$B$1:$I$647,4,0),""))</f>
        <v>SPDA CAIXA D'ÁGUA</v>
      </c>
      <c r="F449" s="255" t="str">
        <f>IFERROR(VLOOKUP($C449,'SINAPI FEVEREIRO 2022'!$1:$1048576,3,0),IFERROR(VLOOKUP($C449,'5-COMP. PROPRIA'!$B$1:$I$647,5,0),""))</f>
        <v>UNI</v>
      </c>
      <c r="G449" s="204">
        <f>QUANT!K984</f>
        <v>1</v>
      </c>
      <c r="H449" s="256">
        <f>IFERROR(VLOOKUP($C449,'SINAPI FEVEREIRO 2022'!$1:$1048576,4,0),IFERROR(VLOOKUP($C449,'5-COMP. PROPRIA'!$B$1:$I$647,8,0),""))</f>
        <v>990.67</v>
      </c>
      <c r="I449" s="256">
        <f>TRUNC(($H449*'4-BDI'!$E$29),2)</f>
        <v>1270.43</v>
      </c>
      <c r="J449" s="266">
        <f t="shared" si="164"/>
        <v>990.67</v>
      </c>
      <c r="K449" s="205">
        <f t="shared" si="165"/>
        <v>1270.43</v>
      </c>
    </row>
    <row r="450" spans="2:12" s="120" customFormat="1" ht="15">
      <c r="B450" s="208" t="s">
        <v>13349</v>
      </c>
      <c r="C450" s="201" t="str">
        <f>QUANT!C985</f>
        <v>CP-SPDA-08</v>
      </c>
      <c r="D450" s="201" t="str">
        <f>QUANT!D985</f>
        <v>SINAPI</v>
      </c>
      <c r="E450" s="203" t="str">
        <f>IFERROR(VLOOKUP($C450,'SINAPI FEVEREIRO 2022'!$1:$1048576,2,0),IFERROR(VLOOKUP($C450,'5-COMP. PROPRIA'!$B$1:$I$647,4,0),""))</f>
        <v>TERMINAL A COMPRESSAO 35 mm²</v>
      </c>
      <c r="F450" s="255" t="str">
        <f>IFERROR(VLOOKUP($C450,'SINAPI FEVEREIRO 2022'!$1:$1048576,3,0),IFERROR(VLOOKUP($C450,'5-COMP. PROPRIA'!$B$1:$I$647,5,0),""))</f>
        <v>UNI</v>
      </c>
      <c r="G450" s="204">
        <f>QUANT!K985</f>
        <v>11</v>
      </c>
      <c r="H450" s="256">
        <f>IFERROR(VLOOKUP($C450,'SINAPI FEVEREIRO 2022'!$1:$1048576,4,0),IFERROR(VLOOKUP($C450,'5-COMP. PROPRIA'!$B$1:$I$647,8,0),""))</f>
        <v>11.14</v>
      </c>
      <c r="I450" s="256">
        <f>TRUNC(($H450*'4-BDI'!$E$29),2)</f>
        <v>14.28</v>
      </c>
      <c r="J450" s="266">
        <f t="shared" si="164"/>
        <v>122.54</v>
      </c>
      <c r="K450" s="205">
        <f t="shared" si="165"/>
        <v>157.08000000000001</v>
      </c>
    </row>
    <row r="451" spans="2:12" s="120" customFormat="1" ht="15.75" customHeight="1">
      <c r="B451" s="915" t="s">
        <v>8286</v>
      </c>
      <c r="C451" s="916"/>
      <c r="D451" s="916"/>
      <c r="E451" s="916"/>
      <c r="F451" s="916"/>
      <c r="G451" s="916"/>
      <c r="H451" s="916"/>
      <c r="I451" s="917"/>
      <c r="J451" s="207">
        <f>TRUNC(SUM(J438:J450),2)</f>
        <v>57816.68</v>
      </c>
      <c r="K451" s="207">
        <f>TRUNC(SUM(K438:K450),2)</f>
        <v>74138.740000000005</v>
      </c>
      <c r="L451" s="729"/>
    </row>
    <row r="452" spans="2:12" ht="15.75">
      <c r="B452" s="285" t="s">
        <v>8360</v>
      </c>
      <c r="C452" s="286"/>
      <c r="D452" s="287"/>
      <c r="E452" s="288" t="str">
        <f>QUANT!E987</f>
        <v xml:space="preserve">SISTEMA DE PROTEÇÃO CONTRA INCÊNDIO </v>
      </c>
      <c r="F452" s="289"/>
      <c r="G452" s="290"/>
      <c r="H452" s="291"/>
      <c r="I452" s="291"/>
      <c r="J452" s="291"/>
      <c r="K452" s="292"/>
    </row>
    <row r="453" spans="2:12" s="120" customFormat="1" ht="45">
      <c r="B453" s="208" t="s">
        <v>8361</v>
      </c>
      <c r="C453" s="201">
        <f>QUANT!C989</f>
        <v>101905</v>
      </c>
      <c r="D453" s="201" t="str">
        <f>QUANT!D989</f>
        <v>SINAPI</v>
      </c>
      <c r="E453" s="203" t="str">
        <f>IFERROR(VLOOKUP($C453,'SINAPI FEVEREIRO 2022'!$1:$1048576,2,0),IFERROR(VLOOKUP($C453,'5-COMP. PROPRIA'!$B$1:$I$647,4,0),""))</f>
        <v>EXTINTOR DE INCÊNDIO PORTÁTIL COM CARGA DE ÁGUA PRESSURIZADA DE 10 L, CLASSE A - FORNECIMENTO E INSTALAÇÃO. AF_10/2020_P</v>
      </c>
      <c r="F453" s="255" t="str">
        <f>IFERROR(VLOOKUP($C453,'SINAPI FEVEREIRO 2022'!$1:$1048576,3,0),IFERROR(VLOOKUP($C453,'5-COMP. PROPRIA'!$B$1:$I$647,5,0),""))</f>
        <v>UN</v>
      </c>
      <c r="G453" s="204">
        <f>QUANT!K989</f>
        <v>5</v>
      </c>
      <c r="H453" s="256">
        <f>IFERROR(VLOOKUP($C453,'SINAPI FEVEREIRO 2022'!$1:$1048576,4,0),IFERROR(VLOOKUP($C453,'5-COMP. PROPRIA'!$B$1:$I$647,8,0),""))</f>
        <v>186.74</v>
      </c>
      <c r="I453" s="256">
        <f>TRUNC(($H453*'4-BDI'!$E$29),2)</f>
        <v>239.47</v>
      </c>
      <c r="J453" s="266">
        <f t="shared" ref="J453:J454" si="166">TRUNC((G453*H453),2)</f>
        <v>933.7</v>
      </c>
      <c r="K453" s="205">
        <f t="shared" ref="K453:K454" si="167">TRUNC((I453*G453),2)</f>
        <v>1197.3499999999999</v>
      </c>
    </row>
    <row r="454" spans="2:12" s="120" customFormat="1" ht="30">
      <c r="B454" s="208" t="s">
        <v>8362</v>
      </c>
      <c r="C454" s="201">
        <f>QUANT!C991</f>
        <v>101909</v>
      </c>
      <c r="D454" s="201" t="str">
        <f>QUANT!D991</f>
        <v>SINAPI</v>
      </c>
      <c r="E454" s="203" t="str">
        <f>IFERROR(VLOOKUP($C454,'SINAPI FEVEREIRO 2022'!$1:$1048576,2,0),IFERROR(VLOOKUP($C454,'5-COMP. PROPRIA'!$B$1:$I$647,4,0),""))</f>
        <v>EXTINTOR DE INCÊNDIO PORTÁTIL COM CARGA DE PQS DE 6 KG, CLASSE BC - FORNECIMENTO E INSTALAÇÃO. AF_10/2020_P</v>
      </c>
      <c r="F454" s="255" t="str">
        <f>IFERROR(VLOOKUP($C454,'SINAPI FEVEREIRO 2022'!$1:$1048576,3,0),IFERROR(VLOOKUP($C454,'5-COMP. PROPRIA'!$B$1:$I$647,5,0),""))</f>
        <v>UN</v>
      </c>
      <c r="G454" s="204">
        <f>QUANT!K991</f>
        <v>1</v>
      </c>
      <c r="H454" s="256">
        <f>IFERROR(VLOOKUP($C454,'SINAPI FEVEREIRO 2022'!$1:$1048576,4,0),IFERROR(VLOOKUP($C454,'5-COMP. PROPRIA'!$B$1:$I$647,8,0),""))</f>
        <v>210.98</v>
      </c>
      <c r="I454" s="256">
        <f>TRUNC(($H454*'4-BDI'!$E$29),2)</f>
        <v>270.56</v>
      </c>
      <c r="J454" s="266">
        <f t="shared" si="166"/>
        <v>210.98</v>
      </c>
      <c r="K454" s="205">
        <f t="shared" si="167"/>
        <v>270.56</v>
      </c>
    </row>
    <row r="455" spans="2:12" s="120" customFormat="1" ht="60">
      <c r="B455" s="208" t="s">
        <v>8363</v>
      </c>
      <c r="C455" s="201" t="str">
        <f>QUANT!C993</f>
        <v>CP-CBI-01</v>
      </c>
      <c r="D455" s="201" t="str">
        <f>QUANT!D993</f>
        <v>PROPRIA</v>
      </c>
      <c r="E455" s="203" t="str">
        <f>IFERROR(VLOOKUP($C455,'SINAPI FEVEREIRO 2022'!$1:$1048576,2,0),IFERROR(VLOOKUP($C455,'5-COMP. PROPRIA'!$B$1:$I$647,4,0),""))</f>
        <v>PLACA DE SINALIZACAO DE SEGURANCA CONTRA INCENDIO, FOTOLUMINESCENTE, RETANGULAR, *13 X 26* CM, EM PVC *2* MM ANTI-CHAMAS (SIMBOLOS, CORES E PICTOGRAMAS CONFORME NBR 13434) - FORNECIMENTO E INSTALAÇÃO</v>
      </c>
      <c r="F455" s="255" t="str">
        <f>IFERROR(VLOOKUP($C455,'SINAPI FEVEREIRO 2022'!$1:$1048576,3,0),IFERROR(VLOOKUP($C455,'5-COMP. PROPRIA'!$B$1:$I$647,5,0),""))</f>
        <v>UN</v>
      </c>
      <c r="G455" s="204">
        <f>QUANT!K993</f>
        <v>12</v>
      </c>
      <c r="H455" s="256">
        <f>IFERROR(VLOOKUP($C455,'SINAPI FEVEREIRO 2022'!$1:$1048576,4,0),IFERROR(VLOOKUP($C455,'5-COMP. PROPRIA'!$B$1:$I$647,8,0),""))</f>
        <v>22.43</v>
      </c>
      <c r="I455" s="256">
        <f>TRUNC(($H455*'4-BDI'!$E$29),2)</f>
        <v>28.76</v>
      </c>
      <c r="J455" s="266">
        <f t="shared" ref="J455" si="168">TRUNC((G455*H455),2)</f>
        <v>269.16000000000003</v>
      </c>
      <c r="K455" s="205">
        <f t="shared" ref="K455" si="169">TRUNC((I455*G455),2)</f>
        <v>345.12</v>
      </c>
    </row>
    <row r="456" spans="2:12" s="120" customFormat="1" ht="15.75" customHeight="1">
      <c r="B456" s="915" t="s">
        <v>8286</v>
      </c>
      <c r="C456" s="916"/>
      <c r="D456" s="916"/>
      <c r="E456" s="916"/>
      <c r="F456" s="916"/>
      <c r="G456" s="916"/>
      <c r="H456" s="916"/>
      <c r="I456" s="917"/>
      <c r="J456" s="207">
        <f>TRUNC(SUM(J453:J455),2)</f>
        <v>1413.84</v>
      </c>
      <c r="K456" s="207">
        <f>TRUNC(SUM(K453:K455),2)</f>
        <v>1813.03</v>
      </c>
    </row>
    <row r="457" spans="2:12" ht="15.75">
      <c r="B457" s="285" t="s">
        <v>8364</v>
      </c>
      <c r="C457" s="286"/>
      <c r="D457" s="287"/>
      <c r="E457" s="288" t="str">
        <f>QUANT!E995</f>
        <v>INSTALAÇÃO DE SISTEMA DE GAS/GLP</v>
      </c>
      <c r="F457" s="289"/>
      <c r="G457" s="290"/>
      <c r="H457" s="291"/>
      <c r="I457" s="291"/>
      <c r="J457" s="291"/>
      <c r="K457" s="292"/>
    </row>
    <row r="458" spans="2:12" s="120" customFormat="1" ht="30">
      <c r="B458" s="208" t="s">
        <v>8365</v>
      </c>
      <c r="C458" s="201" t="str">
        <f>QUANT!C997</f>
        <v>CP-GAS-1</v>
      </c>
      <c r="D458" s="201" t="str">
        <f>QUANT!D997</f>
        <v>PROPRIA</v>
      </c>
      <c r="E458" s="203" t="str">
        <f>IFERROR(VLOOKUP($C458,'SINAPI FEVEREIRO 2022'!$1:$1048576,2,0),IFERROR(VLOOKUP($C458,'5-COMP. PROPRIA'!$B$1:$I$647,4,0),""))</f>
        <v>FORNECIMENTO E INSTALAÇÃO DE CASA DE GÁS MODELO PADRÃO DE 2,00X1,00</v>
      </c>
      <c r="F458" s="255" t="str">
        <f>IFERROR(VLOOKUP($C458,'SINAPI FEVEREIRO 2022'!$1:$1048576,3,0),IFERROR(VLOOKUP($C458,'5-COMP. PROPRIA'!$B$1:$I$647,5,0),""))</f>
        <v>UNI</v>
      </c>
      <c r="G458" s="204">
        <f>QUANT!K997</f>
        <v>1</v>
      </c>
      <c r="H458" s="256">
        <f>IFERROR(VLOOKUP($C458,'SINAPI FEVEREIRO 2022'!$1:$1048576,4,0),IFERROR(VLOOKUP($C458,'5-COMP. PROPRIA'!$B$1:$I$647,8,0),""))</f>
        <v>3261.08</v>
      </c>
      <c r="I458" s="256">
        <f>TRUNC(($H458*'4-BDI'!$E$29),2)</f>
        <v>4182</v>
      </c>
      <c r="J458" s="266">
        <f>TRUNC((G458*H458),2)</f>
        <v>3261.08</v>
      </c>
      <c r="K458" s="205">
        <f>TRUNC((I458*G458),2)</f>
        <v>4182</v>
      </c>
    </row>
    <row r="459" spans="2:12" s="120" customFormat="1" ht="30">
      <c r="B459" s="208" t="s">
        <v>8366</v>
      </c>
      <c r="C459" s="201" t="str">
        <f>QUANT!C999</f>
        <v>CP-GAS-2</v>
      </c>
      <c r="D459" s="201" t="str">
        <f>QUANT!D999</f>
        <v>PROPRIA</v>
      </c>
      <c r="E459" s="203" t="str">
        <f>IFERROR(VLOOKUP($C459,'SINAPI FEVEREIRO 2022'!$1:$1048576,2,0),IFERROR(VLOOKUP($C459,'5-COMP. PROPRIA'!$B$1:$I$647,4,0),""))</f>
        <v>TELA DE PROTEÇÃO PARA JANELA COM REQUADRO EM ALUMINIO - FORNECIMENTO E INSTALAÇÃO</v>
      </c>
      <c r="F459" s="255" t="str">
        <f>IFERROR(VLOOKUP($C459,'SINAPI FEVEREIRO 2022'!$1:$1048576,3,0),IFERROR(VLOOKUP($C459,'5-COMP. PROPRIA'!$B$1:$I$647,5,0),""))</f>
        <v xml:space="preserve">M2    </v>
      </c>
      <c r="G459" s="204">
        <f>QUANT!K999</f>
        <v>2</v>
      </c>
      <c r="H459" s="256">
        <f>IFERROR(VLOOKUP($C459,'SINAPI FEVEREIRO 2022'!$1:$1048576,4,0),IFERROR(VLOOKUP($C459,'5-COMP. PROPRIA'!$B$1:$I$647,8,0),""))</f>
        <v>400.73</v>
      </c>
      <c r="I459" s="256">
        <f>TRUNC(($H459*'4-BDI'!$E$29),2)</f>
        <v>513.89</v>
      </c>
      <c r="J459" s="266">
        <f t="shared" ref="J459:J460" si="170">TRUNC((G459*H459),2)</f>
        <v>801.46</v>
      </c>
      <c r="K459" s="205">
        <f t="shared" ref="K459:K460" si="171">TRUNC((I459*G459),2)</f>
        <v>1027.78</v>
      </c>
    </row>
    <row r="460" spans="2:12" s="120" customFormat="1" ht="30">
      <c r="B460" s="208" t="s">
        <v>13350</v>
      </c>
      <c r="C460" s="201" t="str">
        <f>QUANT!C1001</f>
        <v>CP-GAS-3</v>
      </c>
      <c r="D460" s="201" t="str">
        <f>QUANT!D1001</f>
        <v>PROPRIA</v>
      </c>
      <c r="E460" s="203" t="str">
        <f>IFERROR(VLOOKUP($C460,'SINAPI FEVEREIRO 2022'!$1:$1048576,2,0),IFERROR(VLOOKUP($C460,'5-COMP. PROPRIA'!$B$1:$I$647,4,0),""))</f>
        <v>INSTALAÇÃO DE GAS GLP TUBOS, CONEXÕES E ACESSÓRIOS - INCLUSO REGULADOR 1º E 2º ESTAGIO E MANÔMETRO</v>
      </c>
      <c r="F460" s="255" t="str">
        <f>IFERROR(VLOOKUP($C460,'SINAPI FEVEREIRO 2022'!$1:$1048576,3,0),IFERROR(VLOOKUP($C460,'5-COMP. PROPRIA'!$B$1:$I$647,5,0),""))</f>
        <v>UNI</v>
      </c>
      <c r="G460" s="204">
        <f>QUANT!K1001</f>
        <v>1</v>
      </c>
      <c r="H460" s="256">
        <f>IFERROR(VLOOKUP($C460,'SINAPI FEVEREIRO 2022'!$1:$1048576,4,0),IFERROR(VLOOKUP($C460,'5-COMP. PROPRIA'!$B$1:$I$647,8,0),""))</f>
        <v>2101.87</v>
      </c>
      <c r="I460" s="256">
        <f>TRUNC(($H460*'4-BDI'!$E$29),2)</f>
        <v>2695.43</v>
      </c>
      <c r="J460" s="266">
        <f t="shared" si="170"/>
        <v>2101.87</v>
      </c>
      <c r="K460" s="205">
        <f t="shared" si="171"/>
        <v>2695.43</v>
      </c>
    </row>
    <row r="461" spans="2:12" s="120" customFormat="1" ht="15.75" customHeight="1">
      <c r="B461" s="915" t="s">
        <v>8286</v>
      </c>
      <c r="C461" s="916"/>
      <c r="D461" s="916"/>
      <c r="E461" s="916"/>
      <c r="F461" s="916"/>
      <c r="G461" s="916"/>
      <c r="H461" s="916"/>
      <c r="I461" s="917"/>
      <c r="J461" s="207">
        <f>TRUNC(SUM(J458:J460),2)</f>
        <v>6164.41</v>
      </c>
      <c r="K461" s="207">
        <f>TRUNC(SUM(K458:K460),2)</f>
        <v>7905.21</v>
      </c>
    </row>
    <row r="462" spans="2:12" s="120" customFormat="1" ht="15.75">
      <c r="B462" s="285" t="s">
        <v>8367</v>
      </c>
      <c r="C462" s="286"/>
      <c r="D462" s="287"/>
      <c r="E462" s="288" t="str">
        <f>QUANT!E1003</f>
        <v>PAISAGISMO</v>
      </c>
      <c r="F462" s="289"/>
      <c r="G462" s="290"/>
      <c r="H462" s="291"/>
      <c r="I462" s="291"/>
      <c r="J462" s="291"/>
      <c r="K462" s="292"/>
    </row>
    <row r="463" spans="2:12" s="120" customFormat="1" ht="30">
      <c r="B463" s="208" t="s">
        <v>8368</v>
      </c>
      <c r="C463" s="201" t="str">
        <f>QUANT!C1005</f>
        <v>CP-PAI-01</v>
      </c>
      <c r="D463" s="201" t="str">
        <f>QUANT!D1005</f>
        <v>PROPRIA</v>
      </c>
      <c r="E463" s="203" t="str">
        <f>IFERROR(VLOOKUP($C463,'SINAPI FEVEREIRO 2022'!$1:$1048576,2,0),IFERROR(VLOOKUP($C463,'5-COMP. PROPRIA'!$B$1:$I$647,4,0),""))</f>
        <v>PEDRA BRITADA N. 1 (9,5 a 19 MM) POSTO PEDREIRA/FORNECEDOR - FORNECIMENTO E INSTALAÇÃO</v>
      </c>
      <c r="F463" s="255" t="str">
        <f>IFERROR(VLOOKUP($C463,'SINAPI FEVEREIRO 2022'!$1:$1048576,3,0),IFERROR(VLOOKUP($C463,'5-COMP. PROPRIA'!$B$1:$I$647,5,0),""))</f>
        <v>M3</v>
      </c>
      <c r="G463" s="204">
        <f>QUANT!K1005</f>
        <v>34.661000000000001</v>
      </c>
      <c r="H463" s="256">
        <f>IFERROR(VLOOKUP($C463,'SINAPI FEVEREIRO 2022'!$1:$1048576,4,0),IFERROR(VLOOKUP($C463,'5-COMP. PROPRIA'!$B$1:$I$647,8,0),""))</f>
        <v>99.95</v>
      </c>
      <c r="I463" s="256">
        <f>TRUNC(($H463*'4-BDI'!$E$29),2)</f>
        <v>128.16999999999999</v>
      </c>
      <c r="J463" s="266">
        <f>TRUNC((G463*H463),2)</f>
        <v>3464.36</v>
      </c>
      <c r="K463" s="205">
        <f>TRUNC((I463*G463),2)</f>
        <v>4442.5</v>
      </c>
    </row>
    <row r="464" spans="2:12" s="120" customFormat="1" ht="15">
      <c r="B464" s="208" t="s">
        <v>8369</v>
      </c>
      <c r="C464" s="201">
        <f>QUANT!C1009</f>
        <v>98504</v>
      </c>
      <c r="D464" s="201" t="str">
        <f>QUANT!D1009</f>
        <v>SINAPI</v>
      </c>
      <c r="E464" s="203" t="str">
        <f>IFERROR(VLOOKUP($C464,'SINAPI FEVEREIRO 2022'!$1:$1048576,2,0),IFERROR(VLOOKUP($C464,'5-COMP. PROPRIA'!$B$1:$I$647,4,0),""))</f>
        <v>PLANTIO DE GRAMA EM PLACAS. AF_05/2018</v>
      </c>
      <c r="F464" s="255" t="str">
        <f>IFERROR(VLOOKUP($C464,'SINAPI FEVEREIRO 2022'!$1:$1048576,3,0),IFERROR(VLOOKUP($C464,'5-COMP. PROPRIA'!$B$1:$I$647,5,0),""))</f>
        <v>M2</v>
      </c>
      <c r="G464" s="204">
        <f>QUANT!K1009</f>
        <v>35.07</v>
      </c>
      <c r="H464" s="256">
        <f>IFERROR(VLOOKUP($C464,'SINAPI FEVEREIRO 2022'!$1:$1048576,4,0),IFERROR(VLOOKUP($C464,'5-COMP. PROPRIA'!$B$1:$I$647,8,0),""))</f>
        <v>13.72</v>
      </c>
      <c r="I464" s="256">
        <f>TRUNC(($H464*'4-BDI'!$E$29),2)</f>
        <v>17.59</v>
      </c>
      <c r="J464" s="266">
        <f t="shared" ref="J464" si="172">TRUNC((G464*H464),2)</f>
        <v>481.16</v>
      </c>
      <c r="K464" s="205">
        <f t="shared" ref="K464" si="173">TRUNC((I464*G464),2)</f>
        <v>616.88</v>
      </c>
    </row>
    <row r="465" spans="2:11" s="120" customFormat="1" ht="15.75" customHeight="1">
      <c r="B465" s="915" t="s">
        <v>8286</v>
      </c>
      <c r="C465" s="916"/>
      <c r="D465" s="916"/>
      <c r="E465" s="916"/>
      <c r="F465" s="916"/>
      <c r="G465" s="916"/>
      <c r="H465" s="916"/>
      <c r="I465" s="917"/>
      <c r="J465" s="207">
        <f>TRUNC(SUM(J463:J464),2)</f>
        <v>3945.52</v>
      </c>
      <c r="K465" s="207">
        <f>TRUNC(SUM(K463:K464),2)</f>
        <v>5059.38</v>
      </c>
    </row>
    <row r="466" spans="2:11" s="120" customFormat="1" ht="15.75">
      <c r="B466" s="285" t="s">
        <v>8370</v>
      </c>
      <c r="C466" s="286"/>
      <c r="D466" s="287"/>
      <c r="E466" s="288" t="str">
        <f>QUANT!E1011</f>
        <v>SERVIÇOS DIVERSOS</v>
      </c>
      <c r="F466" s="289"/>
      <c r="G466" s="290"/>
      <c r="H466" s="291"/>
      <c r="I466" s="291"/>
      <c r="J466" s="291"/>
      <c r="K466" s="292"/>
    </row>
    <row r="467" spans="2:11" s="120" customFormat="1" ht="30">
      <c r="B467" s="208" t="s">
        <v>8371</v>
      </c>
      <c r="C467" s="201" t="str">
        <f>QUANT!C1013</f>
        <v>CP-SD-01</v>
      </c>
      <c r="D467" s="201" t="str">
        <f>QUANT!D1013</f>
        <v>PROPRIA</v>
      </c>
      <c r="E467" s="203" t="str">
        <f>IFERROR(VLOOKUP($C467,'SINAPI FEVEREIRO 2022'!$1:$1048576,2,0),IFERROR(VLOOKUP($C467,'5-COMP. PROPRIA'!$B$1:$I$647,4,0),""))</f>
        <v>CONJUNTO DE MASTRO PARA TRÊS BANDEIRAS E PEDESTAL - FORNECIMENTO E INSTALAÇÃO</v>
      </c>
      <c r="F467" s="255" t="str">
        <f>IFERROR(VLOOKUP($C467,'SINAPI FEVEREIRO 2022'!$1:$1048576,3,0),IFERROR(VLOOKUP($C467,'5-COMP. PROPRIA'!$B$1:$I$647,5,0),""))</f>
        <v>UNI</v>
      </c>
      <c r="G467" s="204">
        <f>QUANT!K1013</f>
        <v>1</v>
      </c>
      <c r="H467" s="256">
        <f>IFERROR(VLOOKUP($C467,'SINAPI FEVEREIRO 2022'!$1:$1048576,4,0),IFERROR(VLOOKUP($C467,'5-COMP. PROPRIA'!$B$1:$I$647,8,0),""))</f>
        <v>4442.22</v>
      </c>
      <c r="I467" s="256">
        <f>TRUNC(($H467*'4-BDI'!$E$29),2)</f>
        <v>5696.7</v>
      </c>
      <c r="J467" s="266">
        <f t="shared" ref="J467:J469" si="174">TRUNC((G467*H467),2)</f>
        <v>4442.22</v>
      </c>
      <c r="K467" s="205">
        <f t="shared" ref="K467:K469" si="175">TRUNC((I467*G467),2)</f>
        <v>5696.7</v>
      </c>
    </row>
    <row r="468" spans="2:11" s="120" customFormat="1" ht="30">
      <c r="B468" s="208" t="s">
        <v>8372</v>
      </c>
      <c r="C468" s="201" t="str">
        <f>QUANT!C1015</f>
        <v>CP-SD-02</v>
      </c>
      <c r="D468" s="201" t="str">
        <f>QUANT!D1015</f>
        <v>PROPRIA</v>
      </c>
      <c r="E468" s="203" t="str">
        <f>IFERROR(VLOOKUP($C468,'SINAPI FEVEREIRO 2022'!$1:$1048576,2,0),IFERROR(VLOOKUP($C468,'5-COMP. PROPRIA'!$B$1:$I$647,4,0),""))</f>
        <v>ESPELHO CRISTAL E = 4 MM COM REQUADRO DE ALUMINIO FORNECIMENTO E INSTALAÇÃO</v>
      </c>
      <c r="F468" s="255" t="str">
        <f>IFERROR(VLOOKUP($C468,'SINAPI FEVEREIRO 2022'!$1:$1048576,3,0),IFERROR(VLOOKUP($C468,'5-COMP. PROPRIA'!$B$1:$I$647,5,0),""))</f>
        <v>UNI</v>
      </c>
      <c r="G468" s="204">
        <f>QUANT!K1015</f>
        <v>9</v>
      </c>
      <c r="H468" s="256">
        <f>IFERROR(VLOOKUP($C468,'SINAPI FEVEREIRO 2022'!$1:$1048576,4,0),IFERROR(VLOOKUP($C468,'5-COMP. PROPRIA'!$B$1:$I$647,8,0),""))</f>
        <v>733.99</v>
      </c>
      <c r="I468" s="256">
        <f>TRUNC(($H468*'4-BDI'!$E$29),2)</f>
        <v>941.26</v>
      </c>
      <c r="J468" s="266">
        <f t="shared" si="174"/>
        <v>6605.91</v>
      </c>
      <c r="K468" s="205">
        <f t="shared" si="175"/>
        <v>8471.34</v>
      </c>
    </row>
    <row r="469" spans="2:11" s="120" customFormat="1" ht="30">
      <c r="B469" s="208" t="s">
        <v>8373</v>
      </c>
      <c r="C469" s="201" t="str">
        <f>QUANT!C1017</f>
        <v>CP-SD-03</v>
      </c>
      <c r="D469" s="201" t="str">
        <f>QUANT!D1017</f>
        <v>PROPRIA</v>
      </c>
      <c r="E469" s="203" t="str">
        <f>IFERROR(VLOOKUP($C469,'SINAPI FEVEREIRO 2022'!$1:$1048576,2,0),IFERROR(VLOOKUP($C469,'5-COMP. PROPRIA'!$B$1:$I$647,4,0),""))</f>
        <v>TELA DE PROTEÇÃO PARA JANELA COM REQUADRO EM ALUMINIO - FORNECIMENTO E INSTALAÇÃO</v>
      </c>
      <c r="F469" s="255" t="str">
        <f>IFERROR(VLOOKUP($C469,'SINAPI FEVEREIRO 2022'!$1:$1048576,3,0),IFERROR(VLOOKUP($C469,'5-COMP. PROPRIA'!$B$1:$I$647,5,0),""))</f>
        <v xml:space="preserve">M2    </v>
      </c>
      <c r="G469" s="204">
        <f>QUANT!K1017</f>
        <v>3.36</v>
      </c>
      <c r="H469" s="256">
        <f>IFERROR(VLOOKUP($C469,'SINAPI FEVEREIRO 2022'!$1:$1048576,4,0),IFERROR(VLOOKUP($C469,'5-COMP. PROPRIA'!$B$1:$I$647,8,0),""))</f>
        <v>400.73</v>
      </c>
      <c r="I469" s="256">
        <f>TRUNC(($H469*'4-BDI'!$E$29),2)</f>
        <v>513.89</v>
      </c>
      <c r="J469" s="266">
        <f t="shared" si="174"/>
        <v>1346.45</v>
      </c>
      <c r="K469" s="205">
        <f t="shared" si="175"/>
        <v>1726.67</v>
      </c>
    </row>
    <row r="470" spans="2:11" s="120" customFormat="1" ht="15">
      <c r="B470" s="208" t="s">
        <v>8374</v>
      </c>
      <c r="C470" s="201" t="str">
        <f>QUANT!C1022</f>
        <v>CP-SD-04</v>
      </c>
      <c r="D470" s="201" t="str">
        <f>QUANT!D1022</f>
        <v>PROPRIA</v>
      </c>
      <c r="E470" s="203" t="str">
        <f>IFERROR(VLOOKUP($C470,'SINAPI FEVEREIRO 2022'!$1:$1048576,2,0),IFERROR(VLOOKUP($C470,'5-COMP. PROPRIA'!$B$1:$I$647,4,0),""))</f>
        <v>MOLA AEREA - FORNECIMENTO E INSTALAÇÃO</v>
      </c>
      <c r="F470" s="255" t="str">
        <f>IFERROR(VLOOKUP($C470,'SINAPI FEVEREIRO 2022'!$1:$1048576,3,0),IFERROR(VLOOKUP($C470,'5-COMP. PROPRIA'!$B$1:$I$647,5,0),""))</f>
        <v>UNI</v>
      </c>
      <c r="G470" s="204">
        <f>QUANT!K1022</f>
        <v>2</v>
      </c>
      <c r="H470" s="256">
        <f>IFERROR(VLOOKUP($C470,'SINAPI FEVEREIRO 2022'!$1:$1048576,4,0),IFERROR(VLOOKUP($C470,'5-COMP. PROPRIA'!$B$1:$I$647,8,0),""))</f>
        <v>195.1</v>
      </c>
      <c r="I470" s="256">
        <f>TRUNC(($H470*'4-BDI'!$E$29),2)</f>
        <v>250.19</v>
      </c>
      <c r="J470" s="266">
        <f>TRUNC((G470*H470),2)</f>
        <v>390.2</v>
      </c>
      <c r="K470" s="205">
        <f>TRUNC((I470*G470),2)</f>
        <v>500.38</v>
      </c>
    </row>
    <row r="471" spans="2:11" s="120" customFormat="1" ht="15">
      <c r="B471" s="208" t="s">
        <v>13351</v>
      </c>
      <c r="C471" s="201" t="str">
        <f>QUANT!C1024</f>
        <v>CP-SD-05</v>
      </c>
      <c r="D471" s="201" t="str">
        <f>QUANT!D1024</f>
        <v>PROPRIA</v>
      </c>
      <c r="E471" s="203" t="str">
        <f>IFERROR(VLOOKUP($C471,'SINAPI FEVEREIRO 2022'!$1:$1048576,2,0),IFERROR(VLOOKUP($C471,'5-COMP. PROPRIA'!$B$1:$I$647,4,0),""))</f>
        <v>LOUSA DE VIDRO BRANCA 4 X1,20 (FORNECIMENTO E INSTALAÇÃO)</v>
      </c>
      <c r="F471" s="255" t="str">
        <f>IFERROR(VLOOKUP($C471,'SINAPI FEVEREIRO 2022'!$1:$1048576,3,0),IFERROR(VLOOKUP($C471,'5-COMP. PROPRIA'!$B$1:$I$647,5,0),""))</f>
        <v>UNI</v>
      </c>
      <c r="G471" s="204">
        <f>QUANT!K1024</f>
        <v>9</v>
      </c>
      <c r="H471" s="256">
        <f>IFERROR(VLOOKUP($C471,'SINAPI FEVEREIRO 2022'!$1:$1048576,4,0),IFERROR(VLOOKUP($C471,'5-COMP. PROPRIA'!$B$1:$I$647,8,0),""))</f>
        <v>2902.24</v>
      </c>
      <c r="I471" s="256">
        <f>TRUNC(($H471*'4-BDI'!$E$29),2)</f>
        <v>3721.83</v>
      </c>
      <c r="J471" s="266">
        <f>TRUNC((G471*H471),2)</f>
        <v>26120.16</v>
      </c>
      <c r="K471" s="205">
        <f>TRUNC((I471*G471),2)</f>
        <v>33496.47</v>
      </c>
    </row>
    <row r="472" spans="2:11" s="120" customFormat="1" ht="45">
      <c r="B472" s="208" t="s">
        <v>13352</v>
      </c>
      <c r="C472" s="201" t="str">
        <f>QUANT!C1026</f>
        <v>CP-SD-06</v>
      </c>
      <c r="D472" s="201" t="str">
        <f>QUANT!D1026</f>
        <v>PROPRIA</v>
      </c>
      <c r="E472" s="203" t="str">
        <f>IFERROR(VLOOKUP($C472,'SINAPI FEVEREIRO 2022'!$1:$1048576,2,0),IFERROR(VLOOKUP($C472,'5-COMP. PROPRIA'!$B$1:$I$647,4,0),""))</f>
        <v xml:space="preserve">COIFA INDUSTRIAL EM INOX (1,30X2,75X0,5) COM EXAUSTORES, DUTOS, CURVAS E CHAPÉUS DE 300MM(30 CM) EM INOX CONFORME PROJETO - FORNECIMENTO E INSTALAÇÃO </v>
      </c>
      <c r="F472" s="255" t="str">
        <f>IFERROR(VLOOKUP($C472,'SINAPI FEVEREIRO 2022'!$1:$1048576,3,0),IFERROR(VLOOKUP($C472,'5-COMP. PROPRIA'!$B$1:$I$647,5,0),""))</f>
        <v>UNI</v>
      </c>
      <c r="G472" s="204">
        <f>QUANT!K1026</f>
        <v>1</v>
      </c>
      <c r="H472" s="256">
        <f>IFERROR(VLOOKUP($C472,'SINAPI FEVEREIRO 2022'!$1:$1048576,4,0),IFERROR(VLOOKUP($C472,'5-COMP. PROPRIA'!$B$1:$I$647,8,0),""))</f>
        <v>9865.16</v>
      </c>
      <c r="I472" s="256">
        <f>TRUNC(($H472*'4-BDI'!$E$29),2)</f>
        <v>12651.08</v>
      </c>
      <c r="J472" s="266">
        <f>TRUNC((G472*H472),2)</f>
        <v>9865.16</v>
      </c>
      <c r="K472" s="205">
        <f>TRUNC((I472*G472),2)</f>
        <v>12651.08</v>
      </c>
    </row>
    <row r="473" spans="2:11" s="120" customFormat="1" ht="30">
      <c r="B473" s="208" t="s">
        <v>13353</v>
      </c>
      <c r="C473" s="201">
        <f>QUANT!C1028</f>
        <v>99857</v>
      </c>
      <c r="D473" s="201" t="str">
        <f>QUANT!D1028</f>
        <v>SINAPI</v>
      </c>
      <c r="E473" s="203" t="str">
        <f>IFERROR(VLOOKUP($C473,'SINAPI FEVEREIRO 2022'!$1:$1048576,2,0),IFERROR(VLOOKUP($C473,'5-COMP. PROPRIA'!$B$1:$I$647,4,0),""))</f>
        <v>CORRIMÃO SIMPLES, DIÂMETRO EXTERNO = 1 1/2", EM ALUMÍNIO. AF_04/2019_P</v>
      </c>
      <c r="F473" s="255" t="str">
        <f>IFERROR(VLOOKUP($C473,'SINAPI FEVEREIRO 2022'!$1:$1048576,3,0),IFERROR(VLOOKUP($C473,'5-COMP. PROPRIA'!$B$1:$I$647,5,0),""))</f>
        <v>M</v>
      </c>
      <c r="G473" s="204">
        <f>QUANT!K1028</f>
        <v>35</v>
      </c>
      <c r="H473" s="256">
        <f>IFERROR(VLOOKUP($C473,'SINAPI FEVEREIRO 2022'!$1:$1048576,4,0),IFERROR(VLOOKUP($C473,'5-COMP. PROPRIA'!$B$1:$I$647,8,0),""))</f>
        <v>74.150000000000006</v>
      </c>
      <c r="I473" s="256">
        <f>TRUNC(($H473*'4-BDI'!$E$29),2)</f>
        <v>95.08</v>
      </c>
      <c r="J473" s="266">
        <f>TRUNC((G473*H473),2)</f>
        <v>2595.25</v>
      </c>
      <c r="K473" s="205">
        <f>TRUNC((I473*G473),2)</f>
        <v>3327.8</v>
      </c>
    </row>
    <row r="474" spans="2:11" s="120" customFormat="1" ht="75">
      <c r="B474" s="208" t="s">
        <v>13354</v>
      </c>
      <c r="C474" s="201">
        <f>QUANT!C1030</f>
        <v>102362</v>
      </c>
      <c r="D474" s="201" t="str">
        <f>QUANT!D1030</f>
        <v>SINAPI</v>
      </c>
      <c r="E474" s="203" t="str">
        <f>IFERROR(VLOOKUP($C474,'SINAPI FEVEREIRO 2022'!$1:$1048576,2,0),IFERROR(VLOOKUP($C474,'5-COMP. PROPRIA'!$B$1:$I$647,4,0),""))</f>
        <v>ALAMBRADO PARA QUADRA POLIESPORTIVA, ESTRUTURADO POR TUBOS DE ACO GALVANIZADO, (MONTANTES COM DIAMETRO 2", TRAVESSAS E ESCORAS COM DIÂMETRO 1 ¼), COM TELA DE ARAME GALVANIZADO, FIO 14 BWG E MALHA QUADRADA 5X5CM (EXCETO MURETA). AF_03/2021</v>
      </c>
      <c r="F474" s="255" t="str">
        <f>IFERROR(VLOOKUP($C474,'SINAPI FEVEREIRO 2022'!$1:$1048576,3,0),IFERROR(VLOOKUP($C474,'5-COMP. PROPRIA'!$B$1:$I$647,5,0),""))</f>
        <v>M2</v>
      </c>
      <c r="G474" s="204">
        <f>QUANT!K1030</f>
        <v>215.09999999999997</v>
      </c>
      <c r="H474" s="256">
        <f>IFERROR(VLOOKUP($C474,'SINAPI FEVEREIRO 2022'!$1:$1048576,4,0),IFERROR(VLOOKUP($C474,'5-COMP. PROPRIA'!$B$1:$I$647,8,0),""))</f>
        <v>167.33</v>
      </c>
      <c r="I474" s="256">
        <f>TRUNC(($H474*'4-BDI'!$E$29),2)</f>
        <v>214.58</v>
      </c>
      <c r="J474" s="266">
        <f t="shared" ref="J474:J477" si="176">TRUNC((G474*H474),2)</f>
        <v>35992.68</v>
      </c>
      <c r="K474" s="205">
        <f t="shared" ref="K474:K477" si="177">TRUNC((I474*G474),2)</f>
        <v>46156.15</v>
      </c>
    </row>
    <row r="475" spans="2:11" s="120" customFormat="1" ht="15">
      <c r="B475" s="208" t="s">
        <v>13355</v>
      </c>
      <c r="C475" s="201" t="str">
        <f>QUANT!C1037</f>
        <v>CP-SD-07</v>
      </c>
      <c r="D475" s="201" t="str">
        <f>QUANT!D1037</f>
        <v>PROPRIA</v>
      </c>
      <c r="E475" s="203" t="str">
        <f>IFERROR(VLOOKUP($C475,'SINAPI FEVEREIRO 2022'!$1:$1048576,2,0),IFERROR(VLOOKUP($C475,'5-COMP. PROPRIA'!$B$1:$I$647,4,0),""))</f>
        <v>RECUPERAÇÃO DO PERGOLADO SEM REAPROVEITAMENTO</v>
      </c>
      <c r="F475" s="255" t="str">
        <f>IFERROR(VLOOKUP($C475,'SINAPI FEVEREIRO 2022'!$1:$1048576,3,0),IFERROR(VLOOKUP($C475,'5-COMP. PROPRIA'!$B$1:$I$647,5,0),""))</f>
        <v>UN</v>
      </c>
      <c r="G475" s="204">
        <f>QUANT!K1037</f>
        <v>2</v>
      </c>
      <c r="H475" s="256">
        <f>IFERROR(VLOOKUP($C475,'SINAPI FEVEREIRO 2022'!$1:$1048576,4,0),IFERROR(VLOOKUP($C475,'5-COMP. PROPRIA'!$B$1:$I$647,8,0),""))</f>
        <v>401.91</v>
      </c>
      <c r="I475" s="256">
        <f>TRUNC(($H475*'4-BDI'!$E$29),2)</f>
        <v>515.4</v>
      </c>
      <c r="J475" s="266">
        <f t="shared" si="176"/>
        <v>803.82</v>
      </c>
      <c r="K475" s="205">
        <f t="shared" si="177"/>
        <v>1030.8</v>
      </c>
    </row>
    <row r="476" spans="2:11" s="120" customFormat="1" ht="45">
      <c r="B476" s="208" t="s">
        <v>13356</v>
      </c>
      <c r="C476" s="201" t="str">
        <f>QUANT!C1039</f>
        <v>CP-SD-08</v>
      </c>
      <c r="D476" s="201" t="str">
        <f>QUANT!D1039</f>
        <v>PROPRIA</v>
      </c>
      <c r="E476" s="203" t="str">
        <f>IFERROR(VLOOKUP($C476,'SINAPI FEVEREIRO 2022'!$1:$1048576,2,0),IFERROR(VLOOKUP($C476,'5-COMP. PROPRIA'!$B$1:$I$647,4,0),""))</f>
        <v>BEBEDOURO INDUSTRIAL SUSPENSO 200 LITROS INCLUSIVE CUBA DE INOX COM TORNEIRAS, ENGATE FLEXIVEL E SIFÃO - FORNECIMENTO E INSTALAÇÃO</v>
      </c>
      <c r="F476" s="255" t="str">
        <f>IFERROR(VLOOKUP($C476,'SINAPI FEVEREIRO 2022'!$1:$1048576,3,0),IFERROR(VLOOKUP($C476,'5-COMP. PROPRIA'!$B$1:$I$647,5,0),""))</f>
        <v>UN</v>
      </c>
      <c r="G476" s="204">
        <f>QUANT!K1039</f>
        <v>1</v>
      </c>
      <c r="H476" s="256">
        <f>IFERROR(VLOOKUP($C476,'SINAPI FEVEREIRO 2022'!$1:$1048576,4,0),IFERROR(VLOOKUP($C476,'5-COMP. PROPRIA'!$B$1:$I$647,8,0),""))</f>
        <v>3911.35</v>
      </c>
      <c r="I476" s="256">
        <f>TRUNC(($H476*'4-BDI'!$E$29),2)</f>
        <v>5015.91</v>
      </c>
      <c r="J476" s="266">
        <f t="shared" si="176"/>
        <v>3911.35</v>
      </c>
      <c r="K476" s="205">
        <f t="shared" si="177"/>
        <v>5015.91</v>
      </c>
    </row>
    <row r="477" spans="2:11" s="120" customFormat="1" ht="30">
      <c r="B477" s="208" t="s">
        <v>13357</v>
      </c>
      <c r="C477" s="201" t="str">
        <f>QUANT!C1041</f>
        <v>CP-SD-09</v>
      </c>
      <c r="D477" s="201" t="str">
        <f>QUANT!D1041</f>
        <v>PROPRIA</v>
      </c>
      <c r="E477" s="203" t="str">
        <f>IFERROR(VLOOKUP($C477,'SINAPI FEVEREIRO 2022'!$1:$1048576,2,0),IFERROR(VLOOKUP($C477,'5-COMP. PROPRIA'!$B$1:$I$647,4,0),""))</f>
        <v>PLACA DE INAUGURACAO METALICA, *40* CM X *60* CM - FORNECIMENTO E INSTALAÇÃO</v>
      </c>
      <c r="F477" s="255" t="str">
        <f>IFERROR(VLOOKUP($C477,'SINAPI FEVEREIRO 2022'!$1:$1048576,3,0),IFERROR(VLOOKUP($C477,'5-COMP. PROPRIA'!$B$1:$I$647,5,0),""))</f>
        <v>UN</v>
      </c>
      <c r="G477" s="204">
        <f>QUANT!K1041</f>
        <v>1</v>
      </c>
      <c r="H477" s="256">
        <f>IFERROR(VLOOKUP($C477,'SINAPI FEVEREIRO 2022'!$1:$1048576,4,0),IFERROR(VLOOKUP($C477,'5-COMP. PROPRIA'!$B$1:$I$647,8,0),""))</f>
        <v>693.54</v>
      </c>
      <c r="I477" s="256">
        <f>TRUNC(($H477*'4-BDI'!$E$29),2)</f>
        <v>889.39</v>
      </c>
      <c r="J477" s="266">
        <f t="shared" si="176"/>
        <v>693.54</v>
      </c>
      <c r="K477" s="205">
        <f t="shared" si="177"/>
        <v>889.39</v>
      </c>
    </row>
    <row r="478" spans="2:11" s="120" customFormat="1" ht="15.75" customHeight="1">
      <c r="B478" s="915" t="s">
        <v>8286</v>
      </c>
      <c r="C478" s="916"/>
      <c r="D478" s="916"/>
      <c r="E478" s="916"/>
      <c r="F478" s="916"/>
      <c r="G478" s="916"/>
      <c r="H478" s="916"/>
      <c r="I478" s="917"/>
      <c r="J478" s="207">
        <f>TRUNC(SUM(J467:J477),2)</f>
        <v>92766.74</v>
      </c>
      <c r="K478" s="207">
        <f>TRUNC(SUM(K467:K477),2)</f>
        <v>118962.69</v>
      </c>
    </row>
    <row r="479" spans="2:11" s="120" customFormat="1" ht="15.75">
      <c r="B479" s="285" t="s">
        <v>13358</v>
      </c>
      <c r="C479" s="286"/>
      <c r="D479" s="287"/>
      <c r="E479" s="288" t="str">
        <f>QUANT!E1043</f>
        <v xml:space="preserve">LIMPEZA DE OBRA </v>
      </c>
      <c r="F479" s="289"/>
      <c r="G479" s="290"/>
      <c r="H479" s="291"/>
      <c r="I479" s="291"/>
      <c r="J479" s="291"/>
      <c r="K479" s="292"/>
    </row>
    <row r="480" spans="2:11" s="120" customFormat="1" ht="15">
      <c r="B480" s="208" t="s">
        <v>13359</v>
      </c>
      <c r="C480" s="201" t="str">
        <f>QUANT!C1045</f>
        <v>CP-LP-01</v>
      </c>
      <c r="D480" s="201" t="str">
        <f>QUANT!D1045</f>
        <v>PROPRIA</v>
      </c>
      <c r="E480" s="203" t="str">
        <f>IFERROR(VLOOKUP($C480,'SINAPI FEVEREIRO 2022'!$1:$1048576,2,0),IFERROR(VLOOKUP($C480,'5-COMP. PROPRIA'!$B$1:$I$647,4,0),""))</f>
        <v>LIMPEZA FINAL DA OBRA</v>
      </c>
      <c r="F480" s="255" t="str">
        <f>IFERROR(VLOOKUP($C480,'SINAPI FEVEREIRO 2022'!$1:$1048576,3,0),IFERROR(VLOOKUP($C480,'5-COMP. PROPRIA'!$B$1:$I$647,5,0),""))</f>
        <v>M2</v>
      </c>
      <c r="G480" s="204">
        <f>QUANT!K1045</f>
        <v>2495</v>
      </c>
      <c r="H480" s="256">
        <f>IFERROR(VLOOKUP($C480,'SINAPI FEVEREIRO 2022'!$1:$1048576,4,0),IFERROR(VLOOKUP($C480,'5-COMP. PROPRIA'!$B$1:$I$647,8,0),""))</f>
        <v>2.12</v>
      </c>
      <c r="I480" s="256">
        <f>TRUNC(($H480*'4-BDI'!$E$29),2)</f>
        <v>2.71</v>
      </c>
      <c r="J480" s="266">
        <f>TRUNC((G480*H480),2)</f>
        <v>5289.4</v>
      </c>
      <c r="K480" s="205">
        <f>TRUNC((I480*G480),2)</f>
        <v>6761.45</v>
      </c>
    </row>
    <row r="481" spans="2:12" s="120" customFormat="1" ht="30">
      <c r="B481" s="208" t="s">
        <v>13360</v>
      </c>
      <c r="C481" s="201">
        <f>QUANT!C1047</f>
        <v>99806</v>
      </c>
      <c r="D481" s="201" t="str">
        <f>QUANT!D1047</f>
        <v>SINAPI</v>
      </c>
      <c r="E481" s="203" t="str">
        <f>IFERROR(VLOOKUP($C481,'SINAPI FEVEREIRO 2022'!$1:$1048576,2,0),IFERROR(VLOOKUP($C481,'5-COMP. PROPRIA'!$B$1:$I$647,4,0),""))</f>
        <v>LIMPEZA DE REVESTIMENTO CERÂMICO EM PAREDE COM PANO ÚMIDO AF_04/2019</v>
      </c>
      <c r="F481" s="255" t="str">
        <f>IFERROR(VLOOKUP($C481,'SINAPI FEVEREIRO 2022'!$1:$1048576,3,0),IFERROR(VLOOKUP($C481,'5-COMP. PROPRIA'!$B$1:$I$647,5,0),""))</f>
        <v>M2</v>
      </c>
      <c r="G481" s="204">
        <f>QUANT!K1047</f>
        <v>227.26</v>
      </c>
      <c r="H481" s="256">
        <f>IFERROR(VLOOKUP($C481,'SINAPI FEVEREIRO 2022'!$1:$1048576,4,0),IFERROR(VLOOKUP($C481,'5-COMP. PROPRIA'!$B$1:$I$647,8,0),""))</f>
        <v>0.6</v>
      </c>
      <c r="I481" s="256">
        <f>TRUNC(($H481*'4-BDI'!$E$29),2)</f>
        <v>0.76</v>
      </c>
      <c r="J481" s="266">
        <f>TRUNC((G481*H481),2)</f>
        <v>136.35</v>
      </c>
      <c r="K481" s="205">
        <f>TRUNC((I481*G481),2)</f>
        <v>172.71</v>
      </c>
    </row>
    <row r="482" spans="2:12" s="120" customFormat="1" ht="30">
      <c r="B482" s="208" t="s">
        <v>13361</v>
      </c>
      <c r="C482" s="201">
        <f>QUANT!C1049</f>
        <v>99803</v>
      </c>
      <c r="D482" s="201" t="str">
        <f>QUANT!D1049</f>
        <v>SINAPI</v>
      </c>
      <c r="E482" s="203" t="str">
        <f>IFERROR(VLOOKUP($C482,'SINAPI FEVEREIRO 2022'!$1:$1048576,2,0),IFERROR(VLOOKUP($C482,'5-COMP. PROPRIA'!$B$1:$I$647,4,0),""))</f>
        <v>LIMPEZA DE PISO CERÂMICO OU PORCELANATO COM PANO ÚMIDO. AF_04/2019</v>
      </c>
      <c r="F482" s="255" t="str">
        <f>IFERROR(VLOOKUP($C482,'SINAPI FEVEREIRO 2022'!$1:$1048576,3,0),IFERROR(VLOOKUP($C482,'5-COMP. PROPRIA'!$B$1:$I$647,5,0),""))</f>
        <v>M2</v>
      </c>
      <c r="G482" s="204">
        <f>QUANT!K1049</f>
        <v>1010.7</v>
      </c>
      <c r="H482" s="256">
        <f>IFERROR(VLOOKUP($C482,'SINAPI FEVEREIRO 2022'!$1:$1048576,4,0),IFERROR(VLOOKUP($C482,'5-COMP. PROPRIA'!$B$1:$I$647,8,0),""))</f>
        <v>1.47</v>
      </c>
      <c r="I482" s="256">
        <f>TRUNC(($H482*'4-BDI'!$E$29),2)</f>
        <v>1.88</v>
      </c>
      <c r="J482" s="266">
        <f>TRUNC((G482*H482),2)</f>
        <v>1485.72</v>
      </c>
      <c r="K482" s="205">
        <f>TRUNC((I482*G482),2)</f>
        <v>1900.11</v>
      </c>
    </row>
    <row r="483" spans="2:12" s="120" customFormat="1" ht="15">
      <c r="B483" s="208" t="s">
        <v>13362</v>
      </c>
      <c r="C483" s="201">
        <f>QUANT!C1051</f>
        <v>99814</v>
      </c>
      <c r="D483" s="201" t="str">
        <f>QUANT!D1051</f>
        <v>SINAPI</v>
      </c>
      <c r="E483" s="203" t="str">
        <f>IFERROR(VLOOKUP($C483,'SINAPI FEVEREIRO 2022'!$1:$1048576,2,0),IFERROR(VLOOKUP($C483,'5-COMP. PROPRIA'!$B$1:$I$647,4,0),""))</f>
        <v>LIMPEZA DE SUPERFÍCIE COM JATO DE ALTA PRESSÃO. AF_04/2019</v>
      </c>
      <c r="F483" s="255" t="str">
        <f>IFERROR(VLOOKUP($C483,'SINAPI FEVEREIRO 2022'!$1:$1048576,3,0),IFERROR(VLOOKUP($C483,'5-COMP. PROPRIA'!$B$1:$I$647,5,0),""))</f>
        <v>M2</v>
      </c>
      <c r="G483" s="204">
        <f>QUANT!K1051</f>
        <v>1200</v>
      </c>
      <c r="H483" s="256">
        <f>IFERROR(VLOOKUP($C483,'SINAPI FEVEREIRO 2022'!$1:$1048576,4,0),IFERROR(VLOOKUP($C483,'5-COMP. PROPRIA'!$B$1:$I$647,8,0),""))</f>
        <v>1.4</v>
      </c>
      <c r="I483" s="256">
        <f>TRUNC(($H483*'4-BDI'!$E$29),2)</f>
        <v>1.79</v>
      </c>
      <c r="J483" s="266">
        <f>TRUNC((G483*H483),2)</f>
        <v>1680</v>
      </c>
      <c r="K483" s="205">
        <f>TRUNC((I483*G483),2)</f>
        <v>2148</v>
      </c>
    </row>
    <row r="484" spans="2:12" s="120" customFormat="1" ht="15.75" customHeight="1">
      <c r="B484" s="915" t="s">
        <v>8286</v>
      </c>
      <c r="C484" s="916"/>
      <c r="D484" s="916"/>
      <c r="E484" s="916"/>
      <c r="F484" s="916"/>
      <c r="G484" s="916"/>
      <c r="H484" s="916"/>
      <c r="I484" s="917"/>
      <c r="J484" s="207">
        <f>TRUNC(SUM(J480:J483),2)</f>
        <v>8591.4699999999993</v>
      </c>
      <c r="K484" s="207">
        <f>TRUNC(SUM(K480:K483),2)</f>
        <v>10982.27</v>
      </c>
    </row>
    <row r="485" spans="2:12" ht="16.5" thickBot="1">
      <c r="B485" s="731"/>
      <c r="C485" s="732"/>
      <c r="D485" s="732"/>
      <c r="E485" s="732"/>
      <c r="F485" s="732"/>
      <c r="G485" s="732"/>
      <c r="H485" s="732"/>
      <c r="I485" s="732"/>
      <c r="J485" s="732"/>
      <c r="K485" s="734"/>
    </row>
    <row r="486" spans="2:12" ht="18.75" thickBot="1">
      <c r="B486" s="924" t="s">
        <v>8289</v>
      </c>
      <c r="C486" s="925"/>
      <c r="D486" s="925"/>
      <c r="E486" s="925"/>
      <c r="F486" s="925"/>
      <c r="G486" s="925"/>
      <c r="H486" s="925"/>
      <c r="I486" s="926"/>
      <c r="J486" s="733">
        <f>TRUNC(SUM(J14,J19,J53,J56,J87,J106,J117,J129,J150,J155,J166,J176,J182,J185,J212,J325,J333,J407,J436,J451,J456,J461,J465,J478,J484,J428),2)</f>
        <v>1744475.26</v>
      </c>
      <c r="K486" s="735"/>
    </row>
    <row r="487" spans="2:12" ht="18.75" thickBot="1">
      <c r="B487" s="921" t="s">
        <v>5030</v>
      </c>
      <c r="C487" s="922"/>
      <c r="D487" s="922"/>
      <c r="E487" s="922"/>
      <c r="F487" s="922"/>
      <c r="G487" s="922"/>
      <c r="H487" s="922"/>
      <c r="I487" s="923"/>
      <c r="J487" s="737"/>
      <c r="K487" s="733">
        <f>TRUNC(SUM(K14,K19,K53,K56,K87,K106,K117,K129,K150,K155,K166,K176,K182,K185,K212,K325,K333,K407,K436,K451,K456,K461,K465,K478,K484,K428),2)</f>
        <v>2236682.31</v>
      </c>
      <c r="L487" s="736"/>
    </row>
    <row r="488" spans="2:12">
      <c r="C488" s="619"/>
      <c r="D488" s="621"/>
      <c r="E488" s="113"/>
      <c r="F488" s="114"/>
      <c r="G488" s="115"/>
      <c r="H488" s="269"/>
      <c r="I488" s="269"/>
      <c r="J488" s="269"/>
      <c r="K488" s="281"/>
    </row>
    <row r="489" spans="2:12" ht="15.75">
      <c r="C489" s="619"/>
      <c r="D489" s="621"/>
      <c r="E489" s="211"/>
      <c r="F489" s="212"/>
      <c r="G489" s="213"/>
      <c r="H489" s="270"/>
      <c r="I489" s="270"/>
      <c r="J489" s="270"/>
      <c r="K489" s="281"/>
    </row>
    <row r="490" spans="2:12" ht="15.75">
      <c r="C490" s="619"/>
      <c r="D490" s="621"/>
      <c r="E490" s="211"/>
      <c r="F490" s="212"/>
      <c r="G490" s="211"/>
      <c r="H490" s="270"/>
      <c r="I490" s="270"/>
      <c r="J490" s="270"/>
      <c r="K490" s="281"/>
    </row>
    <row r="491" spans="2:12" ht="15.75">
      <c r="C491" s="619"/>
      <c r="D491" s="621"/>
      <c r="E491" s="284" t="s">
        <v>8141</v>
      </c>
      <c r="F491" s="214"/>
      <c r="G491" s="363"/>
      <c r="H491" s="363"/>
      <c r="I491" s="363"/>
      <c r="J491" s="363"/>
      <c r="K491" s="281"/>
    </row>
    <row r="492" spans="2:12" ht="15.75">
      <c r="C492" s="619"/>
      <c r="D492" s="621"/>
      <c r="E492" s="363" t="s">
        <v>8142</v>
      </c>
      <c r="F492" s="214"/>
      <c r="G492" s="363"/>
      <c r="H492" s="363"/>
      <c r="I492" s="363"/>
      <c r="J492" s="363"/>
      <c r="K492" s="281"/>
    </row>
    <row r="493" spans="2:12" ht="15.75">
      <c r="C493" s="619"/>
      <c r="D493" s="621"/>
      <c r="E493" s="211"/>
      <c r="F493" s="212"/>
      <c r="G493" s="213"/>
      <c r="H493" s="270"/>
      <c r="I493" s="270"/>
      <c r="J493" s="270"/>
      <c r="K493" s="281"/>
    </row>
    <row r="494" spans="2:12" ht="15">
      <c r="E494" s="215"/>
      <c r="F494" s="216"/>
      <c r="G494" s="217"/>
      <c r="H494" s="271"/>
      <c r="I494" s="271"/>
      <c r="J494" s="271"/>
      <c r="K494" s="281"/>
    </row>
    <row r="495" spans="2:12">
      <c r="K495" s="281"/>
    </row>
    <row r="496" spans="2:12">
      <c r="K496" s="281"/>
    </row>
  </sheetData>
  <protectedRanges>
    <protectedRange password="C715" sqref="C14 C74:D85 B334:K335 C112:D115 C19 C53 C56 C72 C86:C87 C95 C105:C106 C110 C116:C117 C122 C128:C129 C138 C145 C147:C150 C155 C166 C176 C182 C185 C193 C201 C211:C212 C244 C246:C253 C255:C304 C306:C326 C333 C345 C364 C372 C388 C393 C401 C406:C407 C436 C451 C456 C461 C465 C478 C484 C412 C427:C428" name="Intervalo3" securityDescriptor="O:WDG:WDD:(A;;CC;;;S-1-5-21-331323738-3957049979-2397494211-500)"/>
    <protectedRange sqref="B334:B335 G334:G335" name="Intervalo2"/>
    <protectedRange password="C715" sqref="G14:H14 D467:D477 E14 G73:I73 D463:D464 B147:C148 E214 B327:D332 B74:D85 C112:D115 B246:C252 B255:C303 B306:C323 D458:D460 B452:C453 C14 G19:H19 E19 C19 G53:H53 E53 C53 G56:H56 E56 C56 G72:H72 E72 C72 G86:H87 E86:E87 C86:C87 G90:H95 E95 C95 G97:H106 E105:E106 C105:C106 G109:H110 E110 C110 G112:H117 E116:E118 C116:C117 G122:H122 E122 C122 G128:H129 E128:E130 C128:C129 G138:H138 E138 C138 G145:H145 E145 C145 G149:H150 E149:E151 C149:C150 G155:H155 E155:E156 C155 G157:H166 E166:E167 C166 E176:E177 C176 E182:E183 C182 G185:H185 E185:E187 C185 G193:H193 E193:E194 C193 G201:H201 E201:E202 C201 G211:H212 E211:E212 C211:C212 G244:H244 E244 C244 G253:H253 E253 C253 G304:H304 E304 C304 B326:C326 G324:H326 E324:E326 C324:C325 G333:H333 E333:E335 C333 G345:H345 E345 C345 G364:H364 E364 C364 G372:H372 E372 C372 G388:H388 E388 C388 G393:H393 E393 C393 G401:H401 E401 C401 G406:H407 E406:E407 C406:C407 G436:H436 E436 C436 G451:H452 E451:E452 C451 G456:H456 E456:E457 C456 B462:C464 G461:H461 E461:E462 C461 G465:H465 E465:E466 C465 G478:H478 E478 C478 G484:H484 E484 C484 G178:H182 B389:D392 B394:D400 B402:D405 G168:H176 B365:D371 B334:C344 D336:D344 B346:D363 B373:D387 B408:D411 G412:H412 E412 C412 B413:D426 G427:H428 E427:E428 C427:C428 B429:D435 B437:D450 B453:D455 B457:C460 B466:C477" name="Intervalo3_18" securityDescriptor="O:WDG:WDD:(A;;CC;;;S-1-5-21-331323738-3957049979-2397494211-500)"/>
    <protectedRange sqref="G14:H14 B306:B323 B109 B147:B148 B157:B165 B168:B175 B73:B85 B112:B115 B246:B252 B255:B303 G19:H19 G53:H53 G56:H56 G72:H72 G86:H87 G95:H95 G105:H106 G110:H110 G116:H117 G122:H122 G128:H129 G138:H138 G145:H145 G149:H150 G155:H155 G166:H166 G176:H176 G182:H182 G185:H185 G193:H193 G201:H201 G211:H212 G244:H244 G253:H253 G304:H304 B326:B332 G324:H326 G333:H333 G345:H345 G364:H364 G372:H372 G388:H388 G393:H393 G401:H401 G406:H407 G436:H436 G451:H451 G456:H456 B462:B464 G461:H461 G465:H465 G478:H478 G484:H484 B178:B181 B389:B392 B394:B400 B402:B405 B365:B371 B334:B344 B346:B363 B373:B387 B408:B411 G412:H412 B413:B426 G427:H428 B429:B435 B437:B450 B452:B455 B457:B460 B466:B477" name="Intervalo2_16"/>
    <protectedRange password="C715" sqref="B463:B464 B147:B148 B74:B85 B246:B252 B255:B303 B306:B323 B326:B332 B389:B392 B394:B400 B402:B405 B365:B371 B336:B344 B346:B363 B373:B387 B408:B411 B413:B426 B429:B435 B437:B450 B453:B455 B458:B460 B467:B477" name="Intervalo3_1_2_1" securityDescriptor="O:WDG:WDD:(A;;CC;;;S-1-5-21-331323738-3957049979-2397494211-500)"/>
    <protectedRange sqref="B463:B464 B147:B148 B74:B85 B246:B252 B255:B303 B306:B323 B326:B332 B389:B392 B394:B400 B402:B405 B365:B371 B336:B344 B346:B363 B373:B387 B408:B411 B413:B426 B429:B435 B437:B450 B453:B455 B458:B460 B467:B477" name="Intervalo2_1_2"/>
    <protectedRange password="C715" sqref="F14 F19 F53 F56 F72 F86:F87 F95 F105:F106 F110 F116:F117 F122 F128:F129 F138 F145 F149:F150 F155 F166 F176 F182 F185 F193 F201 F211:F212 F244 F253 F304 F324:F326 F333 F345 F364 F372 F388 F393 F401 F406:F407 F436 F451 F456 F461 F465 F478 F484 F412 F427:F428" name="Intervalo3_4_1_1_5" securityDescriptor="O:WDG:WDD:(A;;CC;;;S-1-5-21-331323738-3957049979-2397494211-500)"/>
  </protectedRanges>
  <mergeCells count="61">
    <mergeCell ref="B2:K2"/>
    <mergeCell ref="B3:K3"/>
    <mergeCell ref="B4:K4"/>
    <mergeCell ref="B5:K5"/>
    <mergeCell ref="B6:K6"/>
    <mergeCell ref="B7:K7"/>
    <mergeCell ref="B487:I487"/>
    <mergeCell ref="B401:I401"/>
    <mergeCell ref="B406:I406"/>
    <mergeCell ref="B407:I407"/>
    <mergeCell ref="B436:I436"/>
    <mergeCell ref="B451:I451"/>
    <mergeCell ref="B456:I456"/>
    <mergeCell ref="B461:I461"/>
    <mergeCell ref="B465:I465"/>
    <mergeCell ref="B478:I478"/>
    <mergeCell ref="B484:I484"/>
    <mergeCell ref="B486:I486"/>
    <mergeCell ref="B412:I412"/>
    <mergeCell ref="B427:I427"/>
    <mergeCell ref="B428:I428"/>
    <mergeCell ref="B393:I393"/>
    <mergeCell ref="B212:I212"/>
    <mergeCell ref="B244:I244"/>
    <mergeCell ref="B253:I253"/>
    <mergeCell ref="B304:I304"/>
    <mergeCell ref="B324:I324"/>
    <mergeCell ref="B325:I325"/>
    <mergeCell ref="B333:I333"/>
    <mergeCell ref="B345:I345"/>
    <mergeCell ref="B364:I364"/>
    <mergeCell ref="B372:I372"/>
    <mergeCell ref="B388:I388"/>
    <mergeCell ref="B211:I211"/>
    <mergeCell ref="B138:I138"/>
    <mergeCell ref="B145:I145"/>
    <mergeCell ref="B149:I149"/>
    <mergeCell ref="B150:I150"/>
    <mergeCell ref="B155:I155"/>
    <mergeCell ref="B166:I166"/>
    <mergeCell ref="B176:I176"/>
    <mergeCell ref="B182:I182"/>
    <mergeCell ref="B185:I185"/>
    <mergeCell ref="B193:I193"/>
    <mergeCell ref="B201:I201"/>
    <mergeCell ref="B14:I14"/>
    <mergeCell ref="B19:I19"/>
    <mergeCell ref="B53:I53"/>
    <mergeCell ref="B56:I56"/>
    <mergeCell ref="B129:I129"/>
    <mergeCell ref="B72:I72"/>
    <mergeCell ref="B86:I86"/>
    <mergeCell ref="B87:I87"/>
    <mergeCell ref="B95:I95"/>
    <mergeCell ref="B105:I105"/>
    <mergeCell ref="B106:I106"/>
    <mergeCell ref="B110:I110"/>
    <mergeCell ref="B116:I116"/>
    <mergeCell ref="B117:I117"/>
    <mergeCell ref="B122:I122"/>
    <mergeCell ref="B128:I128"/>
  </mergeCells>
  <phoneticPr fontId="29" type="noConversion"/>
  <printOptions horizontalCentered="1"/>
  <pageMargins left="0.59055118110236227" right="0.19685039370078741" top="0.39370078740157483" bottom="0.39370078740157483" header="0" footer="0"/>
  <pageSetup paperSize="9" scale="40" orientation="portrait" r:id="rId1"/>
  <headerFooter>
    <oddFooter>Página &amp;P de &amp;N</oddFooter>
  </headerFooter>
  <ignoredErrors>
    <ignoredError sqref="E73"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3"/>
  <sheetViews>
    <sheetView view="pageBreakPreview" topLeftCell="A28" zoomScale="80" zoomScaleNormal="70" zoomScaleSheetLayoutView="80" workbookViewId="0">
      <selection activeCell="G30" sqref="G30"/>
    </sheetView>
  </sheetViews>
  <sheetFormatPr defaultRowHeight="18"/>
  <cols>
    <col min="2" max="2" width="6.7109375" bestFit="1" customWidth="1"/>
    <col min="3" max="3" width="63.5703125" customWidth="1"/>
    <col min="4" max="4" width="23.140625" style="9" bestFit="1" customWidth="1"/>
    <col min="5" max="5" width="12.28515625" bestFit="1" customWidth="1"/>
    <col min="6" max="7" width="20.85546875" style="6" bestFit="1" customWidth="1"/>
    <col min="8" max="11" width="23.28515625" style="6" bestFit="1" customWidth="1"/>
    <col min="12" max="12" width="23.140625" bestFit="1" customWidth="1"/>
    <col min="13" max="13" width="15.5703125" style="339" bestFit="1" customWidth="1"/>
  </cols>
  <sheetData>
    <row r="1" spans="1:13" ht="27" customHeight="1" thickBot="1"/>
    <row r="2" spans="1:13" ht="131.25" customHeight="1">
      <c r="B2" s="947"/>
      <c r="C2" s="948"/>
      <c r="D2" s="948"/>
      <c r="E2" s="948"/>
      <c r="F2" s="948"/>
      <c r="G2" s="948"/>
      <c r="H2" s="948"/>
      <c r="I2" s="948"/>
      <c r="J2" s="948"/>
      <c r="K2" s="948"/>
      <c r="L2" s="949"/>
    </row>
    <row r="3" spans="1:13">
      <c r="A3" s="765"/>
      <c r="B3" s="954" t="str">
        <f>'2-ORÇAMENTO'!B3:G3</f>
        <v xml:space="preserve">OBRA: REFORMA E AMPLIAÇÃO DA ESCOLA MUNICIPAL DE EDUCAÇÃO BASICA </v>
      </c>
      <c r="C3" s="955"/>
      <c r="D3" s="955"/>
      <c r="E3" s="955"/>
      <c r="F3" s="955"/>
      <c r="G3" s="955"/>
      <c r="H3" s="955"/>
      <c r="I3" s="955"/>
      <c r="J3" s="955"/>
      <c r="K3" s="955"/>
      <c r="L3" s="956"/>
    </row>
    <row r="4" spans="1:13">
      <c r="A4" s="765"/>
      <c r="B4" s="954" t="str">
        <f>'2-ORÇAMENTO'!B4:G4</f>
        <v>LOCAL: EMEB PROFESSORA LIBIA COSTA RONDON</v>
      </c>
      <c r="C4" s="955"/>
      <c r="D4" s="955"/>
      <c r="E4" s="955"/>
      <c r="F4" s="955"/>
      <c r="G4" s="955"/>
      <c r="H4" s="955"/>
      <c r="I4" s="955"/>
      <c r="J4" s="955"/>
      <c r="K4" s="955"/>
      <c r="L4" s="956"/>
    </row>
    <row r="5" spans="1:13">
      <c r="A5" s="765"/>
      <c r="B5" s="954" t="str">
        <f>'2-ORÇAMENTO'!B5:G5</f>
        <v>ENDEREÇO: AVENIDA PRINCIPAL, S/N, BAIRRO 24 DE DEZEMBRO</v>
      </c>
      <c r="C5" s="955"/>
      <c r="D5" s="955"/>
      <c r="E5" s="955"/>
      <c r="F5" s="955"/>
      <c r="G5" s="955"/>
      <c r="H5" s="955"/>
      <c r="I5" s="955"/>
      <c r="J5" s="955"/>
      <c r="K5" s="955"/>
      <c r="L5" s="956"/>
    </row>
    <row r="6" spans="1:13" ht="15" customHeight="1">
      <c r="A6" s="765"/>
      <c r="B6" s="954" t="str">
        <f>'2-ORÇAMENTO'!B6:G6</f>
        <v>MUNICÍPIO: VÁRZEA GRANDE - MT</v>
      </c>
      <c r="C6" s="955"/>
      <c r="D6" s="955"/>
      <c r="E6" s="955"/>
      <c r="F6" s="955"/>
      <c r="G6" s="955"/>
      <c r="H6" s="955"/>
      <c r="I6" s="955"/>
      <c r="J6" s="955"/>
      <c r="K6" s="955"/>
      <c r="L6" s="956"/>
    </row>
    <row r="7" spans="1:13">
      <c r="A7" s="765"/>
      <c r="B7" s="954" t="str">
        <f>'2-ORÇAMENTO'!B7:G7</f>
        <v>DATA BASE: SINAPI-MT FEVEREIRO 2022 - COM DESONERAÇÃO - BDI - 28,24%</v>
      </c>
      <c r="C7" s="955"/>
      <c r="D7" s="955"/>
      <c r="E7" s="955"/>
      <c r="F7" s="955"/>
      <c r="G7" s="955"/>
      <c r="H7" s="955"/>
      <c r="I7" s="955"/>
      <c r="J7" s="955"/>
      <c r="K7" s="955"/>
      <c r="L7" s="956"/>
    </row>
    <row r="8" spans="1:13" ht="16.5" customHeight="1" thickBot="1">
      <c r="A8" s="765"/>
      <c r="B8" s="935" t="s">
        <v>25</v>
      </c>
      <c r="C8" s="936"/>
      <c r="D8" s="936"/>
      <c r="E8" s="936"/>
      <c r="F8" s="936"/>
      <c r="G8" s="936"/>
      <c r="H8" s="937"/>
      <c r="I8" s="937"/>
      <c r="J8" s="937"/>
      <c r="K8" s="937"/>
      <c r="L8" s="938"/>
    </row>
    <row r="9" spans="1:13" s="361" customFormat="1" ht="18.75" thickBot="1">
      <c r="B9" s="939" t="s">
        <v>1</v>
      </c>
      <c r="C9" s="897" t="s">
        <v>8</v>
      </c>
      <c r="D9" s="941" t="s">
        <v>7</v>
      </c>
      <c r="E9" s="942"/>
      <c r="F9" s="943" t="s">
        <v>9</v>
      </c>
      <c r="G9" s="944"/>
      <c r="H9" s="945"/>
      <c r="I9" s="945"/>
      <c r="J9" s="945"/>
      <c r="K9" s="945"/>
      <c r="L9" s="946"/>
      <c r="M9" s="360"/>
    </row>
    <row r="10" spans="1:13" s="353" customFormat="1" ht="18.75" thickBot="1">
      <c r="B10" s="940"/>
      <c r="C10" s="898"/>
      <c r="D10" s="191" t="s">
        <v>10</v>
      </c>
      <c r="E10" s="192" t="s">
        <v>11</v>
      </c>
      <c r="F10" s="362" t="s">
        <v>12</v>
      </c>
      <c r="G10" s="362" t="s">
        <v>13</v>
      </c>
      <c r="H10" s="362" t="s">
        <v>4134</v>
      </c>
      <c r="I10" s="362" t="s">
        <v>4135</v>
      </c>
      <c r="J10" s="362" t="s">
        <v>4136</v>
      </c>
      <c r="K10" s="362" t="s">
        <v>13294</v>
      </c>
      <c r="L10" s="362" t="s">
        <v>7</v>
      </c>
      <c r="M10" s="359"/>
    </row>
    <row r="11" spans="1:13">
      <c r="B11" s="880" t="s">
        <v>6975</v>
      </c>
      <c r="C11" s="882" t="str">
        <f>'2-ORÇAMENTO'!E9</f>
        <v xml:space="preserve">ADMINISTRAÇÃO DE OBRA </v>
      </c>
      <c r="D11" s="903">
        <f>'2-ORÇAMENTO'!K14</f>
        <v>103239.48</v>
      </c>
      <c r="E11" s="933">
        <f>D11/$D$65</f>
        <v>4.6157417858774946E-2</v>
      </c>
      <c r="F11" s="3">
        <v>17206.580000000002</v>
      </c>
      <c r="G11" s="3">
        <v>17206.580000000002</v>
      </c>
      <c r="H11" s="3">
        <v>17206.580000000002</v>
      </c>
      <c r="I11" s="3">
        <v>17206.580000000002</v>
      </c>
      <c r="J11" s="3">
        <v>17206.580000000002</v>
      </c>
      <c r="K11" s="3">
        <v>17206.580000000002</v>
      </c>
      <c r="L11" s="769">
        <f>SUM(F11+G11+H11+I11+J11+K11)</f>
        <v>103239.48000000001</v>
      </c>
      <c r="M11" s="757">
        <f>L11-D11</f>
        <v>0</v>
      </c>
    </row>
    <row r="12" spans="1:13">
      <c r="B12" s="880"/>
      <c r="C12" s="902"/>
      <c r="D12" s="904"/>
      <c r="E12" s="934"/>
      <c r="F12" s="146">
        <f>F11/D11</f>
        <v>0.16666666666666669</v>
      </c>
      <c r="G12" s="146">
        <f>G11/D11</f>
        <v>0.16666666666666669</v>
      </c>
      <c r="H12" s="146">
        <f>H11/D11</f>
        <v>0.16666666666666669</v>
      </c>
      <c r="I12" s="146">
        <f>I11/D11</f>
        <v>0.16666666666666669</v>
      </c>
      <c r="J12" s="146">
        <f>J11/D11</f>
        <v>0.16666666666666669</v>
      </c>
      <c r="K12" s="146">
        <f>K11/D11</f>
        <v>0.16666666666666669</v>
      </c>
      <c r="L12" s="153">
        <f>SUM(F12:K12)</f>
        <v>1.0000000000000002</v>
      </c>
      <c r="M12" s="758"/>
    </row>
    <row r="13" spans="1:13" ht="18" customHeight="1">
      <c r="B13" s="909" t="s">
        <v>6981</v>
      </c>
      <c r="C13" s="881" t="str">
        <f>'2-ORÇAMENTO'!E15</f>
        <v>INSTALAÇÕES DE CANTEIRO E SERVIÇOS PRELIMINARES</v>
      </c>
      <c r="D13" s="908">
        <f>'2-ORÇAMENTO'!K19</f>
        <v>67228.84</v>
      </c>
      <c r="E13" s="933">
        <f>D13/$D$65</f>
        <v>3.0057393354177328E-2</v>
      </c>
      <c r="F13" s="3">
        <f>D13</f>
        <v>67228.84</v>
      </c>
      <c r="G13" s="3"/>
      <c r="H13" s="3"/>
      <c r="I13" s="3"/>
      <c r="J13" s="3"/>
      <c r="K13" s="3"/>
      <c r="L13" s="769">
        <f>SUM(F13+G13+H13+I13+J13+K13)</f>
        <v>67228.84</v>
      </c>
      <c r="M13" s="757">
        <f>L13-D13</f>
        <v>0</v>
      </c>
    </row>
    <row r="14" spans="1:13">
      <c r="B14" s="901"/>
      <c r="C14" s="882"/>
      <c r="D14" s="903"/>
      <c r="E14" s="934"/>
      <c r="F14" s="152">
        <f>F13/D13</f>
        <v>1</v>
      </c>
      <c r="G14" s="152"/>
      <c r="H14" s="169"/>
      <c r="I14" s="169"/>
      <c r="J14" s="169"/>
      <c r="K14" s="169"/>
      <c r="L14" s="153">
        <f>SUM(F14:K14)</f>
        <v>1</v>
      </c>
      <c r="M14" s="757"/>
    </row>
    <row r="15" spans="1:13">
      <c r="B15" s="909" t="s">
        <v>6983</v>
      </c>
      <c r="C15" s="881" t="str">
        <f>'2-ORÇAMENTO'!E20</f>
        <v>DEMOLIÇÕES E RETIRADAS</v>
      </c>
      <c r="D15" s="908">
        <f>'2-ORÇAMENTO'!K53</f>
        <v>146729.42000000001</v>
      </c>
      <c r="E15" s="933">
        <f>D15/$D$65</f>
        <v>6.5601368305184121E-2</v>
      </c>
      <c r="F15" s="3">
        <v>88037.65</v>
      </c>
      <c r="G15" s="3">
        <v>58691.77</v>
      </c>
      <c r="H15" s="3"/>
      <c r="I15" s="3"/>
      <c r="J15" s="3"/>
      <c r="K15" s="3"/>
      <c r="L15" s="769">
        <f>SUM(F15+G15+H15+I15+J15+K15)</f>
        <v>146729.41999999998</v>
      </c>
      <c r="M15" s="757">
        <f>L15-D15</f>
        <v>0</v>
      </c>
    </row>
    <row r="16" spans="1:13">
      <c r="B16" s="901"/>
      <c r="C16" s="882"/>
      <c r="D16" s="903"/>
      <c r="E16" s="934"/>
      <c r="F16" s="152">
        <f>F15/D15</f>
        <v>0.59999998636946827</v>
      </c>
      <c r="G16" s="152">
        <f>G15/D15</f>
        <v>0.40000001363053156</v>
      </c>
      <c r="H16" s="169"/>
      <c r="I16" s="169"/>
      <c r="J16" s="169"/>
      <c r="K16" s="169"/>
      <c r="L16" s="153">
        <f>SUM(F16:K16)</f>
        <v>0.99999999999999978</v>
      </c>
      <c r="M16" s="757"/>
    </row>
    <row r="17" spans="2:13">
      <c r="B17" s="909" t="s">
        <v>6985</v>
      </c>
      <c r="C17" s="906" t="str">
        <f>'2-ORÇAMENTO'!E54</f>
        <v xml:space="preserve">TERRAPLENAGEM </v>
      </c>
      <c r="D17" s="908">
        <f>'2-ORÇAMENTO'!K56</f>
        <v>14394.12</v>
      </c>
      <c r="E17" s="933">
        <f>D17/$D$65</f>
        <v>6.4354780898678455E-3</v>
      </c>
      <c r="F17" s="3"/>
      <c r="G17" s="3">
        <f>D17</f>
        <v>14394.12</v>
      </c>
      <c r="H17" s="3"/>
      <c r="I17" s="3"/>
      <c r="J17" s="3"/>
      <c r="K17" s="3"/>
      <c r="L17" s="769">
        <f>SUM(F17+G17+H17+I17+J17+K17)</f>
        <v>14394.12</v>
      </c>
      <c r="M17" s="757">
        <f>L17-D17</f>
        <v>0</v>
      </c>
    </row>
    <row r="18" spans="2:13">
      <c r="B18" s="901"/>
      <c r="C18" s="907"/>
      <c r="D18" s="903"/>
      <c r="E18" s="934"/>
      <c r="F18" s="152"/>
      <c r="G18" s="152">
        <f>G17/D17</f>
        <v>1</v>
      </c>
      <c r="H18" s="169"/>
      <c r="I18" s="169"/>
      <c r="J18" s="169"/>
      <c r="K18" s="169"/>
      <c r="L18" s="153">
        <f>SUM(F18:K18)</f>
        <v>1</v>
      </c>
      <c r="M18" s="757"/>
    </row>
    <row r="19" spans="2:13">
      <c r="B19" s="909" t="s">
        <v>7009</v>
      </c>
      <c r="C19" s="902" t="str">
        <f>'2-ORÇAMENTO'!E57</f>
        <v>INFRAESTRUTURA</v>
      </c>
      <c r="D19" s="904">
        <f>'2-ORÇAMENTO'!K87</f>
        <v>83957.17</v>
      </c>
      <c r="E19" s="933">
        <f>D19/$D$65</f>
        <v>3.7536475173356197E-2</v>
      </c>
      <c r="F19" s="3">
        <v>27985.73</v>
      </c>
      <c r="G19" s="3">
        <v>27985.72</v>
      </c>
      <c r="H19" s="3">
        <v>27985.72</v>
      </c>
      <c r="I19" s="3"/>
      <c r="J19" s="3"/>
      <c r="K19" s="3"/>
      <c r="L19" s="769">
        <f>SUM(F19+G19+H19+I19+J19+K19)</f>
        <v>83957.17</v>
      </c>
      <c r="M19" s="757">
        <f>L19-D19</f>
        <v>0</v>
      </c>
    </row>
    <row r="20" spans="2:13">
      <c r="B20" s="901"/>
      <c r="C20" s="902"/>
      <c r="D20" s="904"/>
      <c r="E20" s="934"/>
      <c r="F20" s="152">
        <f>F19/D19</f>
        <v>0.3333334127389001</v>
      </c>
      <c r="G20" s="152">
        <f>G19/D19</f>
        <v>0.33333329363054998</v>
      </c>
      <c r="H20" s="169">
        <f>H19/D19</f>
        <v>0.33333329363054998</v>
      </c>
      <c r="I20" s="169"/>
      <c r="J20" s="169"/>
      <c r="K20" s="169"/>
      <c r="L20" s="153">
        <f>SUM(F20:K20)</f>
        <v>1</v>
      </c>
      <c r="M20" s="757"/>
    </row>
    <row r="21" spans="2:13">
      <c r="B21" s="909" t="s">
        <v>7064</v>
      </c>
      <c r="C21" s="902" t="str">
        <f>'2-ORÇAMENTO'!E88</f>
        <v xml:space="preserve">SUPERESTRUTURA </v>
      </c>
      <c r="D21" s="904">
        <f>'2-ORÇAMENTO'!K106</f>
        <v>72693.09</v>
      </c>
      <c r="E21" s="933">
        <f>D21/$D$65</f>
        <v>3.2500409054516101E-2</v>
      </c>
      <c r="F21" s="3"/>
      <c r="G21" s="3">
        <v>36346.550000000003</v>
      </c>
      <c r="H21" s="3">
        <v>36346.54</v>
      </c>
      <c r="I21" s="3"/>
      <c r="J21" s="3"/>
      <c r="K21" s="3"/>
      <c r="L21" s="769">
        <f>SUM(F21+G21+H21+I21+J21+K21)</f>
        <v>72693.09</v>
      </c>
      <c r="M21" s="757">
        <f>L21-D21</f>
        <v>0</v>
      </c>
    </row>
    <row r="22" spans="2:13">
      <c r="B22" s="901"/>
      <c r="C22" s="902"/>
      <c r="D22" s="904"/>
      <c r="E22" s="934"/>
      <c r="F22" s="152"/>
      <c r="G22" s="152">
        <f>G21/D21</f>
        <v>0.50000006878232861</v>
      </c>
      <c r="H22" s="169">
        <f>H21/D21</f>
        <v>0.4999999312176715</v>
      </c>
      <c r="I22" s="169"/>
      <c r="J22" s="169"/>
      <c r="K22" s="169"/>
      <c r="L22" s="153">
        <f>SUM(F22:K22)</f>
        <v>1</v>
      </c>
      <c r="M22" s="757"/>
    </row>
    <row r="23" spans="2:13">
      <c r="B23" s="909" t="s">
        <v>7304</v>
      </c>
      <c r="C23" s="881" t="str">
        <f>'2-ORÇAMENTO'!E107</f>
        <v>FECHAMENTOS INTERNOS E EXTERNOS</v>
      </c>
      <c r="D23" s="908">
        <f>'2-ORÇAMENTO'!K117</f>
        <v>85878.86</v>
      </c>
      <c r="E23" s="933">
        <f>D23/$D$65</f>
        <v>3.8395645021218949E-2</v>
      </c>
      <c r="F23" s="3"/>
      <c r="G23" s="3"/>
      <c r="H23" s="3">
        <f>D23</f>
        <v>85878.86</v>
      </c>
      <c r="I23" s="3"/>
      <c r="J23" s="3"/>
      <c r="K23" s="3"/>
      <c r="L23" s="769">
        <f>SUM(F23+G23+H23+I23+J23+K23)</f>
        <v>85878.86</v>
      </c>
      <c r="M23" s="757">
        <f>L23-D23</f>
        <v>0</v>
      </c>
    </row>
    <row r="24" spans="2:13">
      <c r="B24" s="901"/>
      <c r="C24" s="882"/>
      <c r="D24" s="903"/>
      <c r="E24" s="934"/>
      <c r="F24" s="152"/>
      <c r="G24" s="152"/>
      <c r="H24" s="169">
        <f>H23/D23</f>
        <v>1</v>
      </c>
      <c r="I24" s="169"/>
      <c r="J24" s="169"/>
      <c r="K24" s="169"/>
      <c r="L24" s="153">
        <f>SUM(F24:K24)</f>
        <v>1</v>
      </c>
      <c r="M24" s="757"/>
    </row>
    <row r="25" spans="2:13">
      <c r="B25" s="909" t="s">
        <v>562</v>
      </c>
      <c r="C25" s="910" t="str">
        <f>'2-ORÇAMENTO'!E118</f>
        <v xml:space="preserve">REVESTIMENTOS INTERNOS E EXTERNOS </v>
      </c>
      <c r="D25" s="904">
        <f>'2-ORÇAMENTO'!K129</f>
        <v>162352.53</v>
      </c>
      <c r="E25" s="933">
        <f>D25/$D$65</f>
        <v>7.2586316471560053E-2</v>
      </c>
      <c r="F25" s="3"/>
      <c r="G25" s="3"/>
      <c r="H25" s="3">
        <f>D25</f>
        <v>162352.53</v>
      </c>
      <c r="I25" s="3"/>
      <c r="J25" s="3"/>
      <c r="K25" s="3"/>
      <c r="L25" s="769">
        <f>SUM(F25+G25+H25+I25+J25+K25)</f>
        <v>162352.53</v>
      </c>
      <c r="M25" s="757">
        <f>L25-D25</f>
        <v>0</v>
      </c>
    </row>
    <row r="26" spans="2:13">
      <c r="B26" s="901"/>
      <c r="C26" s="882"/>
      <c r="D26" s="904"/>
      <c r="E26" s="934"/>
      <c r="F26" s="152"/>
      <c r="G26" s="152"/>
      <c r="H26" s="169">
        <f>H25/D25</f>
        <v>1</v>
      </c>
      <c r="I26" s="169"/>
      <c r="J26" s="169"/>
      <c r="K26" s="169"/>
      <c r="L26" s="153">
        <f>SUM(F26:K26)</f>
        <v>1</v>
      </c>
      <c r="M26" s="757"/>
    </row>
    <row r="27" spans="2:13">
      <c r="B27" s="909" t="s">
        <v>3579</v>
      </c>
      <c r="C27" s="902" t="str">
        <f>'2-ORÇAMENTO'!E130</f>
        <v>PISOS INTERNOS E EXTERNOS</v>
      </c>
      <c r="D27" s="904">
        <f>'2-ORÇAMENTO'!K150</f>
        <v>202953.53</v>
      </c>
      <c r="E27" s="933">
        <f>D27/$D$65</f>
        <v>9.0738648529839719E-2</v>
      </c>
      <c r="F27" s="3">
        <v>101476.77</v>
      </c>
      <c r="G27" s="3">
        <v>101476.76</v>
      </c>
      <c r="H27" s="3"/>
      <c r="I27" s="3"/>
      <c r="J27" s="3"/>
      <c r="K27" s="3"/>
      <c r="L27" s="769">
        <f>SUM(F27+G27+H27+I27+J27+K27)</f>
        <v>202953.53</v>
      </c>
      <c r="M27" s="757">
        <f>L27-D27</f>
        <v>0</v>
      </c>
    </row>
    <row r="28" spans="2:13">
      <c r="B28" s="901"/>
      <c r="C28" s="902"/>
      <c r="D28" s="904"/>
      <c r="E28" s="934"/>
      <c r="F28" s="152">
        <f>F27/D27</f>
        <v>0.50000002463618154</v>
      </c>
      <c r="G28" s="152">
        <f>G27/D27</f>
        <v>0.49999997536381846</v>
      </c>
      <c r="H28" s="169"/>
      <c r="I28" s="169"/>
      <c r="J28" s="169"/>
      <c r="K28" s="169"/>
      <c r="L28" s="153">
        <f>SUM(F28:K28)</f>
        <v>1</v>
      </c>
      <c r="M28" s="757"/>
    </row>
    <row r="29" spans="2:13">
      <c r="B29" s="909" t="s">
        <v>3580</v>
      </c>
      <c r="C29" s="911" t="str">
        <f>'2-ORÇAMENTO'!E151</f>
        <v>DIVISORIAS, BANCADAS E PEITORIS</v>
      </c>
      <c r="D29" s="904">
        <f>'2-ORÇAMENTO'!K155</f>
        <v>39341.699999999997</v>
      </c>
      <c r="E29" s="933">
        <f>D29/$D$65</f>
        <v>1.758931066075271E-2</v>
      </c>
      <c r="F29" s="3"/>
      <c r="G29" s="3"/>
      <c r="H29" s="341"/>
      <c r="I29" s="341">
        <v>19670.849999999999</v>
      </c>
      <c r="J29" s="341">
        <v>19670.849999999999</v>
      </c>
      <c r="K29" s="341"/>
      <c r="L29" s="769">
        <f>SUM(F29+G29+H29+I29+J29+K29)</f>
        <v>39341.699999999997</v>
      </c>
      <c r="M29" s="757">
        <f>L29-D29</f>
        <v>0</v>
      </c>
    </row>
    <row r="30" spans="2:13">
      <c r="B30" s="901"/>
      <c r="C30" s="902"/>
      <c r="D30" s="904"/>
      <c r="E30" s="934"/>
      <c r="F30" s="152"/>
      <c r="G30" s="152"/>
      <c r="H30" s="169"/>
      <c r="I30" s="169">
        <f>I29/D29</f>
        <v>0.5</v>
      </c>
      <c r="J30" s="169">
        <f>J29/D29</f>
        <v>0.5</v>
      </c>
      <c r="K30" s="169"/>
      <c r="L30" s="153">
        <f>SUM(F30:K30)</f>
        <v>1</v>
      </c>
      <c r="M30" s="757"/>
    </row>
    <row r="31" spans="2:13">
      <c r="B31" s="909" t="s">
        <v>3581</v>
      </c>
      <c r="C31" s="902" t="str">
        <f>'2-ORÇAMENTO'!E156</f>
        <v xml:space="preserve">ESQUADRIAS </v>
      </c>
      <c r="D31" s="904">
        <f>'2-ORÇAMENTO'!K166</f>
        <v>121494.77</v>
      </c>
      <c r="E31" s="933">
        <f>D31/$D$65</f>
        <v>5.4319189389037549E-2</v>
      </c>
      <c r="F31" s="3"/>
      <c r="G31" s="3">
        <v>60747.39</v>
      </c>
      <c r="H31" s="3">
        <v>60747.38</v>
      </c>
      <c r="I31" s="3"/>
      <c r="J31" s="3"/>
      <c r="K31" s="3"/>
      <c r="L31" s="769">
        <f>SUM(F31+G31+H31+I31+J31+K31)</f>
        <v>121494.76999999999</v>
      </c>
      <c r="M31" s="757">
        <f>L31-D31</f>
        <v>0</v>
      </c>
    </row>
    <row r="32" spans="2:13">
      <c r="B32" s="901"/>
      <c r="C32" s="902"/>
      <c r="D32" s="904"/>
      <c r="E32" s="934"/>
      <c r="F32" s="152"/>
      <c r="G32" s="152">
        <f>G31/D31</f>
        <v>0.50000004115403485</v>
      </c>
      <c r="H32" s="152">
        <f>H31/D31</f>
        <v>0.4999999588459651</v>
      </c>
      <c r="I32" s="169"/>
      <c r="J32" s="169"/>
      <c r="K32" s="169"/>
      <c r="L32" s="153">
        <f>SUM(F32:K32)</f>
        <v>1</v>
      </c>
      <c r="M32" s="757"/>
    </row>
    <row r="33" spans="2:13">
      <c r="B33" s="909" t="s">
        <v>3582</v>
      </c>
      <c r="C33" s="881" t="str">
        <f>'2-ORÇAMENTO'!E167</f>
        <v>COBERTURA E PROJEÇÕES</v>
      </c>
      <c r="D33" s="904">
        <f>'2-ORÇAMENTO'!K176</f>
        <v>168605.03</v>
      </c>
      <c r="E33" s="933">
        <f>D33/$D$65</f>
        <v>7.5381751465633931E-2</v>
      </c>
      <c r="F33" s="3"/>
      <c r="G33" s="3">
        <f>D33</f>
        <v>168605.03</v>
      </c>
      <c r="H33" s="3"/>
      <c r="I33" s="3"/>
      <c r="J33" s="3"/>
      <c r="K33" s="3"/>
      <c r="L33" s="769">
        <f>SUM(F33+G33+H33+I33+J33+K33)</f>
        <v>168605.03</v>
      </c>
      <c r="M33" s="757">
        <f>L33-D33</f>
        <v>0</v>
      </c>
    </row>
    <row r="34" spans="2:13">
      <c r="B34" s="901"/>
      <c r="C34" s="882"/>
      <c r="D34" s="904"/>
      <c r="E34" s="934"/>
      <c r="F34" s="152"/>
      <c r="G34" s="152">
        <f>G33/D33</f>
        <v>1</v>
      </c>
      <c r="H34" s="169"/>
      <c r="I34" s="169"/>
      <c r="J34" s="169"/>
      <c r="K34" s="169"/>
      <c r="L34" s="153">
        <f>SUM(F34:K34)</f>
        <v>1</v>
      </c>
      <c r="M34" s="757"/>
    </row>
    <row r="35" spans="2:13">
      <c r="B35" s="909" t="s">
        <v>3583</v>
      </c>
      <c r="C35" s="881" t="str">
        <f>'2-ORÇAMENTO'!E177</f>
        <v xml:space="preserve">TELHAMENTO </v>
      </c>
      <c r="D35" s="883">
        <f>'2-ORÇAMENTO'!K182</f>
        <v>117727.38</v>
      </c>
      <c r="E35" s="933">
        <f>D35/$D$65</f>
        <v>5.263482412037318E-2</v>
      </c>
      <c r="F35" s="3"/>
      <c r="G35" s="3"/>
      <c r="H35" s="3">
        <v>58863.69</v>
      </c>
      <c r="I35" s="3">
        <v>58863.69</v>
      </c>
      <c r="J35" s="3"/>
      <c r="K35" s="3"/>
      <c r="L35" s="769">
        <f>SUM(F35+G35+H35+I35+J35+K35)</f>
        <v>117727.38</v>
      </c>
      <c r="M35" s="757">
        <f>L35-D35</f>
        <v>0</v>
      </c>
    </row>
    <row r="36" spans="2:13">
      <c r="B36" s="901"/>
      <c r="C36" s="882"/>
      <c r="D36" s="884"/>
      <c r="E36" s="934"/>
      <c r="F36" s="152"/>
      <c r="G36" s="152"/>
      <c r="H36" s="152">
        <f>H35/D35</f>
        <v>0.5</v>
      </c>
      <c r="I36" s="169">
        <f>I35/D35</f>
        <v>0.5</v>
      </c>
      <c r="J36" s="169"/>
      <c r="K36" s="169"/>
      <c r="L36" s="153">
        <f>SUM(F36:K36)</f>
        <v>1</v>
      </c>
      <c r="M36" s="757"/>
    </row>
    <row r="37" spans="2:13">
      <c r="B37" s="909" t="s">
        <v>4124</v>
      </c>
      <c r="C37" s="881" t="str">
        <f>'2-ORÇAMENTO'!E183</f>
        <v xml:space="preserve">FORROS </v>
      </c>
      <c r="D37" s="883">
        <f>'2-ORÇAMENTO'!K185</f>
        <v>100747.06</v>
      </c>
      <c r="E37" s="933">
        <f>D37/$D$65</f>
        <v>4.504307989988976E-2</v>
      </c>
      <c r="F37" s="3"/>
      <c r="G37" s="3"/>
      <c r="H37" s="3"/>
      <c r="I37" s="3">
        <f>D37</f>
        <v>100747.06</v>
      </c>
      <c r="J37" s="3"/>
      <c r="K37" s="3"/>
      <c r="L37" s="769">
        <f>SUM(F37+G37+H37+I37+J37+K37)</f>
        <v>100747.06</v>
      </c>
      <c r="M37" s="757">
        <f>L37-D37</f>
        <v>0</v>
      </c>
    </row>
    <row r="38" spans="2:13">
      <c r="B38" s="901"/>
      <c r="C38" s="882"/>
      <c r="D38" s="884"/>
      <c r="E38" s="934"/>
      <c r="F38" s="152"/>
      <c r="G38" s="152"/>
      <c r="H38" s="169"/>
      <c r="I38" s="169">
        <f>I37/D37</f>
        <v>1</v>
      </c>
      <c r="J38" s="169"/>
      <c r="K38" s="169"/>
      <c r="L38" s="153">
        <f>SUM(F38:K38)</f>
        <v>1</v>
      </c>
      <c r="M38" s="757"/>
    </row>
    <row r="39" spans="2:13">
      <c r="B39" s="909" t="s">
        <v>4125</v>
      </c>
      <c r="C39" s="881" t="str">
        <f>'2-ORÇAMENTO'!E186</f>
        <v xml:space="preserve">PINTURA INTERNA E EXTERNA </v>
      </c>
      <c r="D39" s="883">
        <f>'2-ORÇAMENTO'!K212</f>
        <v>187228.88</v>
      </c>
      <c r="E39" s="933">
        <f>D39/$D$65</f>
        <v>8.3708302767414478E-2</v>
      </c>
      <c r="F39" s="3"/>
      <c r="G39" s="3"/>
      <c r="H39" s="3"/>
      <c r="I39" s="3"/>
      <c r="J39" s="3">
        <v>93614.44</v>
      </c>
      <c r="K39" s="3">
        <v>93614.44</v>
      </c>
      <c r="L39" s="769">
        <f>SUM(F39+G39+H39+I39+J39+K39)</f>
        <v>187228.88</v>
      </c>
      <c r="M39" s="757">
        <f>L39-D39</f>
        <v>0</v>
      </c>
    </row>
    <row r="40" spans="2:13">
      <c r="B40" s="901"/>
      <c r="C40" s="882"/>
      <c r="D40" s="884"/>
      <c r="E40" s="934"/>
      <c r="F40" s="152"/>
      <c r="G40" s="152"/>
      <c r="H40" s="169"/>
      <c r="I40" s="169"/>
      <c r="J40" s="169">
        <f>J39/D39</f>
        <v>0.5</v>
      </c>
      <c r="K40" s="169">
        <f>K39/D39</f>
        <v>0.5</v>
      </c>
      <c r="L40" s="153">
        <f>SUM(F40:K40)</f>
        <v>1</v>
      </c>
      <c r="M40" s="757"/>
    </row>
    <row r="41" spans="2:13" ht="18" customHeight="1">
      <c r="B41" s="909" t="s">
        <v>4126</v>
      </c>
      <c r="C41" s="881" t="str">
        <f>'2-ORÇAMENTO'!E213</f>
        <v>INTALAÇÕES HIDROSSANITÁRIAS</v>
      </c>
      <c r="D41" s="883">
        <f>'2-ORÇAMENTO'!K325</f>
        <v>160777.1</v>
      </c>
      <c r="E41" s="933">
        <f>D41/$D$65</f>
        <v>7.1881956271205985E-2</v>
      </c>
      <c r="F41" s="3">
        <v>80388.55</v>
      </c>
      <c r="G41" s="3">
        <v>80388.55</v>
      </c>
      <c r="H41" s="3"/>
      <c r="I41" s="3"/>
      <c r="J41" s="3"/>
      <c r="K41" s="3"/>
      <c r="L41" s="769">
        <f>SUM(F41+G41+H41+I41+J41+K41)</f>
        <v>160777.1</v>
      </c>
      <c r="M41" s="757">
        <f>L41-D41</f>
        <v>0</v>
      </c>
    </row>
    <row r="42" spans="2:13">
      <c r="B42" s="901"/>
      <c r="C42" s="882"/>
      <c r="D42" s="884"/>
      <c r="E42" s="934"/>
      <c r="F42" s="152">
        <f>F41/D41</f>
        <v>0.5</v>
      </c>
      <c r="G42" s="152">
        <f>G41/D41</f>
        <v>0.5</v>
      </c>
      <c r="H42" s="169"/>
      <c r="I42" s="169"/>
      <c r="J42" s="169"/>
      <c r="K42" s="169"/>
      <c r="L42" s="153">
        <f>SUM(F42:K42)</f>
        <v>1</v>
      </c>
      <c r="M42" s="757"/>
    </row>
    <row r="43" spans="2:13">
      <c r="B43" s="909" t="s">
        <v>4127</v>
      </c>
      <c r="C43" s="881" t="str">
        <f>'2-ORÇAMENTO'!E326</f>
        <v>AGUAS PLUVIAIS</v>
      </c>
      <c r="D43" s="883">
        <f>'2-ORÇAMENTO'!K333</f>
        <v>25560.62</v>
      </c>
      <c r="E43" s="933">
        <f>D43/$D$65</f>
        <v>1.1427917092079116E-2</v>
      </c>
      <c r="F43" s="3">
        <v>12780.31</v>
      </c>
      <c r="G43" s="3">
        <v>12780.31</v>
      </c>
      <c r="H43" s="3"/>
      <c r="I43" s="3"/>
      <c r="J43" s="3"/>
      <c r="K43" s="3"/>
      <c r="L43" s="769">
        <f>SUM(F43+G43+H43+I43+J43+K43)</f>
        <v>25560.62</v>
      </c>
      <c r="M43" s="757">
        <f>L43-D43</f>
        <v>0</v>
      </c>
    </row>
    <row r="44" spans="2:13">
      <c r="B44" s="901"/>
      <c r="C44" s="882"/>
      <c r="D44" s="884"/>
      <c r="E44" s="934"/>
      <c r="F44" s="152">
        <f>F43/D43</f>
        <v>0.5</v>
      </c>
      <c r="G44" s="152">
        <f>G43/D43</f>
        <v>0.5</v>
      </c>
      <c r="H44" s="169"/>
      <c r="I44" s="169"/>
      <c r="J44" s="169"/>
      <c r="K44" s="169"/>
      <c r="L44" s="153">
        <f>SUM(F44:K44)</f>
        <v>1</v>
      </c>
      <c r="M44" s="757"/>
    </row>
    <row r="45" spans="2:13">
      <c r="B45" s="909" t="s">
        <v>4128</v>
      </c>
      <c r="C45" s="881" t="str">
        <f>'2-ORÇAMENTO'!E334</f>
        <v xml:space="preserve">INSTALAÇÕES ELÉTRICAS </v>
      </c>
      <c r="D45" s="883">
        <f>'2-ORÇAMENTO'!K407</f>
        <v>143788.28</v>
      </c>
      <c r="E45" s="933">
        <f>D45/$D$65</f>
        <v>6.4286411779239216E-2</v>
      </c>
      <c r="F45" s="3">
        <v>14378.82</v>
      </c>
      <c r="G45" s="3"/>
      <c r="H45" s="3"/>
      <c r="I45" s="3"/>
      <c r="J45" s="3">
        <v>64704.73</v>
      </c>
      <c r="K45" s="3">
        <v>64704.73</v>
      </c>
      <c r="L45" s="769">
        <f>SUM(F45+G45+H45+I45+J45+K45)</f>
        <v>143788.28</v>
      </c>
      <c r="M45" s="757">
        <f>L45-D45</f>
        <v>0</v>
      </c>
    </row>
    <row r="46" spans="2:13">
      <c r="B46" s="901"/>
      <c r="C46" s="882"/>
      <c r="D46" s="884"/>
      <c r="E46" s="934"/>
      <c r="F46" s="152">
        <f>F45/D45</f>
        <v>9.9999944362642076E-2</v>
      </c>
      <c r="G46" s="152"/>
      <c r="H46" s="169"/>
      <c r="I46" s="169"/>
      <c r="J46" s="169">
        <f>J45/D45</f>
        <v>0.45000002781867898</v>
      </c>
      <c r="K46" s="169">
        <f>K45/D45</f>
        <v>0.45000002781867898</v>
      </c>
      <c r="L46" s="153">
        <f>SUM(F46:K46)</f>
        <v>1</v>
      </c>
      <c r="M46" s="757"/>
    </row>
    <row r="47" spans="2:13" s="337" customFormat="1">
      <c r="B47" s="909" t="s">
        <v>4129</v>
      </c>
      <c r="C47" s="881" t="str">
        <f>'2-ORÇAMENTO'!E408</f>
        <v>CABEAMENTO</v>
      </c>
      <c r="D47" s="883">
        <f>'2-ORÇAMENTO'!K428</f>
        <v>10595.65</v>
      </c>
      <c r="E47" s="933">
        <f>D47/$D$65</f>
        <v>4.7372172402973039E-3</v>
      </c>
      <c r="F47" s="766"/>
      <c r="G47" s="766"/>
      <c r="H47" s="767"/>
      <c r="I47" s="768">
        <f>D47</f>
        <v>10595.65</v>
      </c>
      <c r="J47" s="767"/>
      <c r="K47" s="767"/>
      <c r="L47" s="769">
        <f>SUM(F47+G47+H47+I47+J47+K47)</f>
        <v>10595.65</v>
      </c>
      <c r="M47" s="757"/>
    </row>
    <row r="48" spans="2:13" s="337" customFormat="1">
      <c r="B48" s="901"/>
      <c r="C48" s="882"/>
      <c r="D48" s="884"/>
      <c r="E48" s="934"/>
      <c r="F48" s="152"/>
      <c r="G48" s="152"/>
      <c r="H48" s="169"/>
      <c r="I48" s="169">
        <f>I47/D47</f>
        <v>1</v>
      </c>
      <c r="J48" s="169"/>
      <c r="K48" s="169"/>
      <c r="L48" s="153">
        <f>SUM(F48:K48)</f>
        <v>1</v>
      </c>
      <c r="M48" s="757"/>
    </row>
    <row r="49" spans="2:13">
      <c r="B49" s="909" t="s">
        <v>6148</v>
      </c>
      <c r="C49" s="881" t="str">
        <f>'2-ORÇAMENTO'!E429</f>
        <v>DRENO-AR</v>
      </c>
      <c r="D49" s="883">
        <f>'2-ORÇAMENTO'!K436</f>
        <v>2527.48</v>
      </c>
      <c r="E49" s="933">
        <f>D49/$D$65</f>
        <v>1.1300129610270849E-3</v>
      </c>
      <c r="F49" s="3">
        <f>D49</f>
        <v>2527.48</v>
      </c>
      <c r="G49" s="3"/>
      <c r="H49" s="3"/>
      <c r="I49" s="3"/>
      <c r="J49" s="3"/>
      <c r="K49" s="3"/>
      <c r="L49" s="769">
        <f>SUM(F49+G49+H49+I49+J49+K49)</f>
        <v>2527.48</v>
      </c>
      <c r="M49" s="757">
        <f>L49-D49</f>
        <v>0</v>
      </c>
    </row>
    <row r="50" spans="2:13">
      <c r="B50" s="901"/>
      <c r="C50" s="882"/>
      <c r="D50" s="884"/>
      <c r="E50" s="934"/>
      <c r="F50" s="152">
        <f>F49/D49</f>
        <v>1</v>
      </c>
      <c r="G50" s="152"/>
      <c r="H50" s="169"/>
      <c r="I50" s="169"/>
      <c r="J50" s="169"/>
      <c r="K50" s="169"/>
      <c r="L50" s="153">
        <f>SUM(F50:K50)</f>
        <v>1</v>
      </c>
      <c r="M50" s="757"/>
    </row>
    <row r="51" spans="2:13">
      <c r="B51" s="909" t="s">
        <v>6169</v>
      </c>
      <c r="C51" s="881" t="str">
        <f>'2-ORÇAMENTO'!E437</f>
        <v>SPDA</v>
      </c>
      <c r="D51" s="883">
        <f>'2-ORÇAMENTO'!K451</f>
        <v>74138.740000000005</v>
      </c>
      <c r="E51" s="933">
        <f>D51/$D$65</f>
        <v>3.3146745815680903E-2</v>
      </c>
      <c r="F51" s="3"/>
      <c r="G51" s="3"/>
      <c r="H51" s="3"/>
      <c r="I51" s="3"/>
      <c r="J51" s="3">
        <f>D51</f>
        <v>74138.740000000005</v>
      </c>
      <c r="K51" s="3"/>
      <c r="L51" s="769">
        <f>SUM(F51+G51+H51+I51+J51+K51)</f>
        <v>74138.740000000005</v>
      </c>
      <c r="M51" s="757">
        <f>L51-D51</f>
        <v>0</v>
      </c>
    </row>
    <row r="52" spans="2:13">
      <c r="B52" s="901"/>
      <c r="C52" s="882"/>
      <c r="D52" s="884"/>
      <c r="E52" s="934"/>
      <c r="F52" s="152"/>
      <c r="G52" s="152"/>
      <c r="H52" s="169"/>
      <c r="I52" s="169"/>
      <c r="J52" s="169">
        <f>J51/D51</f>
        <v>1</v>
      </c>
      <c r="K52" s="169"/>
      <c r="L52" s="153">
        <f>SUM(F52:K52)</f>
        <v>1</v>
      </c>
      <c r="M52" s="757"/>
    </row>
    <row r="53" spans="2:13">
      <c r="B53" s="909" t="s">
        <v>8360</v>
      </c>
      <c r="C53" s="881" t="str">
        <f>'2-ORÇAMENTO'!E452</f>
        <v xml:space="preserve">SISTEMA DE PROTEÇÃO CONTRA INCÊNDIO </v>
      </c>
      <c r="D53" s="883">
        <f>'2-ORÇAMENTO'!K456</f>
        <v>1813.03</v>
      </c>
      <c r="E53" s="933">
        <f>D53/$D$65</f>
        <v>8.1058896558268922E-4</v>
      </c>
      <c r="F53" s="3"/>
      <c r="G53" s="3"/>
      <c r="H53" s="3"/>
      <c r="I53" s="3"/>
      <c r="J53" s="3"/>
      <c r="K53" s="3">
        <f>D53</f>
        <v>1813.03</v>
      </c>
      <c r="L53" s="769">
        <f>SUM(F53+G53+H53+I53+J53+K53)</f>
        <v>1813.03</v>
      </c>
      <c r="M53" s="757">
        <f>L53-D53</f>
        <v>0</v>
      </c>
    </row>
    <row r="54" spans="2:13">
      <c r="B54" s="901"/>
      <c r="C54" s="882"/>
      <c r="D54" s="884"/>
      <c r="E54" s="934"/>
      <c r="F54" s="152"/>
      <c r="G54" s="152"/>
      <c r="H54" s="169"/>
      <c r="I54" s="169"/>
      <c r="J54" s="169"/>
      <c r="K54" s="169">
        <f>K53/D53</f>
        <v>1</v>
      </c>
      <c r="L54" s="153">
        <f>SUM(F54:K54)</f>
        <v>1</v>
      </c>
      <c r="M54" s="757"/>
    </row>
    <row r="55" spans="2:13" s="337" customFormat="1" ht="18" customHeight="1">
      <c r="B55" s="909" t="s">
        <v>8364</v>
      </c>
      <c r="C55" s="881" t="str">
        <f>'2-ORÇAMENTO'!E457</f>
        <v>INSTALAÇÃO DE SISTEMA DE GAS/GLP</v>
      </c>
      <c r="D55" s="883">
        <f>'2-ORÇAMENTO'!K461</f>
        <v>7905.21</v>
      </c>
      <c r="E55" s="933">
        <f>D55/$D$65</f>
        <v>3.534346368573014E-3</v>
      </c>
      <c r="F55" s="3"/>
      <c r="G55" s="3">
        <v>3952.61</v>
      </c>
      <c r="H55" s="3">
        <v>3952.6</v>
      </c>
      <c r="I55" s="3"/>
      <c r="J55" s="3"/>
      <c r="K55" s="3"/>
      <c r="L55" s="769">
        <f>SUM(F55+G55+H55+I55+J55+K55)</f>
        <v>7905.21</v>
      </c>
      <c r="M55" s="757">
        <f>L55-D55</f>
        <v>0</v>
      </c>
    </row>
    <row r="56" spans="2:13" s="337" customFormat="1">
      <c r="B56" s="901"/>
      <c r="C56" s="882"/>
      <c r="D56" s="884"/>
      <c r="E56" s="934"/>
      <c r="F56" s="152"/>
      <c r="G56" s="152">
        <f>G55/D55</f>
        <v>0.50000063249426641</v>
      </c>
      <c r="H56" s="152">
        <f>H55/D55</f>
        <v>0.49999936750573354</v>
      </c>
      <c r="I56" s="169"/>
      <c r="J56" s="169"/>
      <c r="K56" s="169"/>
      <c r="L56" s="153">
        <f>SUM(F56:K56)</f>
        <v>1</v>
      </c>
      <c r="M56" s="757"/>
    </row>
    <row r="57" spans="2:13" s="337" customFormat="1" ht="18" customHeight="1">
      <c r="B57" s="909" t="s">
        <v>8367</v>
      </c>
      <c r="C57" s="881" t="str">
        <f>'2-ORÇAMENTO'!E462</f>
        <v>PAISAGISMO</v>
      </c>
      <c r="D57" s="883">
        <f>'2-ORÇAMENTO'!K465</f>
        <v>5059.38</v>
      </c>
      <c r="E57" s="933">
        <f>D57/$D$65</f>
        <v>2.2620020632255103E-3</v>
      </c>
      <c r="F57" s="3"/>
      <c r="G57" s="3"/>
      <c r="H57" s="3"/>
      <c r="I57" s="3"/>
      <c r="J57" s="3"/>
      <c r="K57" s="3">
        <f>D57</f>
        <v>5059.38</v>
      </c>
      <c r="L57" s="769">
        <f>SUM(F57+G57+H57+I57+J57+K57)</f>
        <v>5059.38</v>
      </c>
      <c r="M57" s="757">
        <f>L57-D57</f>
        <v>0</v>
      </c>
    </row>
    <row r="58" spans="2:13" s="337" customFormat="1">
      <c r="B58" s="901"/>
      <c r="C58" s="882"/>
      <c r="D58" s="884"/>
      <c r="E58" s="934"/>
      <c r="F58" s="152"/>
      <c r="G58" s="152"/>
      <c r="H58" s="169"/>
      <c r="I58" s="169"/>
      <c r="J58" s="169"/>
      <c r="K58" s="169">
        <f>K57/D57</f>
        <v>1</v>
      </c>
      <c r="L58" s="153">
        <f>SUM(F58:K58)</f>
        <v>1</v>
      </c>
      <c r="M58" s="757"/>
    </row>
    <row r="59" spans="2:13" s="337" customFormat="1">
      <c r="B59" s="909" t="s">
        <v>8370</v>
      </c>
      <c r="C59" s="881" t="str">
        <f>'2-ORÇAMENTO'!E466</f>
        <v>SERVIÇOS DIVERSOS</v>
      </c>
      <c r="D59" s="883">
        <f>'2-ORÇAMENTO'!K478</f>
        <v>118962.69</v>
      </c>
      <c r="E59" s="933">
        <f>D59/$D$65</f>
        <v>5.318711981050183E-2</v>
      </c>
      <c r="F59" s="3"/>
      <c r="G59" s="3"/>
      <c r="H59" s="3"/>
      <c r="I59" s="3"/>
      <c r="J59" s="3">
        <v>59481.35</v>
      </c>
      <c r="K59" s="3">
        <v>59481.34</v>
      </c>
      <c r="L59" s="769">
        <f>SUM(F59+G59+H59+I59+J59+K59)</f>
        <v>118962.69</v>
      </c>
      <c r="M59" s="757">
        <f>L59-D59</f>
        <v>0</v>
      </c>
    </row>
    <row r="60" spans="2:13" s="337" customFormat="1">
      <c r="B60" s="901"/>
      <c r="C60" s="882"/>
      <c r="D60" s="884"/>
      <c r="E60" s="934"/>
      <c r="F60" s="152"/>
      <c r="G60" s="152"/>
      <c r="H60" s="169"/>
      <c r="I60" s="169"/>
      <c r="J60" s="169">
        <f>J59/D59</f>
        <v>0.50000004202998438</v>
      </c>
      <c r="K60" s="169">
        <f>K59/D59</f>
        <v>0.49999995797001562</v>
      </c>
      <c r="L60" s="153">
        <f>SUM(F60:K60)</f>
        <v>1</v>
      </c>
      <c r="M60" s="757"/>
    </row>
    <row r="61" spans="2:13" s="337" customFormat="1">
      <c r="B61" s="909" t="s">
        <v>13358</v>
      </c>
      <c r="C61" s="881" t="str">
        <f>'2-ORÇAMENTO'!E479</f>
        <v xml:space="preserve">LIMPEZA DE OBRA </v>
      </c>
      <c r="D61" s="883">
        <f>'2-ORÇAMENTO'!K484</f>
        <v>10982.27</v>
      </c>
      <c r="E61" s="933">
        <f>D61/$D$65</f>
        <v>4.9100714709904422E-3</v>
      </c>
      <c r="F61" s="3"/>
      <c r="G61" s="3"/>
      <c r="H61" s="3"/>
      <c r="I61" s="3"/>
      <c r="J61" s="3"/>
      <c r="K61" s="3">
        <v>10982.27</v>
      </c>
      <c r="L61" s="769">
        <f>SUM(F61+G61+H61+I61+J61+K61)</f>
        <v>10982.27</v>
      </c>
      <c r="M61" s="757">
        <f>L61-D61</f>
        <v>0</v>
      </c>
    </row>
    <row r="62" spans="2:13" s="337" customFormat="1" ht="18.75" thickBot="1">
      <c r="B62" s="901"/>
      <c r="C62" s="882"/>
      <c r="D62" s="884"/>
      <c r="E62" s="934"/>
      <c r="F62" s="152"/>
      <c r="G62" s="152"/>
      <c r="H62" s="169"/>
      <c r="I62" s="169"/>
      <c r="J62" s="169"/>
      <c r="K62" s="169">
        <f>K61/D61</f>
        <v>1</v>
      </c>
      <c r="L62" s="153">
        <f>SUM(F62:K62)</f>
        <v>1</v>
      </c>
      <c r="M62" s="757"/>
    </row>
    <row r="63" spans="2:13" ht="18.75" thickBot="1">
      <c r="B63" s="952" t="s">
        <v>15</v>
      </c>
      <c r="C63" s="953"/>
      <c r="D63" s="137"/>
      <c r="E63" s="134"/>
      <c r="F63" s="143">
        <f t="shared" ref="F63:K63" si="0">F11+F13+F15+F17+F19+F21+F23+F25+F27+F29+F31+F33+F35+F37+F39+F41+F43+F45+F49+F51+F53+F55+F57+F59+F61+F47</f>
        <v>412010.73</v>
      </c>
      <c r="G63" s="143">
        <f t="shared" si="0"/>
        <v>582575.39000000013</v>
      </c>
      <c r="H63" s="143">
        <f t="shared" si="0"/>
        <v>453333.89999999997</v>
      </c>
      <c r="I63" s="143">
        <f t="shared" si="0"/>
        <v>207083.83</v>
      </c>
      <c r="J63" s="143">
        <f t="shared" si="0"/>
        <v>328816.69</v>
      </c>
      <c r="K63" s="143">
        <f t="shared" si="0"/>
        <v>252861.77</v>
      </c>
      <c r="L63" s="770">
        <f>SUM(F63:K63)</f>
        <v>2236682.31</v>
      </c>
      <c r="M63" s="340">
        <f>L63-D65</f>
        <v>0</v>
      </c>
    </row>
    <row r="64" spans="2:13" ht="18.75" thickBot="1">
      <c r="B64" s="952" t="s">
        <v>3090</v>
      </c>
      <c r="C64" s="953"/>
      <c r="D64" s="136"/>
      <c r="E64" s="135"/>
      <c r="F64" s="144">
        <f t="shared" ref="F64:L64" si="1">F63/$D$65</f>
        <v>0.18420619153553369</v>
      </c>
      <c r="G64" s="141">
        <f t="shared" si="1"/>
        <v>0.26046407547256906</v>
      </c>
      <c r="H64" s="141">
        <f t="shared" si="1"/>
        <v>0.20268139912994615</v>
      </c>
      <c r="I64" s="141">
        <f t="shared" si="1"/>
        <v>9.2585267507212493E-2</v>
      </c>
      <c r="J64" s="141">
        <f t="shared" si="1"/>
        <v>0.14701090473595241</v>
      </c>
      <c r="K64" s="141">
        <f t="shared" ref="K64" si="2">K63/$D$65</f>
        <v>0.11305216161878617</v>
      </c>
      <c r="L64" s="141">
        <f t="shared" si="1"/>
        <v>1</v>
      </c>
      <c r="M64" s="340"/>
    </row>
    <row r="65" spans="2:12" ht="18.75" thickBot="1">
      <c r="B65" s="950" t="s">
        <v>17</v>
      </c>
      <c r="C65" s="951"/>
      <c r="D65" s="138">
        <f>SUM(D11:D62)</f>
        <v>2236682.31</v>
      </c>
      <c r="E65" s="139">
        <f>SUM(E11:E62)</f>
        <v>1</v>
      </c>
      <c r="F65" s="145">
        <f>F63</f>
        <v>412010.73</v>
      </c>
      <c r="G65" s="142">
        <f>G63+F65</f>
        <v>994586.12000000011</v>
      </c>
      <c r="H65" s="142">
        <f>H63+G65</f>
        <v>1447920.02</v>
      </c>
      <c r="I65" s="142">
        <f>I63+H65</f>
        <v>1655003.85</v>
      </c>
      <c r="J65" s="142">
        <f>J63+I65</f>
        <v>1983820.54</v>
      </c>
      <c r="K65" s="142">
        <f>K63+J65</f>
        <v>2236682.31</v>
      </c>
      <c r="L65" s="140">
        <f>L63</f>
        <v>2236682.31</v>
      </c>
    </row>
    <row r="66" spans="2:12" ht="14.25" customHeight="1">
      <c r="B66" s="11"/>
      <c r="C66" s="19"/>
      <c r="D66" s="13"/>
      <c r="E66" s="121"/>
      <c r="F66" s="154"/>
      <c r="G66" s="154"/>
      <c r="H66" s="154"/>
      <c r="I66" s="154"/>
      <c r="J66" s="154"/>
      <c r="K66" s="154"/>
      <c r="L66" s="16"/>
    </row>
    <row r="67" spans="2:12" ht="14.25" customHeight="1">
      <c r="B67" s="11"/>
      <c r="C67" s="19"/>
      <c r="D67" s="13"/>
      <c r="E67" s="121"/>
      <c r="F67" s="154"/>
      <c r="G67" s="154"/>
      <c r="H67" s="154"/>
      <c r="I67" s="154"/>
      <c r="J67" s="154"/>
      <c r="K67" s="154"/>
      <c r="L67" s="16"/>
    </row>
    <row r="68" spans="2:12" ht="14.25" customHeight="1">
      <c r="B68" s="11"/>
      <c r="C68" s="19"/>
      <c r="D68" s="13"/>
      <c r="E68" s="121"/>
      <c r="F68" s="154"/>
      <c r="G68" s="154"/>
      <c r="H68" s="154"/>
      <c r="I68" s="154"/>
      <c r="J68" s="154"/>
      <c r="K68" s="154"/>
      <c r="L68" s="16"/>
    </row>
    <row r="69" spans="2:12" ht="14.25" customHeight="1" thickBot="1">
      <c r="B69" s="11"/>
      <c r="C69" s="358"/>
      <c r="D69" s="114"/>
      <c r="E69" s="158"/>
      <c r="F69" s="116"/>
      <c r="G69" s="116"/>
      <c r="H69" s="132"/>
      <c r="I69" s="154"/>
      <c r="J69" s="154"/>
      <c r="K69" s="154"/>
      <c r="L69" s="16"/>
    </row>
    <row r="70" spans="2:12">
      <c r="B70" s="11"/>
      <c r="C70" s="357" t="str">
        <f>'2-ORÇAMENTO'!E491</f>
        <v>ANA PAULA SILVA BOTELHO</v>
      </c>
      <c r="D70" s="190"/>
      <c r="E70" s="912"/>
      <c r="F70" s="912"/>
      <c r="G70" s="912"/>
      <c r="H70" s="912"/>
      <c r="I70" s="154"/>
      <c r="J70" s="154"/>
      <c r="K70" s="154"/>
      <c r="L70" s="16"/>
    </row>
    <row r="71" spans="2:12">
      <c r="B71" s="20"/>
      <c r="C71" s="356" t="str">
        <f>'2-ORÇAMENTO'!E492</f>
        <v xml:space="preserve"> ENGENHEIRA CIVIL CREA MT: 50821</v>
      </c>
      <c r="D71" s="190"/>
      <c r="E71" s="912"/>
      <c r="F71" s="912"/>
      <c r="G71" s="912"/>
      <c r="H71" s="912"/>
      <c r="I71" s="162"/>
      <c r="J71" s="162"/>
      <c r="K71" s="431"/>
      <c r="L71" s="14"/>
    </row>
    <row r="72" spans="2:12" ht="18.75" thickBot="1">
      <c r="B72" s="147"/>
      <c r="C72" s="17"/>
      <c r="D72" s="17"/>
      <c r="E72" s="18"/>
      <c r="F72" s="133"/>
      <c r="G72" s="10"/>
      <c r="H72" s="10"/>
      <c r="I72" s="10"/>
      <c r="J72" s="10"/>
      <c r="K72" s="10"/>
      <c r="L72" s="15"/>
    </row>
    <row r="73" spans="2:12">
      <c r="B73" s="121"/>
      <c r="C73" s="121"/>
      <c r="D73" s="12"/>
      <c r="E73" s="121"/>
      <c r="F73" s="154"/>
      <c r="G73" s="154"/>
      <c r="H73" s="154"/>
      <c r="I73" s="154"/>
      <c r="J73" s="154"/>
      <c r="K73" s="154"/>
      <c r="L73" s="121"/>
    </row>
  </sheetData>
  <mergeCells count="120">
    <mergeCell ref="C47:C48"/>
    <mergeCell ref="B47:B48"/>
    <mergeCell ref="D47:D48"/>
    <mergeCell ref="E47:E48"/>
    <mergeCell ref="B3:L3"/>
    <mergeCell ref="B4:L4"/>
    <mergeCell ref="B5:L5"/>
    <mergeCell ref="B6:L6"/>
    <mergeCell ref="B7:L7"/>
    <mergeCell ref="C43:C44"/>
    <mergeCell ref="D43:D44"/>
    <mergeCell ref="E43:E44"/>
    <mergeCell ref="B45:B46"/>
    <mergeCell ref="C45:C46"/>
    <mergeCell ref="D45:D46"/>
    <mergeCell ref="E45:E46"/>
    <mergeCell ref="B43:B44"/>
    <mergeCell ref="E39:E40"/>
    <mergeCell ref="B41:B42"/>
    <mergeCell ref="C41:C42"/>
    <mergeCell ref="D41:D42"/>
    <mergeCell ref="E41:E42"/>
    <mergeCell ref="B39:B40"/>
    <mergeCell ref="C39:C40"/>
    <mergeCell ref="E70:H70"/>
    <mergeCell ref="E71:H71"/>
    <mergeCell ref="B65:C65"/>
    <mergeCell ref="B64:C64"/>
    <mergeCell ref="B63:C63"/>
    <mergeCell ref="B53:B54"/>
    <mergeCell ref="C53:C54"/>
    <mergeCell ref="D53:D54"/>
    <mergeCell ref="E53:E54"/>
    <mergeCell ref="B59:B60"/>
    <mergeCell ref="C59:C60"/>
    <mergeCell ref="D59:D60"/>
    <mergeCell ref="E59:E60"/>
    <mergeCell ref="B61:B62"/>
    <mergeCell ref="C61:C62"/>
    <mergeCell ref="D61:D62"/>
    <mergeCell ref="E61:E62"/>
    <mergeCell ref="B55:B56"/>
    <mergeCell ref="C55:C56"/>
    <mergeCell ref="D55:D56"/>
    <mergeCell ref="E55:E56"/>
    <mergeCell ref="B57:B58"/>
    <mergeCell ref="C57:C58"/>
    <mergeCell ref="D57:D58"/>
    <mergeCell ref="E49:E50"/>
    <mergeCell ref="B51:B52"/>
    <mergeCell ref="C51:C52"/>
    <mergeCell ref="D51:D52"/>
    <mergeCell ref="E51:E52"/>
    <mergeCell ref="B49:B50"/>
    <mergeCell ref="C49:C50"/>
    <mergeCell ref="D49:D50"/>
    <mergeCell ref="E57:E58"/>
    <mergeCell ref="D39:D40"/>
    <mergeCell ref="E35:E36"/>
    <mergeCell ref="E37:E38"/>
    <mergeCell ref="B35:B36"/>
    <mergeCell ref="B37:B38"/>
    <mergeCell ref="C37:C38"/>
    <mergeCell ref="D37:D38"/>
    <mergeCell ref="C35:C36"/>
    <mergeCell ref="D35:D36"/>
    <mergeCell ref="B2:L2"/>
    <mergeCell ref="B33:B34"/>
    <mergeCell ref="C31:C32"/>
    <mergeCell ref="D31:D32"/>
    <mergeCell ref="B19:B20"/>
    <mergeCell ref="C19:C20"/>
    <mergeCell ref="D19:D20"/>
    <mergeCell ref="E19:E20"/>
    <mergeCell ref="B13:B14"/>
    <mergeCell ref="C13:C14"/>
    <mergeCell ref="D13:D14"/>
    <mergeCell ref="B25:B26"/>
    <mergeCell ref="C25:C26"/>
    <mergeCell ref="E25:E26"/>
    <mergeCell ref="D15:D16"/>
    <mergeCell ref="E13:E14"/>
    <mergeCell ref="B17:B18"/>
    <mergeCell ref="C17:C18"/>
    <mergeCell ref="D17:D18"/>
    <mergeCell ref="E17:E18"/>
    <mergeCell ref="E29:E30"/>
    <mergeCell ref="C27:C28"/>
    <mergeCell ref="D27:D28"/>
    <mergeCell ref="C29:C30"/>
    <mergeCell ref="D29:D30"/>
    <mergeCell ref="E27:E28"/>
    <mergeCell ref="C33:C34"/>
    <mergeCell ref="D33:D34"/>
    <mergeCell ref="B31:B32"/>
    <mergeCell ref="E33:E34"/>
    <mergeCell ref="E31:E32"/>
    <mergeCell ref="D25:D26"/>
    <mergeCell ref="B21:B22"/>
    <mergeCell ref="C21:C22"/>
    <mergeCell ref="D21:D22"/>
    <mergeCell ref="E21:E22"/>
    <mergeCell ref="B23:B24"/>
    <mergeCell ref="C23:C24"/>
    <mergeCell ref="D23:D24"/>
    <mergeCell ref="E23:E24"/>
    <mergeCell ref="B29:B30"/>
    <mergeCell ref="B27:B28"/>
    <mergeCell ref="C15:C16"/>
    <mergeCell ref="B15:B16"/>
    <mergeCell ref="B11:B12"/>
    <mergeCell ref="C11:C12"/>
    <mergeCell ref="D11:D12"/>
    <mergeCell ref="E11:E12"/>
    <mergeCell ref="B8:L8"/>
    <mergeCell ref="B9:B10"/>
    <mergeCell ref="C9:C10"/>
    <mergeCell ref="D9:E9"/>
    <mergeCell ref="F9:L9"/>
    <mergeCell ref="E15:E16"/>
  </mergeCells>
  <phoneticPr fontId="29" type="noConversion"/>
  <conditionalFormatting sqref="F39 F41 F43 F45 F49 F51 F53 F1:L1 F8:L38 F63:L1048576">
    <cfRule type="containsText" dxfId="56" priority="398" operator="containsText" text="%">
      <formula>NOT(ISERROR(SEARCH("%",F1)))</formula>
    </cfRule>
  </conditionalFormatting>
  <conditionalFormatting sqref="F17:K17 G37:K37 G35:K35 G33:K33 G41:K41 G43:K43 G45:K45 G49:K49 G51:K51 G53:K53 G13:K25 G39:K39 F63:F65 G27:K29 G31:K31 G11:L12 F11:F54 L13:L54 F63:L63">
    <cfRule type="containsText" dxfId="55" priority="396" operator="containsText" text="%">
      <formula>NOT(ISERROR(SEARCH("%",F11)))</formula>
    </cfRule>
  </conditionalFormatting>
  <conditionalFormatting sqref="F55">
    <cfRule type="containsText" dxfId="54" priority="55" operator="containsText" text="%">
      <formula>NOT(ISERROR(SEARCH("%",F55)))</formula>
    </cfRule>
  </conditionalFormatting>
  <conditionalFormatting sqref="G55:K55 F55:F56">
    <cfRule type="containsText" dxfId="53" priority="54" operator="containsText" text="%">
      <formula>NOT(ISERROR(SEARCH("%",F55)))</formula>
    </cfRule>
  </conditionalFormatting>
  <conditionalFormatting sqref="F57">
    <cfRule type="containsText" dxfId="52" priority="53" operator="containsText" text="%">
      <formula>NOT(ISERROR(SEARCH("%",F57)))</formula>
    </cfRule>
  </conditionalFormatting>
  <conditionalFormatting sqref="G57:K57 F57:F58">
    <cfRule type="containsText" dxfId="51" priority="52" operator="containsText" text="%">
      <formula>NOT(ISERROR(SEARCH("%",F57)))</formula>
    </cfRule>
  </conditionalFormatting>
  <conditionalFormatting sqref="F59">
    <cfRule type="containsText" dxfId="50" priority="51" operator="containsText" text="%">
      <formula>NOT(ISERROR(SEARCH("%",F59)))</formula>
    </cfRule>
  </conditionalFormatting>
  <conditionalFormatting sqref="G59:K59 F59:F60">
    <cfRule type="containsText" dxfId="49" priority="50" operator="containsText" text="%">
      <formula>NOT(ISERROR(SEARCH("%",F59)))</formula>
    </cfRule>
  </conditionalFormatting>
  <conditionalFormatting sqref="F61">
    <cfRule type="containsText" dxfId="48" priority="49" operator="containsText" text="%">
      <formula>NOT(ISERROR(SEARCH("%",F61)))</formula>
    </cfRule>
  </conditionalFormatting>
  <conditionalFormatting sqref="G61:K61 F61:F62">
    <cfRule type="containsText" dxfId="47" priority="48" operator="containsText" text="%">
      <formula>NOT(ISERROR(SEARCH("%",F61)))</formula>
    </cfRule>
  </conditionalFormatting>
  <conditionalFormatting sqref="L39:L40">
    <cfRule type="containsText" dxfId="46" priority="47" operator="containsText" text="%">
      <formula>NOT(ISERROR(SEARCH("%",L39)))</formula>
    </cfRule>
  </conditionalFormatting>
  <conditionalFormatting sqref="L41:L42">
    <cfRule type="containsText" dxfId="45" priority="46" operator="containsText" text="%">
      <formula>NOT(ISERROR(SEARCH("%",L41)))</formula>
    </cfRule>
  </conditionalFormatting>
  <conditionalFormatting sqref="L43:L44">
    <cfRule type="containsText" dxfId="44" priority="45" operator="containsText" text="%">
      <formula>NOT(ISERROR(SEARCH("%",L43)))</formula>
    </cfRule>
  </conditionalFormatting>
  <conditionalFormatting sqref="L45:L48">
    <cfRule type="containsText" dxfId="43" priority="44" operator="containsText" text="%">
      <formula>NOT(ISERROR(SEARCH("%",L45)))</formula>
    </cfRule>
  </conditionalFormatting>
  <conditionalFormatting sqref="L49:L50">
    <cfRule type="containsText" dxfId="42" priority="43" operator="containsText" text="%">
      <formula>NOT(ISERROR(SEARCH("%",L49)))</formula>
    </cfRule>
  </conditionalFormatting>
  <conditionalFormatting sqref="L51:L52">
    <cfRule type="containsText" dxfId="41" priority="42" operator="containsText" text="%">
      <formula>NOT(ISERROR(SEARCH("%",L51)))</formula>
    </cfRule>
  </conditionalFormatting>
  <conditionalFormatting sqref="L53:L54">
    <cfRule type="containsText" dxfId="40" priority="41" operator="containsText" text="%">
      <formula>NOT(ISERROR(SEARCH("%",L53)))</formula>
    </cfRule>
  </conditionalFormatting>
  <conditionalFormatting sqref="L59:L60">
    <cfRule type="containsText" dxfId="39" priority="19" operator="containsText" text="%">
      <formula>NOT(ISERROR(SEARCH("%",L59)))</formula>
    </cfRule>
  </conditionalFormatting>
  <conditionalFormatting sqref="L59:L60">
    <cfRule type="containsText" dxfId="38" priority="18" operator="containsText" text="%">
      <formula>NOT(ISERROR(SEARCH("%",L59)))</formula>
    </cfRule>
  </conditionalFormatting>
  <conditionalFormatting sqref="H26">
    <cfRule type="containsText" dxfId="37" priority="32" operator="containsText" text="%">
      <formula>NOT(ISERROR(SEARCH("%",H26)))</formula>
    </cfRule>
  </conditionalFormatting>
  <conditionalFormatting sqref="G32:H32">
    <cfRule type="containsText" dxfId="36" priority="31" operator="containsText" text="%">
      <formula>NOT(ISERROR(SEARCH("%",G32)))</formula>
    </cfRule>
  </conditionalFormatting>
  <conditionalFormatting sqref="L39:L40">
    <cfRule type="containsText" dxfId="35" priority="30" operator="containsText" text="%">
      <formula>NOT(ISERROR(SEARCH("%",L39)))</formula>
    </cfRule>
  </conditionalFormatting>
  <conditionalFormatting sqref="L41:L42">
    <cfRule type="containsText" dxfId="34" priority="29" operator="containsText" text="%">
      <formula>NOT(ISERROR(SEARCH("%",L41)))</formula>
    </cfRule>
  </conditionalFormatting>
  <conditionalFormatting sqref="L43:L44">
    <cfRule type="containsText" dxfId="33" priority="28" operator="containsText" text="%">
      <formula>NOT(ISERROR(SEARCH("%",L43)))</formula>
    </cfRule>
  </conditionalFormatting>
  <conditionalFormatting sqref="L45:L48">
    <cfRule type="containsText" dxfId="32" priority="27" operator="containsText" text="%">
      <formula>NOT(ISERROR(SEARCH("%",L45)))</formula>
    </cfRule>
  </conditionalFormatting>
  <conditionalFormatting sqref="L49:L50">
    <cfRule type="containsText" dxfId="31" priority="26" operator="containsText" text="%">
      <formula>NOT(ISERROR(SEARCH("%",L49)))</formula>
    </cfRule>
  </conditionalFormatting>
  <conditionalFormatting sqref="L51:L52">
    <cfRule type="containsText" dxfId="30" priority="25" operator="containsText" text="%">
      <formula>NOT(ISERROR(SEARCH("%",L51)))</formula>
    </cfRule>
  </conditionalFormatting>
  <conditionalFormatting sqref="L53:L54">
    <cfRule type="containsText" dxfId="29" priority="24" operator="containsText" text="%">
      <formula>NOT(ISERROR(SEARCH("%",L53)))</formula>
    </cfRule>
  </conditionalFormatting>
  <conditionalFormatting sqref="L55:L56">
    <cfRule type="containsText" dxfId="28" priority="23" operator="containsText" text="%">
      <formula>NOT(ISERROR(SEARCH("%",L55)))</formula>
    </cfRule>
  </conditionalFormatting>
  <conditionalFormatting sqref="L55:L56">
    <cfRule type="containsText" dxfId="27" priority="22" operator="containsText" text="%">
      <formula>NOT(ISERROR(SEARCH("%",L55)))</formula>
    </cfRule>
  </conditionalFormatting>
  <conditionalFormatting sqref="L57:L58">
    <cfRule type="containsText" dxfId="26" priority="21" operator="containsText" text="%">
      <formula>NOT(ISERROR(SEARCH("%",L57)))</formula>
    </cfRule>
  </conditionalFormatting>
  <conditionalFormatting sqref="L57:L58">
    <cfRule type="containsText" dxfId="25" priority="20" operator="containsText" text="%">
      <formula>NOT(ISERROR(SEARCH("%",L57)))</formula>
    </cfRule>
  </conditionalFormatting>
  <conditionalFormatting sqref="L61:L62">
    <cfRule type="containsText" dxfId="24" priority="17" operator="containsText" text="%">
      <formula>NOT(ISERROR(SEARCH("%",L61)))</formula>
    </cfRule>
  </conditionalFormatting>
  <conditionalFormatting sqref="L61:L62">
    <cfRule type="containsText" dxfId="23" priority="16" operator="containsText" text="%">
      <formula>NOT(ISERROR(SEARCH("%",L61)))</formula>
    </cfRule>
  </conditionalFormatting>
  <conditionalFormatting sqref="G34">
    <cfRule type="containsText" dxfId="22" priority="15" operator="containsText" text="%">
      <formula>NOT(ISERROR(SEARCH("%",G34)))</formula>
    </cfRule>
  </conditionalFormatting>
  <conditionalFormatting sqref="H36">
    <cfRule type="containsText" dxfId="21" priority="14" operator="containsText" text="%">
      <formula>NOT(ISERROR(SEARCH("%",H36)))</formula>
    </cfRule>
  </conditionalFormatting>
  <conditionalFormatting sqref="F50">
    <cfRule type="containsText" dxfId="20" priority="13" operator="containsText" text="%">
      <formula>NOT(ISERROR(SEARCH("%",F50)))</formula>
    </cfRule>
  </conditionalFormatting>
  <conditionalFormatting sqref="G56">
    <cfRule type="containsText" dxfId="19" priority="12" operator="containsText" text="%">
      <formula>NOT(ISERROR(SEARCH("%",G56)))</formula>
    </cfRule>
  </conditionalFormatting>
  <conditionalFormatting sqref="G56">
    <cfRule type="containsText" dxfId="18" priority="11" operator="containsText" text="%">
      <formula>NOT(ISERROR(SEARCH("%",G56)))</formula>
    </cfRule>
  </conditionalFormatting>
  <conditionalFormatting sqref="H56">
    <cfRule type="containsText" dxfId="17" priority="10" operator="containsText" text="%">
      <formula>NOT(ISERROR(SEARCH("%",H56)))</formula>
    </cfRule>
  </conditionalFormatting>
  <conditionalFormatting sqref="H56">
    <cfRule type="containsText" dxfId="16" priority="9" operator="containsText" text="%">
      <formula>NOT(ISERROR(SEARCH("%",H56)))</formula>
    </cfRule>
  </conditionalFormatting>
  <conditionalFormatting sqref="G44">
    <cfRule type="containsText" dxfId="15" priority="8" operator="containsText" text="%">
      <formula>NOT(ISERROR(SEARCH("%",G44)))</formula>
    </cfRule>
  </conditionalFormatting>
  <conditionalFormatting sqref="G44">
    <cfRule type="containsText" dxfId="14" priority="7" operator="containsText" text="%">
      <formula>NOT(ISERROR(SEARCH("%",G44)))</formula>
    </cfRule>
  </conditionalFormatting>
  <conditionalFormatting sqref="F44">
    <cfRule type="containsText" dxfId="13" priority="6" operator="containsText" text="%">
      <formula>NOT(ISERROR(SEARCH("%",F44)))</formula>
    </cfRule>
  </conditionalFormatting>
  <conditionalFormatting sqref="G42">
    <cfRule type="containsText" dxfId="12" priority="5" operator="containsText" text="%">
      <formula>NOT(ISERROR(SEARCH("%",G42)))</formula>
    </cfRule>
  </conditionalFormatting>
  <conditionalFormatting sqref="G42">
    <cfRule type="containsText" dxfId="11" priority="4" operator="containsText" text="%">
      <formula>NOT(ISERROR(SEARCH("%",G42)))</formula>
    </cfRule>
  </conditionalFormatting>
  <conditionalFormatting sqref="F42">
    <cfRule type="containsText" dxfId="10" priority="3" operator="containsText" text="%">
      <formula>NOT(ISERROR(SEARCH("%",F42)))</formula>
    </cfRule>
  </conditionalFormatting>
  <conditionalFormatting sqref="F46:F48">
    <cfRule type="containsText" dxfId="9" priority="2" operator="containsText" text="%">
      <formula>NOT(ISERROR(SEARCH("%",F46)))</formula>
    </cfRule>
  </conditionalFormatting>
  <conditionalFormatting sqref="I48">
    <cfRule type="containsText" dxfId="8" priority="1" operator="containsText" text="%">
      <formula>NOT(ISERROR(SEARCH("%",I48)))</formula>
    </cfRule>
  </conditionalFormatting>
  <printOptions horizontalCentered="1"/>
  <pageMargins left="0.19685039370078741" right="0.19685039370078741" top="0.59055118110236227" bottom="0.39370078740157483" header="0" footer="0"/>
  <pageSetup scale="4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8"/>
  <sheetViews>
    <sheetView view="pageBreakPreview" zoomScale="90" zoomScaleSheetLayoutView="90" workbookViewId="0">
      <selection activeCell="C47" sqref="C47"/>
    </sheetView>
  </sheetViews>
  <sheetFormatPr defaultRowHeight="12.75"/>
  <cols>
    <col min="2" max="2" width="5.85546875" customWidth="1"/>
    <col min="3" max="3" width="82.85546875" bestFit="1" customWidth="1"/>
    <col min="4" max="4" width="20.7109375" bestFit="1" customWidth="1"/>
  </cols>
  <sheetData>
    <row r="1" spans="2:4" ht="38.25" customHeight="1"/>
    <row r="2" spans="2:4">
      <c r="B2" s="958" t="s">
        <v>564</v>
      </c>
      <c r="C2" s="959"/>
      <c r="D2" s="960"/>
    </row>
    <row r="3" spans="2:4">
      <c r="B3" s="961"/>
      <c r="C3" s="962"/>
      <c r="D3" s="963"/>
    </row>
    <row r="4" spans="2:4">
      <c r="B4" s="961"/>
      <c r="C4" s="962"/>
      <c r="D4" s="963"/>
    </row>
    <row r="5" spans="2:4">
      <c r="B5" s="964"/>
      <c r="C5" s="965"/>
      <c r="D5" s="966"/>
    </row>
    <row r="6" spans="2:4" ht="16.5">
      <c r="B6" s="967" t="s">
        <v>18</v>
      </c>
      <c r="C6" s="967"/>
      <c r="D6" s="21" t="s">
        <v>565</v>
      </c>
    </row>
    <row r="7" spans="2:4" ht="15.75">
      <c r="B7" s="968" t="s">
        <v>566</v>
      </c>
      <c r="C7" s="968"/>
      <c r="D7" s="22"/>
    </row>
    <row r="8" spans="2:4" ht="47.25">
      <c r="B8" s="23" t="s">
        <v>567</v>
      </c>
      <c r="C8" s="24" t="s">
        <v>568</v>
      </c>
      <c r="D8" s="25">
        <v>0.04</v>
      </c>
    </row>
    <row r="9" spans="2:4" ht="15.75">
      <c r="B9" s="23"/>
      <c r="C9" s="26" t="s">
        <v>569</v>
      </c>
      <c r="D9" s="27">
        <f>SUM(D8)</f>
        <v>0.04</v>
      </c>
    </row>
    <row r="10" spans="2:4" ht="15.75">
      <c r="B10" s="23"/>
      <c r="C10" s="24"/>
      <c r="D10" s="27"/>
    </row>
    <row r="11" spans="2:4" ht="15.75">
      <c r="B11" s="968" t="s">
        <v>570</v>
      </c>
      <c r="C11" s="968"/>
      <c r="D11" s="27"/>
    </row>
    <row r="12" spans="2:4" ht="15.75">
      <c r="B12" s="23" t="s">
        <v>571</v>
      </c>
      <c r="C12" s="24" t="s">
        <v>572</v>
      </c>
      <c r="D12" s="25">
        <v>1.21E-2</v>
      </c>
    </row>
    <row r="13" spans="2:4" ht="15.75">
      <c r="B13" s="23" t="s">
        <v>573</v>
      </c>
      <c r="C13" s="24" t="s">
        <v>574</v>
      </c>
      <c r="D13" s="25">
        <v>4.0000000000000001E-3</v>
      </c>
    </row>
    <row r="14" spans="2:4" ht="15.75">
      <c r="B14" s="23" t="s">
        <v>573</v>
      </c>
      <c r="C14" s="24" t="s">
        <v>575</v>
      </c>
      <c r="D14" s="25">
        <v>4.0000000000000001E-3</v>
      </c>
    </row>
    <row r="15" spans="2:4" ht="15.75">
      <c r="B15" s="23" t="s">
        <v>576</v>
      </c>
      <c r="C15" s="28" t="s">
        <v>577</v>
      </c>
      <c r="D15" s="25">
        <v>1.2E-2</v>
      </c>
    </row>
    <row r="16" spans="2:4" ht="15.75">
      <c r="B16" s="23" t="s">
        <v>578</v>
      </c>
      <c r="C16" s="24" t="s">
        <v>579</v>
      </c>
      <c r="D16" s="25">
        <v>7.3999999999999996E-2</v>
      </c>
    </row>
    <row r="17" spans="2:5" ht="15.75">
      <c r="B17" s="23"/>
      <c r="C17" s="26" t="s">
        <v>580</v>
      </c>
      <c r="D17" s="27">
        <f>SUM(D12:D16)</f>
        <v>0.1061</v>
      </c>
    </row>
    <row r="18" spans="2:5" ht="15.75">
      <c r="B18" s="23"/>
      <c r="C18" s="29"/>
      <c r="D18" s="27"/>
    </row>
    <row r="19" spans="2:5" ht="15.75">
      <c r="B19" s="968" t="s">
        <v>581</v>
      </c>
      <c r="C19" s="968"/>
      <c r="D19" s="27"/>
    </row>
    <row r="20" spans="2:5" ht="15.75">
      <c r="B20" s="23" t="s">
        <v>582</v>
      </c>
      <c r="C20" s="30" t="s">
        <v>650</v>
      </c>
      <c r="D20" s="27"/>
    </row>
    <row r="21" spans="2:5" ht="15.75">
      <c r="B21" s="23" t="s">
        <v>583</v>
      </c>
      <c r="C21" s="31" t="s">
        <v>584</v>
      </c>
      <c r="D21" s="25">
        <v>0.4</v>
      </c>
    </row>
    <row r="22" spans="2:5" ht="15.75">
      <c r="B22" s="23" t="s">
        <v>585</v>
      </c>
      <c r="C22" s="32" t="s">
        <v>586</v>
      </c>
      <c r="D22" s="25">
        <v>0.05</v>
      </c>
    </row>
    <row r="23" spans="2:5" ht="15.75">
      <c r="B23" s="23" t="s">
        <v>587</v>
      </c>
      <c r="C23" s="33" t="s">
        <v>588</v>
      </c>
      <c r="D23" s="27">
        <f>D22*D21</f>
        <v>2.0000000000000004E-2</v>
      </c>
    </row>
    <row r="24" spans="2:5" ht="15.75">
      <c r="B24" s="23" t="s">
        <v>589</v>
      </c>
      <c r="C24" s="29" t="s">
        <v>590</v>
      </c>
      <c r="D24" s="34">
        <v>6.4999999999999997E-3</v>
      </c>
    </row>
    <row r="25" spans="2:5" ht="15.75">
      <c r="B25" s="23" t="s">
        <v>591</v>
      </c>
      <c r="C25" s="29" t="s">
        <v>592</v>
      </c>
      <c r="D25" s="34">
        <v>0.03</v>
      </c>
    </row>
    <row r="26" spans="2:5" ht="15.75">
      <c r="B26" s="23" t="s">
        <v>648</v>
      </c>
      <c r="C26" s="29" t="s">
        <v>649</v>
      </c>
      <c r="D26" s="34">
        <v>4.4999999999999998E-2</v>
      </c>
    </row>
    <row r="27" spans="2:5" ht="15.75">
      <c r="B27" s="23"/>
      <c r="C27" s="26" t="s">
        <v>593</v>
      </c>
      <c r="D27" s="27">
        <f>SUM(D23:D26)</f>
        <v>0.10150000000000001</v>
      </c>
    </row>
    <row r="28" spans="2:5" ht="15.75">
      <c r="B28" s="35"/>
      <c r="C28" s="35"/>
      <c r="D28" s="27"/>
    </row>
    <row r="29" spans="2:5" ht="15.75">
      <c r="B29" s="968" t="s">
        <v>594</v>
      </c>
      <c r="C29" s="968"/>
      <c r="D29" s="27">
        <f>ROUND((1+D8+D13+D15+D14)*(1+D12)*(1+D16)/(1-D27)-1,4)</f>
        <v>0.28239999999999998</v>
      </c>
      <c r="E29" s="98">
        <f>1+D29</f>
        <v>1.2824</v>
      </c>
    </row>
    <row r="30" spans="2:5">
      <c r="B30" s="957" t="s">
        <v>595</v>
      </c>
      <c r="C30" s="957"/>
      <c r="D30" s="957"/>
    </row>
    <row r="31" spans="2:5">
      <c r="B31" s="957"/>
      <c r="C31" s="957"/>
      <c r="D31" s="957"/>
    </row>
    <row r="32" spans="2:5">
      <c r="B32" s="957"/>
      <c r="C32" s="957"/>
      <c r="D32" s="957"/>
    </row>
    <row r="33" spans="2:4">
      <c r="B33" s="957"/>
      <c r="C33" s="957"/>
      <c r="D33" s="957"/>
    </row>
    <row r="34" spans="2:4">
      <c r="B34" s="957"/>
      <c r="C34" s="957"/>
      <c r="D34" s="957"/>
    </row>
    <row r="35" spans="2:4">
      <c r="B35" s="957"/>
      <c r="C35" s="957"/>
      <c r="D35" s="957"/>
    </row>
    <row r="36" spans="2:4">
      <c r="B36" s="957"/>
      <c r="C36" s="957"/>
      <c r="D36" s="957"/>
    </row>
    <row r="37" spans="2:4">
      <c r="B37" s="957"/>
      <c r="C37" s="957"/>
      <c r="D37" s="957"/>
    </row>
    <row r="38" spans="2:4">
      <c r="B38" s="957"/>
      <c r="C38" s="957"/>
      <c r="D38" s="957"/>
    </row>
    <row r="39" spans="2:4">
      <c r="B39" s="957"/>
      <c r="C39" s="957"/>
      <c r="D39" s="957"/>
    </row>
    <row r="40" spans="2:4">
      <c r="B40" s="957"/>
      <c r="C40" s="957"/>
      <c r="D40" s="957"/>
    </row>
    <row r="41" spans="2:4">
      <c r="B41" s="957"/>
      <c r="C41" s="957"/>
      <c r="D41" s="957"/>
    </row>
    <row r="42" spans="2:4">
      <c r="B42" s="957"/>
      <c r="C42" s="957"/>
      <c r="D42" s="957"/>
    </row>
    <row r="43" spans="2:4">
      <c r="B43" s="957"/>
      <c r="C43" s="957"/>
      <c r="D43" s="957"/>
    </row>
    <row r="44" spans="2:4" ht="56.25" customHeight="1">
      <c r="B44" s="957"/>
      <c r="C44" s="957"/>
      <c r="D44" s="957"/>
    </row>
    <row r="45" spans="2:4">
      <c r="C45" s="8"/>
    </row>
    <row r="46" spans="2:4" ht="20.25" customHeight="1" thickBot="1">
      <c r="C46" s="338"/>
    </row>
    <row r="47" spans="2:4">
      <c r="C47" s="354" t="str">
        <f>'2-ORÇAMENTO'!E491</f>
        <v>ANA PAULA SILVA BOTELHO</v>
      </c>
    </row>
    <row r="48" spans="2:4">
      <c r="C48" s="355" t="str">
        <f>'2-ORÇAMENTO'!E492</f>
        <v xml:space="preserve"> ENGENHEIRA CIVIL CREA MT: 50821</v>
      </c>
    </row>
  </sheetData>
  <mergeCells count="7">
    <mergeCell ref="B30:D44"/>
    <mergeCell ref="B2:D5"/>
    <mergeCell ref="B6:C6"/>
    <mergeCell ref="B7:C7"/>
    <mergeCell ref="B11:C11"/>
    <mergeCell ref="B19:C19"/>
    <mergeCell ref="B29:C29"/>
  </mergeCells>
  <printOptions horizontalCentered="1"/>
  <pageMargins left="0.59055118110236227" right="0.19685039370078741" top="0.39370078740157483" bottom="0.39370078740157483" header="0.31496062992125984" footer="0.31496062992125984"/>
  <pageSetup paperSize="9" scale="85" orientation="portrait" r:id="rId1"/>
  <colBreaks count="1" manualBreakCount="1">
    <brk id="4"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654"/>
  <sheetViews>
    <sheetView showZeros="0" view="pageBreakPreview" topLeftCell="A634" zoomScaleNormal="70" zoomScaleSheetLayoutView="100" workbookViewId="0">
      <selection activeCell="E295" sqref="E295"/>
    </sheetView>
  </sheetViews>
  <sheetFormatPr defaultRowHeight="12.75"/>
  <cols>
    <col min="1" max="1" width="10.5703125" style="160" customWidth="1"/>
    <col min="2" max="2" width="21.140625" style="161" customWidth="1"/>
    <col min="3" max="3" width="10.42578125" style="161" bestFit="1" customWidth="1"/>
    <col min="4" max="4" width="7" style="243" bestFit="1" customWidth="1"/>
    <col min="5" max="5" width="63.42578125" style="331" customWidth="1"/>
    <col min="6" max="6" width="7.42578125" style="161" bestFit="1" customWidth="1"/>
    <col min="7" max="7" width="10.7109375" style="345" bestFit="1" customWidth="1"/>
    <col min="8" max="8" width="13.7109375" style="393" bestFit="1" customWidth="1"/>
    <col min="9" max="9" width="18.85546875" style="408" bestFit="1" customWidth="1"/>
    <col min="10" max="10" width="9.85546875" style="343" hidden="1" customWidth="1"/>
    <col min="11" max="11" width="6.42578125" style="218" hidden="1" customWidth="1"/>
    <col min="12" max="12" width="0" style="236" hidden="1" customWidth="1"/>
    <col min="13" max="13" width="12.140625" style="160" hidden="1" customWidth="1"/>
    <col min="14" max="79" width="9.140625" style="160"/>
    <col min="80" max="16384" width="9.140625" style="218"/>
  </cols>
  <sheetData>
    <row r="1" spans="1:9">
      <c r="B1" s="976"/>
      <c r="C1" s="976"/>
      <c r="D1" s="976"/>
      <c r="E1" s="976"/>
      <c r="F1" s="976"/>
      <c r="G1" s="976"/>
      <c r="H1" s="976"/>
      <c r="I1" s="976"/>
    </row>
    <row r="2" spans="1:9" ht="102" customHeight="1">
      <c r="B2" s="980"/>
      <c r="C2" s="980"/>
      <c r="D2" s="980"/>
      <c r="E2" s="980"/>
      <c r="F2" s="980"/>
      <c r="G2" s="980"/>
      <c r="H2" s="980"/>
      <c r="I2" s="980"/>
    </row>
    <row r="3" spans="1:9">
      <c r="B3" s="981" t="str">
        <f>'2-ORÇAMENTO'!B3:K3</f>
        <v xml:space="preserve">OBRA: REFORMA E AMPLIAÇÃO DA ESCOLA MUNICIPAL DE EDUCAÇÃO BASICA </v>
      </c>
      <c r="C3" s="981"/>
      <c r="D3" s="981"/>
      <c r="E3" s="981"/>
      <c r="F3" s="981"/>
      <c r="G3" s="981"/>
      <c r="H3" s="981"/>
      <c r="I3" s="981"/>
    </row>
    <row r="4" spans="1:9">
      <c r="B4" s="981" t="str">
        <f>'2-ORÇAMENTO'!B4:K4</f>
        <v>LOCAL: EMEB PROFESSORA LIBIA COSTA RONDON</v>
      </c>
      <c r="C4" s="981"/>
      <c r="D4" s="981"/>
      <c r="E4" s="981"/>
      <c r="F4" s="981"/>
      <c r="G4" s="981"/>
      <c r="H4" s="981"/>
      <c r="I4" s="981"/>
    </row>
    <row r="5" spans="1:9">
      <c r="B5" s="981" t="str">
        <f>'2-ORÇAMENTO'!B5:K5</f>
        <v>ENDEREÇO: AVENIDA PRINCIPAL, S/N, BAIRRO 24 DE DEZEMBRO</v>
      </c>
      <c r="C5" s="981"/>
      <c r="D5" s="981"/>
      <c r="E5" s="981"/>
      <c r="F5" s="981"/>
      <c r="G5" s="981"/>
      <c r="H5" s="981"/>
      <c r="I5" s="981"/>
    </row>
    <row r="6" spans="1:9" ht="15" customHeight="1">
      <c r="B6" s="981" t="str">
        <f>'3-CRONOGRAMA'!B6:G6</f>
        <v>MUNICÍPIO: VÁRZEA GRANDE - MT</v>
      </c>
      <c r="C6" s="981"/>
      <c r="D6" s="981"/>
      <c r="E6" s="981"/>
      <c r="F6" s="981"/>
      <c r="G6" s="981"/>
      <c r="H6" s="981"/>
      <c r="I6" s="981"/>
    </row>
    <row r="7" spans="1:9">
      <c r="B7" s="981" t="str">
        <f>'2-ORÇAMENTO'!B7:K7</f>
        <v>DATA BASE: SINAPI-MT FEVEREIRO 2022 - COM DESONERAÇÃO - BDI - 28,24%</v>
      </c>
      <c r="C7" s="981"/>
      <c r="D7" s="981"/>
      <c r="E7" s="981"/>
      <c r="F7" s="981"/>
      <c r="G7" s="981"/>
      <c r="H7" s="981"/>
      <c r="I7" s="981"/>
    </row>
    <row r="8" spans="1:9" ht="15">
      <c r="B8" s="982" t="s">
        <v>4133</v>
      </c>
      <c r="C8" s="982"/>
      <c r="D8" s="982"/>
      <c r="E8" s="982"/>
      <c r="F8" s="982"/>
      <c r="G8" s="982"/>
      <c r="H8" s="982"/>
      <c r="I8" s="982"/>
    </row>
    <row r="9" spans="1:9">
      <c r="B9" s="351"/>
      <c r="C9" s="352"/>
      <c r="D9" s="352"/>
      <c r="E9" s="352"/>
      <c r="F9" s="352"/>
      <c r="G9" s="352"/>
      <c r="H9" s="376"/>
      <c r="I9" s="394"/>
    </row>
    <row r="10" spans="1:9">
      <c r="A10" s="159"/>
      <c r="B10" s="973" t="s">
        <v>623</v>
      </c>
      <c r="C10" s="974"/>
      <c r="D10" s="974"/>
      <c r="E10" s="974"/>
      <c r="F10" s="974"/>
      <c r="G10" s="974"/>
      <c r="H10" s="974"/>
      <c r="I10" s="975"/>
    </row>
    <row r="11" spans="1:9">
      <c r="A11" s="159"/>
      <c r="B11" s="336"/>
      <c r="C11" s="336"/>
      <c r="D11" s="220"/>
      <c r="E11" s="219"/>
      <c r="F11" s="221"/>
      <c r="G11" s="300"/>
      <c r="H11" s="377"/>
      <c r="I11" s="395"/>
    </row>
    <row r="12" spans="1:9">
      <c r="A12" s="159"/>
      <c r="B12" s="223" t="s">
        <v>4866</v>
      </c>
      <c r="C12" s="223"/>
      <c r="D12" s="223"/>
      <c r="E12" s="95" t="s">
        <v>4865</v>
      </c>
      <c r="F12" s="96" t="s">
        <v>661</v>
      </c>
      <c r="G12" s="301">
        <v>1</v>
      </c>
      <c r="H12" s="378"/>
      <c r="I12" s="396">
        <f>TRUNC(SUM(I13:I19),2)</f>
        <v>321.41000000000003</v>
      </c>
    </row>
    <row r="13" spans="1:9">
      <c r="A13" s="159"/>
      <c r="B13" s="93" t="s">
        <v>548</v>
      </c>
      <c r="C13" s="93" t="s">
        <v>6</v>
      </c>
      <c r="D13" s="365">
        <v>88262</v>
      </c>
      <c r="E13" s="172" t="str">
        <f>IF($D13&lt;&gt;"",VLOOKUP($D13,'SINAPI FEVEREIRO 2022'!$1:$1048576,2,FALSE),"")</f>
        <v>CARPINTEIRO DE FORMAS COM ENCARGOS COMPLEMENTARES</v>
      </c>
      <c r="F13" s="173" t="str">
        <f>IF($D13&lt;&gt;"",VLOOKUP($D13,'SINAPI FEVEREIRO 2022'!$1:$1048576,3,FALSE),"")</f>
        <v>H</v>
      </c>
      <c r="G13" s="366">
        <v>1</v>
      </c>
      <c r="H13" s="379">
        <f>IF($D13&lt;&gt;"",VLOOKUP($D13,'SINAPI FEVEREIRO 2022'!$1:$1048576,4,FALSE),"")</f>
        <v>18.63</v>
      </c>
      <c r="I13" s="397">
        <f>TRUNC(G13*H13,2)</f>
        <v>18.63</v>
      </c>
    </row>
    <row r="14" spans="1:9">
      <c r="A14" s="159"/>
      <c r="B14" s="93" t="s">
        <v>548</v>
      </c>
      <c r="C14" s="93" t="s">
        <v>6</v>
      </c>
      <c r="D14" s="365">
        <v>88316</v>
      </c>
      <c r="E14" s="172" t="str">
        <f>IF($D14&lt;&gt;"",VLOOKUP($D14,'SINAPI FEVEREIRO 2022'!$1:$1048576,2,FALSE),"")</f>
        <v>SERVENTE COM ENCARGOS COMPLEMENTARES</v>
      </c>
      <c r="F14" s="173" t="str">
        <f>IF($D14&lt;&gt;"",VLOOKUP($D14,'SINAPI FEVEREIRO 2022'!$1:$1048576,3,FALSE),"")</f>
        <v>H</v>
      </c>
      <c r="G14" s="366">
        <v>2</v>
      </c>
      <c r="H14" s="379">
        <f>IF($D14&lt;&gt;"",VLOOKUP($D14,'SINAPI FEVEREIRO 2022'!$1:$1048576,4,FALSE),"")</f>
        <v>15.16</v>
      </c>
      <c r="I14" s="397">
        <f t="shared" ref="I14:I19" si="0">TRUNC(G14*H14,2)</f>
        <v>30.32</v>
      </c>
    </row>
    <row r="15" spans="1:9" ht="38.25">
      <c r="A15" s="159"/>
      <c r="B15" s="93" t="s">
        <v>548</v>
      </c>
      <c r="C15" s="93" t="s">
        <v>6</v>
      </c>
      <c r="D15" s="365">
        <v>94962</v>
      </c>
      <c r="E15" s="172" t="str">
        <f>IF($D15&lt;&gt;"",VLOOKUP($D15,'SINAPI FEVEREIRO 2022'!$1:$1048576,2,FALSE),"")</f>
        <v>CONCRETO MAGRO PARA LASTRO, TRAÇO 1:4,5:4,5 (EM MASSA SECA DE CIMENTO/ AREIA MÉDIA/ BRITA 1) - PREPARO MECÂNICO COM BETONEIRA 400 L. AF_05/2021</v>
      </c>
      <c r="F15" s="173" t="str">
        <f>IF($D15&lt;&gt;"",VLOOKUP($D15,'SINAPI FEVEREIRO 2022'!$1:$1048576,3,FALSE),"")</f>
        <v>M3</v>
      </c>
      <c r="G15" s="366">
        <v>0.01</v>
      </c>
      <c r="H15" s="379">
        <f>IF($D15&lt;&gt;"",VLOOKUP($D15,'SINAPI FEVEREIRO 2022'!$1:$1048576,4,FALSE),"")</f>
        <v>327.99</v>
      </c>
      <c r="I15" s="397">
        <f t="shared" si="0"/>
        <v>3.27</v>
      </c>
    </row>
    <row r="16" spans="1:9" ht="25.5">
      <c r="A16" s="159"/>
      <c r="B16" s="93" t="s">
        <v>546</v>
      </c>
      <c r="C16" s="93" t="s">
        <v>6</v>
      </c>
      <c r="D16" s="365">
        <v>4417</v>
      </c>
      <c r="E16" s="172" t="str">
        <f>IF($D16&lt;&gt;"",VLOOKUP($D16,'SINAPI FEVEREIRO 2022'!$1:$1048576,2,FALSE),"")</f>
        <v>SARRAFO NAO APARELHADO *2,5 X 7* CM, EM MACARANDUBA, ANGELIM OU EQUIVALENTE DA REGIAO -  BRUTA</v>
      </c>
      <c r="F16" s="173" t="str">
        <f>IF($D16&lt;&gt;"",VLOOKUP($D16,'SINAPI FEVEREIRO 2022'!$1:$1048576,3,FALSE),"")</f>
        <v xml:space="preserve">M     </v>
      </c>
      <c r="G16" s="366">
        <v>1</v>
      </c>
      <c r="H16" s="379">
        <f>IF($D16&lt;&gt;"",VLOOKUP($D16,'SINAPI FEVEREIRO 2022'!$1:$1048576,4,FALSE),"")</f>
        <v>5.66</v>
      </c>
      <c r="I16" s="397">
        <f t="shared" si="0"/>
        <v>5.66</v>
      </c>
    </row>
    <row r="17" spans="1:9" ht="25.5">
      <c r="A17" s="159"/>
      <c r="B17" s="93" t="s">
        <v>546</v>
      </c>
      <c r="C17" s="93" t="s">
        <v>6</v>
      </c>
      <c r="D17" s="365">
        <v>4491</v>
      </c>
      <c r="E17" s="172" t="str">
        <f>IF($D17&lt;&gt;"",VLOOKUP($D17,'SINAPI FEVEREIRO 2022'!$1:$1048576,2,FALSE),"")</f>
        <v>PONTALETE *7,5 X 7,5* CM EM PINUS, MISTA OU EQUIVALENTE DA REGIAO - BRUTA</v>
      </c>
      <c r="F17" s="173" t="str">
        <f>IF($D17&lt;&gt;"",VLOOKUP($D17,'SINAPI FEVEREIRO 2022'!$1:$1048576,3,FALSE),"")</f>
        <v xml:space="preserve">M     </v>
      </c>
      <c r="G17" s="366">
        <v>4</v>
      </c>
      <c r="H17" s="379">
        <f>IF($D17&lt;&gt;"",VLOOKUP($D17,'SINAPI FEVEREIRO 2022'!$1:$1048576,4,FALSE),"")</f>
        <v>8.98</v>
      </c>
      <c r="I17" s="397">
        <f t="shared" si="0"/>
        <v>35.92</v>
      </c>
    </row>
    <row r="18" spans="1:9" ht="38.25">
      <c r="A18" s="159"/>
      <c r="B18" s="93" t="s">
        <v>546</v>
      </c>
      <c r="C18" s="93" t="s">
        <v>6</v>
      </c>
      <c r="D18" s="365">
        <v>4813</v>
      </c>
      <c r="E18" s="172" t="str">
        <f>IF($D18&lt;&gt;"",VLOOKUP($D18,'SINAPI FEVEREIRO 2022'!$1:$1048576,2,FALSE),"")</f>
        <v>PLACA DE OBRA (PARA CONSTRUCAO CIVIL) EM CHAPA GALVANIZADA *N. 22*, ADESIVADA, DE *2,4 X 1,2* M (SEM POSTES PARA FIXACAO)</v>
      </c>
      <c r="F18" s="173" t="str">
        <f>IF($D18&lt;&gt;"",VLOOKUP($D18,'SINAPI FEVEREIRO 2022'!$1:$1048576,3,FALSE),"")</f>
        <v xml:space="preserve">M2    </v>
      </c>
      <c r="G18" s="366">
        <v>1</v>
      </c>
      <c r="H18" s="379">
        <f>IF($D18&lt;&gt;"",VLOOKUP($D18,'SINAPI FEVEREIRO 2022'!$1:$1048576,4,FALSE),"")</f>
        <v>225</v>
      </c>
      <c r="I18" s="397">
        <f t="shared" si="0"/>
        <v>225</v>
      </c>
    </row>
    <row r="19" spans="1:9">
      <c r="A19" s="159"/>
      <c r="B19" s="93" t="s">
        <v>546</v>
      </c>
      <c r="C19" s="93" t="s">
        <v>6</v>
      </c>
      <c r="D19" s="365">
        <v>5075</v>
      </c>
      <c r="E19" s="172" t="str">
        <f>IF($D19&lt;&gt;"",VLOOKUP($D19,'SINAPI FEVEREIRO 2022'!$1:$1048576,2,FALSE),"")</f>
        <v>PREGO DE ACO POLIDO COM CABECA 18 X 30 (2 3/4 X 10)</v>
      </c>
      <c r="F19" s="173" t="str">
        <f>IF($D19&lt;&gt;"",VLOOKUP($D19,'SINAPI FEVEREIRO 2022'!$1:$1048576,3,FALSE),"")</f>
        <v xml:space="preserve">KG    </v>
      </c>
      <c r="G19" s="366">
        <v>0.11</v>
      </c>
      <c r="H19" s="379">
        <f>IF($D19&lt;&gt;"",VLOOKUP($D19,'SINAPI FEVEREIRO 2022'!$1:$1048576,4,FALSE),"")</f>
        <v>23.76</v>
      </c>
      <c r="I19" s="397">
        <f t="shared" si="0"/>
        <v>2.61</v>
      </c>
    </row>
    <row r="20" spans="1:9">
      <c r="A20" s="159"/>
      <c r="B20" s="93"/>
      <c r="C20" s="93"/>
      <c r="D20" s="750"/>
      <c r="E20" s="172"/>
      <c r="F20" s="173"/>
      <c r="G20" s="751"/>
      <c r="H20" s="379"/>
      <c r="I20" s="397"/>
    </row>
    <row r="21" spans="1:9" ht="38.25">
      <c r="A21" s="159"/>
      <c r="B21" s="223" t="s">
        <v>13293</v>
      </c>
      <c r="C21" s="223"/>
      <c r="D21" s="223"/>
      <c r="E21" s="95" t="s">
        <v>11002</v>
      </c>
      <c r="F21" s="96" t="s">
        <v>13295</v>
      </c>
      <c r="G21" s="301">
        <v>1</v>
      </c>
      <c r="H21" s="378"/>
      <c r="I21" s="396">
        <f>TRUNC(SUM(I22:I31),2)</f>
        <v>1527.88</v>
      </c>
    </row>
    <row r="22" spans="1:9" ht="25.5">
      <c r="A22" s="159"/>
      <c r="B22" s="706" t="s">
        <v>548</v>
      </c>
      <c r="C22" s="707" t="s">
        <v>6</v>
      </c>
      <c r="D22" s="752">
        <v>88267</v>
      </c>
      <c r="E22" s="172" t="str">
        <f>IF($D22&lt;&gt;"",VLOOKUP($D22,'SINAPI FEVEREIRO 2022'!$1:$1048576,2,FALSE),"")</f>
        <v>ENCANADOR OU BOMBEIRO HIDRÁULICO COM ENCARGOS COMPLEMENTARES</v>
      </c>
      <c r="F22" s="173" t="str">
        <f>IF($D22&lt;&gt;"",VLOOKUP($D22,'SINAPI FEVEREIRO 2022'!$1:$1048576,3,FALSE),"")</f>
        <v>H</v>
      </c>
      <c r="G22" s="754">
        <v>1</v>
      </c>
      <c r="H22" s="379">
        <f>IF($D22&lt;&gt;"",VLOOKUP($D22,'SINAPI FEVEREIRO 2022'!$1:$1048576,4,FALSE),"")</f>
        <v>18.72</v>
      </c>
      <c r="I22" s="397">
        <f>TRUNC(G22*H22,2)</f>
        <v>18.72</v>
      </c>
    </row>
    <row r="23" spans="1:9">
      <c r="A23" s="159"/>
      <c r="B23" s="591" t="s">
        <v>548</v>
      </c>
      <c r="C23" s="93" t="s">
        <v>6</v>
      </c>
      <c r="D23" s="97">
        <v>88316</v>
      </c>
      <c r="E23" s="172" t="str">
        <f>IF($D23&lt;&gt;"",VLOOKUP($D23,'SINAPI FEVEREIRO 2022'!$1:$1048576,2,FALSE),"")</f>
        <v>SERVENTE COM ENCARGOS COMPLEMENTARES</v>
      </c>
      <c r="F23" s="173" t="str">
        <f>IF($D23&lt;&gt;"",VLOOKUP($D23,'SINAPI FEVEREIRO 2022'!$1:$1048576,3,FALSE),"")</f>
        <v>H</v>
      </c>
      <c r="G23" s="755">
        <v>1</v>
      </c>
      <c r="H23" s="379">
        <f>IF($D23&lt;&gt;"",VLOOKUP($D23,'SINAPI FEVEREIRO 2022'!$1:$1048576,4,FALSE),"")</f>
        <v>15.16</v>
      </c>
      <c r="I23" s="397">
        <f t="shared" ref="I23:I24" si="1">TRUNC(G23*H23,2)</f>
        <v>15.16</v>
      </c>
    </row>
    <row r="24" spans="1:9" ht="38.25">
      <c r="A24" s="159"/>
      <c r="B24" s="591" t="s">
        <v>548</v>
      </c>
      <c r="C24" s="93" t="s">
        <v>6</v>
      </c>
      <c r="D24" s="97">
        <v>89408</v>
      </c>
      <c r="E24" s="172" t="str">
        <f>IF($D24&lt;&gt;"",VLOOKUP($D24,'SINAPI FEVEREIRO 2022'!$1:$1048576,2,FALSE),"")</f>
        <v>JOELHO 90 GRAUS, PVC, SOLDÁVEL, DN 25MM, INSTALADO EM RAMAL DE DISTRIBUIÇÃO DE ÁGUA - FORNECIMENTO E INSTALAÇÃO. AF_12/2014</v>
      </c>
      <c r="F24" s="173" t="str">
        <f>IF($D24&lt;&gt;"",VLOOKUP($D24,'SINAPI FEVEREIRO 2022'!$1:$1048576,3,FALSE),"")</f>
        <v>UN</v>
      </c>
      <c r="G24" s="755">
        <v>3</v>
      </c>
      <c r="H24" s="379">
        <f>IF($D24&lt;&gt;"",VLOOKUP($D24,'SINAPI FEVEREIRO 2022'!$1:$1048576,4,FALSE),"")</f>
        <v>5.14</v>
      </c>
      <c r="I24" s="397">
        <f t="shared" si="1"/>
        <v>15.42</v>
      </c>
    </row>
    <row r="25" spans="1:9" ht="38.25">
      <c r="A25" s="159"/>
      <c r="B25" s="591" t="s">
        <v>548</v>
      </c>
      <c r="C25" s="93" t="s">
        <v>6</v>
      </c>
      <c r="D25" s="97">
        <v>89972</v>
      </c>
      <c r="E25" s="172" t="str">
        <f>IF($D25&lt;&gt;"",VLOOKUP($D25,'SINAPI FEVEREIRO 2022'!$1:$1048576,2,FALSE),"")</f>
        <v>KIT DE REGISTRO DE GAVETA BRUTO DE LATÃO ¾", INCLUSIVE CONEXÕES, ROSCÁVEL, INSTALADO EM RAMAL DE ÁGUA FRIA - FORNECIMENTO E INSTALAÇÃO. AF_12/2014</v>
      </c>
      <c r="F25" s="173" t="str">
        <f>IF($D25&lt;&gt;"",VLOOKUP($D25,'SINAPI FEVEREIRO 2022'!$1:$1048576,3,FALSE),"")</f>
        <v>UN</v>
      </c>
      <c r="G25" s="755">
        <v>1</v>
      </c>
      <c r="H25" s="379">
        <f>IF($D25&lt;&gt;"",VLOOKUP($D25,'SINAPI FEVEREIRO 2022'!$1:$1048576,4,FALSE),"")</f>
        <v>42.57</v>
      </c>
      <c r="I25" s="397">
        <f t="shared" ref="I25:I31" si="2">TRUNC(G25*H25,2)</f>
        <v>42.57</v>
      </c>
    </row>
    <row r="26" spans="1:9" ht="51">
      <c r="A26" s="159"/>
      <c r="B26" s="591" t="s">
        <v>548</v>
      </c>
      <c r="C26" s="93" t="s">
        <v>6</v>
      </c>
      <c r="D26" s="97">
        <v>94648</v>
      </c>
      <c r="E26" s="172" t="str">
        <f>IF($D26&lt;&gt;"",VLOOKUP($D26,'SINAPI FEVEREIRO 2022'!$1:$1048576,2,FALSE),"")</f>
        <v>TUBO, PVC, SOLDÁVEL, DN  25 MM, INSTALADO EM RESERVAÇÃO DE ÁGUA DE EDIFICAÇÃO QUE POSSUA RESERVATÓRIO DE FIBRA/FIBROCIMENTO   FORNECIMENTO E INSTALAÇÃO. AF_06/2016</v>
      </c>
      <c r="F26" s="173" t="str">
        <f>IF($D26&lt;&gt;"",VLOOKUP($D26,'SINAPI FEVEREIRO 2022'!$1:$1048576,3,FALSE),"")</f>
        <v>M</v>
      </c>
      <c r="G26" s="755">
        <v>19</v>
      </c>
      <c r="H26" s="379">
        <f>IF($D26&lt;&gt;"",VLOOKUP($D26,'SINAPI FEVEREIRO 2022'!$1:$1048576,4,FALSE),"")</f>
        <v>8.7100000000000009</v>
      </c>
      <c r="I26" s="397">
        <f t="shared" si="2"/>
        <v>165.49</v>
      </c>
    </row>
    <row r="27" spans="1:9" ht="51">
      <c r="A27" s="159"/>
      <c r="B27" s="591" t="s">
        <v>548</v>
      </c>
      <c r="C27" s="93" t="s">
        <v>6</v>
      </c>
      <c r="D27" s="97">
        <v>94688</v>
      </c>
      <c r="E27" s="172" t="str">
        <f>IF($D27&lt;&gt;"",VLOOKUP($D27,'SINAPI FEVEREIRO 2022'!$1:$1048576,2,FALSE),"")</f>
        <v>TÊ, PVC, SOLDÁVEL, DN  25 MM INSTALADO EM RESERVAÇÃO DE ÁGUA DE EDIFICAÇÃO QUE POSSUA RESERVATÓRIO DE FIBRA/FIBROCIMENTO   FORNECIMENTO E INSTALAÇÃO. AF_06/2016</v>
      </c>
      <c r="F27" s="173" t="str">
        <f>IF($D27&lt;&gt;"",VLOOKUP($D27,'SINAPI FEVEREIRO 2022'!$1:$1048576,3,FALSE),"")</f>
        <v>UN</v>
      </c>
      <c r="G27" s="755">
        <v>2</v>
      </c>
      <c r="H27" s="379">
        <f>IF($D27&lt;&gt;"",VLOOKUP($D27,'SINAPI FEVEREIRO 2022'!$1:$1048576,4,FALSE),"")</f>
        <v>9.5500000000000007</v>
      </c>
      <c r="I27" s="397">
        <f t="shared" si="2"/>
        <v>19.100000000000001</v>
      </c>
    </row>
    <row r="28" spans="1:9" ht="63.75">
      <c r="A28" s="159"/>
      <c r="B28" s="591" t="s">
        <v>548</v>
      </c>
      <c r="C28" s="93" t="s">
        <v>6</v>
      </c>
      <c r="D28" s="97">
        <v>94703</v>
      </c>
      <c r="E28" s="172" t="str">
        <f>IF($D28&lt;&gt;"",VLOOKUP($D28,'SINAPI FEVEREIRO 2022'!$1:$1048576,2,FALSE),"")</f>
        <v>ADAPTADOR COM FLANGE E ANEL DE VEDAÇÃO, PVC, SOLDÁVEL, DN  25 MM X 3/4 , INSTALADO EM RESERVAÇÃO DE ÁGUA DE EDIFICAÇÃO QUE POSSUA RESERVATÓRIO DE FIBRA/FIBROCIMENTO   FORNECIMENTO E INSTALAÇÃO. AF_06/2016</v>
      </c>
      <c r="F28" s="173" t="str">
        <f>IF($D28&lt;&gt;"",VLOOKUP($D28,'SINAPI FEVEREIRO 2022'!$1:$1048576,3,FALSE),"")</f>
        <v>UN</v>
      </c>
      <c r="G28" s="755">
        <v>1</v>
      </c>
      <c r="H28" s="379">
        <f>IF($D28&lt;&gt;"",VLOOKUP($D28,'SINAPI FEVEREIRO 2022'!$1:$1048576,4,FALSE),"")</f>
        <v>18.79</v>
      </c>
      <c r="I28" s="397">
        <f t="shared" si="2"/>
        <v>18.79</v>
      </c>
    </row>
    <row r="29" spans="1:9" ht="25.5">
      <c r="A29" s="159"/>
      <c r="B29" s="591" t="s">
        <v>548</v>
      </c>
      <c r="C29" s="93" t="s">
        <v>6</v>
      </c>
      <c r="D29" s="97">
        <v>94796</v>
      </c>
      <c r="E29" s="172" t="str">
        <f>IF($D29&lt;&gt;"",VLOOKUP($D29,'SINAPI FEVEREIRO 2022'!$1:$1048576,2,FALSE),"")</f>
        <v>TORNEIRA DE BOIA PARA CAIXA D'ÁGUA, ROSCÁVEL, 3/4" - FORNECIMENTO E INSTALAÇÃO. AF_08/2021</v>
      </c>
      <c r="F29" s="173" t="str">
        <f>IF($D29&lt;&gt;"",VLOOKUP($D29,'SINAPI FEVEREIRO 2022'!$1:$1048576,3,FALSE),"")</f>
        <v>UN</v>
      </c>
      <c r="G29" s="755">
        <v>1</v>
      </c>
      <c r="H29" s="379">
        <f>IF($D29&lt;&gt;"",VLOOKUP($D29,'SINAPI FEVEREIRO 2022'!$1:$1048576,4,FALSE),"")</f>
        <v>44.63</v>
      </c>
      <c r="I29" s="397">
        <f t="shared" si="2"/>
        <v>44.63</v>
      </c>
    </row>
    <row r="30" spans="1:9">
      <c r="A30" s="159"/>
      <c r="B30" s="591" t="s">
        <v>549</v>
      </c>
      <c r="C30" s="93" t="s">
        <v>6</v>
      </c>
      <c r="D30" s="97">
        <v>34636</v>
      </c>
      <c r="E30" s="172" t="str">
        <f>IF($D30&lt;&gt;"",VLOOKUP($D30,'SINAPI FEVEREIRO 2022'!$1:$1048576,2,FALSE),"")</f>
        <v>CAIXA D'AGUA EM POLIETILENO 1000 LITROS, COM TAMPA</v>
      </c>
      <c r="F30" s="173" t="str">
        <f>IF($D30&lt;&gt;"",VLOOKUP($D30,'SINAPI FEVEREIRO 2022'!$1:$1048576,3,FALSE),"")</f>
        <v xml:space="preserve">UN    </v>
      </c>
      <c r="G30" s="755">
        <v>1</v>
      </c>
      <c r="H30" s="379">
        <f>IF($D30&lt;&gt;"",VLOOKUP($D30,'SINAPI FEVEREIRO 2022'!$1:$1048576,4,FALSE),"")</f>
        <v>432</v>
      </c>
      <c r="I30" s="397">
        <f t="shared" si="2"/>
        <v>432</v>
      </c>
    </row>
    <row r="31" spans="1:9" ht="38.25">
      <c r="A31" s="159"/>
      <c r="B31" s="753" t="s">
        <v>546</v>
      </c>
      <c r="C31" s="93" t="s">
        <v>6</v>
      </c>
      <c r="D31" s="93">
        <v>10775</v>
      </c>
      <c r="E31" s="172" t="str">
        <f>IF($D31&lt;&gt;"",VLOOKUP($D31,'SINAPI FEVEREIRO 2022'!$1:$1048576,2,FALSE),"")</f>
        <v>LOCACAO DE CONTAINER 2,30 X 6,00 M, ALT. 2,50 M, COM 1 SANITARIO, PARA ESCRITORIO, COMPLETO, SEM DIVISORIAS INTERNAS (NAO INCLUI MOBILIZACAO/DESMOBILIZACAO)</v>
      </c>
      <c r="F31" s="173" t="str">
        <f>IF($D31&lt;&gt;"",VLOOKUP($D31,'SINAPI FEVEREIRO 2022'!$1:$1048576,3,FALSE),"")</f>
        <v xml:space="preserve">MES   </v>
      </c>
      <c r="G31" s="756">
        <v>1</v>
      </c>
      <c r="H31" s="379">
        <f>IF($D31&lt;&gt;"",VLOOKUP($D31,'SINAPI FEVEREIRO 2022'!$1:$1048576,4,FALSE),"")</f>
        <v>756</v>
      </c>
      <c r="I31" s="397">
        <f t="shared" si="2"/>
        <v>756</v>
      </c>
    </row>
    <row r="32" spans="1:9">
      <c r="A32" s="159"/>
      <c r="B32" s="336"/>
      <c r="C32" s="336"/>
      <c r="D32" s="220"/>
      <c r="E32" s="219"/>
      <c r="F32" s="221"/>
      <c r="G32" s="300"/>
      <c r="H32" s="377"/>
      <c r="I32" s="395"/>
    </row>
    <row r="33" spans="1:9" ht="12.75" customHeight="1">
      <c r="A33" s="159"/>
      <c r="B33" s="972" t="s">
        <v>652</v>
      </c>
      <c r="C33" s="972"/>
      <c r="D33" s="972"/>
      <c r="E33" s="972"/>
      <c r="F33" s="972"/>
      <c r="G33" s="972"/>
      <c r="H33" s="972"/>
      <c r="I33" s="972"/>
    </row>
    <row r="34" spans="1:9" ht="12.75" customHeight="1">
      <c r="A34" s="159"/>
      <c r="B34" s="433"/>
      <c r="C34" s="433"/>
      <c r="D34" s="433"/>
      <c r="E34" s="433"/>
      <c r="F34" s="433"/>
      <c r="G34" s="433"/>
      <c r="H34" s="433"/>
      <c r="I34" s="433"/>
    </row>
    <row r="35" spans="1:9" ht="31.5" customHeight="1">
      <c r="A35" s="159"/>
      <c r="B35" s="223" t="s">
        <v>6938</v>
      </c>
      <c r="C35" s="223"/>
      <c r="D35" s="223"/>
      <c r="E35" s="95" t="s">
        <v>7079</v>
      </c>
      <c r="F35" s="96" t="s">
        <v>32</v>
      </c>
      <c r="G35" s="301">
        <v>1</v>
      </c>
      <c r="H35" s="378"/>
      <c r="I35" s="396">
        <f>TRUNC(SUM(I36),2)</f>
        <v>15.16</v>
      </c>
    </row>
    <row r="36" spans="1:9" ht="12.75" customHeight="1">
      <c r="A36" s="159"/>
      <c r="B36" s="93" t="s">
        <v>548</v>
      </c>
      <c r="C36" s="93" t="s">
        <v>6</v>
      </c>
      <c r="D36" s="176">
        <v>88316</v>
      </c>
      <c r="E36" s="172" t="str">
        <f>IF($D36&lt;&gt;"",VLOOKUP($D36,'SINAPI FEVEREIRO 2022'!$A$1:E113649,2,FALSE),"")</f>
        <v>SERVENTE COM ENCARGOS COMPLEMENTARES</v>
      </c>
      <c r="F36" s="173" t="str">
        <f>IF($D36&lt;&gt;"",VLOOKUP($D36,'SINAPI FEVEREIRO 2022'!$1:$1048576,3,FALSE),"")</f>
        <v>H</v>
      </c>
      <c r="G36" s="302">
        <v>1</v>
      </c>
      <c r="H36" s="379">
        <f>IF($D36&lt;&gt;"",VLOOKUP($D36,'SINAPI FEVEREIRO 2022'!$1:$1048576,4,FALSE),"")</f>
        <v>15.16</v>
      </c>
      <c r="I36" s="398">
        <f>TRUNC(H36*G36,2)</f>
        <v>15.16</v>
      </c>
    </row>
    <row r="37" spans="1:9" ht="12.75" customHeight="1">
      <c r="A37" s="159"/>
      <c r="B37" s="433"/>
      <c r="C37" s="433"/>
      <c r="D37" s="433"/>
      <c r="E37" s="433"/>
      <c r="F37" s="433"/>
      <c r="G37" s="433"/>
      <c r="H37" s="433"/>
      <c r="I37" s="433"/>
    </row>
    <row r="38" spans="1:9" ht="38.25">
      <c r="B38" s="223" t="s">
        <v>6939</v>
      </c>
      <c r="C38" s="223"/>
      <c r="D38" s="223"/>
      <c r="E38" s="95" t="s">
        <v>7365</v>
      </c>
      <c r="F38" s="96" t="s">
        <v>22</v>
      </c>
      <c r="G38" s="301">
        <v>1</v>
      </c>
      <c r="H38" s="378"/>
      <c r="I38" s="396">
        <f>TRUNC(SUM(I39:I42),2)</f>
        <v>84.24</v>
      </c>
    </row>
    <row r="39" spans="1:9">
      <c r="B39" s="93" t="s">
        <v>548</v>
      </c>
      <c r="C39" s="93" t="s">
        <v>6</v>
      </c>
      <c r="D39" s="93">
        <v>88309</v>
      </c>
      <c r="E39" s="172" t="str">
        <f>IF($D39&lt;&gt;"",VLOOKUP($D39,'SINAPI FEVEREIRO 2022'!$A$1:E113659,2,FALSE),"")</f>
        <v>PEDREIRO COM ENCARGOS COMPLEMENTARES</v>
      </c>
      <c r="F39" s="173" t="str">
        <f>IF($D39&lt;&gt;"",VLOOKUP($D39,'SINAPI FEVEREIRO 2022'!$1:$1048576,3,FALSE),"")</f>
        <v>H</v>
      </c>
      <c r="G39" s="342">
        <v>0.3</v>
      </c>
      <c r="H39" s="379">
        <f>IF($D39&lt;&gt;"",VLOOKUP($D39,'SINAPI FEVEREIRO 2022'!$1:$1048576,4,FALSE),"")</f>
        <v>18.86</v>
      </c>
      <c r="I39" s="398">
        <f>TRUNC(H39*G39,2)</f>
        <v>5.65</v>
      </c>
    </row>
    <row r="40" spans="1:9">
      <c r="B40" s="93" t="s">
        <v>548</v>
      </c>
      <c r="C40" s="93" t="s">
        <v>6</v>
      </c>
      <c r="D40" s="93">
        <v>88316</v>
      </c>
      <c r="E40" s="172" t="str">
        <f>IF($D40&lt;&gt;"",VLOOKUP($D40,'SINAPI FEVEREIRO 2022'!$A$1:E113660,2,FALSE),"")</f>
        <v>SERVENTE COM ENCARGOS COMPLEMENTARES</v>
      </c>
      <c r="F40" s="173" t="str">
        <f>IF($D40&lt;&gt;"",VLOOKUP($D40,'SINAPI FEVEREIRO 2022'!$1:$1048576,3,FALSE),"")</f>
        <v>H</v>
      </c>
      <c r="G40" s="342">
        <v>3.15</v>
      </c>
      <c r="H40" s="379">
        <f>IF($D40&lt;&gt;"",VLOOKUP($D40,'SINAPI FEVEREIRO 2022'!$1:$1048576,4,FALSE),"")</f>
        <v>15.16</v>
      </c>
      <c r="I40" s="398">
        <f>TRUNC(H40*G40,2)</f>
        <v>47.75</v>
      </c>
    </row>
    <row r="41" spans="1:9" ht="25.5">
      <c r="B41" s="93" t="s">
        <v>548</v>
      </c>
      <c r="C41" s="93" t="s">
        <v>6</v>
      </c>
      <c r="D41" s="93">
        <v>5795</v>
      </c>
      <c r="E41" s="172" t="str">
        <f>IF($D41&lt;&gt;"",VLOOKUP($D41,'SINAPI FEVEREIRO 2022'!$A$1:E113661,2,FALSE),"")</f>
        <v>MARTELETE OU ROMPEDOR PNEUMÁTICO MANUAL, 28 KG, COM SILENCIADOR - CHP DIURNO. AF_07/2016</v>
      </c>
      <c r="F41" s="173" t="str">
        <f>IF($D41&lt;&gt;"",VLOOKUP($D41,'SINAPI FEVEREIRO 2022'!$1:$1048576,3,FALSE),"")</f>
        <v>CHP</v>
      </c>
      <c r="G41" s="342">
        <v>1.55</v>
      </c>
      <c r="H41" s="379">
        <f>IF($D41&lt;&gt;"",VLOOKUP($D41,'SINAPI FEVEREIRO 2022'!$1:$1048576,4,FALSE),"")</f>
        <v>15.95</v>
      </c>
      <c r="I41" s="398">
        <f t="shared" ref="I41:I42" si="3">TRUNC(H41*G41,2)</f>
        <v>24.72</v>
      </c>
    </row>
    <row r="42" spans="1:9" ht="25.5">
      <c r="B42" s="93" t="s">
        <v>548</v>
      </c>
      <c r="C42" s="93" t="s">
        <v>6</v>
      </c>
      <c r="D42" s="93">
        <v>5952</v>
      </c>
      <c r="E42" s="172" t="str">
        <f>IF($D42&lt;&gt;"",VLOOKUP($D42,'SINAPI FEVEREIRO 2022'!$A$1:E113662,2,FALSE),"")</f>
        <v>MARTELETE OU ROMPEDOR PNEUMÁTICO MANUAL, 28 KG, COM SILENCIADOR - CHI DIURNO. AF_07/2016</v>
      </c>
      <c r="F42" s="173" t="str">
        <f>IF($D42&lt;&gt;"",VLOOKUP($D42,'SINAPI FEVEREIRO 2022'!$1:$1048576,3,FALSE),"")</f>
        <v>CHI</v>
      </c>
      <c r="G42" s="342">
        <v>0.44</v>
      </c>
      <c r="H42" s="379">
        <f>IF($D42&lt;&gt;"",VLOOKUP($D42,'SINAPI FEVEREIRO 2022'!$1:$1048576,4,FALSE),"")</f>
        <v>13.93</v>
      </c>
      <c r="I42" s="398">
        <f t="shared" si="3"/>
        <v>6.12</v>
      </c>
    </row>
    <row r="43" spans="1:9">
      <c r="B43" s="346"/>
      <c r="C43" s="224"/>
      <c r="D43" s="224"/>
      <c r="E43" s="225"/>
      <c r="F43" s="224"/>
      <c r="G43" s="303"/>
      <c r="H43" s="380"/>
      <c r="I43" s="399"/>
    </row>
    <row r="44" spans="1:9" ht="18.75" customHeight="1">
      <c r="B44" s="223" t="s">
        <v>7078</v>
      </c>
      <c r="C44" s="223"/>
      <c r="D44" s="223"/>
      <c r="E44" s="95" t="s">
        <v>6150</v>
      </c>
      <c r="F44" s="96" t="s">
        <v>24</v>
      </c>
      <c r="G44" s="301">
        <v>1</v>
      </c>
      <c r="H44" s="381"/>
      <c r="I44" s="396">
        <f>TRUNC(SUM(I45:I53),2)</f>
        <v>1789.39</v>
      </c>
    </row>
    <row r="45" spans="1:9" ht="48" customHeight="1">
      <c r="B45" s="93" t="s">
        <v>548</v>
      </c>
      <c r="C45" s="93" t="s">
        <v>6</v>
      </c>
      <c r="D45" s="176">
        <v>90084</v>
      </c>
      <c r="E45" s="172" t="str">
        <f>IF($D45&lt;&gt;"",VLOOKUP($D45,'SINAPI FEVEREIRO 2022'!$A$1:E113674,2,FALSE),"")</f>
        <v>ESCAVAÇÃO MECANIZADA DE VALA COM PROF. MAIOR QUE 1,5 M ATÉ 3,0 M (MÉDIA MONTANTE E JUSANTE/UMA COMPOSIÇÃO POR TRECHO), ESCAVADEIRA (0,8 M3), LARGURA ATÉ 1,5 M, EM SOLO DE 1A CATEGORIA, EM LOCAIS COM ALTO NÍVEL DE INTERFERÊNCIA. AF_02/2021</v>
      </c>
      <c r="F45" s="173" t="str">
        <f>IF($D45&lt;&gt;"",VLOOKUP($D45,'SINAPI FEVEREIRO 2022'!$1:$1048576,3,FALSE),"")</f>
        <v>M3</v>
      </c>
      <c r="G45" s="323">
        <v>2.2999999999999998</v>
      </c>
      <c r="H45" s="379">
        <f>IF($D45&lt;&gt;"",VLOOKUP($D45,'SINAPI FEVEREIRO 2022'!$1:$1048576,4,FALSE),"")</f>
        <v>9.17</v>
      </c>
      <c r="I45" s="397">
        <f t="shared" ref="I45:I52" si="4">TRUNC(G45*H45,2)</f>
        <v>21.09</v>
      </c>
    </row>
    <row r="46" spans="1:9" ht="63.75">
      <c r="B46" s="93" t="s">
        <v>548</v>
      </c>
      <c r="C46" s="93" t="s">
        <v>6</v>
      </c>
      <c r="D46" s="367">
        <v>5678</v>
      </c>
      <c r="E46" s="172" t="str">
        <f>IF($D46&lt;&gt;"",VLOOKUP($D46,'SINAPI FEVEREIRO 2022'!$A$1:E113675,2,FALSE),"")</f>
        <v>RETROESCAVADEIRA SOBRE RODAS COM CARREGADEIRA, TRAÇÃO 4X4, POTÊNCIA LÍQ. 88 HP, CAÇAMBA CARREG. CAP. MÍN. 1 M3, CAÇAMBA RETRO CAP. 0,26 M3, PESO OPERACIONAL MÍN. 6.674 KG, PROFUNDIDADE ESCAVAÇÃO MÁX. 4,37 M - CHP DIURNO. AF_06/2014</v>
      </c>
      <c r="F46" s="173" t="str">
        <f>IF($D46&lt;&gt;"",VLOOKUP($D46,'SINAPI FEVEREIRO 2022'!$1:$1048576,3,FALSE),"")</f>
        <v>CHP</v>
      </c>
      <c r="G46" s="323">
        <v>3</v>
      </c>
      <c r="H46" s="379">
        <f>IF($D46&lt;&gt;"",VLOOKUP($D46,'SINAPI FEVEREIRO 2022'!$1:$1048576,4,FALSE),"")</f>
        <v>115.29</v>
      </c>
      <c r="I46" s="397">
        <f t="shared" si="4"/>
        <v>345.87</v>
      </c>
    </row>
    <row r="47" spans="1:9" ht="63.75">
      <c r="B47" s="93" t="s">
        <v>548</v>
      </c>
      <c r="C47" s="93" t="s">
        <v>6</v>
      </c>
      <c r="D47" s="367">
        <v>5679</v>
      </c>
      <c r="E47" s="172" t="str">
        <f>IF($D47&lt;&gt;"",VLOOKUP($D47,'SINAPI FEVEREIRO 2022'!$A$1:E113676,2,FALSE),"")</f>
        <v>RETROESCAVADEIRA SOBRE RODAS COM CARREGADEIRA, TRAÇÃO 4X4, POTÊNCIA LÍQ. 88 HP, CAÇAMBA CARREG. CAP. MÍN. 1 M3, CAÇAMBA RETRO CAP. 0,26 M3, PESO OPERACIONAL MÍN. 6.674 KG, PROFUNDIDADE ESCAVAÇÃO MÁX. 4,37 M - CHI DIURNO. AF_06/2014</v>
      </c>
      <c r="F47" s="173" t="str">
        <f>IF($D47&lt;&gt;"",VLOOKUP($D47,'SINAPI FEVEREIRO 2022'!$1:$1048576,3,FALSE),"")</f>
        <v>CHI</v>
      </c>
      <c r="G47" s="323">
        <v>3</v>
      </c>
      <c r="H47" s="379">
        <f>IF($D47&lt;&gt;"",VLOOKUP($D47,'SINAPI FEVEREIRO 2022'!$1:$1048576,4,FALSE),"")</f>
        <v>40.15</v>
      </c>
      <c r="I47" s="397">
        <f t="shared" si="4"/>
        <v>120.45</v>
      </c>
    </row>
    <row r="48" spans="1:9" ht="63.75">
      <c r="B48" s="93" t="s">
        <v>548</v>
      </c>
      <c r="C48" s="93" t="s">
        <v>6</v>
      </c>
      <c r="D48" s="368">
        <v>92105</v>
      </c>
      <c r="E48" s="172" t="str">
        <f>IF($D48&lt;&gt;"",VLOOKUP($D48,'SINAPI FEVEREIRO 2022'!$A$1:E113677,2,FALSE),"")</f>
        <v>CAMINHÃO PARA EQUIPAMENTO DE LIMPEZA A SUCÇÃO COM CAMINHÃO TRUCADO DE PESO BRUTO TOTAL 23000 KG, CARGA ÚTIL MÁX. 15935 KG, DISTÂNCIA ENTRE EIXOS 4,80 M, POTÊNCIA 230 CV, INCLUSIVE LIMPADORA A SUCÇÃO, TANQUE 12000 L - MATERIAIS NA OPERAÇÃO. AF_11/2015</v>
      </c>
      <c r="F48" s="173" t="str">
        <f>IF($D48&lt;&gt;"",VLOOKUP($D48,'SINAPI FEVEREIRO 2022'!$1:$1048576,3,FALSE),"")</f>
        <v>H</v>
      </c>
      <c r="G48" s="323">
        <v>4</v>
      </c>
      <c r="H48" s="379">
        <f>IF($D48&lt;&gt;"",VLOOKUP($D48,'SINAPI FEVEREIRO 2022'!$1:$1048576,4,FALSE),"")</f>
        <v>190.06</v>
      </c>
      <c r="I48" s="397">
        <f t="shared" si="4"/>
        <v>760.24</v>
      </c>
    </row>
    <row r="49" spans="2:9" ht="51">
      <c r="B49" s="93" t="s">
        <v>548</v>
      </c>
      <c r="C49" s="93" t="s">
        <v>6</v>
      </c>
      <c r="D49" s="368">
        <v>100981</v>
      </c>
      <c r="E49" s="172" t="str">
        <f>IF($D49&lt;&gt;"",VLOOKUP($D49,'SINAPI FEVEREIRO 2022'!$A$1:E113678,2,FALSE),"")</f>
        <v>CARGA, MANOBRA E DESCARGA DE ENTULHO EM CAMINHÃO BASCULANTE 6 M³ - CARGA COM ESCAVADEIRA HIDRÁULICA  (CAÇAMBA DE 0,80 M³ / 111 HP) E DESCARGA LIVRE (UNIDADE: M3). AF_07/2020</v>
      </c>
      <c r="F49" s="173" t="str">
        <f>IF($D49&lt;&gt;"",VLOOKUP($D49,'SINAPI FEVEREIRO 2022'!$1:$1048576,3,FALSE),"")</f>
        <v>M3</v>
      </c>
      <c r="G49" s="323">
        <f>5.8*1.3</f>
        <v>7.54</v>
      </c>
      <c r="H49" s="379">
        <f>IF($D49&lt;&gt;"",VLOOKUP($D49,'SINAPI FEVEREIRO 2022'!$1:$1048576,4,FALSE),"")</f>
        <v>7.48</v>
      </c>
      <c r="I49" s="397">
        <f t="shared" si="4"/>
        <v>56.39</v>
      </c>
    </row>
    <row r="50" spans="2:9" ht="38.25">
      <c r="B50" s="93" t="s">
        <v>548</v>
      </c>
      <c r="C50" s="93" t="s">
        <v>6</v>
      </c>
      <c r="D50" s="368">
        <v>97914</v>
      </c>
      <c r="E50" s="172" t="str">
        <f>IF($D50&lt;&gt;"",VLOOKUP($D50,'SINAPI FEVEREIRO 2022'!$A$1:E113679,2,FALSE),"")</f>
        <v>TRANSPORTE COM CAMINHÃO BASCULANTE DE 6 M³, EM VIA URBANA PAVIMENTADA, DMT ATÉ 30 KM (UNIDADE: M3XKM). AF_07/2020</v>
      </c>
      <c r="F50" s="173" t="str">
        <f>IF($D50&lt;&gt;"",VLOOKUP($D50,'SINAPI FEVEREIRO 2022'!$1:$1048576,3,FALSE),"")</f>
        <v>M3XKM</v>
      </c>
      <c r="G50" s="323">
        <f>G49*10</f>
        <v>75.400000000000006</v>
      </c>
      <c r="H50" s="379">
        <f>IF($D50&lt;&gt;"",VLOOKUP($D50,'SINAPI FEVEREIRO 2022'!$1:$1048576,4,FALSE),"")</f>
        <v>2.36</v>
      </c>
      <c r="I50" s="397">
        <f t="shared" si="4"/>
        <v>177.94</v>
      </c>
    </row>
    <row r="51" spans="2:9" ht="25.5">
      <c r="B51" s="93" t="s">
        <v>548</v>
      </c>
      <c r="C51" s="93" t="s">
        <v>6</v>
      </c>
      <c r="D51" s="368">
        <v>94319</v>
      </c>
      <c r="E51" s="172" t="str">
        <f>IF($D51&lt;&gt;"",VLOOKUP($D51,'SINAPI FEVEREIRO 2022'!$A$1:E113680,2,FALSE),"")</f>
        <v>ATERRO MANUAL DE VALAS COM SOLO ARGILO-ARENOSO E COMPACTAÇÃO MECANIZADA. AF_05/2016</v>
      </c>
      <c r="F51" s="173" t="str">
        <f>IF($D51&lt;&gt;"",VLOOKUP($D51,'SINAPI FEVEREIRO 2022'!$1:$1048576,3,FALSE),"")</f>
        <v>M3</v>
      </c>
      <c r="G51" s="323">
        <v>3</v>
      </c>
      <c r="H51" s="379">
        <f>IF($D51&lt;&gt;"",VLOOKUP($D51,'SINAPI FEVEREIRO 2022'!$1:$1048576,4,FALSE),"")</f>
        <v>68.45</v>
      </c>
      <c r="I51" s="397">
        <f t="shared" si="4"/>
        <v>205.35</v>
      </c>
    </row>
    <row r="52" spans="2:9">
      <c r="B52" s="93" t="s">
        <v>548</v>
      </c>
      <c r="C52" s="93" t="s">
        <v>6</v>
      </c>
      <c r="D52" s="176">
        <v>88309</v>
      </c>
      <c r="E52" s="172" t="str">
        <f>IF($D52&lt;&gt;"",VLOOKUP($D52,'SINAPI FEVEREIRO 2022'!$A$1:E113681,2,FALSE),"")</f>
        <v>PEDREIRO COM ENCARGOS COMPLEMENTARES</v>
      </c>
      <c r="F52" s="173" t="str">
        <f>IF($D52&lt;&gt;"",VLOOKUP($D52,'SINAPI FEVEREIRO 2022'!$1:$1048576,3,FALSE),"")</f>
        <v>H</v>
      </c>
      <c r="G52" s="323">
        <v>3</v>
      </c>
      <c r="H52" s="379">
        <f>IF($D52&lt;&gt;"",VLOOKUP($D52,'SINAPI FEVEREIRO 2022'!$1:$1048576,4,FALSE),"")</f>
        <v>18.86</v>
      </c>
      <c r="I52" s="397">
        <f t="shared" si="4"/>
        <v>56.58</v>
      </c>
    </row>
    <row r="53" spans="2:9">
      <c r="B53" s="93" t="s">
        <v>548</v>
      </c>
      <c r="C53" s="93" t="s">
        <v>6</v>
      </c>
      <c r="D53" s="176">
        <v>88316</v>
      </c>
      <c r="E53" s="172" t="str">
        <f>IF($D53&lt;&gt;"",VLOOKUP($D53,'SINAPI FEVEREIRO 2022'!$A$1:E113682,2,FALSE),"")</f>
        <v>SERVENTE COM ENCARGOS COMPLEMENTARES</v>
      </c>
      <c r="F53" s="173" t="str">
        <f>IF($D53&lt;&gt;"",VLOOKUP($D53,'SINAPI FEVEREIRO 2022'!$1:$1048576,3,FALSE),"")</f>
        <v>H</v>
      </c>
      <c r="G53" s="323">
        <v>3</v>
      </c>
      <c r="H53" s="379">
        <f>IF($D53&lt;&gt;"",VLOOKUP($D53,'SINAPI FEVEREIRO 2022'!$1:$1048576,4,FALSE),"")</f>
        <v>15.16</v>
      </c>
      <c r="I53" s="397">
        <f t="shared" ref="I53" si="5">TRUNC(G53*H53,2)</f>
        <v>45.48</v>
      </c>
    </row>
    <row r="54" spans="2:9">
      <c r="B54" s="93"/>
      <c r="C54" s="93"/>
      <c r="D54" s="176"/>
      <c r="E54" s="172"/>
      <c r="F54" s="173"/>
      <c r="G54" s="323"/>
      <c r="H54" s="379"/>
      <c r="I54" s="397"/>
    </row>
    <row r="55" spans="2:9" ht="25.5">
      <c r="B55" s="223" t="s">
        <v>7087</v>
      </c>
      <c r="C55" s="223"/>
      <c r="D55" s="223"/>
      <c r="E55" s="95" t="s">
        <v>7088</v>
      </c>
      <c r="F55" s="96" t="s">
        <v>32</v>
      </c>
      <c r="G55" s="301">
        <v>1</v>
      </c>
      <c r="H55" s="381"/>
      <c r="I55" s="396">
        <f>TRUNC(SUM(I56),2)</f>
        <v>0.15</v>
      </c>
    </row>
    <row r="56" spans="2:9">
      <c r="B56" s="93" t="s">
        <v>548</v>
      </c>
      <c r="C56" s="93" t="s">
        <v>6</v>
      </c>
      <c r="D56" s="176">
        <v>88316</v>
      </c>
      <c r="E56" s="172" t="str">
        <f>IF($D56&lt;&gt;"",VLOOKUP($D56,'SINAPI FEVEREIRO 2022'!$A$1:E113685,2,FALSE),"")</f>
        <v>SERVENTE COM ENCARGOS COMPLEMENTARES</v>
      </c>
      <c r="F56" s="173" t="str">
        <f>IF($D56&lt;&gt;"",VLOOKUP($D56,'SINAPI FEVEREIRO 2022'!$1:$1048576,3,FALSE),"")</f>
        <v>H</v>
      </c>
      <c r="G56" s="323">
        <v>0.01</v>
      </c>
      <c r="H56" s="379">
        <f>IF($D56&lt;&gt;"",VLOOKUP($D56,'SINAPI FEVEREIRO 2022'!$1:$1048576,4,FALSE),"")</f>
        <v>15.16</v>
      </c>
      <c r="I56" s="397">
        <f t="shared" ref="I56" si="6">TRUNC(G56*H56,2)</f>
        <v>0.15</v>
      </c>
    </row>
    <row r="57" spans="2:9">
      <c r="B57" s="93"/>
      <c r="C57" s="93"/>
      <c r="D57" s="176"/>
      <c r="E57" s="172"/>
      <c r="F57" s="173"/>
      <c r="G57" s="323"/>
      <c r="H57" s="379"/>
      <c r="I57" s="397"/>
    </row>
    <row r="58" spans="2:9">
      <c r="B58" s="223" t="s">
        <v>7089</v>
      </c>
      <c r="C58" s="223"/>
      <c r="D58" s="223"/>
      <c r="E58" s="95" t="s">
        <v>7090</v>
      </c>
      <c r="F58" s="96" t="s">
        <v>24</v>
      </c>
      <c r="G58" s="301">
        <v>1</v>
      </c>
      <c r="H58" s="381"/>
      <c r="I58" s="396">
        <f>TRUNC(SUM(I59),2)</f>
        <v>7.58</v>
      </c>
    </row>
    <row r="59" spans="2:9">
      <c r="B59" s="93" t="s">
        <v>548</v>
      </c>
      <c r="C59" s="93" t="s">
        <v>6</v>
      </c>
      <c r="D59" s="176">
        <v>88316</v>
      </c>
      <c r="E59" s="172" t="str">
        <f>IF($D59&lt;&gt;"",VLOOKUP($D59,'SINAPI FEVEREIRO 2022'!$A$1:E113688,2,FALSE),"")</f>
        <v>SERVENTE COM ENCARGOS COMPLEMENTARES</v>
      </c>
      <c r="F59" s="173" t="str">
        <f>IF($D59&lt;&gt;"",VLOOKUP($D59,'SINAPI FEVEREIRO 2022'!$1:$1048576,3,FALSE),"")</f>
        <v>H</v>
      </c>
      <c r="G59" s="323">
        <v>0.5</v>
      </c>
      <c r="H59" s="379">
        <f>IF($D59&lt;&gt;"",VLOOKUP($D59,'SINAPI FEVEREIRO 2022'!$1:$1048576,4,FALSE),"")</f>
        <v>15.16</v>
      </c>
      <c r="I59" s="397">
        <f t="shared" ref="I59" si="7">TRUNC(G59*H59,2)</f>
        <v>7.58</v>
      </c>
    </row>
    <row r="60" spans="2:9">
      <c r="B60" s="93"/>
      <c r="C60" s="93"/>
      <c r="D60" s="176"/>
      <c r="E60" s="172"/>
      <c r="F60" s="173"/>
      <c r="G60" s="323"/>
      <c r="H60" s="379"/>
      <c r="I60" s="397"/>
    </row>
    <row r="61" spans="2:9" ht="25.5">
      <c r="B61" s="223" t="s">
        <v>7091</v>
      </c>
      <c r="C61" s="223"/>
      <c r="D61" s="223"/>
      <c r="E61" s="95" t="s">
        <v>7092</v>
      </c>
      <c r="F61" s="96" t="s">
        <v>24</v>
      </c>
      <c r="G61" s="301">
        <v>1</v>
      </c>
      <c r="H61" s="381"/>
      <c r="I61" s="396">
        <f>TRUNC(SUM(I62),2)</f>
        <v>7.58</v>
      </c>
    </row>
    <row r="62" spans="2:9">
      <c r="B62" s="93" t="s">
        <v>548</v>
      </c>
      <c r="C62" s="93" t="s">
        <v>6</v>
      </c>
      <c r="D62" s="176">
        <v>88316</v>
      </c>
      <c r="E62" s="172" t="str">
        <f>IF($D62&lt;&gt;"",VLOOKUP($D62,'SINAPI FEVEREIRO 2022'!$A$1:E113691,2,FALSE),"")</f>
        <v>SERVENTE COM ENCARGOS COMPLEMENTARES</v>
      </c>
      <c r="F62" s="173" t="str">
        <f>IF($D62&lt;&gt;"",VLOOKUP($D62,'SINAPI FEVEREIRO 2022'!$1:$1048576,3,FALSE),"")</f>
        <v>H</v>
      </c>
      <c r="G62" s="323">
        <v>0.5</v>
      </c>
      <c r="H62" s="379">
        <f>IF($D62&lt;&gt;"",VLOOKUP($D62,'SINAPI FEVEREIRO 2022'!$1:$1048576,4,FALSE),"")</f>
        <v>15.16</v>
      </c>
      <c r="I62" s="397">
        <f t="shared" ref="I62" si="8">TRUNC(G62*H62,2)</f>
        <v>7.58</v>
      </c>
    </row>
    <row r="63" spans="2:9">
      <c r="B63" s="93"/>
      <c r="C63" s="93"/>
      <c r="D63" s="176"/>
      <c r="E63" s="172"/>
      <c r="F63" s="173"/>
      <c r="G63" s="323"/>
      <c r="H63" s="379"/>
      <c r="I63" s="397"/>
    </row>
    <row r="64" spans="2:9">
      <c r="B64" s="223" t="s">
        <v>7093</v>
      </c>
      <c r="C64" s="223"/>
      <c r="D64" s="223"/>
      <c r="E64" s="95" t="s">
        <v>7094</v>
      </c>
      <c r="F64" s="96" t="s">
        <v>24</v>
      </c>
      <c r="G64" s="301">
        <v>1</v>
      </c>
      <c r="H64" s="381"/>
      <c r="I64" s="396">
        <f>TRUNC(SUM(I65),2)</f>
        <v>1.51</v>
      </c>
    </row>
    <row r="65" spans="2:9">
      <c r="B65" s="93" t="s">
        <v>548</v>
      </c>
      <c r="C65" s="93" t="s">
        <v>6</v>
      </c>
      <c r="D65" s="176">
        <v>88316</v>
      </c>
      <c r="E65" s="172" t="str">
        <f>IF($D65&lt;&gt;"",VLOOKUP($D65,'SINAPI FEVEREIRO 2022'!$A$1:E113694,2,FALSE),"")</f>
        <v>SERVENTE COM ENCARGOS COMPLEMENTARES</v>
      </c>
      <c r="F65" s="173" t="str">
        <f>IF($D65&lt;&gt;"",VLOOKUP($D65,'SINAPI FEVEREIRO 2022'!$1:$1048576,3,FALSE),"")</f>
        <v>H</v>
      </c>
      <c r="G65" s="323">
        <v>0.1</v>
      </c>
      <c r="H65" s="379">
        <f>IF($D65&lt;&gt;"",VLOOKUP($D65,'SINAPI FEVEREIRO 2022'!$1:$1048576,4,FALSE),"")</f>
        <v>15.16</v>
      </c>
      <c r="I65" s="397">
        <f t="shared" ref="I65" si="9">TRUNC(G65*H65,2)</f>
        <v>1.51</v>
      </c>
    </row>
    <row r="66" spans="2:9">
      <c r="B66" s="93"/>
      <c r="C66" s="93"/>
      <c r="D66" s="176"/>
      <c r="E66" s="172"/>
      <c r="F66" s="173"/>
      <c r="G66" s="323"/>
      <c r="H66" s="379"/>
      <c r="I66" s="397"/>
    </row>
    <row r="67" spans="2:9">
      <c r="B67" s="223" t="s">
        <v>7417</v>
      </c>
      <c r="C67" s="223"/>
      <c r="D67" s="223"/>
      <c r="E67" s="95" t="s">
        <v>7415</v>
      </c>
      <c r="F67" s="96" t="s">
        <v>24</v>
      </c>
      <c r="G67" s="301">
        <v>1</v>
      </c>
      <c r="H67" s="381"/>
      <c r="I67" s="396">
        <f>TRUNC(SUM(I68:I69),2)</f>
        <v>9.1999999999999993</v>
      </c>
    </row>
    <row r="68" spans="2:9">
      <c r="B68" s="93" t="s">
        <v>548</v>
      </c>
      <c r="C68" s="93" t="s">
        <v>6</v>
      </c>
      <c r="D68" s="176">
        <v>88316</v>
      </c>
      <c r="E68" s="172" t="str">
        <f>IF($D68&lt;&gt;"",VLOOKUP($D68,'SINAPI FEVEREIRO 2022'!$A$1:E113697,2,FALSE),"")</f>
        <v>SERVENTE COM ENCARGOS COMPLEMENTARES</v>
      </c>
      <c r="F68" s="173" t="str">
        <f>IF($D68&lt;&gt;"",VLOOKUP($D68,'SINAPI FEVEREIRO 2022'!$1:$1048576,3,FALSE),"")</f>
        <v>H</v>
      </c>
      <c r="G68" s="323">
        <v>0.3</v>
      </c>
      <c r="H68" s="379">
        <f>IF($D68&lt;&gt;"",VLOOKUP($D68,'SINAPI FEVEREIRO 2022'!$1:$1048576,4,FALSE),"")</f>
        <v>15.16</v>
      </c>
      <c r="I68" s="397">
        <f>TRUNC(G68*H68,2)</f>
        <v>4.54</v>
      </c>
    </row>
    <row r="69" spans="2:9" ht="25.5">
      <c r="B69" s="93" t="s">
        <v>548</v>
      </c>
      <c r="C69" s="93" t="s">
        <v>6</v>
      </c>
      <c r="D69" s="176">
        <v>88248</v>
      </c>
      <c r="E69" s="172" t="str">
        <f>IF($D69&lt;&gt;"",VLOOKUP($D69,'SINAPI FEVEREIRO 2022'!$A$1:E113698,2,FALSE),"")</f>
        <v>AUXILIAR DE ENCANADOR OU BOMBEIRO HIDRÁULICO COM ENCARGOS COMPLEMENTARES</v>
      </c>
      <c r="F69" s="173" t="str">
        <f>IF($D69&lt;&gt;"",VLOOKUP($D69,'SINAPI FEVEREIRO 2022'!$1:$1048576,3,FALSE),"")</f>
        <v>H</v>
      </c>
      <c r="G69" s="323">
        <v>0.3</v>
      </c>
      <c r="H69" s="379">
        <f>IF($D69&lt;&gt;"",VLOOKUP($D69,'SINAPI FEVEREIRO 2022'!$1:$1048576,4,FALSE),"")</f>
        <v>15.54</v>
      </c>
      <c r="I69" s="397">
        <f t="shared" ref="I69" si="10">TRUNC(G69*H69,2)</f>
        <v>4.66</v>
      </c>
    </row>
    <row r="70" spans="2:9">
      <c r="B70" s="93"/>
      <c r="C70" s="93"/>
      <c r="D70" s="176"/>
      <c r="E70" s="172"/>
      <c r="F70" s="173"/>
      <c r="G70" s="323"/>
      <c r="H70" s="379"/>
      <c r="I70" s="397"/>
    </row>
    <row r="71" spans="2:9">
      <c r="B71" s="223" t="s">
        <v>7418</v>
      </c>
      <c r="C71" s="223"/>
      <c r="D71" s="223"/>
      <c r="E71" s="95" t="s">
        <v>7419</v>
      </c>
      <c r="F71" s="96" t="s">
        <v>24</v>
      </c>
      <c r="G71" s="301">
        <v>1</v>
      </c>
      <c r="H71" s="381"/>
      <c r="I71" s="396">
        <f>TRUNC(SUM(I72:I73),2)</f>
        <v>11.86</v>
      </c>
    </row>
    <row r="72" spans="2:9">
      <c r="B72" s="93" t="s">
        <v>548</v>
      </c>
      <c r="C72" s="93" t="s">
        <v>6</v>
      </c>
      <c r="D72" s="176">
        <v>88316</v>
      </c>
      <c r="E72" s="172" t="str">
        <f>IF($D72&lt;&gt;"",VLOOKUP($D72,'SINAPI FEVEREIRO 2022'!$A$1:E113701,2,FALSE),"")</f>
        <v>SERVENTE COM ENCARGOS COMPLEMENTARES</v>
      </c>
      <c r="F72" s="173" t="str">
        <f>IF($D72&lt;&gt;"",VLOOKUP($D72,'SINAPI FEVEREIRO 2022'!$1:$1048576,3,FALSE),"")</f>
        <v>H</v>
      </c>
      <c r="G72" s="323">
        <v>0.35</v>
      </c>
      <c r="H72" s="379">
        <f>IF($D72&lt;&gt;"",VLOOKUP($D72,'SINAPI FEVEREIRO 2022'!$1:$1048576,4,FALSE),"")</f>
        <v>15.16</v>
      </c>
      <c r="I72" s="397">
        <f>TRUNC(G72*H72,2)</f>
        <v>5.3</v>
      </c>
    </row>
    <row r="73" spans="2:9">
      <c r="B73" s="93" t="s">
        <v>548</v>
      </c>
      <c r="C73" s="93" t="s">
        <v>6</v>
      </c>
      <c r="D73" s="176">
        <v>88315</v>
      </c>
      <c r="E73" s="172" t="str">
        <f>IF($D73&lt;&gt;"",VLOOKUP($D73,'SINAPI FEVEREIRO 2022'!$A$1:E113702,2,FALSE),"")</f>
        <v>SERRALHEIRO COM ENCARGOS COMPLEMENTARES</v>
      </c>
      <c r="F73" s="173" t="str">
        <f>IF($D73&lt;&gt;"",VLOOKUP($D73,'SINAPI FEVEREIRO 2022'!$1:$1048576,3,FALSE),"")</f>
        <v>H</v>
      </c>
      <c r="G73" s="323">
        <v>0.35</v>
      </c>
      <c r="H73" s="379">
        <f>IF($D73&lt;&gt;"",VLOOKUP($D73,'SINAPI FEVEREIRO 2022'!$1:$1048576,4,FALSE),"")</f>
        <v>18.75</v>
      </c>
      <c r="I73" s="397">
        <f t="shared" ref="I73" si="11">TRUNC(G73*H73,2)</f>
        <v>6.56</v>
      </c>
    </row>
    <row r="74" spans="2:9">
      <c r="B74" s="93"/>
      <c r="C74" s="93"/>
      <c r="D74" s="176"/>
      <c r="E74" s="172"/>
      <c r="F74" s="173"/>
      <c r="G74" s="323"/>
      <c r="H74" s="379"/>
      <c r="I74" s="397"/>
    </row>
    <row r="75" spans="2:9">
      <c r="B75" s="223" t="s">
        <v>7420</v>
      </c>
      <c r="C75" s="223"/>
      <c r="D75" s="223"/>
      <c r="E75" s="95" t="s">
        <v>7421</v>
      </c>
      <c r="F75" s="96" t="s">
        <v>32</v>
      </c>
      <c r="G75" s="301">
        <v>1</v>
      </c>
      <c r="H75" s="381"/>
      <c r="I75" s="396">
        <f>TRUNC(SUM(I76:I77),2)</f>
        <v>11.86</v>
      </c>
    </row>
    <row r="76" spans="2:9">
      <c r="B76" s="93" t="s">
        <v>548</v>
      </c>
      <c r="C76" s="93" t="s">
        <v>6</v>
      </c>
      <c r="D76" s="176">
        <v>88316</v>
      </c>
      <c r="E76" s="172" t="str">
        <f>IF($D76&lt;&gt;"",VLOOKUP($D76,'SINAPI FEVEREIRO 2022'!$A$1:E113705,2,FALSE),"")</f>
        <v>SERVENTE COM ENCARGOS COMPLEMENTARES</v>
      </c>
      <c r="F76" s="173" t="str">
        <f>IF($D76&lt;&gt;"",VLOOKUP($D76,'SINAPI FEVEREIRO 2022'!$1:$1048576,3,FALSE),"")</f>
        <v>H</v>
      </c>
      <c r="G76" s="323">
        <v>0.35</v>
      </c>
      <c r="H76" s="379">
        <f>IF($D76&lt;&gt;"",VLOOKUP($D76,'SINAPI FEVEREIRO 2022'!$1:$1048576,4,FALSE),"")</f>
        <v>15.16</v>
      </c>
      <c r="I76" s="397">
        <f>TRUNC(G76*H76,2)</f>
        <v>5.3</v>
      </c>
    </row>
    <row r="77" spans="2:9">
      <c r="B77" s="93" t="s">
        <v>548</v>
      </c>
      <c r="C77" s="93" t="s">
        <v>6</v>
      </c>
      <c r="D77" s="176">
        <v>88315</v>
      </c>
      <c r="E77" s="172" t="str">
        <f>IF($D77&lt;&gt;"",VLOOKUP($D77,'SINAPI FEVEREIRO 2022'!$A$1:E113706,2,FALSE),"")</f>
        <v>SERRALHEIRO COM ENCARGOS COMPLEMENTARES</v>
      </c>
      <c r="F77" s="173" t="str">
        <f>IF($D77&lt;&gt;"",VLOOKUP($D77,'SINAPI FEVEREIRO 2022'!$1:$1048576,3,FALSE),"")</f>
        <v>H</v>
      </c>
      <c r="G77" s="323">
        <v>0.35</v>
      </c>
      <c r="H77" s="379">
        <f>IF($D77&lt;&gt;"",VLOOKUP($D77,'SINAPI FEVEREIRO 2022'!$1:$1048576,4,FALSE),"")</f>
        <v>18.75</v>
      </c>
      <c r="I77" s="397">
        <f t="shared" ref="I77" si="12">TRUNC(G77*H77,2)</f>
        <v>6.56</v>
      </c>
    </row>
    <row r="78" spans="2:9">
      <c r="B78" s="93"/>
      <c r="C78" s="93"/>
      <c r="D78" s="176"/>
      <c r="E78" s="172"/>
      <c r="F78" s="173"/>
      <c r="G78" s="323"/>
      <c r="H78" s="379"/>
      <c r="I78" s="397"/>
    </row>
    <row r="79" spans="2:9">
      <c r="B79" s="972" t="s">
        <v>7884</v>
      </c>
      <c r="C79" s="972"/>
      <c r="D79" s="972"/>
      <c r="E79" s="972"/>
      <c r="F79" s="972"/>
      <c r="G79" s="972"/>
      <c r="H79" s="972"/>
      <c r="I79" s="972"/>
    </row>
    <row r="80" spans="2:9">
      <c r="B80" s="93"/>
      <c r="C80" s="93"/>
      <c r="D80" s="176"/>
      <c r="E80" s="172"/>
      <c r="F80" s="173"/>
      <c r="G80" s="323"/>
      <c r="H80" s="379"/>
      <c r="I80" s="397"/>
    </row>
    <row r="81" spans="2:13" ht="30" customHeight="1">
      <c r="B81" s="223" t="s">
        <v>7885</v>
      </c>
      <c r="C81" s="223"/>
      <c r="D81" s="223"/>
      <c r="E81" s="95" t="s">
        <v>7886</v>
      </c>
      <c r="F81" s="96" t="s">
        <v>14</v>
      </c>
      <c r="G81" s="301">
        <v>1</v>
      </c>
      <c r="H81" s="381"/>
      <c r="I81" s="396">
        <f>TRUNC(SUM(I82:I86),2)</f>
        <v>116.81</v>
      </c>
    </row>
    <row r="82" spans="2:13">
      <c r="B82" s="93" t="s">
        <v>548</v>
      </c>
      <c r="C82" s="93" t="s">
        <v>6</v>
      </c>
      <c r="D82" s="176">
        <v>88309</v>
      </c>
      <c r="E82" s="172" t="str">
        <f>IF($D82&lt;&gt;"",VLOOKUP($D82,'SINAPI FEVEREIRO 2022'!$A$1:E113711,2,FALSE),"")</f>
        <v>PEDREIRO COM ENCARGOS COMPLEMENTARES</v>
      </c>
      <c r="F82" s="173" t="str">
        <f>IF($D82&lt;&gt;"",VLOOKUP($D82,'SINAPI FEVEREIRO 2022'!$1:$1048576,3,FALSE),"")</f>
        <v>H</v>
      </c>
      <c r="G82" s="323">
        <v>1.103</v>
      </c>
      <c r="H82" s="379">
        <f>IF($D82&lt;&gt;"",VLOOKUP($D82,'SINAPI FEVEREIRO 2022'!$1:$1048576,4,FALSE),"")</f>
        <v>18.86</v>
      </c>
      <c r="I82" s="397">
        <f>TRUNC(G82*H82,2)</f>
        <v>20.8</v>
      </c>
    </row>
    <row r="83" spans="2:13">
      <c r="B83" s="93" t="s">
        <v>548</v>
      </c>
      <c r="C83" s="93" t="s">
        <v>6</v>
      </c>
      <c r="D83" s="176">
        <v>88316</v>
      </c>
      <c r="E83" s="172" t="str">
        <f>IF($D83&lt;&gt;"",VLOOKUP($D83,'SINAPI FEVEREIRO 2022'!$A$1:E113712,2,FALSE),"")</f>
        <v>SERVENTE COM ENCARGOS COMPLEMENTARES</v>
      </c>
      <c r="F83" s="173" t="str">
        <f>IF($D83&lt;&gt;"",VLOOKUP($D83,'SINAPI FEVEREIRO 2022'!$1:$1048576,3,FALSE),"")</f>
        <v>H</v>
      </c>
      <c r="G83" s="323">
        <v>1.33</v>
      </c>
      <c r="H83" s="379">
        <f>IF($D83&lt;&gt;"",VLOOKUP($D83,'SINAPI FEVEREIRO 2022'!$1:$1048576,4,FALSE),"")</f>
        <v>15.16</v>
      </c>
      <c r="I83" s="397">
        <f t="shared" ref="I83:I86" si="13">TRUNC(G83*H83,2)</f>
        <v>20.16</v>
      </c>
    </row>
    <row r="84" spans="2:13" ht="38.25">
      <c r="B84" s="93" t="s">
        <v>548</v>
      </c>
      <c r="C84" s="93" t="s">
        <v>6</v>
      </c>
      <c r="D84" s="176">
        <v>94970</v>
      </c>
      <c r="E84" s="172" t="str">
        <f>IF($D84&lt;&gt;"",VLOOKUP($D84,'SINAPI FEVEREIRO 2022'!$A$1:E113713,2,FALSE),"")</f>
        <v>CONCRETO FCK = 20MPA, TRAÇO 1:2,7:3 (EM MASSA SECA DE CIMENTO/ AREIA MÉDIA/ BRITA 1) - PREPARO MECÂNICO COM BETONEIRA 600 L. AF_05/2021</v>
      </c>
      <c r="F84" s="173" t="str">
        <f>IF($D84&lt;&gt;"",VLOOKUP($D84,'SINAPI FEVEREIRO 2022'!$1:$1048576,3,FALSE),"")</f>
        <v>M3</v>
      </c>
      <c r="G84" s="323">
        <v>8.5999999999999993E-2</v>
      </c>
      <c r="H84" s="379">
        <f>IF($D84&lt;&gt;"",VLOOKUP($D84,'SINAPI FEVEREIRO 2022'!$1:$1048576,4,FALSE),"")</f>
        <v>400.17</v>
      </c>
      <c r="I84" s="397">
        <f t="shared" si="13"/>
        <v>34.409999999999997</v>
      </c>
    </row>
    <row r="85" spans="2:13" ht="25.5">
      <c r="B85" s="93" t="s">
        <v>548</v>
      </c>
      <c r="C85" s="93" t="s">
        <v>6</v>
      </c>
      <c r="D85" s="176">
        <v>95577</v>
      </c>
      <c r="E85" s="172" t="str">
        <f>IF($D85&lt;&gt;"",VLOOKUP($D85,'SINAPI FEVEREIRO 2022'!$A$1:E113714,2,FALSE),"")</f>
        <v>MONTAGEM DE ARMADURA DE ESTACAS, DIÂMETRO = 10,0 MM. AF_09/2021</v>
      </c>
      <c r="F85" s="173" t="str">
        <f>IF($D85&lt;&gt;"",VLOOKUP($D85,'SINAPI FEVEREIRO 2022'!$1:$1048576,3,FALSE),"")</f>
        <v>KG</v>
      </c>
      <c r="G85" s="323">
        <v>2.468</v>
      </c>
      <c r="H85" s="379">
        <f>IF($D85&lt;&gt;"",VLOOKUP($D85,'SINAPI FEVEREIRO 2022'!$1:$1048576,4,FALSE),"")</f>
        <v>12.93</v>
      </c>
      <c r="I85" s="397">
        <f t="shared" si="13"/>
        <v>31.91</v>
      </c>
      <c r="M85" s="665"/>
    </row>
    <row r="86" spans="2:13" ht="25.5">
      <c r="B86" s="93" t="s">
        <v>548</v>
      </c>
      <c r="C86" s="93" t="s">
        <v>6</v>
      </c>
      <c r="D86" s="176">
        <v>95583</v>
      </c>
      <c r="E86" s="172" t="str">
        <f>IF($D86&lt;&gt;"",VLOOKUP($D86,'SINAPI FEVEREIRO 2022'!$A$1:E113715,2,FALSE),"")</f>
        <v>MONTAGEM DE ARMADURA TRANSVERSAL DE ESTACAS DE SEÇÃO CIRCULAR, DIÂMETRO = 5,0 MM. AF_09/2021</v>
      </c>
      <c r="F86" s="173" t="str">
        <f>IF($D86&lt;&gt;"",VLOOKUP($D86,'SINAPI FEVEREIRO 2022'!$1:$1048576,3,FALSE),"")</f>
        <v>KG</v>
      </c>
      <c r="G86" s="323">
        <v>0.63300000000000001</v>
      </c>
      <c r="H86" s="379">
        <f>IF($D86&lt;&gt;"",VLOOKUP($D86,'SINAPI FEVEREIRO 2022'!$1:$1048576,4,FALSE),"")</f>
        <v>15.06</v>
      </c>
      <c r="I86" s="397">
        <f t="shared" si="13"/>
        <v>9.5299999999999994</v>
      </c>
    </row>
    <row r="87" spans="2:13">
      <c r="B87" s="93"/>
      <c r="C87" s="93"/>
      <c r="D87" s="176"/>
      <c r="E87" s="172"/>
      <c r="F87" s="173"/>
      <c r="G87" s="323"/>
      <c r="H87" s="379"/>
      <c r="I87" s="397"/>
    </row>
    <row r="88" spans="2:13" ht="25.5">
      <c r="B88" s="223" t="s">
        <v>7893</v>
      </c>
      <c r="C88" s="223"/>
      <c r="D88" s="223"/>
      <c r="E88" s="95" t="s">
        <v>7894</v>
      </c>
      <c r="F88" s="96" t="s">
        <v>14</v>
      </c>
      <c r="G88" s="301">
        <v>1</v>
      </c>
      <c r="H88" s="381"/>
      <c r="I88" s="396">
        <f>TRUNC(SUM(I89:I93),2)</f>
        <v>64.38</v>
      </c>
    </row>
    <row r="89" spans="2:13">
      <c r="B89" s="93" t="s">
        <v>548</v>
      </c>
      <c r="C89" s="93" t="s">
        <v>6</v>
      </c>
      <c r="D89" s="176">
        <v>88309</v>
      </c>
      <c r="E89" s="172" t="str">
        <f>IF($D89&lt;&gt;"",VLOOKUP($D89,'SINAPI FEVEREIRO 2022'!$A$1:E113718,2,FALSE),"")</f>
        <v>PEDREIRO COM ENCARGOS COMPLEMENTARES</v>
      </c>
      <c r="F89" s="173" t="str">
        <f>IF($D89&lt;&gt;"",VLOOKUP($D89,'SINAPI FEVEREIRO 2022'!$1:$1048576,3,FALSE),"")</f>
        <v>H</v>
      </c>
      <c r="G89" s="323">
        <v>0.48599999999999999</v>
      </c>
      <c r="H89" s="379">
        <f>IF($D89&lt;&gt;"",VLOOKUP($D89,'SINAPI FEVEREIRO 2022'!$1:$1048576,4,FALSE),"")</f>
        <v>18.86</v>
      </c>
      <c r="I89" s="397">
        <f>TRUNC(G89*H89,2)</f>
        <v>9.16</v>
      </c>
    </row>
    <row r="90" spans="2:13" ht="13.5" customHeight="1">
      <c r="B90" s="93" t="s">
        <v>548</v>
      </c>
      <c r="C90" s="93" t="s">
        <v>6</v>
      </c>
      <c r="D90" s="176">
        <v>88316</v>
      </c>
      <c r="E90" s="172" t="str">
        <f>IF($D90&lt;&gt;"",VLOOKUP($D90,'SINAPI FEVEREIRO 2022'!$A$1:E113719,2,FALSE),"")</f>
        <v>SERVENTE COM ENCARGOS COMPLEMENTARES</v>
      </c>
      <c r="F90" s="173" t="str">
        <f>IF($D90&lt;&gt;"",VLOOKUP($D90,'SINAPI FEVEREIRO 2022'!$1:$1048576,3,FALSE),"")</f>
        <v>H</v>
      </c>
      <c r="G90" s="323">
        <v>6.6500000000000004E-2</v>
      </c>
      <c r="H90" s="379">
        <f>IF($D90&lt;&gt;"",VLOOKUP($D90,'SINAPI FEVEREIRO 2022'!$1:$1048576,4,FALSE),"")</f>
        <v>15.16</v>
      </c>
      <c r="I90" s="397">
        <f t="shared" ref="I90:I93" si="14">TRUNC(G90*H90,2)</f>
        <v>1</v>
      </c>
    </row>
    <row r="91" spans="2:13" ht="40.5" customHeight="1">
      <c r="B91" s="93" t="s">
        <v>548</v>
      </c>
      <c r="C91" s="93" t="s">
        <v>6</v>
      </c>
      <c r="D91" s="176">
        <v>94970</v>
      </c>
      <c r="E91" s="172" t="str">
        <f>IF($D91&lt;&gt;"",VLOOKUP($D91,'SINAPI FEVEREIRO 2022'!$A$1:E113720,2,FALSE),"")</f>
        <v>CONCRETO FCK = 20MPA, TRAÇO 1:2,7:3 (EM MASSA SECA DE CIMENTO/ AREIA MÉDIA/ BRITA 1) - PREPARO MECÂNICO COM BETONEIRA 600 L. AF_05/2021</v>
      </c>
      <c r="F91" s="173" t="str">
        <f>IF($D91&lt;&gt;"",VLOOKUP($D91,'SINAPI FEVEREIRO 2022'!$1:$1048576,3,FALSE),"")</f>
        <v>M3</v>
      </c>
      <c r="G91" s="323">
        <v>0.03</v>
      </c>
      <c r="H91" s="379">
        <f>IF($D91&lt;&gt;"",VLOOKUP($D91,'SINAPI FEVEREIRO 2022'!$1:$1048576,4,FALSE),"")</f>
        <v>400.17</v>
      </c>
      <c r="I91" s="397">
        <f t="shared" si="14"/>
        <v>12</v>
      </c>
    </row>
    <row r="92" spans="2:13" ht="13.5" customHeight="1">
      <c r="B92" s="93" t="s">
        <v>548</v>
      </c>
      <c r="C92" s="93" t="s">
        <v>6</v>
      </c>
      <c r="D92" s="176">
        <v>95576</v>
      </c>
      <c r="E92" s="172" t="str">
        <f>IF($D92&lt;&gt;"",VLOOKUP($D92,'SINAPI FEVEREIRO 2022'!$A$1:E113721,2,FALSE),"")</f>
        <v>MONTAGEM DE ARMADURA DE ESTACAS, DIÂMETRO = 8,0 MM. AF_09/2021</v>
      </c>
      <c r="F92" s="173" t="str">
        <f>IF($D92&lt;&gt;"",VLOOKUP($D92,'SINAPI FEVEREIRO 2022'!$1:$1048576,3,FALSE),"")</f>
        <v>KG</v>
      </c>
      <c r="G92" s="323">
        <v>2.468</v>
      </c>
      <c r="H92" s="379">
        <f>IF($D92&lt;&gt;"",VLOOKUP($D92,'SINAPI FEVEREIRO 2022'!$1:$1048576,4,FALSE),"")</f>
        <v>14.58</v>
      </c>
      <c r="I92" s="397">
        <f t="shared" si="14"/>
        <v>35.979999999999997</v>
      </c>
    </row>
    <row r="93" spans="2:13" ht="27" customHeight="1">
      <c r="B93" s="93" t="s">
        <v>548</v>
      </c>
      <c r="C93" s="93" t="s">
        <v>6</v>
      </c>
      <c r="D93" s="176">
        <v>95583</v>
      </c>
      <c r="E93" s="172" t="str">
        <f>IF($D93&lt;&gt;"",VLOOKUP($D93,'SINAPI FEVEREIRO 2022'!$A$1:E113722,2,FALSE),"")</f>
        <v>MONTAGEM DE ARMADURA TRANSVERSAL DE ESTACAS DE SEÇÃO CIRCULAR, DIÂMETRO = 5,0 MM. AF_09/2021</v>
      </c>
      <c r="F93" s="173" t="str">
        <f>IF($D93&lt;&gt;"",VLOOKUP($D93,'SINAPI FEVEREIRO 2022'!$1:$1048576,3,FALSE),"")</f>
        <v>KG</v>
      </c>
      <c r="G93" s="323">
        <v>0.41499999999999998</v>
      </c>
      <c r="H93" s="379">
        <f>IF($D93&lt;&gt;"",VLOOKUP($D93,'SINAPI FEVEREIRO 2022'!$1:$1048576,4,FALSE),"")</f>
        <v>15.06</v>
      </c>
      <c r="I93" s="397">
        <f t="shared" si="14"/>
        <v>6.24</v>
      </c>
    </row>
    <row r="94" spans="2:13" ht="13.5" customHeight="1">
      <c r="B94" s="666"/>
      <c r="C94" s="643"/>
      <c r="D94" s="667"/>
      <c r="E94" s="532"/>
      <c r="F94" s="533"/>
      <c r="G94" s="668"/>
      <c r="H94" s="534"/>
      <c r="I94" s="669"/>
    </row>
    <row r="95" spans="2:13" ht="12.75" customHeight="1">
      <c r="B95" s="973" t="s">
        <v>3064</v>
      </c>
      <c r="C95" s="974"/>
      <c r="D95" s="974"/>
      <c r="E95" s="974"/>
      <c r="F95" s="974"/>
      <c r="G95" s="974"/>
      <c r="H95" s="974"/>
      <c r="I95" s="975"/>
    </row>
    <row r="96" spans="2:13">
      <c r="B96" s="346"/>
      <c r="C96" s="224"/>
      <c r="D96" s="224"/>
      <c r="E96" s="225"/>
      <c r="F96" s="224"/>
      <c r="G96" s="303"/>
      <c r="H96" s="380"/>
      <c r="I96" s="399"/>
    </row>
    <row r="97" spans="2:13" ht="25.5">
      <c r="B97" s="223" t="s">
        <v>5401</v>
      </c>
      <c r="C97" s="223"/>
      <c r="D97" s="223"/>
      <c r="E97" s="95" t="s">
        <v>7902</v>
      </c>
      <c r="F97" s="96" t="s">
        <v>32</v>
      </c>
      <c r="G97" s="301">
        <v>1</v>
      </c>
      <c r="H97" s="378"/>
      <c r="I97" s="396">
        <f>TRUNC(SUM(I98),2)</f>
        <v>1.51</v>
      </c>
    </row>
    <row r="98" spans="2:13">
      <c r="B98" s="93" t="s">
        <v>548</v>
      </c>
      <c r="C98" s="93" t="s">
        <v>6</v>
      </c>
      <c r="D98" s="176">
        <v>88316</v>
      </c>
      <c r="E98" s="172" t="str">
        <f>IF($D98&lt;&gt;"",VLOOKUP($D98,'SINAPI FEVEREIRO 2022'!$1:$1048576,2,FALSE),"")</f>
        <v>SERVENTE COM ENCARGOS COMPLEMENTARES</v>
      </c>
      <c r="F98" s="173" t="str">
        <f>IF($D98&lt;&gt;"",VLOOKUP($D98,'SINAPI FEVEREIRO 2022'!$1:$1048576,3,FALSE),"")</f>
        <v>H</v>
      </c>
      <c r="G98" s="302">
        <v>0.1</v>
      </c>
      <c r="H98" s="379">
        <f>IF($D98&lt;&gt;"",VLOOKUP($D98,'SINAPI FEVEREIRO 2022'!$1:$1048576,4,FALSE),"")</f>
        <v>15.16</v>
      </c>
      <c r="I98" s="397">
        <f t="shared" ref="I98" si="15">TRUNC(G98*H98,2)</f>
        <v>1.51</v>
      </c>
    </row>
    <row r="99" spans="2:13">
      <c r="B99" s="93"/>
      <c r="C99" s="93"/>
      <c r="D99" s="176"/>
      <c r="E99" s="172"/>
      <c r="F99" s="173"/>
      <c r="G99" s="302"/>
      <c r="H99" s="379"/>
      <c r="I99" s="403"/>
    </row>
    <row r="100" spans="2:13" ht="25.5">
      <c r="B100" s="223" t="s">
        <v>7372</v>
      </c>
      <c r="C100" s="223"/>
      <c r="D100" s="223"/>
      <c r="E100" s="95" t="s">
        <v>7901</v>
      </c>
      <c r="F100" s="96" t="s">
        <v>32</v>
      </c>
      <c r="G100" s="301">
        <v>1</v>
      </c>
      <c r="H100" s="378"/>
      <c r="I100" s="396">
        <f>TRUNC(SUM(I101:I103),2)</f>
        <v>3.72</v>
      </c>
      <c r="M100" s="682"/>
    </row>
    <row r="101" spans="2:13" ht="25.5">
      <c r="B101" s="93" t="s">
        <v>546</v>
      </c>
      <c r="C101" s="93" t="s">
        <v>6</v>
      </c>
      <c r="D101" s="176">
        <v>3767</v>
      </c>
      <c r="E101" s="172" t="str">
        <f>IF($D101&lt;&gt;"",VLOOKUP($D101,'SINAPI FEVEREIRO 2022'!$1:$1048576,2,FALSE),"")</f>
        <v>LIXA EM FOLHA PARA PAREDE OU MADEIRA, NUMERO 120, COR VERMELHA</v>
      </c>
      <c r="F101" s="173" t="str">
        <f>IF($D101&lt;&gt;"",VLOOKUP($D101,'SINAPI FEVEREIRO 2022'!$1:$1048576,3,FALSE),"")</f>
        <v xml:space="preserve">UN    </v>
      </c>
      <c r="G101" s="302">
        <v>0.2</v>
      </c>
      <c r="H101" s="379">
        <f>IF($D101&lt;&gt;"",VLOOKUP($D101,'SINAPI FEVEREIRO 2022'!$1:$1048576,4,FALSE),"")</f>
        <v>1.1200000000000001</v>
      </c>
      <c r="I101" s="397">
        <f t="shared" ref="I101:I103" si="16">TRUNC(G101*H101,2)</f>
        <v>0.22</v>
      </c>
      <c r="M101" s="682"/>
    </row>
    <row r="102" spans="2:13">
      <c r="B102" s="93" t="s">
        <v>548</v>
      </c>
      <c r="C102" s="93" t="s">
        <v>6</v>
      </c>
      <c r="D102" s="176">
        <v>88310</v>
      </c>
      <c r="E102" s="172" t="str">
        <f>IF($D102&lt;&gt;"",VLOOKUP($D102,'SINAPI FEVEREIRO 2022'!$1:$1048576,2,FALSE),"")</f>
        <v>PINTOR COM ENCARGOS COMPLEMENTARES</v>
      </c>
      <c r="F102" s="173" t="str">
        <f>IF($D102&lt;&gt;"",VLOOKUP($D102,'SINAPI FEVEREIRO 2022'!$1:$1048576,3,FALSE),"")</f>
        <v>H</v>
      </c>
      <c r="G102" s="302">
        <v>0.1</v>
      </c>
      <c r="H102" s="379">
        <f>IF($D102&lt;&gt;"",VLOOKUP($D102,'SINAPI FEVEREIRO 2022'!$1:$1048576,4,FALSE),"")</f>
        <v>19.940000000000001</v>
      </c>
      <c r="I102" s="397">
        <f t="shared" si="16"/>
        <v>1.99</v>
      </c>
    </row>
    <row r="103" spans="2:13">
      <c r="B103" s="93" t="s">
        <v>548</v>
      </c>
      <c r="C103" s="93" t="s">
        <v>6</v>
      </c>
      <c r="D103" s="176">
        <v>88316</v>
      </c>
      <c r="E103" s="172" t="str">
        <f>IF($D103&lt;&gt;"",VLOOKUP($D103,'SINAPI FEVEREIRO 2022'!$1:$1048576,2,FALSE),"")</f>
        <v>SERVENTE COM ENCARGOS COMPLEMENTARES</v>
      </c>
      <c r="F103" s="173" t="str">
        <f>IF($D103&lt;&gt;"",VLOOKUP($D103,'SINAPI FEVEREIRO 2022'!$1:$1048576,3,FALSE),"")</f>
        <v>H</v>
      </c>
      <c r="G103" s="302">
        <v>0.1</v>
      </c>
      <c r="H103" s="379">
        <f>IF($D103&lt;&gt;"",VLOOKUP($D103,'SINAPI FEVEREIRO 2022'!$1:$1048576,4,FALSE),"")</f>
        <v>15.16</v>
      </c>
      <c r="I103" s="397">
        <f t="shared" si="16"/>
        <v>1.51</v>
      </c>
    </row>
    <row r="104" spans="2:13">
      <c r="B104" s="93"/>
      <c r="C104" s="93"/>
      <c r="D104" s="176"/>
      <c r="E104" s="172"/>
      <c r="F104" s="173"/>
      <c r="G104" s="302"/>
      <c r="H104" s="379"/>
      <c r="I104" s="403"/>
    </row>
    <row r="105" spans="2:13">
      <c r="B105" s="972" t="s">
        <v>6946</v>
      </c>
      <c r="C105" s="972"/>
      <c r="D105" s="972"/>
      <c r="E105" s="972"/>
      <c r="F105" s="972"/>
      <c r="G105" s="972"/>
      <c r="H105" s="972"/>
      <c r="I105" s="972"/>
    </row>
    <row r="106" spans="2:13">
      <c r="B106" s="346"/>
      <c r="C106" s="224"/>
      <c r="D106" s="224"/>
      <c r="E106" s="225"/>
      <c r="F106" s="224"/>
      <c r="G106" s="303"/>
      <c r="H106" s="380"/>
      <c r="I106" s="399"/>
    </row>
    <row r="107" spans="2:13" ht="25.5">
      <c r="B107" s="223" t="s">
        <v>6947</v>
      </c>
      <c r="C107" s="223"/>
      <c r="D107" s="223"/>
      <c r="E107" s="95" t="s">
        <v>3085</v>
      </c>
      <c r="F107" s="96" t="s">
        <v>32</v>
      </c>
      <c r="G107" s="301">
        <v>1</v>
      </c>
      <c r="H107" s="378"/>
      <c r="I107" s="396">
        <f>TRUNC(SUM(I108:I114),2)</f>
        <v>834.13</v>
      </c>
    </row>
    <row r="108" spans="2:13">
      <c r="B108" s="93" t="s">
        <v>563</v>
      </c>
      <c r="C108" s="93" t="s">
        <v>6</v>
      </c>
      <c r="D108" s="97">
        <v>88274</v>
      </c>
      <c r="E108" s="172" t="str">
        <f>IF($D108&lt;&gt;"",VLOOKUP($D108,'SINAPI FEVEREIRO 2022'!$1:$1048576,2,FALSE),"")</f>
        <v>MARMORISTA/GRANITEIRO COM ENCARGOS COMPLEMENTARES</v>
      </c>
      <c r="F108" s="173" t="str">
        <f>IF($D108&lt;&gt;"",VLOOKUP($D108,'SINAPI FEVEREIRO 2022'!$1:$1048576,3,FALSE),"")</f>
        <v>H</v>
      </c>
      <c r="G108" s="410">
        <v>1.5</v>
      </c>
      <c r="H108" s="379">
        <f>IF($D108&lt;&gt;"",VLOOKUP($D108,'SINAPI FEVEREIRO 2022'!$1:$1048576,4,FALSE),"")</f>
        <v>18.79</v>
      </c>
      <c r="I108" s="398">
        <f>TRUNC(H108*G108,2)</f>
        <v>28.18</v>
      </c>
    </row>
    <row r="109" spans="2:13">
      <c r="B109" s="93" t="s">
        <v>563</v>
      </c>
      <c r="C109" s="93" t="s">
        <v>6</v>
      </c>
      <c r="D109" s="97">
        <v>88316</v>
      </c>
      <c r="E109" s="172" t="str">
        <f>IF($D109&lt;&gt;"",VLOOKUP($D109,'SINAPI FEVEREIRO 2022'!$1:$1048576,2,FALSE),"")</f>
        <v>SERVENTE COM ENCARGOS COMPLEMENTARES</v>
      </c>
      <c r="F109" s="173" t="str">
        <f>IF($D109&lt;&gt;"",VLOOKUP($D109,'SINAPI FEVEREIRO 2022'!$1:$1048576,3,FALSE),"")</f>
        <v>H</v>
      </c>
      <c r="G109" s="410">
        <v>1</v>
      </c>
      <c r="H109" s="379">
        <f>IF($D109&lt;&gt;"",VLOOKUP($D109,'SINAPI FEVEREIRO 2022'!$1:$1048576,4,FALSE),"")</f>
        <v>15.16</v>
      </c>
      <c r="I109" s="398">
        <f t="shared" ref="I109:I114" si="17">TRUNC(H109*G109,2)</f>
        <v>15.16</v>
      </c>
    </row>
    <row r="110" spans="2:13">
      <c r="B110" s="93" t="s">
        <v>546</v>
      </c>
      <c r="C110" s="93" t="s">
        <v>6</v>
      </c>
      <c r="D110" s="97">
        <v>4823</v>
      </c>
      <c r="E110" s="172" t="str">
        <f>IF($D110&lt;&gt;"",VLOOKUP($D110,'SINAPI FEVEREIRO 2022'!$1:$1048576,2,FALSE),"")</f>
        <v>MASSA PLASTICA PARA MARMORE/GRANITO</v>
      </c>
      <c r="F110" s="173" t="str">
        <f>IF($D110&lt;&gt;"",VLOOKUP($D110,'SINAPI FEVEREIRO 2022'!$1:$1048576,3,FALSE),"")</f>
        <v xml:space="preserve">KG    </v>
      </c>
      <c r="G110" s="410">
        <v>0.55000000000000004</v>
      </c>
      <c r="H110" s="379">
        <f>IF($D110&lt;&gt;"",VLOOKUP($D110,'SINAPI FEVEREIRO 2022'!$1:$1048576,4,FALSE),"")</f>
        <v>40.53</v>
      </c>
      <c r="I110" s="398">
        <f t="shared" si="17"/>
        <v>22.29</v>
      </c>
    </row>
    <row r="111" spans="2:13" ht="38.25">
      <c r="B111" s="93" t="s">
        <v>546</v>
      </c>
      <c r="C111" s="93" t="s">
        <v>6</v>
      </c>
      <c r="D111" s="97">
        <v>7568</v>
      </c>
      <c r="E111" s="172" t="str">
        <f>IF($D111&lt;&gt;"",VLOOKUP($D111,'SINAPI FEVEREIRO 2022'!$1:$1048576,2,FALSE),"")</f>
        <v>BUCHA DE NYLON SEM ABA S10, COM PARAFUSO DE 6,10 X 65 MM EM ACO ZINCADO COM ROSCA SOBERBA, CABECA CHATA E FENDA PHILLIPS</v>
      </c>
      <c r="F111" s="173" t="str">
        <f>IF($D111&lt;&gt;"",VLOOKUP($D111,'SINAPI FEVEREIRO 2022'!$1:$1048576,3,FALSE),"")</f>
        <v xml:space="preserve">UN    </v>
      </c>
      <c r="G111" s="410">
        <v>6</v>
      </c>
      <c r="H111" s="379">
        <f>IF($D111&lt;&gt;"",VLOOKUP($D111,'SINAPI FEVEREIRO 2022'!$1:$1048576,4,FALSE),"")</f>
        <v>0.61</v>
      </c>
      <c r="I111" s="398">
        <f t="shared" si="17"/>
        <v>3.66</v>
      </c>
    </row>
    <row r="112" spans="2:13" ht="38.25">
      <c r="B112" s="93" t="s">
        <v>546</v>
      </c>
      <c r="C112" s="93" t="s">
        <v>6</v>
      </c>
      <c r="D112" s="97">
        <v>11795</v>
      </c>
      <c r="E112" s="172" t="str">
        <f>IF($D112&lt;&gt;"",VLOOKUP($D112,'SINAPI FEVEREIRO 2022'!$1:$1048576,2,FALSE),"")</f>
        <v>GRANITO PARA BANCADA, POLIDO, TIPO ANDORINHA/ QUARTZ/ CASTELO/ CORUMBA OU OUTROS EQUIVALENTES DA REGIAO, E=  *2,5* CM</v>
      </c>
      <c r="F112" s="173" t="str">
        <f>IF($D112&lt;&gt;"",VLOOKUP($D112,'SINAPI FEVEREIRO 2022'!$1:$1048576,3,FALSE),"")</f>
        <v xml:space="preserve">M2    </v>
      </c>
      <c r="G112" s="410">
        <v>1.25</v>
      </c>
      <c r="H112" s="379">
        <f>IF($D112&lt;&gt;"",VLOOKUP($D112,'SINAPI FEVEREIRO 2022'!$1:$1048576,4,FALSE),"")</f>
        <v>562.26</v>
      </c>
      <c r="I112" s="398">
        <f t="shared" si="17"/>
        <v>702.82</v>
      </c>
    </row>
    <row r="113" spans="2:9">
      <c r="B113" s="93" t="s">
        <v>546</v>
      </c>
      <c r="C113" s="93" t="s">
        <v>6</v>
      </c>
      <c r="D113" s="97">
        <v>37329</v>
      </c>
      <c r="E113" s="172" t="str">
        <f>IF($D113&lt;&gt;"",VLOOKUP($D113,'SINAPI FEVEREIRO 2022'!$1:$1048576,2,FALSE),"")</f>
        <v>REJUNTE EPOXI, QUALQUER COR</v>
      </c>
      <c r="F113" s="173" t="str">
        <f>IF($D113&lt;&gt;"",VLOOKUP($D113,'SINAPI FEVEREIRO 2022'!$1:$1048576,3,FALSE),"")</f>
        <v xml:space="preserve">KG    </v>
      </c>
      <c r="G113" s="410">
        <v>0.1</v>
      </c>
      <c r="H113" s="379">
        <f>IF($D113&lt;&gt;"",VLOOKUP($D113,'SINAPI FEVEREIRO 2022'!$1:$1048576,4,FALSE),"")</f>
        <v>101.41</v>
      </c>
      <c r="I113" s="398">
        <f t="shared" si="17"/>
        <v>10.14</v>
      </c>
    </row>
    <row r="114" spans="2:9" ht="25.5">
      <c r="B114" s="93" t="s">
        <v>546</v>
      </c>
      <c r="C114" s="93" t="s">
        <v>6</v>
      </c>
      <c r="D114" s="97">
        <v>37591</v>
      </c>
      <c r="E114" s="172" t="str">
        <f>IF($D114&lt;&gt;"",VLOOKUP($D114,'SINAPI FEVEREIRO 2022'!$1:$1048576,2,FALSE),"")</f>
        <v>SUPORTE MAO-FRANCESA EM ACO, ABAS IGUAIS 40 CM, CAPACIDADE MINIMA 70 KG, BRANCO</v>
      </c>
      <c r="F114" s="173" t="str">
        <f>IF($D114&lt;&gt;"",VLOOKUP($D114,'SINAPI FEVEREIRO 2022'!$1:$1048576,3,FALSE),"")</f>
        <v xml:space="preserve">UN    </v>
      </c>
      <c r="G114" s="410">
        <v>2</v>
      </c>
      <c r="H114" s="379">
        <f>IF($D114&lt;&gt;"",VLOOKUP($D114,'SINAPI FEVEREIRO 2022'!$1:$1048576,4,FALSE),"")</f>
        <v>25.94</v>
      </c>
      <c r="I114" s="398">
        <f t="shared" si="17"/>
        <v>51.88</v>
      </c>
    </row>
    <row r="115" spans="2:9">
      <c r="B115" s="346"/>
      <c r="C115" s="224"/>
      <c r="D115" s="224"/>
      <c r="E115" s="225"/>
      <c r="F115" s="224"/>
      <c r="G115" s="303"/>
      <c r="H115" s="380"/>
      <c r="I115" s="399"/>
    </row>
    <row r="116" spans="2:9">
      <c r="B116" s="973" t="s">
        <v>5451</v>
      </c>
      <c r="C116" s="974"/>
      <c r="D116" s="974"/>
      <c r="E116" s="974"/>
      <c r="F116" s="974"/>
      <c r="G116" s="974"/>
      <c r="H116" s="974"/>
      <c r="I116" s="975"/>
    </row>
    <row r="117" spans="2:9">
      <c r="B117" s="346"/>
      <c r="C117" s="224"/>
      <c r="D117" s="224"/>
      <c r="E117" s="225"/>
      <c r="F117" s="224"/>
      <c r="G117" s="303"/>
      <c r="H117" s="380"/>
      <c r="I117" s="399"/>
    </row>
    <row r="118" spans="2:9" s="91" customFormat="1" ht="34.5" customHeight="1">
      <c r="B118" s="347" t="s">
        <v>5453</v>
      </c>
      <c r="C118" s="226"/>
      <c r="D118" s="226"/>
      <c r="E118" s="188" t="s">
        <v>6942</v>
      </c>
      <c r="F118" s="187" t="s">
        <v>24</v>
      </c>
      <c r="G118" s="305">
        <v>1</v>
      </c>
      <c r="H118" s="384"/>
      <c r="I118" s="400">
        <f>TRUNC(SUM(I119:I123),2)</f>
        <v>921.71</v>
      </c>
    </row>
    <row r="119" spans="2:9" s="244" customFormat="1" ht="14.25">
      <c r="B119" s="249" t="s">
        <v>548</v>
      </c>
      <c r="C119" s="249" t="s">
        <v>6</v>
      </c>
      <c r="D119" s="93">
        <v>88316</v>
      </c>
      <c r="E119" s="172" t="str">
        <f>IF($D119&lt;&gt;"",VLOOKUP($D119,'SINAPI FEVEREIRO 2022'!$A$1:E113706,2,FALSE),"")</f>
        <v>SERVENTE COM ENCARGOS COMPLEMENTARES</v>
      </c>
      <c r="F119" s="173" t="str">
        <f>IF($D119&lt;&gt;"",VLOOKUP($D119,'SINAPI FEVEREIRO 2022'!$1:$1048576,3,FALSE),"")</f>
        <v>H</v>
      </c>
      <c r="G119" s="306">
        <v>5.3</v>
      </c>
      <c r="H119" s="379">
        <f>IF($D119&lt;&gt;"",VLOOKUP($D119,'SINAPI FEVEREIRO 2022'!$1:$1048576,4,FALSE),"")</f>
        <v>15.16</v>
      </c>
      <c r="I119" s="397">
        <f>TRUNC(G119*H119,2)</f>
        <v>80.34</v>
      </c>
    </row>
    <row r="120" spans="2:9" s="244" customFormat="1" ht="14.25">
      <c r="B120" s="249" t="s">
        <v>548</v>
      </c>
      <c r="C120" s="250" t="s">
        <v>6</v>
      </c>
      <c r="D120" s="179">
        <v>88309</v>
      </c>
      <c r="E120" s="172" t="str">
        <f>IF($D120&lt;&gt;"",VLOOKUP($D120,'SINAPI FEVEREIRO 2022'!$A$1:E113707,2,FALSE),"")</f>
        <v>PEDREIRO COM ENCARGOS COMPLEMENTARES</v>
      </c>
      <c r="F120" s="173" t="str">
        <f>IF($D120&lt;&gt;"",VLOOKUP($D120,'SINAPI FEVEREIRO 2022'!$1:$1048576,3,FALSE),"")</f>
        <v>H</v>
      </c>
      <c r="G120" s="306">
        <v>1.5209999999999999</v>
      </c>
      <c r="H120" s="379">
        <f>IF($D120&lt;&gt;"",VLOOKUP($D120,'SINAPI FEVEREIRO 2022'!$1:$1048576,4,FALSE),"")</f>
        <v>18.86</v>
      </c>
      <c r="I120" s="397">
        <f t="shared" ref="I120:I121" si="18">TRUNC(G120*H120,2)</f>
        <v>28.68</v>
      </c>
    </row>
    <row r="121" spans="2:9" s="244" customFormat="1" ht="14.25">
      <c r="B121" s="249" t="s">
        <v>548</v>
      </c>
      <c r="C121" s="250" t="s">
        <v>6</v>
      </c>
      <c r="D121" s="369">
        <v>88315</v>
      </c>
      <c r="E121" s="172" t="str">
        <f>IF($D121&lt;&gt;"",VLOOKUP($D121,'SINAPI FEVEREIRO 2022'!$A$1:E113708,2,FALSE),"")</f>
        <v>SERRALHEIRO COM ENCARGOS COMPLEMENTARES</v>
      </c>
      <c r="F121" s="173" t="str">
        <f>IF($D121&lt;&gt;"",VLOOKUP($D121,'SINAPI FEVEREIRO 2022'!$1:$1048576,3,FALSE),"")</f>
        <v>H</v>
      </c>
      <c r="G121" s="306">
        <v>3.02</v>
      </c>
      <c r="H121" s="379">
        <f>IF($D121&lt;&gt;"",VLOOKUP($D121,'SINAPI FEVEREIRO 2022'!$1:$1048576,4,FALSE),"")</f>
        <v>18.75</v>
      </c>
      <c r="I121" s="397">
        <f t="shared" si="18"/>
        <v>56.62</v>
      </c>
    </row>
    <row r="122" spans="2:9" s="244" customFormat="1" ht="25.5">
      <c r="B122" s="179" t="s">
        <v>548</v>
      </c>
      <c r="C122" s="370" t="s">
        <v>547</v>
      </c>
      <c r="D122" s="179"/>
      <c r="E122" s="172" t="s">
        <v>6941</v>
      </c>
      <c r="F122" s="247" t="s">
        <v>24</v>
      </c>
      <c r="G122" s="371">
        <v>1</v>
      </c>
      <c r="H122" s="379">
        <v>750</v>
      </c>
      <c r="I122" s="397">
        <f t="shared" ref="I122" si="19">TRUNC(G122*H122,2)</f>
        <v>750</v>
      </c>
    </row>
    <row r="123" spans="2:9" s="244" customFormat="1" ht="36.75" customHeight="1">
      <c r="B123" s="249" t="s">
        <v>548</v>
      </c>
      <c r="C123" s="250" t="s">
        <v>6</v>
      </c>
      <c r="D123" s="179">
        <v>88627</v>
      </c>
      <c r="E123" s="172" t="str">
        <f>IF($D123&lt;&gt;"",VLOOKUP($D123,'SINAPI FEVEREIRO 2022'!$A$1:E113710,2,FALSE),"")</f>
        <v>ARGAMASSA TRAÇO 1:0,5:4,5 (EM VOLUME DE CIMENTO, CAL E AREIA MÉDIA ÚMIDA) PARA ASSENTAMENTO DE ALVENARIA, PREPARO MANUAL. AF_08/2019</v>
      </c>
      <c r="F123" s="173" t="str">
        <f>IF($D123&lt;&gt;"",VLOOKUP($D123,'SINAPI FEVEREIRO 2022'!$1:$1048576,3,FALSE),"")</f>
        <v>M3</v>
      </c>
      <c r="G123" s="804">
        <v>1.1339999999999999E-2</v>
      </c>
      <c r="H123" s="379">
        <f>IF($D123&lt;&gt;"",VLOOKUP($D123,'SINAPI FEVEREIRO 2022'!$1:$1048576,4,FALSE),"")</f>
        <v>536.11</v>
      </c>
      <c r="I123" s="397">
        <f>TRUNC(G123*H123,2)</f>
        <v>6.07</v>
      </c>
    </row>
    <row r="124" spans="2:9" s="244" customFormat="1">
      <c r="B124" s="93"/>
      <c r="C124" s="93"/>
      <c r="D124" s="94"/>
      <c r="E124" s="172"/>
      <c r="F124" s="247"/>
      <c r="G124" s="302"/>
      <c r="H124" s="379"/>
      <c r="I124" s="397"/>
    </row>
    <row r="125" spans="2:9" s="91" customFormat="1" ht="38.25" customHeight="1">
      <c r="B125" s="347" t="s">
        <v>6943</v>
      </c>
      <c r="C125" s="226"/>
      <c r="D125" s="226"/>
      <c r="E125" s="188" t="s">
        <v>5399</v>
      </c>
      <c r="F125" s="187" t="s">
        <v>24</v>
      </c>
      <c r="G125" s="305">
        <v>1</v>
      </c>
      <c r="H125" s="384"/>
      <c r="I125" s="400">
        <f>TRUNC(SUM(I126:I130),2)</f>
        <v>871.71</v>
      </c>
    </row>
    <row r="126" spans="2:9" s="244" customFormat="1" ht="14.25">
      <c r="B126" s="249" t="s">
        <v>548</v>
      </c>
      <c r="C126" s="249" t="s">
        <v>6</v>
      </c>
      <c r="D126" s="93">
        <v>88316</v>
      </c>
      <c r="E126" s="172" t="str">
        <f>IF($D126&lt;&gt;"",VLOOKUP($D126,'SINAPI FEVEREIRO 2022'!$A$1:E113713,2,FALSE),"")</f>
        <v>SERVENTE COM ENCARGOS COMPLEMENTARES</v>
      </c>
      <c r="F126" s="173" t="str">
        <f>IF($D126&lt;&gt;"",VLOOKUP($D126,'SINAPI FEVEREIRO 2022'!$1:$1048576,3,FALSE),"")</f>
        <v>H</v>
      </c>
      <c r="G126" s="306">
        <v>5.3</v>
      </c>
      <c r="H126" s="379">
        <f>IF($D126&lt;&gt;"",VLOOKUP($D126,'SINAPI FEVEREIRO 2022'!$1:$1048576,4,FALSE),"")</f>
        <v>15.16</v>
      </c>
      <c r="I126" s="397">
        <f t="shared" ref="I126:I128" si="20">TRUNC(G126*H126,2)</f>
        <v>80.34</v>
      </c>
    </row>
    <row r="127" spans="2:9" s="244" customFormat="1" ht="14.25">
      <c r="B127" s="249" t="s">
        <v>548</v>
      </c>
      <c r="C127" s="250" t="s">
        <v>6</v>
      </c>
      <c r="D127" s="179">
        <v>88309</v>
      </c>
      <c r="E127" s="172" t="str">
        <f>IF($D127&lt;&gt;"",VLOOKUP($D127,'SINAPI FEVEREIRO 2022'!$A$1:E113714,2,FALSE),"")</f>
        <v>PEDREIRO COM ENCARGOS COMPLEMENTARES</v>
      </c>
      <c r="F127" s="173" t="str">
        <f>IF($D127&lt;&gt;"",VLOOKUP($D127,'SINAPI FEVEREIRO 2022'!$1:$1048576,3,FALSE),"")</f>
        <v>H</v>
      </c>
      <c r="G127" s="306">
        <v>1.5209999999999999</v>
      </c>
      <c r="H127" s="379">
        <f>IF($D127&lt;&gt;"",VLOOKUP($D127,'SINAPI FEVEREIRO 2022'!$1:$1048576,4,FALSE),"")</f>
        <v>18.86</v>
      </c>
      <c r="I127" s="397">
        <f t="shared" si="20"/>
        <v>28.68</v>
      </c>
    </row>
    <row r="128" spans="2:9" s="244" customFormat="1" ht="14.25">
      <c r="B128" s="249" t="s">
        <v>548</v>
      </c>
      <c r="C128" s="250" t="s">
        <v>6</v>
      </c>
      <c r="D128" s="369">
        <v>88315</v>
      </c>
      <c r="E128" s="172" t="str">
        <f>IF($D128&lt;&gt;"",VLOOKUP($D128,'SINAPI FEVEREIRO 2022'!$A$1:E113715,2,FALSE),"")</f>
        <v>SERRALHEIRO COM ENCARGOS COMPLEMENTARES</v>
      </c>
      <c r="F128" s="173" t="str">
        <f>IF($D128&lt;&gt;"",VLOOKUP($D128,'SINAPI FEVEREIRO 2022'!$1:$1048576,3,FALSE),"")</f>
        <v>H</v>
      </c>
      <c r="G128" s="306">
        <v>3.02</v>
      </c>
      <c r="H128" s="379">
        <f>IF($D128&lt;&gt;"",VLOOKUP($D128,'SINAPI FEVEREIRO 2022'!$1:$1048576,4,FALSE),"")</f>
        <v>18.75</v>
      </c>
      <c r="I128" s="397">
        <f t="shared" si="20"/>
        <v>56.62</v>
      </c>
    </row>
    <row r="129" spans="2:9" s="244" customFormat="1" ht="25.5">
      <c r="B129" s="179" t="s">
        <v>548</v>
      </c>
      <c r="C129" s="370" t="s">
        <v>547</v>
      </c>
      <c r="D129" s="179"/>
      <c r="E129" s="172" t="s">
        <v>5400</v>
      </c>
      <c r="F129" s="247" t="s">
        <v>24</v>
      </c>
      <c r="G129" s="371">
        <v>1</v>
      </c>
      <c r="H129" s="385">
        <v>700</v>
      </c>
      <c r="I129" s="401">
        <f t="shared" ref="I129" si="21">TRUNC(G129*H129,2)</f>
        <v>700</v>
      </c>
    </row>
    <row r="130" spans="2:9" s="244" customFormat="1" ht="36" customHeight="1">
      <c r="B130" s="249" t="s">
        <v>548</v>
      </c>
      <c r="C130" s="250" t="s">
        <v>6</v>
      </c>
      <c r="D130" s="179">
        <v>88627</v>
      </c>
      <c r="E130" s="172" t="str">
        <f>IF($D130&lt;&gt;"",VLOOKUP($D130,'SINAPI FEVEREIRO 2022'!$A$1:E113717,2,FALSE),"")</f>
        <v>ARGAMASSA TRAÇO 1:0,5:4,5 (EM VOLUME DE CIMENTO, CAL E AREIA MÉDIA ÚMIDA) PARA ASSENTAMENTO DE ALVENARIA, PREPARO MANUAL. AF_08/2019</v>
      </c>
      <c r="F130" s="173" t="str">
        <f>IF($D130&lt;&gt;"",VLOOKUP($D130,'SINAPI FEVEREIRO 2022'!$1:$1048576,3,FALSE),"")</f>
        <v>M3</v>
      </c>
      <c r="G130" s="306">
        <v>1.1339999999999999E-2</v>
      </c>
      <c r="H130" s="379">
        <f>IF($D130&lt;&gt;"",VLOOKUP($D130,'SINAPI FEVEREIRO 2022'!$1:$1048576,4,FALSE),"")</f>
        <v>536.11</v>
      </c>
      <c r="I130" s="397">
        <f>TRUNC(G130*H130,2)</f>
        <v>6.07</v>
      </c>
    </row>
    <row r="131" spans="2:9" s="244" customFormat="1">
      <c r="B131" s="93"/>
      <c r="C131" s="93"/>
      <c r="D131" s="177"/>
      <c r="E131" s="172"/>
      <c r="F131" s="247"/>
      <c r="G131" s="302"/>
      <c r="H131" s="379"/>
      <c r="I131" s="397"/>
    </row>
    <row r="132" spans="2:9" s="244" customFormat="1" ht="43.5" customHeight="1">
      <c r="B132" s="347" t="s">
        <v>5452</v>
      </c>
      <c r="C132" s="187"/>
      <c r="D132" s="373"/>
      <c r="E132" s="245" t="s">
        <v>7378</v>
      </c>
      <c r="F132" s="246" t="s">
        <v>24</v>
      </c>
      <c r="G132" s="374">
        <v>1</v>
      </c>
      <c r="H132" s="383"/>
      <c r="I132" s="396">
        <f>TRUNC(SUM(I133:I138),2)</f>
        <v>3009.14</v>
      </c>
    </row>
    <row r="133" spans="2:9" s="244" customFormat="1" ht="51">
      <c r="B133" s="591" t="s">
        <v>549</v>
      </c>
      <c r="C133" s="93" t="s">
        <v>6</v>
      </c>
      <c r="D133" s="93">
        <v>94570</v>
      </c>
      <c r="E133" s="172" t="str">
        <f>IF($D133&lt;&gt;"",VLOOKUP($D133,'SINAPI FEVEREIRO 2022'!$A$1:E113721,2,FALSE),"")</f>
        <v>JANELA DE ALUMÍNIO DE CORRER COM 2 FOLHAS PARA VIDROS, COM VIDROS, BATENTE, ACABAMENTO COM ACETATO OU BRILHANTE E FERRAGENS. EXCLUSIVE ALIZAR E CONTRAMARCO. FORNECIMENTO E INSTALAÇÃO. AF_12/2019</v>
      </c>
      <c r="F133" s="173" t="str">
        <f>IF($D133&lt;&gt;"",VLOOKUP($D133,'SINAPI FEVEREIRO 2022'!$1:$1048576,3,FALSE),"")</f>
        <v>M2</v>
      </c>
      <c r="G133" s="342">
        <v>3</v>
      </c>
      <c r="H133" s="379">
        <f>IF($D133&lt;&gt;"",VLOOKUP($D133,'SINAPI FEVEREIRO 2022'!$1:$1048576,4,FALSE),"")</f>
        <v>524.72</v>
      </c>
      <c r="I133" s="397">
        <f t="shared" ref="I133:I136" si="22">TRUNC(G133*H133,2)</f>
        <v>1574.16</v>
      </c>
    </row>
    <row r="134" spans="2:9" s="244" customFormat="1" ht="38.25">
      <c r="B134" s="591" t="s">
        <v>549</v>
      </c>
      <c r="C134" s="93" t="s">
        <v>6</v>
      </c>
      <c r="D134" s="93">
        <v>102253</v>
      </c>
      <c r="E134" s="172" t="str">
        <f>IF($D134&lt;&gt;"",VLOOKUP($D134,'SINAPI FEVEREIRO 2022'!$A$1:E113722,2,FALSE),"")</f>
        <v>DIVISORIA SANITÁRIA, TIPO CABINE, EM GRANITO CINZA POLIDO, ESP = 3CM, ASSENTADO COM ARGAMASSA COLANTE AC III-E, EXCLUSIVE FERRAGENS. AF_01/2021</v>
      </c>
      <c r="F134" s="173" t="str">
        <f>IF($D134&lt;&gt;"",VLOOKUP($D134,'SINAPI FEVEREIRO 2022'!$1:$1048576,3,FALSE),"")</f>
        <v>M2</v>
      </c>
      <c r="G134" s="342">
        <v>1.8</v>
      </c>
      <c r="H134" s="379">
        <f>IF($D134&lt;&gt;"",VLOOKUP($D134,'SINAPI FEVEREIRO 2022'!$1:$1048576,4,FALSE),"")</f>
        <v>732.97</v>
      </c>
      <c r="I134" s="397">
        <f t="shared" si="22"/>
        <v>1319.34</v>
      </c>
    </row>
    <row r="135" spans="2:9" s="244" customFormat="1" ht="38.25">
      <c r="B135" s="591" t="s">
        <v>549</v>
      </c>
      <c r="C135" s="93" t="s">
        <v>6</v>
      </c>
      <c r="D135" s="93">
        <v>5080</v>
      </c>
      <c r="E135" s="172" t="str">
        <f>IF($D135&lt;&gt;"",VLOOKUP($D135,'SINAPI FEVEREIRO 2022'!$A$1:E113723,2,FALSE),"")</f>
        <v>PUXADOR TIPO ALCA, EM ZAMAC CROMADO, COM ROSETAS, COMPRIMENTO DE APROX *100* MM, PARA PORTAS E JANELAS DE MADEIRA, INCLUINDO PARAFUSOS</v>
      </c>
      <c r="F135" s="173" t="str">
        <f>IF($D135&lt;&gt;"",VLOOKUP($D135,'SINAPI FEVEREIRO 2022'!$1:$1048576,3,FALSE),"")</f>
        <v xml:space="preserve">UN    </v>
      </c>
      <c r="G135" s="342">
        <v>2</v>
      </c>
      <c r="H135" s="379">
        <f>IF($D135&lt;&gt;"",VLOOKUP($D135,'SINAPI FEVEREIRO 2022'!$1:$1048576,4,FALSE),"")</f>
        <v>21.79</v>
      </c>
      <c r="I135" s="397">
        <f t="shared" si="22"/>
        <v>43.58</v>
      </c>
    </row>
    <row r="136" spans="2:9" s="244" customFormat="1" ht="15.75" customHeight="1">
      <c r="B136" s="591" t="s">
        <v>563</v>
      </c>
      <c r="C136" s="93" t="s">
        <v>6</v>
      </c>
      <c r="D136" s="93">
        <v>88309</v>
      </c>
      <c r="E136" s="172" t="str">
        <f>IF($D136&lt;&gt;"",VLOOKUP($D136,'SINAPI FEVEREIRO 2022'!$A$1:E113724,2,FALSE),"")</f>
        <v>PEDREIRO COM ENCARGOS COMPLEMENTARES</v>
      </c>
      <c r="F136" s="173" t="str">
        <f>IF($D136&lt;&gt;"",VLOOKUP($D136,'SINAPI FEVEREIRO 2022'!$1:$1048576,3,FALSE),"")</f>
        <v>H</v>
      </c>
      <c r="G136" s="342">
        <v>1</v>
      </c>
      <c r="H136" s="379">
        <f>IF($D136&lt;&gt;"",VLOOKUP($D136,'SINAPI FEVEREIRO 2022'!$1:$1048576,4,FALSE),"")</f>
        <v>18.86</v>
      </c>
      <c r="I136" s="397">
        <f t="shared" si="22"/>
        <v>18.86</v>
      </c>
    </row>
    <row r="137" spans="2:9" s="244" customFormat="1" ht="15.75" customHeight="1">
      <c r="B137" s="591" t="s">
        <v>563</v>
      </c>
      <c r="C137" s="93" t="s">
        <v>6</v>
      </c>
      <c r="D137" s="93">
        <v>88316</v>
      </c>
      <c r="E137" s="172" t="str">
        <f>IF($D137&lt;&gt;"",VLOOKUP($D137,'SINAPI FEVEREIRO 2022'!$A$1:E113725,2,FALSE),"")</f>
        <v>SERVENTE COM ENCARGOS COMPLEMENTARES</v>
      </c>
      <c r="F137" s="173" t="str">
        <f>IF($D137&lt;&gt;"",VLOOKUP($D137,'SINAPI FEVEREIRO 2022'!$1:$1048576,3,FALSE),"")</f>
        <v>H</v>
      </c>
      <c r="G137" s="342">
        <v>1</v>
      </c>
      <c r="H137" s="379">
        <f>IF($D137&lt;&gt;"",VLOOKUP($D137,'SINAPI FEVEREIRO 2022'!$1:$1048576,4,FALSE),"")</f>
        <v>15.16</v>
      </c>
      <c r="I137" s="397">
        <f t="shared" ref="I137:I138" si="23">TRUNC(G137*H137,2)</f>
        <v>15.16</v>
      </c>
    </row>
    <row r="138" spans="2:9" s="244" customFormat="1" ht="15.75" customHeight="1">
      <c r="B138" s="93" t="s">
        <v>549</v>
      </c>
      <c r="C138" s="93" t="s">
        <v>6</v>
      </c>
      <c r="D138" s="176">
        <v>36887</v>
      </c>
      <c r="E138" s="172" t="str">
        <f>IF($D138&lt;&gt;"",VLOOKUP($D138,'SINAPI FEVEREIRO 2022'!$A$1:E113726,2,FALSE),"")</f>
        <v>TELA DE FIBRA DE VIDRO, ACABAMENTO ANTI-ALCALINO, MALHA 10 X 10 MM</v>
      </c>
      <c r="F138" s="173" t="str">
        <f>IF($D138&lt;&gt;"",VLOOKUP($D138,'SINAPI FEVEREIRO 2022'!$1:$1048576,3,FALSE),"")</f>
        <v xml:space="preserve">M2    </v>
      </c>
      <c r="G138" s="342">
        <v>3.5</v>
      </c>
      <c r="H138" s="379">
        <f>IF($D138&lt;&gt;"",VLOOKUP($D138,'SINAPI FEVEREIRO 2022'!$1:$1048576,4,FALSE),"")</f>
        <v>10.87</v>
      </c>
      <c r="I138" s="397">
        <f t="shared" si="23"/>
        <v>38.04</v>
      </c>
    </row>
    <row r="139" spans="2:9" s="244" customFormat="1">
      <c r="B139" s="93"/>
      <c r="C139" s="93"/>
      <c r="D139" s="176"/>
      <c r="E139" s="172"/>
      <c r="F139" s="173"/>
      <c r="G139" s="375"/>
      <c r="H139" s="379"/>
      <c r="I139" s="397"/>
    </row>
    <row r="140" spans="2:9" s="244" customFormat="1">
      <c r="B140" s="347" t="s">
        <v>7376</v>
      </c>
      <c r="C140" s="187"/>
      <c r="D140" s="373"/>
      <c r="E140" s="245" t="s">
        <v>7377</v>
      </c>
      <c r="F140" s="246" t="s">
        <v>32</v>
      </c>
      <c r="G140" s="374"/>
      <c r="H140" s="383"/>
      <c r="I140" s="396">
        <f>TRUNC(SUM(I141:I145),2)</f>
        <v>837.9</v>
      </c>
    </row>
    <row r="141" spans="2:9" s="244" customFormat="1" ht="25.5">
      <c r="B141" s="93" t="s">
        <v>546</v>
      </c>
      <c r="C141" s="93" t="s">
        <v>6</v>
      </c>
      <c r="D141" s="176">
        <v>102179</v>
      </c>
      <c r="E141" s="172" t="str">
        <f>IF($D141&lt;&gt;"",VLOOKUP($D141,'SINAPI FEVEREIRO 2022'!$A$1:E113727,2,FALSE),"")</f>
        <v>INSTALAÇÃO DE VIDRO TEMPERADO, E = 6 MM, ENCAIXADO EM PERFIL U. AF_01/2021_P</v>
      </c>
      <c r="F141" s="173" t="str">
        <f>IF($D141&lt;&gt;"",VLOOKUP($D141,'SINAPI FEVEREIRO 2022'!$1:$1048576,3,FALSE),"")</f>
        <v>M2</v>
      </c>
      <c r="G141" s="375">
        <v>0.5</v>
      </c>
      <c r="H141" s="379">
        <f>IF($D141&lt;&gt;"",VLOOKUP($D141,'SINAPI FEVEREIRO 2022'!$1:$1048576,4,FALSE),"")</f>
        <v>384.64</v>
      </c>
      <c r="I141" s="397">
        <f t="shared" ref="I141:I144" si="24">TRUNC(G141*H141,2)</f>
        <v>192.32</v>
      </c>
    </row>
    <row r="142" spans="2:9" s="244" customFormat="1">
      <c r="B142" s="93" t="s">
        <v>546</v>
      </c>
      <c r="C142" s="93" t="s">
        <v>6</v>
      </c>
      <c r="D142" s="176">
        <v>39961</v>
      </c>
      <c r="E142" s="172" t="str">
        <f>IF($D142&lt;&gt;"",VLOOKUP($D142,'SINAPI FEVEREIRO 2022'!$A$1:E113728,2,FALSE),"")</f>
        <v>SILICONE ACETICO USO GERAL INCOLOR 280 G</v>
      </c>
      <c r="F142" s="173" t="str">
        <f>IF($D142&lt;&gt;"",VLOOKUP($D142,'SINAPI FEVEREIRO 2022'!$1:$1048576,3,FALSE),"")</f>
        <v xml:space="preserve">UN    </v>
      </c>
      <c r="G142" s="375">
        <v>1.34</v>
      </c>
      <c r="H142" s="379">
        <f>IF($D142&lt;&gt;"",VLOOKUP($D142,'SINAPI FEVEREIRO 2022'!$1:$1048576,4,FALSE),"")</f>
        <v>17.3</v>
      </c>
      <c r="I142" s="397">
        <f t="shared" si="24"/>
        <v>23.18</v>
      </c>
    </row>
    <row r="143" spans="2:9" s="244" customFormat="1">
      <c r="B143" s="93" t="s">
        <v>563</v>
      </c>
      <c r="C143" s="93" t="s">
        <v>6</v>
      </c>
      <c r="D143" s="176">
        <v>88316</v>
      </c>
      <c r="E143" s="172" t="str">
        <f>IF($D143&lt;&gt;"",VLOOKUP($D143,'SINAPI FEVEREIRO 2022'!$A$1:E113729,2,FALSE),"")</f>
        <v>SERVENTE COM ENCARGOS COMPLEMENTARES</v>
      </c>
      <c r="F143" s="173" t="str">
        <f>IF($D143&lt;&gt;"",VLOOKUP($D143,'SINAPI FEVEREIRO 2022'!$1:$1048576,3,FALSE),"")</f>
        <v>H</v>
      </c>
      <c r="G143" s="375">
        <v>2</v>
      </c>
      <c r="H143" s="379">
        <f>IF($D143&lt;&gt;"",VLOOKUP($D143,'SINAPI FEVEREIRO 2022'!$1:$1048576,4,FALSE),"")</f>
        <v>15.16</v>
      </c>
      <c r="I143" s="397">
        <f t="shared" si="24"/>
        <v>30.32</v>
      </c>
    </row>
    <row r="144" spans="2:9" s="244" customFormat="1" ht="38.25">
      <c r="B144" s="93" t="s">
        <v>546</v>
      </c>
      <c r="C144" s="93" t="s">
        <v>6</v>
      </c>
      <c r="D144" s="176">
        <v>36888</v>
      </c>
      <c r="E144" s="172" t="str">
        <f>IF($D144&lt;&gt;"",VLOOKUP($D144,'SINAPI FEVEREIRO 2022'!$A$1:E113730,2,FALSE),"")</f>
        <v>GUARNICAO / MOLDURA / ARREMATE DE ACABAMENTO PARA ESQUADRIA, EM ALUMINIO PERFIL 25, ACABAMENTO ANODIZADO BRANCO OU BRILHANTE, PARA 1 FACE</v>
      </c>
      <c r="F144" s="173" t="str">
        <f>IF($D144&lt;&gt;"",VLOOKUP($D144,'SINAPI FEVEREIRO 2022'!$1:$1048576,3,FALSE),"")</f>
        <v xml:space="preserve">M     </v>
      </c>
      <c r="G144" s="375">
        <v>12.8</v>
      </c>
      <c r="H144" s="379">
        <f>IF($D144&lt;&gt;"",VLOOKUP($D144,'SINAPI FEVEREIRO 2022'!$1:$1048576,4,FALSE),"")</f>
        <v>43.85</v>
      </c>
      <c r="I144" s="397">
        <f t="shared" si="24"/>
        <v>561.28</v>
      </c>
    </row>
    <row r="145" spans="2:9" s="244" customFormat="1" ht="25.5">
      <c r="B145" s="93" t="s">
        <v>546</v>
      </c>
      <c r="C145" s="93" t="s">
        <v>6</v>
      </c>
      <c r="D145" s="176">
        <v>11552</v>
      </c>
      <c r="E145" s="172" t="str">
        <f>IF($D145&lt;&gt;"",VLOOKUP($D145,'SINAPI FEVEREIRO 2022'!$A$1:E113731,2,FALSE),"")</f>
        <v>PERFIL U DE ABAS IGUAIS, EM ALUMINIO, 1/2" (1,27 X 1,27 CM), PARA PORTA OU JANELA DE CORRER</v>
      </c>
      <c r="F145" s="173" t="str">
        <f>IF($D145&lt;&gt;"",VLOOKUP($D145,'SINAPI FEVEREIRO 2022'!$1:$1048576,3,FALSE),"")</f>
        <v xml:space="preserve">M     </v>
      </c>
      <c r="G145" s="375">
        <v>4</v>
      </c>
      <c r="H145" s="379">
        <f>IF($D145&lt;&gt;"",VLOOKUP($D145,'SINAPI FEVEREIRO 2022'!$1:$1048576,4,FALSE),"")</f>
        <v>7.7</v>
      </c>
      <c r="I145" s="397">
        <f t="shared" ref="I145" si="25">TRUNC(G145*H145,2)</f>
        <v>30.8</v>
      </c>
    </row>
    <row r="146" spans="2:9" s="244" customFormat="1">
      <c r="B146" s="93"/>
      <c r="C146" s="93"/>
      <c r="D146" s="177"/>
      <c r="E146" s="172"/>
      <c r="F146" s="247"/>
      <c r="G146" s="302"/>
      <c r="H146" s="379"/>
      <c r="I146" s="397"/>
    </row>
    <row r="147" spans="2:9" s="91" customFormat="1" ht="48.75" customHeight="1">
      <c r="B147" s="347" t="s">
        <v>5398</v>
      </c>
      <c r="C147" s="226"/>
      <c r="D147" s="226"/>
      <c r="E147" s="188" t="s">
        <v>6944</v>
      </c>
      <c r="F147" s="187" t="s">
        <v>661</v>
      </c>
      <c r="G147" s="305">
        <v>1</v>
      </c>
      <c r="H147" s="384"/>
      <c r="I147" s="396">
        <f>TRUNC(SUM(I148:I152),2)</f>
        <v>645.04</v>
      </c>
    </row>
    <row r="148" spans="2:9" s="244" customFormat="1">
      <c r="B148" s="179" t="s">
        <v>548</v>
      </c>
      <c r="C148" s="179" t="s">
        <v>6</v>
      </c>
      <c r="D148" s="93">
        <v>88316</v>
      </c>
      <c r="E148" s="172" t="str">
        <f>IF($D148&lt;&gt;"",VLOOKUP($D148,'SINAPI FEVEREIRO 2022'!$1:$1048576,2,FALSE),"")</f>
        <v>SERVENTE COM ENCARGOS COMPLEMENTARES</v>
      </c>
      <c r="F148" s="173" t="str">
        <f>IF($D148&lt;&gt;"",VLOOKUP($D148,'SINAPI FEVEREIRO 2022'!$1:$1048576,3,FALSE),"")</f>
        <v>H</v>
      </c>
      <c r="G148" s="371">
        <v>1</v>
      </c>
      <c r="H148" s="379">
        <f>IF($D148&lt;&gt;"",VLOOKUP($D148,'SINAPI FEVEREIRO 2022'!$1:$1048576,4,FALSE),"")</f>
        <v>15.16</v>
      </c>
      <c r="I148" s="397">
        <f>TRUNC(G148*H148,2)</f>
        <v>15.16</v>
      </c>
    </row>
    <row r="149" spans="2:9" s="244" customFormat="1">
      <c r="B149" s="179" t="s">
        <v>548</v>
      </c>
      <c r="C149" s="409" t="s">
        <v>6</v>
      </c>
      <c r="D149" s="179">
        <v>88309</v>
      </c>
      <c r="E149" s="172" t="str">
        <f>IF($D149&lt;&gt;"",VLOOKUP($D149,'SINAPI FEVEREIRO 2022'!$1:$1048576,2,FALSE),"")</f>
        <v>PEDREIRO COM ENCARGOS COMPLEMENTARES</v>
      </c>
      <c r="F149" s="173" t="str">
        <f>IF($D149&lt;&gt;"",VLOOKUP($D149,'SINAPI FEVEREIRO 2022'!$1:$1048576,3,FALSE),"")</f>
        <v>H</v>
      </c>
      <c r="G149" s="371">
        <v>1</v>
      </c>
      <c r="H149" s="379">
        <f>IF($D149&lt;&gt;"",VLOOKUP($D149,'SINAPI FEVEREIRO 2022'!$1:$1048576,4,FALSE),"")</f>
        <v>18.86</v>
      </c>
      <c r="I149" s="397">
        <f>TRUNC(G149*H149,2)</f>
        <v>18.86</v>
      </c>
    </row>
    <row r="150" spans="2:9" s="244" customFormat="1" ht="38.25">
      <c r="B150" s="179" t="s">
        <v>546</v>
      </c>
      <c r="C150" s="409" t="s">
        <v>6</v>
      </c>
      <c r="D150" s="369">
        <v>4948</v>
      </c>
      <c r="E150" s="172" t="str">
        <f>IF($D150&lt;&gt;"",VLOOKUP($D150,'SINAPI FEVEREIRO 2022'!$1:$1048576,2,FALSE),"")</f>
        <v>PORTAO DE ABRIR / GIRO, EM GRADIL DE METALON REDONDO DE 3/4"  VERTICAL, COM REQUADRO, ACABAMENTO NATURAL - COMPLETO</v>
      </c>
      <c r="F150" s="173" t="str">
        <f>IF($D150&lt;&gt;"",VLOOKUP($D150,'SINAPI FEVEREIRO 2022'!$1:$1048576,3,FALSE),"")</f>
        <v xml:space="preserve">M2    </v>
      </c>
      <c r="G150" s="371">
        <v>1</v>
      </c>
      <c r="H150" s="379">
        <f>IF($D150&lt;&gt;"",VLOOKUP($D150,'SINAPI FEVEREIRO 2022'!$1:$1048576,4,FALSE),"")</f>
        <v>512.6</v>
      </c>
      <c r="I150" s="397">
        <f>TRUNC(G150*H150,2)</f>
        <v>512.6</v>
      </c>
    </row>
    <row r="151" spans="2:9" s="244" customFormat="1" ht="38.25">
      <c r="B151" s="179" t="s">
        <v>546</v>
      </c>
      <c r="C151" s="409" t="s">
        <v>6</v>
      </c>
      <c r="D151" s="369">
        <v>100709</v>
      </c>
      <c r="E151" s="172" t="str">
        <f>IF($D151&lt;&gt;"",VLOOKUP($D151,'SINAPI FEVEREIRO 2022'!$1:$1048576,2,FALSE),"")</f>
        <v>DOBRADIÇA EM AÇO/FERRO, 3" X 21/2", E=1,9 A 2MM, SEN ANEL, CROMADO OU ZINCADO, TAMPA BOLA, COM PARAFUSOS. AF_12/2019</v>
      </c>
      <c r="F151" s="173" t="str">
        <f>IF($D151&lt;&gt;"",VLOOKUP($D151,'SINAPI FEVEREIRO 2022'!$1:$1048576,3,FALSE),"")</f>
        <v>UN</v>
      </c>
      <c r="G151" s="371">
        <v>2</v>
      </c>
      <c r="H151" s="379">
        <f>IF($D151&lt;&gt;"",VLOOKUP($D151,'SINAPI FEVEREIRO 2022'!$1:$1048576,4,FALSE),"")</f>
        <v>35.81</v>
      </c>
      <c r="I151" s="397">
        <f>TRUNC(G151*H151,2)</f>
        <v>71.62</v>
      </c>
    </row>
    <row r="152" spans="2:9" s="244" customFormat="1" ht="36" customHeight="1">
      <c r="B152" s="179" t="s">
        <v>548</v>
      </c>
      <c r="C152" s="409" t="s">
        <v>6</v>
      </c>
      <c r="D152" s="179">
        <v>88627</v>
      </c>
      <c r="E152" s="172" t="str">
        <f>IF($D152&lt;&gt;"",VLOOKUP($D152,'SINAPI FEVEREIRO 2022'!$1:$1048576,2,FALSE),"")</f>
        <v>ARGAMASSA TRAÇO 1:0,5:4,5 (EM VOLUME DE CIMENTO, CAL E AREIA MÉDIA ÚMIDA) PARA ASSENTAMENTO DE ALVENARIA, PREPARO MANUAL. AF_08/2019</v>
      </c>
      <c r="F152" s="173" t="str">
        <f>IF($D152&lt;&gt;"",VLOOKUP($D152,'SINAPI FEVEREIRO 2022'!$1:$1048576,3,FALSE),"")</f>
        <v>M3</v>
      </c>
      <c r="G152" s="371">
        <v>0.05</v>
      </c>
      <c r="H152" s="379">
        <f>IF($D152&lt;&gt;"",VLOOKUP($D152,'SINAPI FEVEREIRO 2022'!$1:$1048576,4,FALSE),"")</f>
        <v>536.11</v>
      </c>
      <c r="I152" s="397">
        <f>TRUNC(G152*H152,2)</f>
        <v>26.8</v>
      </c>
    </row>
    <row r="153" spans="2:9" s="244" customFormat="1">
      <c r="B153" s="179"/>
      <c r="C153" s="409"/>
      <c r="D153" s="179"/>
      <c r="E153" s="172"/>
      <c r="F153" s="173"/>
      <c r="G153" s="371"/>
      <c r="H153" s="379"/>
      <c r="I153" s="397"/>
    </row>
    <row r="154" spans="2:9" s="244" customFormat="1" ht="31.5" customHeight="1">
      <c r="B154" s="347" t="s">
        <v>7380</v>
      </c>
      <c r="C154" s="226"/>
      <c r="D154" s="226"/>
      <c r="E154" s="188" t="s">
        <v>5454</v>
      </c>
      <c r="F154" s="187" t="s">
        <v>24</v>
      </c>
      <c r="G154" s="305">
        <v>1</v>
      </c>
      <c r="H154" s="384"/>
      <c r="I154" s="396">
        <f>TRUNC(SUM(I155:I159),2)</f>
        <v>811.69</v>
      </c>
    </row>
    <row r="155" spans="2:9" s="244" customFormat="1" ht="36" customHeight="1">
      <c r="B155" s="591" t="s">
        <v>548</v>
      </c>
      <c r="C155" s="93" t="s">
        <v>6</v>
      </c>
      <c r="D155" s="93">
        <v>88316</v>
      </c>
      <c r="E155" s="172" t="str">
        <f>IF($D155&lt;&gt;"",VLOOKUP($D155,'SINAPI FEVEREIRO 2022'!$1:$1048576,2,FALSE),"")</f>
        <v>SERVENTE COM ENCARGOS COMPLEMENTARES</v>
      </c>
      <c r="F155" s="173" t="str">
        <f>IF($D155&lt;&gt;"",VLOOKUP($D155,'SINAPI FEVEREIRO 2022'!$1:$1048576,3,FALSE),"")</f>
        <v>H</v>
      </c>
      <c r="G155" s="342">
        <v>5.3</v>
      </c>
      <c r="H155" s="379">
        <f>IF($D155&lt;&gt;"",VLOOKUP($D155,'SINAPI FEVEREIRO 2022'!$1:$1048576,4,FALSE),"")</f>
        <v>15.16</v>
      </c>
      <c r="I155" s="397">
        <f>TRUNC(G155*H155,2)</f>
        <v>80.34</v>
      </c>
    </row>
    <row r="156" spans="2:9" s="244" customFormat="1" ht="36" customHeight="1">
      <c r="B156" s="591" t="s">
        <v>548</v>
      </c>
      <c r="C156" s="93" t="s">
        <v>6</v>
      </c>
      <c r="D156" s="93">
        <v>88309</v>
      </c>
      <c r="E156" s="172" t="str">
        <f>IF($D156&lt;&gt;"",VLOOKUP($D156,'SINAPI FEVEREIRO 2022'!$1:$1048576,2,FALSE),"")</f>
        <v>PEDREIRO COM ENCARGOS COMPLEMENTARES</v>
      </c>
      <c r="F156" s="173" t="str">
        <f>IF($D156&lt;&gt;"",VLOOKUP($D156,'SINAPI FEVEREIRO 2022'!$1:$1048576,3,FALSE),"")</f>
        <v>H</v>
      </c>
      <c r="G156" s="342">
        <v>1.52</v>
      </c>
      <c r="H156" s="379">
        <f>IF($D156&lt;&gt;"",VLOOKUP($D156,'SINAPI FEVEREIRO 2022'!$1:$1048576,4,FALSE),"")</f>
        <v>18.86</v>
      </c>
      <c r="I156" s="397">
        <f>TRUNC(G156*H156,2)</f>
        <v>28.66</v>
      </c>
    </row>
    <row r="157" spans="2:9" s="244" customFormat="1" ht="36" customHeight="1">
      <c r="B157" s="591" t="s">
        <v>548</v>
      </c>
      <c r="C157" s="93" t="s">
        <v>6</v>
      </c>
      <c r="D157" s="93">
        <v>88315</v>
      </c>
      <c r="E157" s="172" t="str">
        <f>IF($D157&lt;&gt;"",VLOOKUP($D157,'SINAPI FEVEREIRO 2022'!$1:$1048576,2,FALSE),"")</f>
        <v>SERRALHEIRO COM ENCARGOS COMPLEMENTARES</v>
      </c>
      <c r="F157" s="173" t="str">
        <f>IF($D157&lt;&gt;"",VLOOKUP($D157,'SINAPI FEVEREIRO 2022'!$1:$1048576,3,FALSE),"")</f>
        <v>H</v>
      </c>
      <c r="G157" s="342">
        <v>3.02</v>
      </c>
      <c r="H157" s="379">
        <f>IF($D157&lt;&gt;"",VLOOKUP($D157,'SINAPI FEVEREIRO 2022'!$1:$1048576,4,FALSE),"")</f>
        <v>18.75</v>
      </c>
      <c r="I157" s="397">
        <f>TRUNC(G157*H157,2)</f>
        <v>56.62</v>
      </c>
    </row>
    <row r="158" spans="2:9" s="244" customFormat="1" ht="36" customHeight="1">
      <c r="B158" s="591" t="s">
        <v>548</v>
      </c>
      <c r="C158" s="93" t="s">
        <v>6</v>
      </c>
      <c r="D158" s="93">
        <v>88627</v>
      </c>
      <c r="E158" s="172" t="str">
        <f>IF($D158&lt;&gt;"",VLOOKUP($D158,'SINAPI FEVEREIRO 2022'!$1:$1048576,2,FALSE),"")</f>
        <v>ARGAMASSA TRAÇO 1:0,5:4,5 (EM VOLUME DE CIMENTO, CAL E AREIA MÉDIA ÚMIDA) PARA ASSENTAMENTO DE ALVENARIA, PREPARO MANUAL. AF_08/2019</v>
      </c>
      <c r="F158" s="173" t="str">
        <f>IF($D158&lt;&gt;"",VLOOKUP($D158,'SINAPI FEVEREIRO 2022'!$1:$1048576,3,FALSE),"")</f>
        <v>M3</v>
      </c>
      <c r="G158" s="342">
        <v>1.1339999999999999E-2</v>
      </c>
      <c r="H158" s="379">
        <f>IF($D158&lt;&gt;"",VLOOKUP($D158,'SINAPI FEVEREIRO 2022'!$1:$1048576,4,FALSE),"")</f>
        <v>536.11</v>
      </c>
      <c r="I158" s="397">
        <f>TRUNC(G158*H158,2)</f>
        <v>6.07</v>
      </c>
    </row>
    <row r="159" spans="2:9" s="244" customFormat="1" ht="36" customHeight="1">
      <c r="B159" s="591" t="s">
        <v>546</v>
      </c>
      <c r="C159" s="93" t="s">
        <v>547</v>
      </c>
      <c r="D159" s="93"/>
      <c r="E159" s="486" t="s">
        <v>7381</v>
      </c>
      <c r="F159" s="173" t="s">
        <v>24</v>
      </c>
      <c r="G159" s="342">
        <v>1</v>
      </c>
      <c r="H159" s="379">
        <v>640</v>
      </c>
      <c r="I159" s="397">
        <f>TRUNC(G159*H159,2)</f>
        <v>640</v>
      </c>
    </row>
    <row r="160" spans="2:9" s="244" customFormat="1">
      <c r="B160" s="93"/>
      <c r="C160" s="93"/>
      <c r="D160" s="177"/>
      <c r="E160" s="172"/>
      <c r="F160" s="247"/>
      <c r="G160" s="302"/>
      <c r="H160" s="379"/>
      <c r="I160" s="397"/>
    </row>
    <row r="161" spans="2:9" ht="12.75" customHeight="1">
      <c r="B161" s="973" t="s">
        <v>3089</v>
      </c>
      <c r="C161" s="974"/>
      <c r="D161" s="974"/>
      <c r="E161" s="974"/>
      <c r="F161" s="974"/>
      <c r="G161" s="974"/>
      <c r="H161" s="974"/>
      <c r="I161" s="975"/>
    </row>
    <row r="162" spans="2:9">
      <c r="B162" s="346"/>
      <c r="C162" s="224"/>
      <c r="D162" s="224"/>
      <c r="E162" s="225"/>
      <c r="F162" s="224"/>
      <c r="G162" s="303"/>
      <c r="H162" s="380"/>
      <c r="I162" s="399"/>
    </row>
    <row r="163" spans="2:9" ht="25.5">
      <c r="B163" s="187" t="s">
        <v>4132</v>
      </c>
      <c r="C163" s="187"/>
      <c r="D163" s="187"/>
      <c r="E163" s="245" t="s">
        <v>5397</v>
      </c>
      <c r="F163" s="246" t="s">
        <v>14</v>
      </c>
      <c r="G163" s="304">
        <v>1</v>
      </c>
      <c r="H163" s="382"/>
      <c r="I163" s="396">
        <f>TRUNC(SUM(I164:I169),2)</f>
        <v>119.13</v>
      </c>
    </row>
    <row r="164" spans="2:9" ht="25.5">
      <c r="B164" s="93" t="s">
        <v>546</v>
      </c>
      <c r="C164" s="93" t="s">
        <v>6</v>
      </c>
      <c r="D164" s="93">
        <v>1322</v>
      </c>
      <c r="E164" s="172" t="str">
        <f>IF($D164&lt;&gt;"",VLOOKUP($D164,'SINAPI FEVEREIRO 2022'!$A$1:E113686,2,FALSE),"")</f>
        <v>CHAPA DE ACO FINA A QUENTE BITOLA MSG 16, E = 1,50 MM (12,00 KG/M2)</v>
      </c>
      <c r="F164" s="173" t="str">
        <f>IF($D164&lt;&gt;"",VLOOKUP($D164,'SINAPI FEVEREIRO 2022'!$1:$1048576,3,FALSE),"")</f>
        <v xml:space="preserve">KG    </v>
      </c>
      <c r="G164" s="410">
        <f>12*0.25*1</f>
        <v>3</v>
      </c>
      <c r="H164" s="379">
        <f>IF($D164&lt;&gt;"",VLOOKUP($D164,'SINAPI FEVEREIRO 2022'!$1:$1048576,4,FALSE),"")</f>
        <v>12.46</v>
      </c>
      <c r="I164" s="397">
        <f t="shared" ref="I164:I169" si="26">TRUNC(G164*H164,2)</f>
        <v>37.380000000000003</v>
      </c>
    </row>
    <row r="165" spans="2:9" ht="38.25">
      <c r="B165" s="93" t="s">
        <v>546</v>
      </c>
      <c r="C165" s="93" t="s">
        <v>6</v>
      </c>
      <c r="D165" s="93">
        <v>100719</v>
      </c>
      <c r="E165" s="172" t="str">
        <f>IF($D165&lt;&gt;"",VLOOKUP($D165,'SINAPI FEVEREIRO 2022'!$A$1:E113687,2,FALSE),"")</f>
        <v>PINTURA COM TINTA ALQUÍDICA DE FUNDO (TIPO ZARCÃO) PULVERIZADA SOBRE PERFIL METÁLICO EXECUTADO EM FÁBRICA (POR DEMÃO). AF_01/2020_P</v>
      </c>
      <c r="F165" s="173" t="str">
        <f>IF($D165&lt;&gt;"",VLOOKUP($D165,'SINAPI FEVEREIRO 2022'!$1:$1048576,3,FALSE),"")</f>
        <v>M2</v>
      </c>
      <c r="G165" s="410">
        <f>1*0.25*2</f>
        <v>0.5</v>
      </c>
      <c r="H165" s="379">
        <f>IF($D165&lt;&gt;"",VLOOKUP($D165,'SINAPI FEVEREIRO 2022'!$1:$1048576,4,FALSE),"")</f>
        <v>8.0500000000000007</v>
      </c>
      <c r="I165" s="397">
        <f t="shared" si="26"/>
        <v>4.0199999999999996</v>
      </c>
    </row>
    <row r="166" spans="2:9" ht="51">
      <c r="B166" s="93" t="s">
        <v>563</v>
      </c>
      <c r="C166" s="93" t="s">
        <v>6</v>
      </c>
      <c r="D166" s="93">
        <v>100759</v>
      </c>
      <c r="E166" s="172" t="str">
        <f>IF($D166&lt;&gt;"",VLOOKUP($D166,'SINAPI FEVEREIRO 2022'!$A$1:E113688,2,FALSE),"")</f>
        <v>PINTURA COM TINTA ALQUÍDICA DE ACABAMENTO (ESMALTE SINTÉTICO BRILHANTE) PULVERIZADA SOBRE SUPERFÍCIES METÁLICAS (EXCETO PERFIL) EXECUTADO EM OBRA (02 DEMÃOS). AF_01/2020_P</v>
      </c>
      <c r="F166" s="173" t="str">
        <f>IF($D166&lt;&gt;"",VLOOKUP($D166,'SINAPI FEVEREIRO 2022'!$1:$1048576,3,FALSE),"")</f>
        <v>M2</v>
      </c>
      <c r="G166" s="410">
        <f>1*0.25*2</f>
        <v>0.5</v>
      </c>
      <c r="H166" s="379">
        <f>IF($D166&lt;&gt;"",VLOOKUP($D166,'SINAPI FEVEREIRO 2022'!$1:$1048576,4,FALSE),"")</f>
        <v>34.76</v>
      </c>
      <c r="I166" s="397">
        <f t="shared" si="26"/>
        <v>17.38</v>
      </c>
    </row>
    <row r="167" spans="2:9" ht="25.5">
      <c r="B167" s="93" t="s">
        <v>563</v>
      </c>
      <c r="C167" s="93" t="s">
        <v>6</v>
      </c>
      <c r="D167" s="93">
        <v>98746</v>
      </c>
      <c r="E167" s="172" t="str">
        <f>IF($D167&lt;&gt;"",VLOOKUP($D167,'SINAPI FEVEREIRO 2022'!$A$1:E113689,2,FALSE),"")</f>
        <v>SOLDA DE TOPO EM CHAPA/PERFIL/TUBO DE AÇO CHANFRADO, ESPESSURA=1/4''. AF_06/2018</v>
      </c>
      <c r="F167" s="173" t="str">
        <f>IF($D167&lt;&gt;"",VLOOKUP($D167,'SINAPI FEVEREIRO 2022'!$1:$1048576,3,FALSE),"")</f>
        <v>M</v>
      </c>
      <c r="G167" s="410">
        <f>0.5+0.4</f>
        <v>0.9</v>
      </c>
      <c r="H167" s="379">
        <f>IF($D167&lt;&gt;"",VLOOKUP($D167,'SINAPI FEVEREIRO 2022'!$1:$1048576,4,FALSE),"")</f>
        <v>48.23</v>
      </c>
      <c r="I167" s="397">
        <f t="shared" si="26"/>
        <v>43.4</v>
      </c>
    </row>
    <row r="168" spans="2:9">
      <c r="B168" s="93" t="s">
        <v>563</v>
      </c>
      <c r="C168" s="93" t="s">
        <v>6</v>
      </c>
      <c r="D168" s="93">
        <v>88315</v>
      </c>
      <c r="E168" s="172" t="str">
        <f>IF($D168&lt;&gt;"",VLOOKUP($D168,'SINAPI FEVEREIRO 2022'!$A$1:E113690,2,FALSE),"")</f>
        <v>SERRALHEIRO COM ENCARGOS COMPLEMENTARES</v>
      </c>
      <c r="F168" s="173" t="str">
        <f>IF($D168&lt;&gt;"",VLOOKUP($D168,'SINAPI FEVEREIRO 2022'!$1:$1048576,3,FALSE),"")</f>
        <v>H</v>
      </c>
      <c r="G168" s="410">
        <v>0.5</v>
      </c>
      <c r="H168" s="379">
        <f>IF($D168&lt;&gt;"",VLOOKUP($D168,'SINAPI FEVEREIRO 2022'!$1:$1048576,4,FALSE),"")</f>
        <v>18.75</v>
      </c>
      <c r="I168" s="397">
        <f t="shared" si="26"/>
        <v>9.3699999999999992</v>
      </c>
    </row>
    <row r="169" spans="2:9">
      <c r="B169" s="93" t="s">
        <v>563</v>
      </c>
      <c r="C169" s="93" t="s">
        <v>6</v>
      </c>
      <c r="D169" s="93">
        <v>88316</v>
      </c>
      <c r="E169" s="172" t="str">
        <f>IF($D169&lt;&gt;"",VLOOKUP($D169,'SINAPI FEVEREIRO 2022'!$A$1:E113691,2,FALSE),"")</f>
        <v>SERVENTE COM ENCARGOS COMPLEMENTARES</v>
      </c>
      <c r="F169" s="173" t="str">
        <f>IF($D169&lt;&gt;"",VLOOKUP($D169,'SINAPI FEVEREIRO 2022'!$1:$1048576,3,FALSE),"")</f>
        <v>H</v>
      </c>
      <c r="G169" s="410">
        <v>0.5</v>
      </c>
      <c r="H169" s="379">
        <f>IF($D169&lt;&gt;"",VLOOKUP($D169,'SINAPI FEVEREIRO 2022'!$1:$1048576,4,FALSE),"")</f>
        <v>15.16</v>
      </c>
      <c r="I169" s="397">
        <f t="shared" si="26"/>
        <v>7.58</v>
      </c>
    </row>
    <row r="170" spans="2:9">
      <c r="B170" s="218"/>
      <c r="C170" s="218"/>
      <c r="D170" s="218"/>
      <c r="E170" s="218"/>
      <c r="F170" s="218"/>
      <c r="G170" s="218"/>
      <c r="H170" s="218"/>
      <c r="I170" s="218"/>
    </row>
    <row r="171" spans="2:9" ht="13.5" customHeight="1">
      <c r="B171" s="973" t="s">
        <v>3250</v>
      </c>
      <c r="C171" s="974"/>
      <c r="D171" s="974"/>
      <c r="E171" s="974"/>
      <c r="F171" s="974"/>
      <c r="G171" s="974"/>
      <c r="H171" s="974"/>
      <c r="I171" s="975"/>
    </row>
    <row r="172" spans="2:9">
      <c r="B172" s="346"/>
      <c r="C172" s="224"/>
      <c r="D172" s="224"/>
      <c r="E172" s="225"/>
      <c r="F172" s="224"/>
      <c r="G172" s="303"/>
      <c r="H172" s="380"/>
      <c r="I172" s="399"/>
    </row>
    <row r="173" spans="2:9">
      <c r="B173" s="223" t="s">
        <v>5402</v>
      </c>
      <c r="C173" s="222"/>
      <c r="D173" s="222"/>
      <c r="E173" s="95" t="s">
        <v>4120</v>
      </c>
      <c r="F173" s="96" t="s">
        <v>32</v>
      </c>
      <c r="G173" s="301">
        <v>1</v>
      </c>
      <c r="H173" s="378"/>
      <c r="I173" s="396">
        <f>TRUNC(SUM(I174:I175),2)</f>
        <v>2.0699999999999998</v>
      </c>
    </row>
    <row r="174" spans="2:9" ht="25.5">
      <c r="B174" s="93" t="s">
        <v>546</v>
      </c>
      <c r="C174" s="93" t="s">
        <v>6</v>
      </c>
      <c r="D174" s="97">
        <v>3767</v>
      </c>
      <c r="E174" s="172" t="str">
        <f>IF($D174&lt;&gt;"",VLOOKUP($D174,'SINAPI FEVEREIRO 2022'!$1:$1048576,2,FALSE),"")</f>
        <v>LIXA EM FOLHA PARA PAREDE OU MADEIRA, NUMERO 120, COR VERMELHA</v>
      </c>
      <c r="F174" s="173" t="str">
        <f>IF($D174&lt;&gt;"",VLOOKUP($D174,'SINAPI FEVEREIRO 2022'!$1:$1048576,3,FALSE),"")</f>
        <v xml:space="preserve">UN    </v>
      </c>
      <c r="G174" s="307">
        <v>0.5</v>
      </c>
      <c r="H174" s="379">
        <f>IF($D174&lt;&gt;"",VLOOKUP($D174,'SINAPI FEVEREIRO 2022'!$1:$1048576,4,FALSE),"")</f>
        <v>1.1200000000000001</v>
      </c>
      <c r="I174" s="404">
        <f>TRUNC(H174*G174,2)</f>
        <v>0.56000000000000005</v>
      </c>
    </row>
    <row r="175" spans="2:9">
      <c r="B175" s="93" t="s">
        <v>563</v>
      </c>
      <c r="C175" s="93" t="s">
        <v>6</v>
      </c>
      <c r="D175" s="97">
        <v>88316</v>
      </c>
      <c r="E175" s="172" t="str">
        <f>IF($D175&lt;&gt;"",VLOOKUP($D175,'SINAPI FEVEREIRO 2022'!$1:$1048576,2,FALSE),"")</f>
        <v>SERVENTE COM ENCARGOS COMPLEMENTARES</v>
      </c>
      <c r="F175" s="173" t="str">
        <f>IF($D175&lt;&gt;"",VLOOKUP($D175,'SINAPI FEVEREIRO 2022'!$1:$1048576,3,FALSE),"")</f>
        <v>H</v>
      </c>
      <c r="G175" s="307">
        <v>0.1</v>
      </c>
      <c r="H175" s="379">
        <f>IF($D175&lt;&gt;"",VLOOKUP($D175,'SINAPI FEVEREIRO 2022'!$1:$1048576,4,FALSE),"")</f>
        <v>15.16</v>
      </c>
      <c r="I175" s="404">
        <f>TRUNC(H175*G175,2)</f>
        <v>1.51</v>
      </c>
    </row>
    <row r="176" spans="2:9">
      <c r="B176" s="346"/>
      <c r="C176" s="224"/>
      <c r="D176" s="224"/>
      <c r="E176" s="225"/>
      <c r="F176" s="224"/>
      <c r="G176" s="303"/>
      <c r="H176" s="380"/>
      <c r="I176" s="399"/>
    </row>
    <row r="177" spans="2:9" ht="25.5">
      <c r="B177" s="223" t="s">
        <v>5403</v>
      </c>
      <c r="C177" s="223"/>
      <c r="D177" s="223"/>
      <c r="E177" s="95" t="s">
        <v>6956</v>
      </c>
      <c r="F177" s="96" t="s">
        <v>32</v>
      </c>
      <c r="G177" s="301">
        <v>1</v>
      </c>
      <c r="H177" s="378"/>
      <c r="I177" s="396">
        <f>TRUNC(SUM(I178:L179),2)</f>
        <v>14.13</v>
      </c>
    </row>
    <row r="178" spans="2:9">
      <c r="B178" s="93" t="s">
        <v>546</v>
      </c>
      <c r="C178" s="93" t="s">
        <v>6</v>
      </c>
      <c r="D178" s="176">
        <v>43650</v>
      </c>
      <c r="E178" s="172" t="str">
        <f>IF($D178&lt;&gt;"",VLOOKUP($D178,'SINAPI FEVEREIRO 2022'!$1:$1048576,2,FALSE),"")</f>
        <v>TINTA ESMALTE BASE AGUA PREMIUM BRILHANTE</v>
      </c>
      <c r="F178" s="173" t="str">
        <f>IF($D178&lt;&gt;"",VLOOKUP($D178,'SINAPI FEVEREIRO 2022'!$1:$1048576,3,FALSE),"")</f>
        <v xml:space="preserve">L     </v>
      </c>
      <c r="G178" s="302">
        <v>0.21</v>
      </c>
      <c r="H178" s="379">
        <f>IF($D178&lt;&gt;"",VLOOKUP($D178,'SINAPI FEVEREIRO 2022'!$1:$1048576,4,FALSE),"")</f>
        <v>29.38</v>
      </c>
      <c r="I178" s="398">
        <f t="shared" ref="I178:I179" si="27">TRUNC(H178*G178,2)</f>
        <v>6.16</v>
      </c>
    </row>
    <row r="179" spans="2:9">
      <c r="B179" s="93" t="s">
        <v>563</v>
      </c>
      <c r="C179" s="93" t="s">
        <v>6</v>
      </c>
      <c r="D179" s="176">
        <v>88310</v>
      </c>
      <c r="E179" s="172" t="str">
        <f>IF($D179&lt;&gt;"",VLOOKUP($D179,'SINAPI FEVEREIRO 2022'!$1:$1048576,2,FALSE),"")</f>
        <v>PINTOR COM ENCARGOS COMPLEMENTARES</v>
      </c>
      <c r="F179" s="173" t="str">
        <f>IF($D179&lt;&gt;"",VLOOKUP($D179,'SINAPI FEVEREIRO 2022'!$1:$1048576,3,FALSE),"")</f>
        <v>H</v>
      </c>
      <c r="G179" s="302">
        <v>0.4</v>
      </c>
      <c r="H179" s="379">
        <f>IF($D179&lt;&gt;"",VLOOKUP($D179,'SINAPI FEVEREIRO 2022'!$1:$1048576,4,FALSE),"")</f>
        <v>19.940000000000001</v>
      </c>
      <c r="I179" s="398">
        <f t="shared" si="27"/>
        <v>7.97</v>
      </c>
    </row>
    <row r="180" spans="2:9">
      <c r="B180" s="346"/>
      <c r="C180" s="224"/>
      <c r="D180" s="224"/>
      <c r="E180" s="225"/>
      <c r="F180" s="224"/>
      <c r="G180" s="303"/>
      <c r="H180" s="380"/>
      <c r="I180" s="399"/>
    </row>
    <row r="181" spans="2:9">
      <c r="B181" s="972" t="s">
        <v>6964</v>
      </c>
      <c r="C181" s="972"/>
      <c r="D181" s="972"/>
      <c r="E181" s="972"/>
      <c r="F181" s="972"/>
      <c r="G181" s="972"/>
      <c r="H181" s="972"/>
      <c r="I181" s="972"/>
    </row>
    <row r="182" spans="2:9">
      <c r="B182" s="93"/>
      <c r="C182" s="93"/>
      <c r="D182" s="176"/>
      <c r="E182" s="172"/>
      <c r="F182" s="173"/>
      <c r="G182" s="302"/>
      <c r="H182" s="379"/>
      <c r="I182" s="398"/>
    </row>
    <row r="183" spans="2:9" ht="33.75" customHeight="1">
      <c r="B183" s="223" t="s">
        <v>6963</v>
      </c>
      <c r="C183" s="223"/>
      <c r="D183" s="223"/>
      <c r="E183" s="95" t="s">
        <v>6970</v>
      </c>
      <c r="F183" s="96" t="s">
        <v>32</v>
      </c>
      <c r="G183" s="301">
        <v>1</v>
      </c>
      <c r="H183" s="378"/>
      <c r="I183" s="396">
        <f>TRUNC(SUM(I184:I186),2)</f>
        <v>128.69999999999999</v>
      </c>
    </row>
    <row r="184" spans="2:9">
      <c r="B184" s="93" t="s">
        <v>563</v>
      </c>
      <c r="C184" s="93" t="s">
        <v>6</v>
      </c>
      <c r="D184" s="97">
        <v>88309</v>
      </c>
      <c r="E184" s="172" t="str">
        <f>IF($D184&lt;&gt;"",VLOOKUP($D184,'SINAPI FEVEREIRO 2022'!$1:$1048576,2,FALSE),"")</f>
        <v>PEDREIRO COM ENCARGOS COMPLEMENTARES</v>
      </c>
      <c r="F184" s="173" t="str">
        <f>IF($D184&lt;&gt;"",VLOOKUP($D184,'SINAPI FEVEREIRO 2022'!$1:$1048576,3,FALSE),"")</f>
        <v>H</v>
      </c>
      <c r="G184" s="410">
        <v>0.1</v>
      </c>
      <c r="H184" s="379">
        <f>IF($D184&lt;&gt;"",VLOOKUP($D184,'SINAPI FEVEREIRO 2022'!$1:$1048576,4,FALSE),"")</f>
        <v>18.86</v>
      </c>
      <c r="I184" s="398">
        <f>TRUNC(H184*G184,2)</f>
        <v>1.88</v>
      </c>
    </row>
    <row r="185" spans="2:9">
      <c r="B185" s="93" t="s">
        <v>563</v>
      </c>
      <c r="C185" s="93" t="s">
        <v>6</v>
      </c>
      <c r="D185" s="97">
        <v>88316</v>
      </c>
      <c r="E185" s="172" t="str">
        <f>IF($D185&lt;&gt;"",VLOOKUP($D185,'SINAPI FEVEREIRO 2022'!$1:$1048576,2,FALSE),"")</f>
        <v>SERVENTE COM ENCARGOS COMPLEMENTARES</v>
      </c>
      <c r="F185" s="173" t="str">
        <f>IF($D185&lt;&gt;"",VLOOKUP($D185,'SINAPI FEVEREIRO 2022'!$1:$1048576,3,FALSE),"")</f>
        <v>H</v>
      </c>
      <c r="G185" s="410">
        <v>0.1</v>
      </c>
      <c r="H185" s="379">
        <f>IF($D185&lt;&gt;"",VLOOKUP($D185,'SINAPI FEVEREIRO 2022'!$1:$1048576,4,FALSE),"")</f>
        <v>15.16</v>
      </c>
      <c r="I185" s="398">
        <f>TRUNC(H185*G185,2)</f>
        <v>1.51</v>
      </c>
    </row>
    <row r="186" spans="2:9" ht="24.75" customHeight="1">
      <c r="B186" s="93" t="s">
        <v>546</v>
      </c>
      <c r="C186" s="93" t="s">
        <v>6</v>
      </c>
      <c r="D186" s="97">
        <v>40652</v>
      </c>
      <c r="E186" s="172" t="str">
        <f>IF($D186&lt;&gt;"",VLOOKUP($D186,'SINAPI FEVEREIRO 2022'!$1:$1048576,2,FALSE),"")</f>
        <v>PISO FULGET (GRANITO LAVADO) MOLDADO IN LOCO (INCLUSO EXECUCAO)</v>
      </c>
      <c r="F186" s="173" t="str">
        <f>IF($D186&lt;&gt;"",VLOOKUP($D186,'SINAPI FEVEREIRO 2022'!$1:$1048576,3,FALSE),"")</f>
        <v xml:space="preserve">M2    </v>
      </c>
      <c r="G186" s="410">
        <v>1</v>
      </c>
      <c r="H186" s="379">
        <f>IF($D186&lt;&gt;"",VLOOKUP($D186,'SINAPI FEVEREIRO 2022'!$1:$1048576,4,FALSE),"")</f>
        <v>125.31</v>
      </c>
      <c r="I186" s="398">
        <f>TRUNC(H186*G186,2)</f>
        <v>125.31</v>
      </c>
    </row>
    <row r="187" spans="2:9" ht="24.75" customHeight="1">
      <c r="B187" s="223" t="s">
        <v>7282</v>
      </c>
      <c r="C187" s="223"/>
      <c r="D187" s="223"/>
      <c r="E187" s="95" t="s">
        <v>7283</v>
      </c>
      <c r="F187" s="96" t="s">
        <v>32</v>
      </c>
      <c r="G187" s="301">
        <v>1</v>
      </c>
      <c r="H187" s="378"/>
      <c r="I187" s="396">
        <f>TRUNC(SUM(I188:I190),2)</f>
        <v>91.39</v>
      </c>
    </row>
    <row r="188" spans="2:9" ht="24.75" customHeight="1">
      <c r="B188" s="93" t="s">
        <v>563</v>
      </c>
      <c r="C188" s="93" t="s">
        <v>6</v>
      </c>
      <c r="D188" s="97">
        <v>88309</v>
      </c>
      <c r="E188" s="172" t="str">
        <f>IF($D188&lt;&gt;"",VLOOKUP($D188,'SINAPI FEVEREIRO 2022'!$1:$1048576,2,FALSE),"")</f>
        <v>PEDREIRO COM ENCARGOS COMPLEMENTARES</v>
      </c>
      <c r="F188" s="173" t="str">
        <f>IF($D188&lt;&gt;"",VLOOKUP($D188,'SINAPI FEVEREIRO 2022'!$1:$1048576,3,FALSE),"")</f>
        <v>H</v>
      </c>
      <c r="G188" s="410">
        <v>0.1</v>
      </c>
      <c r="H188" s="379">
        <f>IF($D188&lt;&gt;"",VLOOKUP($D188,'SINAPI FEVEREIRO 2022'!$1:$1048576,4,FALSE),"")</f>
        <v>18.86</v>
      </c>
      <c r="I188" s="398">
        <f>TRUNC(H188*G188,2)</f>
        <v>1.88</v>
      </c>
    </row>
    <row r="189" spans="2:9" ht="24.75" customHeight="1">
      <c r="B189" s="93" t="s">
        <v>563</v>
      </c>
      <c r="C189" s="93" t="s">
        <v>6</v>
      </c>
      <c r="D189" s="97">
        <v>88316</v>
      </c>
      <c r="E189" s="172" t="str">
        <f>IF($D189&lt;&gt;"",VLOOKUP($D189,'SINAPI FEVEREIRO 2022'!$1:$1048576,2,FALSE),"")</f>
        <v>SERVENTE COM ENCARGOS COMPLEMENTARES</v>
      </c>
      <c r="F189" s="173" t="str">
        <f>IF($D189&lt;&gt;"",VLOOKUP($D189,'SINAPI FEVEREIRO 2022'!$1:$1048576,3,FALSE),"")</f>
        <v>H</v>
      </c>
      <c r="G189" s="410">
        <v>0.1</v>
      </c>
      <c r="H189" s="379">
        <f>IF($D189&lt;&gt;"",VLOOKUP($D189,'SINAPI FEVEREIRO 2022'!$1:$1048576,4,FALSE),"")</f>
        <v>15.16</v>
      </c>
      <c r="I189" s="398">
        <f>TRUNC(H189*G189,2)</f>
        <v>1.51</v>
      </c>
    </row>
    <row r="190" spans="2:9" ht="24.75" customHeight="1">
      <c r="B190" s="93" t="s">
        <v>546</v>
      </c>
      <c r="C190" s="93" t="s">
        <v>6</v>
      </c>
      <c r="D190" s="97">
        <v>4786</v>
      </c>
      <c r="E190" s="172" t="str">
        <f>IF($D190&lt;&gt;"",VLOOKUP($D190,'SINAPI FEVEREIRO 2022'!$1:$1048576,2,FALSE),"")</f>
        <v>PISO EM GRANILITE, MARMORITE OU GRANITINA, AGREGADO COR PRETO, CINZA, PALHA OU BRANCO, E=  *8* MM (INCLUSO EXECUCAO)</v>
      </c>
      <c r="F190" s="173" t="str">
        <f>IF($D190&lt;&gt;"",VLOOKUP($D190,'SINAPI FEVEREIRO 2022'!$1:$1048576,3,FALSE),"")</f>
        <v xml:space="preserve">M2    </v>
      </c>
      <c r="G190" s="410">
        <v>1</v>
      </c>
      <c r="H190" s="379">
        <f>IF($D190&lt;&gt;"",VLOOKUP($D190,'SINAPI FEVEREIRO 2022'!$1:$1048576,4,FALSE),"")</f>
        <v>88</v>
      </c>
      <c r="I190" s="398">
        <f>TRUNC(H190*G190,2)</f>
        <v>88</v>
      </c>
    </row>
    <row r="191" spans="2:9">
      <c r="B191" s="93"/>
      <c r="C191" s="93"/>
      <c r="D191" s="176"/>
      <c r="E191" s="172"/>
      <c r="F191" s="173"/>
      <c r="G191" s="302"/>
      <c r="H191" s="379"/>
      <c r="I191" s="398"/>
    </row>
    <row r="192" spans="2:9">
      <c r="B192" s="972" t="s">
        <v>6146</v>
      </c>
      <c r="C192" s="972"/>
      <c r="D192" s="972"/>
      <c r="E192" s="972"/>
      <c r="F192" s="972"/>
      <c r="G192" s="972"/>
      <c r="H192" s="972"/>
      <c r="I192" s="972"/>
    </row>
    <row r="193" spans="2:9">
      <c r="B193" s="433"/>
      <c r="C193" s="433"/>
      <c r="D193" s="433"/>
      <c r="E193" s="433"/>
      <c r="F193" s="433"/>
      <c r="G193" s="433"/>
      <c r="H193" s="433"/>
      <c r="I193" s="433"/>
    </row>
    <row r="194" spans="2:9" ht="25.5">
      <c r="B194" s="183" t="s">
        <v>7013</v>
      </c>
      <c r="C194" s="183"/>
      <c r="D194" s="183"/>
      <c r="E194" s="180" t="s">
        <v>7014</v>
      </c>
      <c r="F194" s="181" t="s">
        <v>656</v>
      </c>
      <c r="G194" s="308">
        <v>1</v>
      </c>
      <c r="H194" s="378"/>
      <c r="I194" s="396">
        <f>TRUNC(SUM(I195:I202),2)</f>
        <v>66.09</v>
      </c>
    </row>
    <row r="195" spans="2:9" ht="25.5">
      <c r="B195" s="182" t="s">
        <v>563</v>
      </c>
      <c r="C195" s="182" t="s">
        <v>6</v>
      </c>
      <c r="D195" s="182">
        <v>88248</v>
      </c>
      <c r="E195" s="172" t="str">
        <f>IF($D195&lt;&gt;"",VLOOKUP($D195,'SINAPI FEVEREIRO 2022'!$1:$1048576,2,FALSE),"")</f>
        <v>AUXILIAR DE ENCANADOR OU BOMBEIRO HIDRÁULICO COM ENCARGOS COMPLEMENTARES</v>
      </c>
      <c r="F195" s="173" t="str">
        <f>IF($D195&lt;&gt;"",VLOOKUP($D195,'SINAPI FEVEREIRO 2022'!$1:$1048576,3,FALSE),"")</f>
        <v>H</v>
      </c>
      <c r="G195" s="309">
        <v>0.38</v>
      </c>
      <c r="H195" s="379">
        <f>IF($D195&lt;&gt;"",VLOOKUP($D195,'SINAPI FEVEREIRO 2022'!$1:$1048576,4,FALSE),"")</f>
        <v>15.54</v>
      </c>
      <c r="I195" s="397">
        <f t="shared" ref="I195:I200" si="28">TRUNC(H195*G195,2)</f>
        <v>5.9</v>
      </c>
    </row>
    <row r="196" spans="2:9" ht="25.5">
      <c r="B196" s="182" t="s">
        <v>563</v>
      </c>
      <c r="C196" s="182" t="s">
        <v>6</v>
      </c>
      <c r="D196" s="182">
        <v>88267</v>
      </c>
      <c r="E196" s="172" t="str">
        <f>IF($D196&lt;&gt;"",VLOOKUP($D196,'SINAPI FEVEREIRO 2022'!$1:$1048576,2,FALSE),"")</f>
        <v>ENCANADOR OU BOMBEIRO HIDRÁULICO COM ENCARGOS COMPLEMENTARES</v>
      </c>
      <c r="F196" s="173" t="str">
        <f>IF($D196&lt;&gt;"",VLOOKUP($D196,'SINAPI FEVEREIRO 2022'!$1:$1048576,3,FALSE),"")</f>
        <v>H</v>
      </c>
      <c r="G196" s="309">
        <v>0.38</v>
      </c>
      <c r="H196" s="379">
        <f>IF($D196&lt;&gt;"",VLOOKUP($D196,'SINAPI FEVEREIRO 2022'!$1:$1048576,4,FALSE),"")</f>
        <v>18.72</v>
      </c>
      <c r="I196" s="397">
        <f t="shared" si="28"/>
        <v>7.11</v>
      </c>
    </row>
    <row r="197" spans="2:9">
      <c r="B197" s="182" t="s">
        <v>546</v>
      </c>
      <c r="C197" s="182" t="s">
        <v>6</v>
      </c>
      <c r="D197" s="182">
        <v>122</v>
      </c>
      <c r="E197" s="172" t="str">
        <f>IF($D197&lt;&gt;"",VLOOKUP($D197,'SINAPI FEVEREIRO 2022'!$1:$1048576,2,FALSE),"")</f>
        <v>ADESIVO PLASTICO PARA PVC, FRASCO COM *850* GR</v>
      </c>
      <c r="F197" s="173" t="str">
        <f>IF($D197&lt;&gt;"",VLOOKUP($D197,'SINAPI FEVEREIRO 2022'!$1:$1048576,3,FALSE),"")</f>
        <v xml:space="preserve">UN    </v>
      </c>
      <c r="G197" s="448">
        <v>1.4800000000000001E-2</v>
      </c>
      <c r="H197" s="379">
        <f>IF($D197&lt;&gt;"",VLOOKUP($D197,'SINAPI FEVEREIRO 2022'!$1:$1048576,4,FALSE),"")</f>
        <v>76.94</v>
      </c>
      <c r="I197" s="397">
        <f t="shared" si="28"/>
        <v>1.1299999999999999</v>
      </c>
    </row>
    <row r="198" spans="2:9" ht="25.5">
      <c r="B198" s="182" t="s">
        <v>546</v>
      </c>
      <c r="C198" s="182" t="s">
        <v>6</v>
      </c>
      <c r="D198" s="182">
        <v>297</v>
      </c>
      <c r="E198" s="172" t="str">
        <f>IF($D198&lt;&gt;"",VLOOKUP($D198,'SINAPI FEVEREIRO 2022'!$1:$1048576,2,FALSE),"")</f>
        <v>ANEL BORRACHA PARA TUBO ESGOTO PREDIAL, DN 75 MM (NBR 5688)</v>
      </c>
      <c r="F198" s="173" t="str">
        <f>IF($D198&lt;&gt;"",VLOOKUP($D198,'SINAPI FEVEREIRO 2022'!$1:$1048576,3,FALSE),"")</f>
        <v xml:space="preserve">UN    </v>
      </c>
      <c r="G198" s="309">
        <v>1</v>
      </c>
      <c r="H198" s="379">
        <f>IF($D198&lt;&gt;"",VLOOKUP($D198,'SINAPI FEVEREIRO 2022'!$1:$1048576,4,FALSE),"")</f>
        <v>4.0199999999999996</v>
      </c>
      <c r="I198" s="397">
        <f t="shared" si="28"/>
        <v>4.0199999999999996</v>
      </c>
    </row>
    <row r="199" spans="2:9" ht="25.5">
      <c r="B199" s="182" t="s">
        <v>546</v>
      </c>
      <c r="C199" s="182" t="s">
        <v>6</v>
      </c>
      <c r="D199" s="182">
        <v>11712</v>
      </c>
      <c r="E199" s="172" t="str">
        <f>IF($D199&lt;&gt;"",VLOOKUP($D199,'SINAPI FEVEREIRO 2022'!$1:$1048576,2,FALSE),"")</f>
        <v>CAIXA SIFONADA, PVC, 150 X 150 X 50 MM, COM GRELHA QUADRADA, BRANCA (NBR 5688)</v>
      </c>
      <c r="F199" s="173" t="str">
        <f>IF($D199&lt;&gt;"",VLOOKUP($D199,'SINAPI FEVEREIRO 2022'!$1:$1048576,3,FALSE),"")</f>
        <v xml:space="preserve">UN    </v>
      </c>
      <c r="G199" s="309">
        <v>1</v>
      </c>
      <c r="H199" s="379">
        <f>IF($D199&lt;&gt;"",VLOOKUP($D199,'SINAPI FEVEREIRO 2022'!$1:$1048576,4,FALSE),"")</f>
        <v>44.9</v>
      </c>
      <c r="I199" s="397">
        <f t="shared" si="28"/>
        <v>44.9</v>
      </c>
    </row>
    <row r="200" spans="2:9" ht="38.25">
      <c r="B200" s="182" t="s">
        <v>546</v>
      </c>
      <c r="C200" s="182" t="s">
        <v>6</v>
      </c>
      <c r="D200" s="182">
        <v>20078</v>
      </c>
      <c r="E200" s="172" t="str">
        <f>IF($D200&lt;&gt;"",VLOOKUP($D200,'SINAPI FEVEREIRO 2022'!$1:$1048576,2,FALSE),"")</f>
        <v>PASTA LUBRIFICANTE PARA TUBOS E CONEXOES COM JUNTA ELASTICA, EMBALAGEM DE *400* GR (USO EM PVC, ACO, POLIETILENO E OUTROS)</v>
      </c>
      <c r="F200" s="173" t="str">
        <f>IF($D200&lt;&gt;"",VLOOKUP($D200,'SINAPI FEVEREIRO 2022'!$1:$1048576,3,FALSE),"")</f>
        <v xml:space="preserve">UN    </v>
      </c>
      <c r="G200" s="309">
        <v>0.03</v>
      </c>
      <c r="H200" s="379">
        <f>IF($D200&lt;&gt;"",VLOOKUP($D200,'SINAPI FEVEREIRO 2022'!$1:$1048576,4,FALSE),"")</f>
        <v>31.75</v>
      </c>
      <c r="I200" s="397">
        <f t="shared" si="28"/>
        <v>0.95</v>
      </c>
    </row>
    <row r="201" spans="2:9" ht="25.5">
      <c r="B201" s="182" t="s">
        <v>546</v>
      </c>
      <c r="C201" s="182" t="s">
        <v>6</v>
      </c>
      <c r="D201" s="182">
        <v>20083</v>
      </c>
      <c r="E201" s="172" t="str">
        <f>IF($D201&lt;&gt;"",VLOOKUP($D201,'SINAPI FEVEREIRO 2022'!$1:$1048576,2,FALSE),"")</f>
        <v>SOLUCAO PREPARADORA / LIMPADORA PARA PVC, FRASCO COM 1000 CM3</v>
      </c>
      <c r="F201" s="173" t="str">
        <f>IF($D201&lt;&gt;"",VLOOKUP($D201,'SINAPI FEVEREIRO 2022'!$1:$1048576,3,FALSE),"")</f>
        <v xml:space="preserve">UN    </v>
      </c>
      <c r="G201" s="448">
        <v>2.2499999999999999E-2</v>
      </c>
      <c r="H201" s="379">
        <f>IF($D201&lt;&gt;"",VLOOKUP($D201,'SINAPI FEVEREIRO 2022'!$1:$1048576,4,FALSE),"")</f>
        <v>87.17</v>
      </c>
      <c r="I201" s="397">
        <f t="shared" ref="I201:I202" si="29">TRUNC(H201*G201,2)</f>
        <v>1.96</v>
      </c>
    </row>
    <row r="202" spans="2:9">
      <c r="B202" s="182" t="s">
        <v>546</v>
      </c>
      <c r="C202" s="182" t="s">
        <v>6</v>
      </c>
      <c r="D202" s="182">
        <v>38383</v>
      </c>
      <c r="E202" s="172" t="str">
        <f>IF($D202&lt;&gt;"",VLOOKUP($D202,'SINAPI FEVEREIRO 2022'!$1:$1048576,2,FALSE),"")</f>
        <v>LIXA D'AGUA EM FOLHA, GRAO 100</v>
      </c>
      <c r="F202" s="173" t="str">
        <f>IF($D202&lt;&gt;"",VLOOKUP($D202,'SINAPI FEVEREIRO 2022'!$1:$1048576,3,FALSE),"")</f>
        <v xml:space="preserve">UN    </v>
      </c>
      <c r="G202" s="447">
        <v>5.7000000000000002E-2</v>
      </c>
      <c r="H202" s="379">
        <f>IF($D202&lt;&gt;"",VLOOKUP($D202,'SINAPI FEVEREIRO 2022'!$1:$1048576,4,FALSE),"")</f>
        <v>2.2000000000000002</v>
      </c>
      <c r="I202" s="397">
        <f t="shared" si="29"/>
        <v>0.12</v>
      </c>
    </row>
    <row r="203" spans="2:9">
      <c r="B203" s="433"/>
      <c r="C203" s="433"/>
      <c r="D203" s="433"/>
      <c r="E203" s="433"/>
      <c r="F203" s="433"/>
      <c r="G203" s="433"/>
      <c r="H203" s="433"/>
      <c r="I203" s="433"/>
    </row>
    <row r="204" spans="2:9" ht="25.5">
      <c r="B204" s="183" t="s">
        <v>7015</v>
      </c>
      <c r="C204" s="183"/>
      <c r="D204" s="183"/>
      <c r="E204" s="180" t="s">
        <v>7016</v>
      </c>
      <c r="F204" s="181" t="s">
        <v>656</v>
      </c>
      <c r="G204" s="308">
        <v>1</v>
      </c>
      <c r="H204" s="378"/>
      <c r="I204" s="396">
        <f>TRUNC(SUM(I205:I208),2)</f>
        <v>19.899999999999999</v>
      </c>
    </row>
    <row r="205" spans="2:9" ht="25.5">
      <c r="B205" s="182" t="s">
        <v>563</v>
      </c>
      <c r="C205" s="182" t="s">
        <v>6</v>
      </c>
      <c r="D205" s="182">
        <v>88267</v>
      </c>
      <c r="E205" s="172" t="str">
        <f>IF($D205&lt;&gt;"",VLOOKUP($D205,'SINAPI FEVEREIRO 2022'!$1:$1048576,2,FALSE),"")</f>
        <v>ENCANADOR OU BOMBEIRO HIDRÁULICO COM ENCARGOS COMPLEMENTARES</v>
      </c>
      <c r="F205" s="173" t="str">
        <f>IF($D205&lt;&gt;"",VLOOKUP($D205,'SINAPI FEVEREIRO 2022'!$1:$1048576,3,FALSE),"")</f>
        <v>H</v>
      </c>
      <c r="G205" s="448">
        <v>8.4500000000000006E-2</v>
      </c>
      <c r="H205" s="379">
        <f>IF($D205&lt;&gt;"",VLOOKUP($D205,'SINAPI FEVEREIRO 2022'!$1:$1048576,4,FALSE),"")</f>
        <v>18.72</v>
      </c>
      <c r="I205" s="397">
        <f t="shared" ref="I205:I208" si="30">TRUNC(H205*G205,2)</f>
        <v>1.58</v>
      </c>
    </row>
    <row r="206" spans="2:9">
      <c r="B206" s="182" t="s">
        <v>563</v>
      </c>
      <c r="C206" s="182" t="s">
        <v>6</v>
      </c>
      <c r="D206" s="182">
        <v>88316</v>
      </c>
      <c r="E206" s="172" t="str">
        <f>IF($D206&lt;&gt;"",VLOOKUP($D206,'SINAPI FEVEREIRO 2022'!$1:$1048576,2,FALSE),"")</f>
        <v>SERVENTE COM ENCARGOS COMPLEMENTARES</v>
      </c>
      <c r="F206" s="173" t="str">
        <f>IF($D206&lt;&gt;"",VLOOKUP($D206,'SINAPI FEVEREIRO 2022'!$1:$1048576,3,FALSE),"")</f>
        <v>H</v>
      </c>
      <c r="G206" s="448">
        <v>2.6599999999999999E-2</v>
      </c>
      <c r="H206" s="379">
        <f>IF($D206&lt;&gt;"",VLOOKUP($D206,'SINAPI FEVEREIRO 2022'!$1:$1048576,4,FALSE),"")</f>
        <v>15.16</v>
      </c>
      <c r="I206" s="397">
        <f t="shared" si="30"/>
        <v>0.4</v>
      </c>
    </row>
    <row r="207" spans="2:9">
      <c r="B207" s="182" t="s">
        <v>546</v>
      </c>
      <c r="C207" s="182" t="s">
        <v>6</v>
      </c>
      <c r="D207" s="182">
        <v>3146</v>
      </c>
      <c r="E207" s="172" t="str">
        <f>IF($D207&lt;&gt;"",VLOOKUP($D207,'SINAPI FEVEREIRO 2022'!$1:$1048576,2,FALSE),"")</f>
        <v>FITA VEDA ROSCA EM ROLOS DE 18 MM X 10 M (L X C)</v>
      </c>
      <c r="F207" s="173" t="str">
        <f>IF($D207&lt;&gt;"",VLOOKUP($D207,'SINAPI FEVEREIRO 2022'!$1:$1048576,3,FALSE),"")</f>
        <v xml:space="preserve">UN    </v>
      </c>
      <c r="G207" s="448">
        <v>3.32E-2</v>
      </c>
      <c r="H207" s="379">
        <f>IF($D207&lt;&gt;"",VLOOKUP($D207,'SINAPI FEVEREIRO 2022'!$1:$1048576,4,FALSE),"")</f>
        <v>5</v>
      </c>
      <c r="I207" s="397">
        <f t="shared" si="30"/>
        <v>0.16</v>
      </c>
    </row>
    <row r="208" spans="2:9">
      <c r="B208" s="182" t="s">
        <v>546</v>
      </c>
      <c r="C208" s="182" t="s">
        <v>6</v>
      </c>
      <c r="D208" s="182">
        <v>20262</v>
      </c>
      <c r="E208" s="172" t="str">
        <f>IF($D208&lt;&gt;"",VLOOKUP($D208,'SINAPI FEVEREIRO 2022'!$1:$1048576,2,FALSE),"")</f>
        <v>SIFAO PLASTICO EXTENSIVEL UNIVERSAL, TIPO COPO</v>
      </c>
      <c r="F208" s="173" t="str">
        <f>IF($D208&lt;&gt;"",VLOOKUP($D208,'SINAPI FEVEREIRO 2022'!$1:$1048576,3,FALSE),"")</f>
        <v xml:space="preserve">UN    </v>
      </c>
      <c r="G208" s="309">
        <v>1</v>
      </c>
      <c r="H208" s="379">
        <f>IF($D208&lt;&gt;"",VLOOKUP($D208,'SINAPI FEVEREIRO 2022'!$1:$1048576,4,FALSE),"")</f>
        <v>17.760000000000002</v>
      </c>
      <c r="I208" s="397">
        <f t="shared" si="30"/>
        <v>17.760000000000002</v>
      </c>
    </row>
    <row r="209" spans="2:9">
      <c r="B209" s="182"/>
      <c r="C209" s="182"/>
      <c r="D209" s="182"/>
      <c r="E209" s="172"/>
      <c r="F209" s="173"/>
      <c r="G209" s="309"/>
      <c r="H209" s="379"/>
      <c r="I209" s="397"/>
    </row>
    <row r="210" spans="2:9" ht="25.5">
      <c r="B210" s="183" t="s">
        <v>7017</v>
      </c>
      <c r="C210" s="183"/>
      <c r="D210" s="183"/>
      <c r="E210" s="180" t="s">
        <v>7018</v>
      </c>
      <c r="F210" s="181" t="s">
        <v>656</v>
      </c>
      <c r="G210" s="308">
        <v>1</v>
      </c>
      <c r="H210" s="378"/>
      <c r="I210" s="396">
        <f>TRUNC(SUM(I211:I214),2)</f>
        <v>19.899999999999999</v>
      </c>
    </row>
    <row r="211" spans="2:9" ht="25.5">
      <c r="B211" s="182" t="s">
        <v>563</v>
      </c>
      <c r="C211" s="182" t="s">
        <v>6</v>
      </c>
      <c r="D211" s="182">
        <v>88267</v>
      </c>
      <c r="E211" s="172" t="str">
        <f>IF($D211&lt;&gt;"",VLOOKUP($D211,'SINAPI FEVEREIRO 2022'!$1:$1048576,2,FALSE),"")</f>
        <v>ENCANADOR OU BOMBEIRO HIDRÁULICO COM ENCARGOS COMPLEMENTARES</v>
      </c>
      <c r="F211" s="173" t="str">
        <f>IF($D211&lt;&gt;"",VLOOKUP($D211,'SINAPI FEVEREIRO 2022'!$1:$1048576,3,FALSE),"")</f>
        <v>H</v>
      </c>
      <c r="G211" s="448">
        <v>8.4500000000000006E-2</v>
      </c>
      <c r="H211" s="379">
        <f>IF($D211&lt;&gt;"",VLOOKUP($D211,'SINAPI FEVEREIRO 2022'!$1:$1048576,4,FALSE),"")</f>
        <v>18.72</v>
      </c>
      <c r="I211" s="397">
        <f t="shared" ref="I211:I214" si="31">TRUNC(H211*G211,2)</f>
        <v>1.58</v>
      </c>
    </row>
    <row r="212" spans="2:9">
      <c r="B212" s="182" t="s">
        <v>563</v>
      </c>
      <c r="C212" s="182" t="s">
        <v>6</v>
      </c>
      <c r="D212" s="182">
        <v>88316</v>
      </c>
      <c r="E212" s="172" t="str">
        <f>IF($D212&lt;&gt;"",VLOOKUP($D212,'SINAPI FEVEREIRO 2022'!$1:$1048576,2,FALSE),"")</f>
        <v>SERVENTE COM ENCARGOS COMPLEMENTARES</v>
      </c>
      <c r="F212" s="173" t="str">
        <f>IF($D212&lt;&gt;"",VLOOKUP($D212,'SINAPI FEVEREIRO 2022'!$1:$1048576,3,FALSE),"")</f>
        <v>H</v>
      </c>
      <c r="G212" s="448">
        <v>2.6599999999999999E-2</v>
      </c>
      <c r="H212" s="379">
        <f>IF($D212&lt;&gt;"",VLOOKUP($D212,'SINAPI FEVEREIRO 2022'!$1:$1048576,4,FALSE),"")</f>
        <v>15.16</v>
      </c>
      <c r="I212" s="397">
        <f t="shared" si="31"/>
        <v>0.4</v>
      </c>
    </row>
    <row r="213" spans="2:9">
      <c r="B213" s="182" t="s">
        <v>546</v>
      </c>
      <c r="C213" s="182" t="s">
        <v>6</v>
      </c>
      <c r="D213" s="182">
        <v>3146</v>
      </c>
      <c r="E213" s="172" t="str">
        <f>IF($D213&lt;&gt;"",VLOOKUP($D213,'SINAPI FEVEREIRO 2022'!$1:$1048576,2,FALSE),"")</f>
        <v>FITA VEDA ROSCA EM ROLOS DE 18 MM X 10 M (L X C)</v>
      </c>
      <c r="F213" s="173" t="str">
        <f>IF($D213&lt;&gt;"",VLOOKUP($D213,'SINAPI FEVEREIRO 2022'!$1:$1048576,3,FALSE),"")</f>
        <v xml:space="preserve">UN    </v>
      </c>
      <c r="G213" s="448">
        <v>3.32E-2</v>
      </c>
      <c r="H213" s="379">
        <f>IF($D213&lt;&gt;"",VLOOKUP($D213,'SINAPI FEVEREIRO 2022'!$1:$1048576,4,FALSE),"")</f>
        <v>5</v>
      </c>
      <c r="I213" s="397">
        <f t="shared" si="31"/>
        <v>0.16</v>
      </c>
    </row>
    <row r="214" spans="2:9">
      <c r="B214" s="182" t="s">
        <v>546</v>
      </c>
      <c r="C214" s="182" t="s">
        <v>6</v>
      </c>
      <c r="D214" s="182">
        <v>20262</v>
      </c>
      <c r="E214" s="172" t="str">
        <f>IF($D214&lt;&gt;"",VLOOKUP($D214,'SINAPI FEVEREIRO 2022'!$1:$1048576,2,FALSE),"")</f>
        <v>SIFAO PLASTICO EXTENSIVEL UNIVERSAL, TIPO COPO</v>
      </c>
      <c r="F214" s="173" t="str">
        <f>IF($D214&lt;&gt;"",VLOOKUP($D214,'SINAPI FEVEREIRO 2022'!$1:$1048576,3,FALSE),"")</f>
        <v xml:space="preserve">UN    </v>
      </c>
      <c r="G214" s="309">
        <v>1</v>
      </c>
      <c r="H214" s="379">
        <f>IF($D214&lt;&gt;"",VLOOKUP($D214,'SINAPI FEVEREIRO 2022'!$1:$1048576,4,FALSE),"")</f>
        <v>17.760000000000002</v>
      </c>
      <c r="I214" s="397">
        <f t="shared" si="31"/>
        <v>17.760000000000002</v>
      </c>
    </row>
    <row r="215" spans="2:9">
      <c r="B215" s="433"/>
      <c r="C215" s="433"/>
      <c r="D215" s="433"/>
      <c r="E215" s="433"/>
      <c r="F215" s="433"/>
      <c r="G215" s="433"/>
      <c r="H215" s="433"/>
      <c r="I215" s="433"/>
    </row>
    <row r="216" spans="2:9" ht="29.25" customHeight="1">
      <c r="B216" s="183" t="s">
        <v>7019</v>
      </c>
      <c r="C216" s="227"/>
      <c r="D216" s="227"/>
      <c r="E216" s="180" t="s">
        <v>7021</v>
      </c>
      <c r="F216" s="228" t="s">
        <v>24</v>
      </c>
      <c r="G216" s="311">
        <v>1</v>
      </c>
      <c r="H216" s="387"/>
      <c r="I216" s="396">
        <f>TRUNC(SUM(I217:I221),2)</f>
        <v>44.09</v>
      </c>
    </row>
    <row r="217" spans="2:9" ht="25.5">
      <c r="B217" s="182" t="s">
        <v>546</v>
      </c>
      <c r="C217" s="182" t="s">
        <v>6</v>
      </c>
      <c r="D217" s="93">
        <v>88248</v>
      </c>
      <c r="E217" s="172" t="str">
        <f>IF($D217&lt;&gt;"",VLOOKUP($D217,'SINAPI FEVEREIRO 2022'!$1:$1048576,2,FALSE),"")</f>
        <v>AUXILIAR DE ENCANADOR OU BOMBEIRO HIDRÁULICO COM ENCARGOS COMPLEMENTARES</v>
      </c>
      <c r="F217" s="173" t="str">
        <f>IF($D217&lt;&gt;"",VLOOKUP($D217,'SINAPI FEVEREIRO 2022'!$1:$1048576,3,FALSE),"")</f>
        <v>H</v>
      </c>
      <c r="G217" s="323">
        <v>0.33</v>
      </c>
      <c r="H217" s="379">
        <f>IF($D217&lt;&gt;"",VLOOKUP($D217,'SINAPI FEVEREIRO 2022'!$1:$1048576,4,FALSE),"")</f>
        <v>15.54</v>
      </c>
      <c r="I217" s="397">
        <f t="shared" ref="I217:I221" si="32">TRUNC(H217*G217,2)</f>
        <v>5.12</v>
      </c>
    </row>
    <row r="218" spans="2:9" ht="25.5">
      <c r="B218" s="182" t="s">
        <v>546</v>
      </c>
      <c r="C218" s="182" t="s">
        <v>6</v>
      </c>
      <c r="D218" s="93">
        <v>88267</v>
      </c>
      <c r="E218" s="172" t="str">
        <f>IF($D218&lt;&gt;"",VLOOKUP($D218,'SINAPI FEVEREIRO 2022'!$1:$1048576,2,FALSE),"")</f>
        <v>ENCANADOR OU BOMBEIRO HIDRÁULICO COM ENCARGOS COMPLEMENTARES</v>
      </c>
      <c r="F218" s="173" t="str">
        <f>IF($D218&lt;&gt;"",VLOOKUP($D218,'SINAPI FEVEREIRO 2022'!$1:$1048576,3,FALSE),"")</f>
        <v>H</v>
      </c>
      <c r="G218" s="323">
        <v>0.33</v>
      </c>
      <c r="H218" s="379">
        <f>IF($D218&lt;&gt;"",VLOOKUP($D218,'SINAPI FEVEREIRO 2022'!$1:$1048576,4,FALSE),"")</f>
        <v>18.72</v>
      </c>
      <c r="I218" s="397">
        <f t="shared" si="32"/>
        <v>6.17</v>
      </c>
    </row>
    <row r="219" spans="2:9" ht="25.5">
      <c r="B219" s="182" t="s">
        <v>546</v>
      </c>
      <c r="C219" s="182" t="s">
        <v>6</v>
      </c>
      <c r="D219" s="93">
        <v>301</v>
      </c>
      <c r="E219" s="172" t="str">
        <f>IF($D219&lt;&gt;"",VLOOKUP($D219,'SINAPI FEVEREIRO 2022'!$1:$1048576,2,FALSE),"")</f>
        <v>ANEL BORRACHA PARA TUBO ESGOTO PREDIAL, DN 100 MM (NBR 5688)</v>
      </c>
      <c r="F219" s="173" t="str">
        <f>IF($D219&lt;&gt;"",VLOOKUP($D219,'SINAPI FEVEREIRO 2022'!$1:$1048576,3,FALSE),"")</f>
        <v xml:space="preserve">UN    </v>
      </c>
      <c r="G219" s="323">
        <v>2</v>
      </c>
      <c r="H219" s="379">
        <f>IF($D219&lt;&gt;"",VLOOKUP($D219,'SINAPI FEVEREIRO 2022'!$1:$1048576,4,FALSE),"")</f>
        <v>4.84</v>
      </c>
      <c r="I219" s="397">
        <f t="shared" si="32"/>
        <v>9.68</v>
      </c>
    </row>
    <row r="220" spans="2:9" ht="25.5">
      <c r="B220" s="182" t="s">
        <v>546</v>
      </c>
      <c r="C220" s="182" t="s">
        <v>6</v>
      </c>
      <c r="D220" s="93">
        <v>3659</v>
      </c>
      <c r="E220" s="172" t="str">
        <f>IF($D220&lt;&gt;"",VLOOKUP($D220,'SINAPI FEVEREIRO 2022'!$1:$1048576,2,FALSE),"")</f>
        <v>JUNCAO SIMPLES, PVC, DN 100 X 50 MM, SERIE NORMAL PARA ESGOTO PREDIAL</v>
      </c>
      <c r="F220" s="173" t="str">
        <f>IF($D220&lt;&gt;"",VLOOKUP($D220,'SINAPI FEVEREIRO 2022'!$1:$1048576,3,FALSE),"")</f>
        <v xml:space="preserve">UN    </v>
      </c>
      <c r="G220" s="323">
        <v>1</v>
      </c>
      <c r="H220" s="379">
        <f>IF($D220&lt;&gt;"",VLOOKUP($D220,'SINAPI FEVEREIRO 2022'!$1:$1048576,4,FALSE),"")</f>
        <v>20.2</v>
      </c>
      <c r="I220" s="397">
        <f t="shared" si="32"/>
        <v>20.2</v>
      </c>
    </row>
    <row r="221" spans="2:9" ht="38.25">
      <c r="B221" s="182" t="s">
        <v>563</v>
      </c>
      <c r="C221" s="182" t="s">
        <v>6</v>
      </c>
      <c r="D221" s="176">
        <v>20078</v>
      </c>
      <c r="E221" s="172" t="str">
        <f>IF($D221&lt;&gt;"",VLOOKUP($D221,'SINAPI FEVEREIRO 2022'!$1:$1048576,2,FALSE),"")</f>
        <v>PASTA LUBRIFICANTE PARA TUBOS E CONEXOES COM JUNTA ELASTICA, EMBALAGEM DE *400* GR (USO EM PVC, ACO, POLIETILENO E OUTROS)</v>
      </c>
      <c r="F221" s="173" t="str">
        <f>IF($D221&lt;&gt;"",VLOOKUP($D221,'SINAPI FEVEREIRO 2022'!$1:$1048576,3,FALSE),"")</f>
        <v xml:space="preserve">UN    </v>
      </c>
      <c r="G221" s="449">
        <v>9.1999999999999998E-2</v>
      </c>
      <c r="H221" s="379">
        <f>IF($D221&lt;&gt;"",VLOOKUP($D221,'SINAPI FEVEREIRO 2022'!$1:$1048576,4,FALSE),"")</f>
        <v>31.75</v>
      </c>
      <c r="I221" s="397">
        <f t="shared" si="32"/>
        <v>2.92</v>
      </c>
    </row>
    <row r="222" spans="2:9">
      <c r="B222" s="433"/>
      <c r="C222" s="433"/>
      <c r="D222" s="433"/>
      <c r="E222" s="433"/>
      <c r="F222" s="433"/>
      <c r="G222" s="433"/>
      <c r="H222" s="433"/>
      <c r="I222" s="433"/>
    </row>
    <row r="223" spans="2:9" ht="25.5">
      <c r="B223" s="183" t="s">
        <v>7020</v>
      </c>
      <c r="C223" s="227"/>
      <c r="D223" s="227"/>
      <c r="E223" s="180" t="s">
        <v>7025</v>
      </c>
      <c r="F223" s="228" t="s">
        <v>24</v>
      </c>
      <c r="G223" s="311">
        <v>1</v>
      </c>
      <c r="H223" s="387"/>
      <c r="I223" s="396">
        <f>TRUNC(SUM(I224:I228),2)</f>
        <v>53</v>
      </c>
    </row>
    <row r="224" spans="2:9" ht="25.5">
      <c r="B224" s="182" t="s">
        <v>546</v>
      </c>
      <c r="C224" s="182" t="s">
        <v>6</v>
      </c>
      <c r="D224" s="93">
        <v>88248</v>
      </c>
      <c r="E224" s="172" t="str">
        <f>IF($D224&lt;&gt;"",VLOOKUP($D224,'SINAPI FEVEREIRO 2022'!$1:$1048576,2,FALSE),"")</f>
        <v>AUXILIAR DE ENCANADOR OU BOMBEIRO HIDRÁULICO COM ENCARGOS COMPLEMENTARES</v>
      </c>
      <c r="F224" s="173" t="str">
        <f>IF($D224&lt;&gt;"",VLOOKUP($D224,'SINAPI FEVEREIRO 2022'!$1:$1048576,3,FALSE),"")</f>
        <v>H</v>
      </c>
      <c r="G224" s="323">
        <v>0.33</v>
      </c>
      <c r="H224" s="379">
        <f>IF($D224&lt;&gt;"",VLOOKUP($D224,'SINAPI FEVEREIRO 2022'!$1:$1048576,4,FALSE),"")</f>
        <v>15.54</v>
      </c>
      <c r="I224" s="397">
        <f t="shared" ref="I224:I228" si="33">TRUNC(H224*G224,2)</f>
        <v>5.12</v>
      </c>
    </row>
    <row r="225" spans="2:9" ht="25.5">
      <c r="B225" s="182" t="s">
        <v>546</v>
      </c>
      <c r="C225" s="182" t="s">
        <v>6</v>
      </c>
      <c r="D225" s="93">
        <v>88267</v>
      </c>
      <c r="E225" s="172" t="str">
        <f>IF($D225&lt;&gt;"",VLOOKUP($D225,'SINAPI FEVEREIRO 2022'!$1:$1048576,2,FALSE),"")</f>
        <v>ENCANADOR OU BOMBEIRO HIDRÁULICO COM ENCARGOS COMPLEMENTARES</v>
      </c>
      <c r="F225" s="173" t="str">
        <f>IF($D225&lt;&gt;"",VLOOKUP($D225,'SINAPI FEVEREIRO 2022'!$1:$1048576,3,FALSE),"")</f>
        <v>H</v>
      </c>
      <c r="G225" s="323">
        <v>0.33</v>
      </c>
      <c r="H225" s="379">
        <f>IF($D225&lt;&gt;"",VLOOKUP($D225,'SINAPI FEVEREIRO 2022'!$1:$1048576,4,FALSE),"")</f>
        <v>18.72</v>
      </c>
      <c r="I225" s="397">
        <f t="shared" si="33"/>
        <v>6.17</v>
      </c>
    </row>
    <row r="226" spans="2:9" ht="25.5">
      <c r="B226" s="182" t="s">
        <v>546</v>
      </c>
      <c r="C226" s="182" t="s">
        <v>6</v>
      </c>
      <c r="D226" s="93">
        <v>301</v>
      </c>
      <c r="E226" s="172" t="str">
        <f>IF($D226&lt;&gt;"",VLOOKUP($D226,'SINAPI FEVEREIRO 2022'!$1:$1048576,2,FALSE),"")</f>
        <v>ANEL BORRACHA PARA TUBO ESGOTO PREDIAL, DN 100 MM (NBR 5688)</v>
      </c>
      <c r="F226" s="173" t="str">
        <f>IF($D226&lt;&gt;"",VLOOKUP($D226,'SINAPI FEVEREIRO 2022'!$1:$1048576,3,FALSE),"")</f>
        <v xml:space="preserve">UN    </v>
      </c>
      <c r="G226" s="323">
        <v>2</v>
      </c>
      <c r="H226" s="379">
        <f>IF($D226&lt;&gt;"",VLOOKUP($D226,'SINAPI FEVEREIRO 2022'!$1:$1048576,4,FALSE),"")</f>
        <v>4.84</v>
      </c>
      <c r="I226" s="397">
        <f t="shared" si="33"/>
        <v>9.68</v>
      </c>
    </row>
    <row r="227" spans="2:9" ht="25.5">
      <c r="B227" s="182" t="s">
        <v>546</v>
      </c>
      <c r="C227" s="182" t="s">
        <v>6</v>
      </c>
      <c r="D227" s="93">
        <v>3660</v>
      </c>
      <c r="E227" s="172" t="str">
        <f>IF($D227&lt;&gt;"",VLOOKUP($D227,'SINAPI FEVEREIRO 2022'!$1:$1048576,2,FALSE),"")</f>
        <v>JUNCAO SIMPLES, PVC, DN 100 X 75 MM, SERIE NORMAL PARA ESGOTO PREDIAL</v>
      </c>
      <c r="F227" s="173" t="str">
        <f>IF($D227&lt;&gt;"",VLOOKUP($D227,'SINAPI FEVEREIRO 2022'!$1:$1048576,3,FALSE),"")</f>
        <v xml:space="preserve">UN    </v>
      </c>
      <c r="G227" s="323">
        <v>1</v>
      </c>
      <c r="H227" s="379">
        <f>IF($D227&lt;&gt;"",VLOOKUP($D227,'SINAPI FEVEREIRO 2022'!$1:$1048576,4,FALSE),"")</f>
        <v>29.11</v>
      </c>
      <c r="I227" s="397">
        <f t="shared" si="33"/>
        <v>29.11</v>
      </c>
    </row>
    <row r="228" spans="2:9" ht="38.25">
      <c r="B228" s="182" t="s">
        <v>563</v>
      </c>
      <c r="C228" s="182" t="s">
        <v>6</v>
      </c>
      <c r="D228" s="176">
        <v>20078</v>
      </c>
      <c r="E228" s="172" t="str">
        <f>IF($D228&lt;&gt;"",VLOOKUP($D228,'SINAPI FEVEREIRO 2022'!$1:$1048576,2,FALSE),"")</f>
        <v>PASTA LUBRIFICANTE PARA TUBOS E CONEXOES COM JUNTA ELASTICA, EMBALAGEM DE *400* GR (USO EM PVC, ACO, POLIETILENO E OUTROS)</v>
      </c>
      <c r="F228" s="173" t="str">
        <f>IF($D228&lt;&gt;"",VLOOKUP($D228,'SINAPI FEVEREIRO 2022'!$1:$1048576,3,FALSE),"")</f>
        <v xml:space="preserve">UN    </v>
      </c>
      <c r="G228" s="449">
        <v>9.1999999999999998E-2</v>
      </c>
      <c r="H228" s="379">
        <f>IF($D228&lt;&gt;"",VLOOKUP($D228,'SINAPI FEVEREIRO 2022'!$1:$1048576,4,FALSE),"")</f>
        <v>31.75</v>
      </c>
      <c r="I228" s="397">
        <f t="shared" si="33"/>
        <v>2.92</v>
      </c>
    </row>
    <row r="229" spans="2:9">
      <c r="B229" s="433"/>
      <c r="C229" s="433"/>
      <c r="D229" s="433"/>
      <c r="E229" s="433"/>
      <c r="F229" s="433"/>
      <c r="G229" s="433"/>
      <c r="H229" s="433"/>
      <c r="I229" s="433"/>
    </row>
    <row r="230" spans="2:9" ht="38.25">
      <c r="B230" s="183" t="s">
        <v>7023</v>
      </c>
      <c r="C230" s="227"/>
      <c r="D230" s="227"/>
      <c r="E230" s="180" t="s">
        <v>7427</v>
      </c>
      <c r="F230" s="228" t="s">
        <v>24</v>
      </c>
      <c r="G230" s="311">
        <v>1</v>
      </c>
      <c r="H230" s="387"/>
      <c r="I230" s="396">
        <f>TRUNC(SUM(I231:I235),2)</f>
        <v>21.82</v>
      </c>
    </row>
    <row r="231" spans="2:9" ht="25.5">
      <c r="B231" s="182" t="s">
        <v>563</v>
      </c>
      <c r="C231" s="182" t="s">
        <v>6</v>
      </c>
      <c r="D231" s="93">
        <v>88248</v>
      </c>
      <c r="E231" s="172" t="str">
        <f>IF($D231&lt;&gt;"",VLOOKUP($D231,'SINAPI FEVEREIRO 2022'!$1:$1048576,2,FALSE),"")</f>
        <v>AUXILIAR DE ENCANADOR OU BOMBEIRO HIDRÁULICO COM ENCARGOS COMPLEMENTARES</v>
      </c>
      <c r="F231" s="173" t="str">
        <f>IF($D231&lt;&gt;"",VLOOKUP($D231,'SINAPI FEVEREIRO 2022'!$1:$1048576,3,FALSE),"")</f>
        <v>H</v>
      </c>
      <c r="G231" s="323">
        <v>0.13</v>
      </c>
      <c r="H231" s="379">
        <f>IF($D231&lt;&gt;"",VLOOKUP($D231,'SINAPI FEVEREIRO 2022'!$1:$1048576,4,FALSE),"")</f>
        <v>15.54</v>
      </c>
      <c r="I231" s="397">
        <f t="shared" ref="I231:I235" si="34">TRUNC(H231*G231,2)</f>
        <v>2.02</v>
      </c>
    </row>
    <row r="232" spans="2:9" ht="25.5">
      <c r="B232" s="182" t="s">
        <v>563</v>
      </c>
      <c r="C232" s="182" t="s">
        <v>6</v>
      </c>
      <c r="D232" s="93">
        <v>88267</v>
      </c>
      <c r="E232" s="172" t="str">
        <f>IF($D232&lt;&gt;"",VLOOKUP($D232,'SINAPI FEVEREIRO 2022'!$1:$1048576,2,FALSE),"")</f>
        <v>ENCANADOR OU BOMBEIRO HIDRÁULICO COM ENCARGOS COMPLEMENTARES</v>
      </c>
      <c r="F232" s="173" t="str">
        <f>IF($D232&lt;&gt;"",VLOOKUP($D232,'SINAPI FEVEREIRO 2022'!$1:$1048576,3,FALSE),"")</f>
        <v>H</v>
      </c>
      <c r="G232" s="323">
        <v>0.13</v>
      </c>
      <c r="H232" s="379">
        <f>IF($D232&lt;&gt;"",VLOOKUP($D232,'SINAPI FEVEREIRO 2022'!$1:$1048576,4,FALSE),"")</f>
        <v>18.72</v>
      </c>
      <c r="I232" s="397">
        <f t="shared" si="34"/>
        <v>2.4300000000000002</v>
      </c>
    </row>
    <row r="233" spans="2:9" ht="25.5">
      <c r="B233" s="182" t="s">
        <v>546</v>
      </c>
      <c r="C233" s="182" t="s">
        <v>6</v>
      </c>
      <c r="D233" s="93">
        <v>296</v>
      </c>
      <c r="E233" s="172" t="str">
        <f>IF($D233&lt;&gt;"",VLOOKUP($D233,'SINAPI FEVEREIRO 2022'!$1:$1048576,2,FALSE),"")</f>
        <v>ANEL BORRACHA PARA TUBO ESGOTO PREDIAL, DN 50 MM (NBR 5688)</v>
      </c>
      <c r="F233" s="173" t="str">
        <f>IF($D233&lt;&gt;"",VLOOKUP($D233,'SINAPI FEVEREIRO 2022'!$1:$1048576,3,FALSE),"")</f>
        <v xml:space="preserve">UN    </v>
      </c>
      <c r="G233" s="323">
        <v>1</v>
      </c>
      <c r="H233" s="379">
        <f>IF($D233&lt;&gt;"",VLOOKUP($D233,'SINAPI FEVEREIRO 2022'!$1:$1048576,4,FALSE),"")</f>
        <v>2.73</v>
      </c>
      <c r="I233" s="397">
        <f t="shared" si="34"/>
        <v>2.73</v>
      </c>
    </row>
    <row r="234" spans="2:9">
      <c r="B234" s="182" t="s">
        <v>546</v>
      </c>
      <c r="C234" s="182" t="s">
        <v>6</v>
      </c>
      <c r="D234" s="93">
        <v>10765</v>
      </c>
      <c r="E234" s="172" t="str">
        <f>IF($D234&lt;&gt;"",VLOOKUP($D234,'SINAPI FEVEREIRO 2022'!$1:$1048576,2,FALSE),"")</f>
        <v>CURVA PVC LONGA 45G, DN 50 MM, PARA ESGOTO PREDIAL</v>
      </c>
      <c r="F234" s="173" t="str">
        <f>IF($D234&lt;&gt;"",VLOOKUP($D234,'SINAPI FEVEREIRO 2022'!$1:$1048576,3,FALSE),"")</f>
        <v xml:space="preserve">UN    </v>
      </c>
      <c r="G234" s="323">
        <v>1</v>
      </c>
      <c r="H234" s="379">
        <f>IF($D234&lt;&gt;"",VLOOKUP($D234,'SINAPI FEVEREIRO 2022'!$1:$1048576,4,FALSE),"")</f>
        <v>14.01</v>
      </c>
      <c r="I234" s="397">
        <f t="shared" si="34"/>
        <v>14.01</v>
      </c>
    </row>
    <row r="235" spans="2:9" ht="38.25">
      <c r="B235" s="182" t="s">
        <v>546</v>
      </c>
      <c r="C235" s="182" t="s">
        <v>6</v>
      </c>
      <c r="D235" s="176">
        <v>20078</v>
      </c>
      <c r="E235" s="172" t="str">
        <f>IF($D235&lt;&gt;"",VLOOKUP($D235,'SINAPI FEVEREIRO 2022'!$1:$1048576,2,FALSE),"")</f>
        <v>PASTA LUBRIFICANTE PARA TUBOS E CONEXOES COM JUNTA ELASTICA, EMBALAGEM DE *400* GR (USO EM PVC, ACO, POLIETILENO E OUTROS)</v>
      </c>
      <c r="F235" s="173" t="str">
        <f>IF($D235&lt;&gt;"",VLOOKUP($D235,'SINAPI FEVEREIRO 2022'!$1:$1048576,3,FALSE),"")</f>
        <v xml:space="preserve">UN    </v>
      </c>
      <c r="G235" s="449">
        <v>0.02</v>
      </c>
      <c r="H235" s="379">
        <f>IF($D235&lt;&gt;"",VLOOKUP($D235,'SINAPI FEVEREIRO 2022'!$1:$1048576,4,FALSE),"")</f>
        <v>31.75</v>
      </c>
      <c r="I235" s="397">
        <f t="shared" si="34"/>
        <v>0.63</v>
      </c>
    </row>
    <row r="236" spans="2:9">
      <c r="B236" s="433"/>
      <c r="C236" s="433"/>
      <c r="D236" s="433"/>
      <c r="E236" s="433"/>
      <c r="F236" s="433"/>
      <c r="G236" s="433"/>
      <c r="H236" s="433"/>
      <c r="I236" s="433"/>
    </row>
    <row r="237" spans="2:9" ht="25.5">
      <c r="B237" s="183" t="s">
        <v>7024</v>
      </c>
      <c r="C237" s="227"/>
      <c r="D237" s="227"/>
      <c r="E237" s="180" t="s">
        <v>7022</v>
      </c>
      <c r="F237" s="228" t="s">
        <v>24</v>
      </c>
      <c r="G237" s="311">
        <v>1</v>
      </c>
      <c r="H237" s="387"/>
      <c r="I237" s="396">
        <f>TRUNC(SUM(I238:I242),2)</f>
        <v>40.07</v>
      </c>
    </row>
    <row r="238" spans="2:9" ht="25.5">
      <c r="B238" s="182" t="s">
        <v>546</v>
      </c>
      <c r="C238" s="182" t="s">
        <v>6</v>
      </c>
      <c r="D238" s="93">
        <v>88248</v>
      </c>
      <c r="E238" s="172" t="str">
        <f>IF($D238&lt;&gt;"",VLOOKUP($D238,'SINAPI FEVEREIRO 2022'!$1:$1048576,2,FALSE),"")</f>
        <v>AUXILIAR DE ENCANADOR OU BOMBEIRO HIDRÁULICO COM ENCARGOS COMPLEMENTARES</v>
      </c>
      <c r="F238" s="173" t="str">
        <f>IF($D238&lt;&gt;"",VLOOKUP($D238,'SINAPI FEVEREIRO 2022'!$1:$1048576,3,FALSE),"")</f>
        <v>H</v>
      </c>
      <c r="G238" s="323">
        <v>0.33</v>
      </c>
      <c r="H238" s="379">
        <f>IF($D238&lt;&gt;"",VLOOKUP($D238,'SINAPI FEVEREIRO 2022'!$1:$1048576,4,FALSE),"")</f>
        <v>15.54</v>
      </c>
      <c r="I238" s="397">
        <f t="shared" ref="I238:I242" si="35">TRUNC(H238*G238,2)</f>
        <v>5.12</v>
      </c>
    </row>
    <row r="239" spans="2:9" ht="25.5">
      <c r="B239" s="182" t="s">
        <v>546</v>
      </c>
      <c r="C239" s="182" t="s">
        <v>6</v>
      </c>
      <c r="D239" s="93">
        <v>88267</v>
      </c>
      <c r="E239" s="172" t="str">
        <f>IF($D239&lt;&gt;"",VLOOKUP($D239,'SINAPI FEVEREIRO 2022'!$1:$1048576,2,FALSE),"")</f>
        <v>ENCANADOR OU BOMBEIRO HIDRÁULICO COM ENCARGOS COMPLEMENTARES</v>
      </c>
      <c r="F239" s="173" t="str">
        <f>IF($D239&lt;&gt;"",VLOOKUP($D239,'SINAPI FEVEREIRO 2022'!$1:$1048576,3,FALSE),"")</f>
        <v>H</v>
      </c>
      <c r="G239" s="323">
        <v>0.33</v>
      </c>
      <c r="H239" s="379">
        <f>IF($D239&lt;&gt;"",VLOOKUP($D239,'SINAPI FEVEREIRO 2022'!$1:$1048576,4,FALSE),"")</f>
        <v>18.72</v>
      </c>
      <c r="I239" s="397">
        <f t="shared" si="35"/>
        <v>6.17</v>
      </c>
    </row>
    <row r="240" spans="2:9" ht="25.5">
      <c r="B240" s="182" t="s">
        <v>546</v>
      </c>
      <c r="C240" s="182" t="s">
        <v>6</v>
      </c>
      <c r="D240" s="93">
        <v>301</v>
      </c>
      <c r="E240" s="172" t="str">
        <f>IF($D240&lt;&gt;"",VLOOKUP($D240,'SINAPI FEVEREIRO 2022'!$1:$1048576,2,FALSE),"")</f>
        <v>ANEL BORRACHA PARA TUBO ESGOTO PREDIAL, DN 100 MM (NBR 5688)</v>
      </c>
      <c r="F240" s="173" t="str">
        <f>IF($D240&lt;&gt;"",VLOOKUP($D240,'SINAPI FEVEREIRO 2022'!$1:$1048576,3,FALSE),"")</f>
        <v xml:space="preserve">UN    </v>
      </c>
      <c r="G240" s="323">
        <v>2</v>
      </c>
      <c r="H240" s="379">
        <f>IF($D240&lt;&gt;"",VLOOKUP($D240,'SINAPI FEVEREIRO 2022'!$1:$1048576,4,FALSE),"")</f>
        <v>4.84</v>
      </c>
      <c r="I240" s="397">
        <f t="shared" si="35"/>
        <v>9.68</v>
      </c>
    </row>
    <row r="241" spans="2:9" ht="25.5">
      <c r="B241" s="182" t="s">
        <v>546</v>
      </c>
      <c r="C241" s="182" t="s">
        <v>6</v>
      </c>
      <c r="D241" s="93">
        <v>3661</v>
      </c>
      <c r="E241" s="172" t="str">
        <f>IF($D241&lt;&gt;"",VLOOKUP($D241,'SINAPI FEVEREIRO 2022'!$1:$1048576,2,FALSE),"")</f>
        <v>JUNCAO SIMPLES, PVC, DN 75 X 50 MM, SERIE NORMAL PARA ESGOTO PREDIAL</v>
      </c>
      <c r="F241" s="173" t="str">
        <f>IF($D241&lt;&gt;"",VLOOKUP($D241,'SINAPI FEVEREIRO 2022'!$1:$1048576,3,FALSE),"")</f>
        <v xml:space="preserve">UN    </v>
      </c>
      <c r="G241" s="323">
        <v>1</v>
      </c>
      <c r="H241" s="379">
        <f>IF($D241&lt;&gt;"",VLOOKUP($D241,'SINAPI FEVEREIRO 2022'!$1:$1048576,4,FALSE),"")</f>
        <v>16.18</v>
      </c>
      <c r="I241" s="397">
        <f t="shared" si="35"/>
        <v>16.18</v>
      </c>
    </row>
    <row r="242" spans="2:9" ht="38.25">
      <c r="B242" s="182" t="s">
        <v>563</v>
      </c>
      <c r="C242" s="182" t="s">
        <v>6</v>
      </c>
      <c r="D242" s="176">
        <v>20078</v>
      </c>
      <c r="E242" s="172" t="str">
        <f>IF($D242&lt;&gt;"",VLOOKUP($D242,'SINAPI FEVEREIRO 2022'!$1:$1048576,2,FALSE),"")</f>
        <v>PASTA LUBRIFICANTE PARA TUBOS E CONEXOES COM JUNTA ELASTICA, EMBALAGEM DE *400* GR (USO EM PVC, ACO, POLIETILENO E OUTROS)</v>
      </c>
      <c r="F242" s="173" t="str">
        <f>IF($D242&lt;&gt;"",VLOOKUP($D242,'SINAPI FEVEREIRO 2022'!$1:$1048576,3,FALSE),"")</f>
        <v xml:space="preserve">UN    </v>
      </c>
      <c r="G242" s="449">
        <v>9.1999999999999998E-2</v>
      </c>
      <c r="H242" s="379">
        <f>IF($D242&lt;&gt;"",VLOOKUP($D242,'SINAPI FEVEREIRO 2022'!$1:$1048576,4,FALSE),"")</f>
        <v>31.75</v>
      </c>
      <c r="I242" s="397">
        <f t="shared" si="35"/>
        <v>2.92</v>
      </c>
    </row>
    <row r="243" spans="2:9">
      <c r="B243" s="182"/>
      <c r="C243" s="182"/>
      <c r="D243" s="176"/>
      <c r="E243" s="172"/>
      <c r="F243" s="173"/>
      <c r="G243" s="449"/>
      <c r="H243" s="379"/>
      <c r="I243" s="397"/>
    </row>
    <row r="244" spans="2:9" ht="25.5">
      <c r="B244" s="183" t="s">
        <v>7026</v>
      </c>
      <c r="C244" s="227"/>
      <c r="D244" s="227"/>
      <c r="E244" s="180" t="s">
        <v>7027</v>
      </c>
      <c r="F244" s="228" t="s">
        <v>24</v>
      </c>
      <c r="G244" s="311">
        <v>1</v>
      </c>
      <c r="H244" s="387"/>
      <c r="I244" s="396">
        <f>TRUNC(SUM(I245:I249),2)</f>
        <v>26.06</v>
      </c>
    </row>
    <row r="245" spans="2:9" ht="25.5">
      <c r="B245" s="182" t="s">
        <v>563</v>
      </c>
      <c r="C245" s="182" t="s">
        <v>6</v>
      </c>
      <c r="D245" s="93">
        <v>88248</v>
      </c>
      <c r="E245" s="172" t="str">
        <f>IF($D245&lt;&gt;"",VLOOKUP($D245,'SINAPI FEVEREIRO 2022'!$1:$1048576,2,FALSE),"")</f>
        <v>AUXILIAR DE ENCANADOR OU BOMBEIRO HIDRÁULICO COM ENCARGOS COMPLEMENTARES</v>
      </c>
      <c r="F245" s="173" t="str">
        <f>IF($D245&lt;&gt;"",VLOOKUP($D245,'SINAPI FEVEREIRO 2022'!$1:$1048576,3,FALSE),"")</f>
        <v>H</v>
      </c>
      <c r="G245" s="323">
        <v>0.06</v>
      </c>
      <c r="H245" s="379">
        <f>IF($D245&lt;&gt;"",VLOOKUP($D245,'SINAPI FEVEREIRO 2022'!$1:$1048576,4,FALSE),"")</f>
        <v>15.54</v>
      </c>
      <c r="I245" s="397">
        <f t="shared" ref="I245:I249" si="36">TRUNC(H245*G245,2)</f>
        <v>0.93</v>
      </c>
    </row>
    <row r="246" spans="2:9" ht="25.5">
      <c r="B246" s="182" t="s">
        <v>563</v>
      </c>
      <c r="C246" s="182" t="s">
        <v>6</v>
      </c>
      <c r="D246" s="93">
        <v>88267</v>
      </c>
      <c r="E246" s="172" t="str">
        <f>IF($D246&lt;&gt;"",VLOOKUP($D246,'SINAPI FEVEREIRO 2022'!$1:$1048576,2,FALSE),"")</f>
        <v>ENCANADOR OU BOMBEIRO HIDRÁULICO COM ENCARGOS COMPLEMENTARES</v>
      </c>
      <c r="F246" s="173" t="str">
        <f>IF($D246&lt;&gt;"",VLOOKUP($D246,'SINAPI FEVEREIRO 2022'!$1:$1048576,3,FALSE),"")</f>
        <v>H</v>
      </c>
      <c r="G246" s="323">
        <v>0.06</v>
      </c>
      <c r="H246" s="379">
        <f>IF($D246&lt;&gt;"",VLOOKUP($D246,'SINAPI FEVEREIRO 2022'!$1:$1048576,4,FALSE),"")</f>
        <v>18.72</v>
      </c>
      <c r="I246" s="397">
        <f t="shared" si="36"/>
        <v>1.1200000000000001</v>
      </c>
    </row>
    <row r="247" spans="2:9" ht="25.5">
      <c r="B247" s="182" t="s">
        <v>546</v>
      </c>
      <c r="C247" s="182" t="s">
        <v>6</v>
      </c>
      <c r="D247" s="93">
        <v>296</v>
      </c>
      <c r="E247" s="172" t="str">
        <f>IF($D247&lt;&gt;"",VLOOKUP($D247,'SINAPI FEVEREIRO 2022'!$1:$1048576,2,FALSE),"")</f>
        <v>ANEL BORRACHA PARA TUBO ESGOTO PREDIAL, DN 50 MM (NBR 5688)</v>
      </c>
      <c r="F247" s="173" t="str">
        <f>IF($D247&lt;&gt;"",VLOOKUP($D247,'SINAPI FEVEREIRO 2022'!$1:$1048576,3,FALSE),"")</f>
        <v xml:space="preserve">UN    </v>
      </c>
      <c r="G247" s="323">
        <v>2</v>
      </c>
      <c r="H247" s="379">
        <f>IF($D247&lt;&gt;"",VLOOKUP($D247,'SINAPI FEVEREIRO 2022'!$1:$1048576,4,FALSE),"")</f>
        <v>2.73</v>
      </c>
      <c r="I247" s="397">
        <f t="shared" si="36"/>
        <v>5.46</v>
      </c>
    </row>
    <row r="248" spans="2:9" ht="25.5">
      <c r="B248" s="182" t="s">
        <v>546</v>
      </c>
      <c r="C248" s="182" t="s">
        <v>6</v>
      </c>
      <c r="D248" s="93">
        <v>11657</v>
      </c>
      <c r="E248" s="172" t="str">
        <f>IF($D248&lt;&gt;"",VLOOKUP($D248,'SINAPI FEVEREIRO 2022'!$1:$1048576,2,FALSE),"")</f>
        <v>TE SANITARIO, PVC, DN 75 X 50 MM, SERIE NORMAL PARA ESGOTO PREDIAL</v>
      </c>
      <c r="F248" s="173" t="str">
        <f>IF($D248&lt;&gt;"",VLOOKUP($D248,'SINAPI FEVEREIRO 2022'!$1:$1048576,3,FALSE),"")</f>
        <v xml:space="preserve">UN    </v>
      </c>
      <c r="G248" s="323">
        <v>1</v>
      </c>
      <c r="H248" s="379">
        <f>IF($D248&lt;&gt;"",VLOOKUP($D248,'SINAPI FEVEREIRO 2022'!$1:$1048576,4,FALSE),"")</f>
        <v>17.28</v>
      </c>
      <c r="I248" s="397">
        <f t="shared" si="36"/>
        <v>17.28</v>
      </c>
    </row>
    <row r="249" spans="2:9" ht="38.25">
      <c r="B249" s="182" t="s">
        <v>546</v>
      </c>
      <c r="C249" s="182" t="s">
        <v>6</v>
      </c>
      <c r="D249" s="176">
        <v>20078</v>
      </c>
      <c r="E249" s="172" t="str">
        <f>IF($D249&lt;&gt;"",VLOOKUP($D249,'SINAPI FEVEREIRO 2022'!$1:$1048576,2,FALSE),"")</f>
        <v>PASTA LUBRIFICANTE PARA TUBOS E CONEXOES COM JUNTA ELASTICA, EMBALAGEM DE *400* GR (USO EM PVC, ACO, POLIETILENO E OUTROS)</v>
      </c>
      <c r="F249" s="173" t="str">
        <f>IF($D249&lt;&gt;"",VLOOKUP($D249,'SINAPI FEVEREIRO 2022'!$1:$1048576,3,FALSE),"")</f>
        <v xml:space="preserve">UN    </v>
      </c>
      <c r="G249" s="449">
        <v>0.04</v>
      </c>
      <c r="H249" s="379">
        <f>IF($D249&lt;&gt;"",VLOOKUP($D249,'SINAPI FEVEREIRO 2022'!$1:$1048576,4,FALSE),"")</f>
        <v>31.75</v>
      </c>
      <c r="I249" s="397">
        <f t="shared" si="36"/>
        <v>1.27</v>
      </c>
    </row>
    <row r="250" spans="2:9">
      <c r="B250" s="182"/>
      <c r="C250" s="182"/>
      <c r="D250" s="176"/>
      <c r="E250" s="172"/>
      <c r="F250" s="173"/>
      <c r="G250" s="449"/>
      <c r="H250" s="379"/>
      <c r="I250" s="397"/>
    </row>
    <row r="251" spans="2:9">
      <c r="B251" s="183" t="s">
        <v>7028</v>
      </c>
      <c r="C251" s="227"/>
      <c r="D251" s="227"/>
      <c r="E251" s="180" t="s">
        <v>7029</v>
      </c>
      <c r="F251" s="228" t="s">
        <v>24</v>
      </c>
      <c r="G251" s="311">
        <v>1</v>
      </c>
      <c r="H251" s="387"/>
      <c r="I251" s="396">
        <f>TRUNC(SUM(I252:I255),2)</f>
        <v>16.62</v>
      </c>
    </row>
    <row r="252" spans="2:9" ht="25.5">
      <c r="B252" s="182" t="s">
        <v>563</v>
      </c>
      <c r="C252" s="182" t="s">
        <v>6</v>
      </c>
      <c r="D252" s="93">
        <v>88248</v>
      </c>
      <c r="E252" s="172" t="str">
        <f>IF($D252&lt;&gt;"",VLOOKUP($D252,'SINAPI FEVEREIRO 2022'!$1:$1048576,2,FALSE),"")</f>
        <v>AUXILIAR DE ENCANADOR OU BOMBEIRO HIDRÁULICO COM ENCARGOS COMPLEMENTARES</v>
      </c>
      <c r="F252" s="173" t="str">
        <f>IF($D252&lt;&gt;"",VLOOKUP($D252,'SINAPI FEVEREIRO 2022'!$1:$1048576,3,FALSE),"")</f>
        <v>H</v>
      </c>
      <c r="G252" s="323">
        <v>0.05</v>
      </c>
      <c r="H252" s="379">
        <f>IF($D252&lt;&gt;"",VLOOKUP($D252,'SINAPI FEVEREIRO 2022'!$1:$1048576,4,FALSE),"")</f>
        <v>15.54</v>
      </c>
      <c r="I252" s="397">
        <f t="shared" ref="I252:I255" si="37">TRUNC(H252*G252,2)</f>
        <v>0.77</v>
      </c>
    </row>
    <row r="253" spans="2:9" ht="25.5">
      <c r="B253" s="182" t="s">
        <v>563</v>
      </c>
      <c r="C253" s="182" t="s">
        <v>6</v>
      </c>
      <c r="D253" s="93">
        <v>88267</v>
      </c>
      <c r="E253" s="172" t="str">
        <f>IF($D253&lt;&gt;"",VLOOKUP($D253,'SINAPI FEVEREIRO 2022'!$1:$1048576,2,FALSE),"")</f>
        <v>ENCANADOR OU BOMBEIRO HIDRÁULICO COM ENCARGOS COMPLEMENTARES</v>
      </c>
      <c r="F253" s="173" t="str">
        <f>IF($D253&lt;&gt;"",VLOOKUP($D253,'SINAPI FEVEREIRO 2022'!$1:$1048576,3,FALSE),"")</f>
        <v>H</v>
      </c>
      <c r="G253" s="323">
        <v>0.05</v>
      </c>
      <c r="H253" s="379">
        <f>IF($D253&lt;&gt;"",VLOOKUP($D253,'SINAPI FEVEREIRO 2022'!$1:$1048576,4,FALSE),"")</f>
        <v>18.72</v>
      </c>
      <c r="I253" s="397">
        <f t="shared" si="37"/>
        <v>0.93</v>
      </c>
    </row>
    <row r="254" spans="2:9">
      <c r="B254" s="182" t="s">
        <v>546</v>
      </c>
      <c r="C254" s="182" t="s">
        <v>547</v>
      </c>
      <c r="D254" s="93"/>
      <c r="E254" s="172" t="s">
        <v>7030</v>
      </c>
      <c r="F254" s="173" t="s">
        <v>24</v>
      </c>
      <c r="G254" s="323">
        <v>1</v>
      </c>
      <c r="H254" s="379">
        <v>12</v>
      </c>
      <c r="I254" s="397">
        <f t="shared" si="37"/>
        <v>12</v>
      </c>
    </row>
    <row r="255" spans="2:9" ht="38.25">
      <c r="B255" s="182" t="s">
        <v>546</v>
      </c>
      <c r="C255" s="182" t="s">
        <v>6</v>
      </c>
      <c r="D255" s="176">
        <v>20078</v>
      </c>
      <c r="E255" s="172" t="str">
        <f>IF($D255&lt;&gt;"",VLOOKUP($D255,'SINAPI FEVEREIRO 2022'!$1:$1048576,2,FALSE),"")</f>
        <v>PASTA LUBRIFICANTE PARA TUBOS E CONEXOES COM JUNTA ELASTICA, EMBALAGEM DE *400* GR (USO EM PVC, ACO, POLIETILENO E OUTROS)</v>
      </c>
      <c r="F255" s="173" t="str">
        <f>IF($D255&lt;&gt;"",VLOOKUP($D255,'SINAPI FEVEREIRO 2022'!$1:$1048576,3,FALSE),"")</f>
        <v xml:space="preserve">UN    </v>
      </c>
      <c r="G255" s="449">
        <v>9.1999999999999998E-2</v>
      </c>
      <c r="H255" s="379">
        <f>IF($D255&lt;&gt;"",VLOOKUP($D255,'SINAPI FEVEREIRO 2022'!$1:$1048576,4,FALSE),"")</f>
        <v>31.75</v>
      </c>
      <c r="I255" s="397">
        <f t="shared" si="37"/>
        <v>2.92</v>
      </c>
    </row>
    <row r="256" spans="2:9">
      <c r="B256" s="182"/>
      <c r="C256" s="182"/>
      <c r="D256" s="176"/>
      <c r="E256" s="172"/>
      <c r="F256" s="173"/>
      <c r="G256" s="449"/>
      <c r="H256" s="379"/>
      <c r="I256" s="397"/>
    </row>
    <row r="257" spans="2:9" ht="25.5">
      <c r="B257" s="183" t="s">
        <v>7031</v>
      </c>
      <c r="C257" s="227"/>
      <c r="D257" s="227"/>
      <c r="E257" s="180" t="s">
        <v>7032</v>
      </c>
      <c r="F257" s="228" t="s">
        <v>24</v>
      </c>
      <c r="G257" s="311">
        <v>1</v>
      </c>
      <c r="H257" s="387"/>
      <c r="I257" s="396">
        <f>TRUNC(SUM(I258:I261),2)</f>
        <v>109.62</v>
      </c>
    </row>
    <row r="258" spans="2:9" ht="25.5">
      <c r="B258" s="182" t="s">
        <v>563</v>
      </c>
      <c r="C258" s="182" t="s">
        <v>6</v>
      </c>
      <c r="D258" s="93">
        <v>88248</v>
      </c>
      <c r="E258" s="172" t="str">
        <f>IF($D258&lt;&gt;"",VLOOKUP($D258,'SINAPI FEVEREIRO 2022'!$1:$1048576,2,FALSE),"")</f>
        <v>AUXILIAR DE ENCANADOR OU BOMBEIRO HIDRÁULICO COM ENCARGOS COMPLEMENTARES</v>
      </c>
      <c r="F258" s="173" t="str">
        <f>IF($D258&lt;&gt;"",VLOOKUP($D258,'SINAPI FEVEREIRO 2022'!$1:$1048576,3,FALSE),"")</f>
        <v>H</v>
      </c>
      <c r="G258" s="323">
        <v>0.05</v>
      </c>
      <c r="H258" s="379">
        <f>IF($D258&lt;&gt;"",VLOOKUP($D258,'SINAPI FEVEREIRO 2022'!$1:$1048576,4,FALSE),"")</f>
        <v>15.54</v>
      </c>
      <c r="I258" s="397">
        <f t="shared" ref="I258:I261" si="38">TRUNC(H258*G258,2)</f>
        <v>0.77</v>
      </c>
    </row>
    <row r="259" spans="2:9" ht="25.5">
      <c r="B259" s="182" t="s">
        <v>563</v>
      </c>
      <c r="C259" s="182" t="s">
        <v>6</v>
      </c>
      <c r="D259" s="93">
        <v>88267</v>
      </c>
      <c r="E259" s="172" t="str">
        <f>IF($D259&lt;&gt;"",VLOOKUP($D259,'SINAPI FEVEREIRO 2022'!$1:$1048576,2,FALSE),"")</f>
        <v>ENCANADOR OU BOMBEIRO HIDRÁULICO COM ENCARGOS COMPLEMENTARES</v>
      </c>
      <c r="F259" s="173" t="str">
        <f>IF($D259&lt;&gt;"",VLOOKUP($D259,'SINAPI FEVEREIRO 2022'!$1:$1048576,3,FALSE),"")</f>
        <v>H</v>
      </c>
      <c r="G259" s="323">
        <v>0.05</v>
      </c>
      <c r="H259" s="379">
        <f>IF($D259&lt;&gt;"",VLOOKUP($D259,'SINAPI FEVEREIRO 2022'!$1:$1048576,4,FALSE),"")</f>
        <v>18.72</v>
      </c>
      <c r="I259" s="397">
        <f t="shared" si="38"/>
        <v>0.93</v>
      </c>
    </row>
    <row r="260" spans="2:9" ht="25.5">
      <c r="B260" s="182" t="s">
        <v>546</v>
      </c>
      <c r="C260" s="182" t="s">
        <v>547</v>
      </c>
      <c r="D260" s="93"/>
      <c r="E260" s="172" t="s">
        <v>7033</v>
      </c>
      <c r="F260" s="173" t="s">
        <v>24</v>
      </c>
      <c r="G260" s="323">
        <v>1</v>
      </c>
      <c r="H260" s="379">
        <v>105</v>
      </c>
      <c r="I260" s="397">
        <f t="shared" si="38"/>
        <v>105</v>
      </c>
    </row>
    <row r="261" spans="2:9" ht="38.25">
      <c r="B261" s="182" t="s">
        <v>546</v>
      </c>
      <c r="C261" s="182" t="s">
        <v>6</v>
      </c>
      <c r="D261" s="176">
        <v>20078</v>
      </c>
      <c r="E261" s="172" t="str">
        <f>IF($D261&lt;&gt;"",VLOOKUP($D261,'SINAPI FEVEREIRO 2022'!$1:$1048576,2,FALSE),"")</f>
        <v>PASTA LUBRIFICANTE PARA TUBOS E CONEXOES COM JUNTA ELASTICA, EMBALAGEM DE *400* GR (USO EM PVC, ACO, POLIETILENO E OUTROS)</v>
      </c>
      <c r="F261" s="173" t="str">
        <f>IF($D261&lt;&gt;"",VLOOKUP($D261,'SINAPI FEVEREIRO 2022'!$1:$1048576,3,FALSE),"")</f>
        <v xml:space="preserve">UN    </v>
      </c>
      <c r="G261" s="449">
        <v>9.1999999999999998E-2</v>
      </c>
      <c r="H261" s="379">
        <f>IF($D261&lt;&gt;"",VLOOKUP($D261,'SINAPI FEVEREIRO 2022'!$1:$1048576,4,FALSE),"")</f>
        <v>31.75</v>
      </c>
      <c r="I261" s="397">
        <f t="shared" si="38"/>
        <v>2.92</v>
      </c>
    </row>
    <row r="262" spans="2:9">
      <c r="B262" s="182"/>
      <c r="C262" s="182"/>
      <c r="D262" s="176"/>
      <c r="E262" s="172"/>
      <c r="F262" s="173"/>
      <c r="G262" s="449"/>
      <c r="H262" s="379"/>
      <c r="I262" s="397"/>
    </row>
    <row r="263" spans="2:9" ht="25.5">
      <c r="B263" s="183" t="s">
        <v>7034</v>
      </c>
      <c r="C263" s="227"/>
      <c r="D263" s="227"/>
      <c r="E263" s="180" t="s">
        <v>7035</v>
      </c>
      <c r="F263" s="228" t="s">
        <v>24</v>
      </c>
      <c r="G263" s="311">
        <v>1</v>
      </c>
      <c r="H263" s="387"/>
      <c r="I263" s="396">
        <f>TRUNC(SUM(I264:I269),2)</f>
        <v>13.26</v>
      </c>
    </row>
    <row r="264" spans="2:9" ht="25.5">
      <c r="B264" s="93" t="s">
        <v>548</v>
      </c>
      <c r="C264" s="182" t="s">
        <v>6</v>
      </c>
      <c r="D264" s="93">
        <v>88248</v>
      </c>
      <c r="E264" s="172" t="str">
        <f>IF($D264&lt;&gt;"",VLOOKUP($D264,'SINAPI FEVEREIRO 2022'!$1:$1048576,2,FALSE),"")</f>
        <v>AUXILIAR DE ENCANADOR OU BOMBEIRO HIDRÁULICO COM ENCARGOS COMPLEMENTARES</v>
      </c>
      <c r="F264" s="173" t="str">
        <f>IF($D264&lt;&gt;"",VLOOKUP($D264,'SINAPI FEVEREIRO 2022'!$1:$1048576,3,FALSE),"")</f>
        <v>H</v>
      </c>
      <c r="G264" s="323">
        <v>8.5000000000000006E-2</v>
      </c>
      <c r="H264" s="379">
        <f>IF($D264&lt;&gt;"",VLOOKUP($D264,'SINAPI FEVEREIRO 2022'!$1:$1048576,4,FALSE),"")</f>
        <v>15.54</v>
      </c>
      <c r="I264" s="397">
        <f t="shared" ref="I264:I268" si="39">TRUNC(H264*G264,2)</f>
        <v>1.32</v>
      </c>
    </row>
    <row r="265" spans="2:9" ht="25.5">
      <c r="B265" s="93" t="s">
        <v>548</v>
      </c>
      <c r="C265" s="182" t="s">
        <v>6</v>
      </c>
      <c r="D265" s="93">
        <v>88267</v>
      </c>
      <c r="E265" s="172" t="str">
        <f>IF($D265&lt;&gt;"",VLOOKUP($D265,'SINAPI FEVEREIRO 2022'!$1:$1048576,2,FALSE),"")</f>
        <v>ENCANADOR OU BOMBEIRO HIDRÁULICO COM ENCARGOS COMPLEMENTARES</v>
      </c>
      <c r="F265" s="173" t="str">
        <f>IF($D265&lt;&gt;"",VLOOKUP($D265,'SINAPI FEVEREIRO 2022'!$1:$1048576,3,FALSE),"")</f>
        <v>H</v>
      </c>
      <c r="G265" s="323">
        <v>8.5000000000000006E-2</v>
      </c>
      <c r="H265" s="379">
        <f>IF($D265&lt;&gt;"",VLOOKUP($D265,'SINAPI FEVEREIRO 2022'!$1:$1048576,4,FALSE),"")</f>
        <v>18.72</v>
      </c>
      <c r="I265" s="397">
        <f t="shared" si="39"/>
        <v>1.59</v>
      </c>
    </row>
    <row r="266" spans="2:9">
      <c r="B266" s="93" t="s">
        <v>546</v>
      </c>
      <c r="C266" s="182" t="s">
        <v>6</v>
      </c>
      <c r="D266" s="93">
        <v>122</v>
      </c>
      <c r="E266" s="172" t="str">
        <f>IF($D266&lt;&gt;"",VLOOKUP($D266,'SINAPI FEVEREIRO 2022'!$1:$1048576,2,FALSE),"")</f>
        <v>ADESIVO PLASTICO PARA PVC, FRASCO COM *850* GR</v>
      </c>
      <c r="F266" s="173" t="str">
        <f>IF($D266&lt;&gt;"",VLOOKUP($D266,'SINAPI FEVEREIRO 2022'!$1:$1048576,3,FALSE),"")</f>
        <v xml:space="preserve">UN    </v>
      </c>
      <c r="G266" s="323">
        <v>2.4E-2</v>
      </c>
      <c r="H266" s="379">
        <f>IF($D266&lt;&gt;"",VLOOKUP($D266,'SINAPI FEVEREIRO 2022'!$1:$1048576,4,FALSE),"")</f>
        <v>76.94</v>
      </c>
      <c r="I266" s="397">
        <f t="shared" si="39"/>
        <v>1.84</v>
      </c>
    </row>
    <row r="267" spans="2:9" ht="25.5">
      <c r="B267" s="93" t="s">
        <v>546</v>
      </c>
      <c r="C267" s="182" t="s">
        <v>6</v>
      </c>
      <c r="D267" s="93">
        <v>818</v>
      </c>
      <c r="E267" s="172" t="str">
        <f>IF($D267&lt;&gt;"",VLOOKUP($D267,'SINAPI FEVEREIRO 2022'!$1:$1048576,2,FALSE),"")</f>
        <v>BUCHA DE REDUCAO DE PVC, SOLDAVEL, CURTA, COM 60 X 50 MM, PARA AGUA FRIA PREDIAL</v>
      </c>
      <c r="F267" s="173" t="str">
        <f>IF($D267&lt;&gt;"",VLOOKUP($D267,'SINAPI FEVEREIRO 2022'!$1:$1048576,3,FALSE),"")</f>
        <v xml:space="preserve">UN    </v>
      </c>
      <c r="G267" s="323">
        <v>1</v>
      </c>
      <c r="H267" s="379">
        <f>IF($D267&lt;&gt;"",VLOOKUP($D267,'SINAPI FEVEREIRO 2022'!$1:$1048576,4,FALSE),"")</f>
        <v>5.84</v>
      </c>
      <c r="I267" s="397">
        <f t="shared" si="39"/>
        <v>5.84</v>
      </c>
    </row>
    <row r="268" spans="2:9" ht="25.5">
      <c r="B268" s="93" t="s">
        <v>546</v>
      </c>
      <c r="C268" s="182" t="s">
        <v>6</v>
      </c>
      <c r="D268" s="176">
        <v>20083</v>
      </c>
      <c r="E268" s="172" t="str">
        <f>IF($D268&lt;&gt;"",VLOOKUP($D268,'SINAPI FEVEREIRO 2022'!$1:$1048576,2,FALSE),"")</f>
        <v>SOLUCAO PREPARADORA / LIMPADORA PARA PVC, FRASCO COM 1000 CM3</v>
      </c>
      <c r="F268" s="173" t="str">
        <f>IF($D268&lt;&gt;"",VLOOKUP($D268,'SINAPI FEVEREIRO 2022'!$1:$1048576,3,FALSE),"")</f>
        <v xml:space="preserve">UN    </v>
      </c>
      <c r="G268" s="449">
        <v>0.03</v>
      </c>
      <c r="H268" s="379">
        <f>IF($D268&lt;&gt;"",VLOOKUP($D268,'SINAPI FEVEREIRO 2022'!$1:$1048576,4,FALSE),"")</f>
        <v>87.17</v>
      </c>
      <c r="I268" s="397">
        <f t="shared" si="39"/>
        <v>2.61</v>
      </c>
    </row>
    <row r="269" spans="2:9">
      <c r="B269" s="93" t="s">
        <v>546</v>
      </c>
      <c r="C269" s="182" t="s">
        <v>6</v>
      </c>
      <c r="D269" s="176">
        <v>38383</v>
      </c>
      <c r="E269" s="172" t="str">
        <f>IF($D269&lt;&gt;"",VLOOKUP($D269,'SINAPI FEVEREIRO 2022'!$1:$1048576,2,FALSE),"")</f>
        <v>LIXA D'AGUA EM FOLHA, GRAO 100</v>
      </c>
      <c r="F269" s="173" t="str">
        <f>IF($D269&lt;&gt;"",VLOOKUP($D269,'SINAPI FEVEREIRO 2022'!$1:$1048576,3,FALSE),"")</f>
        <v xml:space="preserve">UN    </v>
      </c>
      <c r="G269" s="449">
        <v>2.8000000000000001E-2</v>
      </c>
      <c r="H269" s="379">
        <f>IF($D269&lt;&gt;"",VLOOKUP($D269,'SINAPI FEVEREIRO 2022'!$1:$1048576,4,FALSE),"")</f>
        <v>2.2000000000000002</v>
      </c>
      <c r="I269" s="397">
        <f t="shared" ref="I269" si="40">TRUNC(H269*G269,2)</f>
        <v>0.06</v>
      </c>
    </row>
    <row r="270" spans="2:9">
      <c r="B270" s="182"/>
      <c r="C270" s="182"/>
      <c r="D270" s="176"/>
      <c r="E270" s="172"/>
      <c r="F270" s="173"/>
      <c r="G270" s="449"/>
      <c r="H270" s="379"/>
      <c r="I270" s="397"/>
    </row>
    <row r="271" spans="2:9" ht="37.5" customHeight="1">
      <c r="B271" s="183" t="s">
        <v>7036</v>
      </c>
      <c r="C271" s="227"/>
      <c r="D271" s="227"/>
      <c r="E271" s="180" t="s">
        <v>7037</v>
      </c>
      <c r="F271" s="228" t="s">
        <v>24</v>
      </c>
      <c r="G271" s="311">
        <v>1</v>
      </c>
      <c r="H271" s="387"/>
      <c r="I271" s="396">
        <f>TRUNC(SUM(I272:I277),2)</f>
        <v>17.12</v>
      </c>
    </row>
    <row r="272" spans="2:9" ht="25.5">
      <c r="B272" s="93" t="s">
        <v>548</v>
      </c>
      <c r="C272" s="182" t="s">
        <v>6</v>
      </c>
      <c r="D272" s="93">
        <v>88248</v>
      </c>
      <c r="E272" s="172" t="str">
        <f>IF($D272&lt;&gt;"",VLOOKUP($D272,'SINAPI FEVEREIRO 2022'!$1:$1048576,2,FALSE),"")</f>
        <v>AUXILIAR DE ENCANADOR OU BOMBEIRO HIDRÁULICO COM ENCARGOS COMPLEMENTARES</v>
      </c>
      <c r="F272" s="173" t="str">
        <f>IF($D272&lt;&gt;"",VLOOKUP($D272,'SINAPI FEVEREIRO 2022'!$1:$1048576,3,FALSE),"")</f>
        <v>H</v>
      </c>
      <c r="G272" s="323">
        <v>8.5000000000000006E-2</v>
      </c>
      <c r="H272" s="379">
        <f>IF($D272&lt;&gt;"",VLOOKUP($D272,'SINAPI FEVEREIRO 2022'!$1:$1048576,4,FALSE),"")</f>
        <v>15.54</v>
      </c>
      <c r="I272" s="397">
        <f t="shared" ref="I272:I277" si="41">TRUNC(H272*G272,2)</f>
        <v>1.32</v>
      </c>
    </row>
    <row r="273" spans="2:9" ht="25.5">
      <c r="B273" s="93" t="s">
        <v>548</v>
      </c>
      <c r="C273" s="182" t="s">
        <v>6</v>
      </c>
      <c r="D273" s="93">
        <v>88267</v>
      </c>
      <c r="E273" s="172" t="str">
        <f>IF($D273&lt;&gt;"",VLOOKUP($D273,'SINAPI FEVEREIRO 2022'!$1:$1048576,2,FALSE),"")</f>
        <v>ENCANADOR OU BOMBEIRO HIDRÁULICO COM ENCARGOS COMPLEMENTARES</v>
      </c>
      <c r="F273" s="173" t="str">
        <f>IF($D273&lt;&gt;"",VLOOKUP($D273,'SINAPI FEVEREIRO 2022'!$1:$1048576,3,FALSE),"")</f>
        <v>H</v>
      </c>
      <c r="G273" s="323">
        <v>8.5000000000000006E-2</v>
      </c>
      <c r="H273" s="379">
        <f>IF($D273&lt;&gt;"",VLOOKUP($D273,'SINAPI FEVEREIRO 2022'!$1:$1048576,4,FALSE),"")</f>
        <v>18.72</v>
      </c>
      <c r="I273" s="397">
        <f t="shared" si="41"/>
        <v>1.59</v>
      </c>
    </row>
    <row r="274" spans="2:9">
      <c r="B274" s="93" t="s">
        <v>546</v>
      </c>
      <c r="C274" s="182" t="s">
        <v>6</v>
      </c>
      <c r="D274" s="93">
        <v>122</v>
      </c>
      <c r="E274" s="172" t="str">
        <f>IF($D274&lt;&gt;"",VLOOKUP($D274,'SINAPI FEVEREIRO 2022'!$1:$1048576,2,FALSE),"")</f>
        <v>ADESIVO PLASTICO PARA PVC, FRASCO COM *850* GR</v>
      </c>
      <c r="F274" s="173" t="str">
        <f>IF($D274&lt;&gt;"",VLOOKUP($D274,'SINAPI FEVEREIRO 2022'!$1:$1048576,3,FALSE),"")</f>
        <v xml:space="preserve">UN    </v>
      </c>
      <c r="G274" s="323">
        <v>2.4E-2</v>
      </c>
      <c r="H274" s="379">
        <f>IF($D274&lt;&gt;"",VLOOKUP($D274,'SINAPI FEVEREIRO 2022'!$1:$1048576,4,FALSE),"")</f>
        <v>76.94</v>
      </c>
      <c r="I274" s="397">
        <f t="shared" si="41"/>
        <v>1.84</v>
      </c>
    </row>
    <row r="275" spans="2:9" ht="25.5">
      <c r="B275" s="93" t="s">
        <v>546</v>
      </c>
      <c r="C275" s="182" t="s">
        <v>6</v>
      </c>
      <c r="D275" s="93">
        <v>816</v>
      </c>
      <c r="E275" s="172" t="str">
        <f>IF($D275&lt;&gt;"",VLOOKUP($D275,'SINAPI FEVEREIRO 2022'!$1:$1048576,2,FALSE),"")</f>
        <v>BUCHA DE REDUCAO DE PVC, SOLDAVEL, LONGA, COM 60 X 25 MM, PARA AGUA FRIA PREDIAL</v>
      </c>
      <c r="F275" s="173" t="str">
        <f>IF($D275&lt;&gt;"",VLOOKUP($D275,'SINAPI FEVEREIRO 2022'!$1:$1048576,3,FALSE),"")</f>
        <v xml:space="preserve">UN    </v>
      </c>
      <c r="G275" s="323">
        <v>1</v>
      </c>
      <c r="H275" s="379">
        <f>IF($D275&lt;&gt;"",VLOOKUP($D275,'SINAPI FEVEREIRO 2022'!$1:$1048576,4,FALSE),"")</f>
        <v>9.6999999999999993</v>
      </c>
      <c r="I275" s="397">
        <f t="shared" si="41"/>
        <v>9.6999999999999993</v>
      </c>
    </row>
    <row r="276" spans="2:9" ht="25.5">
      <c r="B276" s="93" t="s">
        <v>546</v>
      </c>
      <c r="C276" s="182" t="s">
        <v>6</v>
      </c>
      <c r="D276" s="176">
        <v>20083</v>
      </c>
      <c r="E276" s="172" t="str">
        <f>IF($D276&lt;&gt;"",VLOOKUP($D276,'SINAPI FEVEREIRO 2022'!$1:$1048576,2,FALSE),"")</f>
        <v>SOLUCAO PREPARADORA / LIMPADORA PARA PVC, FRASCO COM 1000 CM3</v>
      </c>
      <c r="F276" s="173" t="str">
        <f>IF($D276&lt;&gt;"",VLOOKUP($D276,'SINAPI FEVEREIRO 2022'!$1:$1048576,3,FALSE),"")</f>
        <v xml:space="preserve">UN    </v>
      </c>
      <c r="G276" s="449">
        <v>0.03</v>
      </c>
      <c r="H276" s="379">
        <f>IF($D276&lt;&gt;"",VLOOKUP($D276,'SINAPI FEVEREIRO 2022'!$1:$1048576,4,FALSE),"")</f>
        <v>87.17</v>
      </c>
      <c r="I276" s="397">
        <f t="shared" si="41"/>
        <v>2.61</v>
      </c>
    </row>
    <row r="277" spans="2:9">
      <c r="B277" s="93" t="s">
        <v>546</v>
      </c>
      <c r="C277" s="182" t="s">
        <v>6</v>
      </c>
      <c r="D277" s="176">
        <v>38383</v>
      </c>
      <c r="E277" s="172" t="str">
        <f>IF($D277&lt;&gt;"",VLOOKUP($D277,'SINAPI FEVEREIRO 2022'!$1:$1048576,2,FALSE),"")</f>
        <v>LIXA D'AGUA EM FOLHA, GRAO 100</v>
      </c>
      <c r="F277" s="173" t="str">
        <f>IF($D277&lt;&gt;"",VLOOKUP($D277,'SINAPI FEVEREIRO 2022'!$1:$1048576,3,FALSE),"")</f>
        <v xml:space="preserve">UN    </v>
      </c>
      <c r="G277" s="449">
        <v>2.8000000000000001E-2</v>
      </c>
      <c r="H277" s="379">
        <f>IF($D277&lt;&gt;"",VLOOKUP($D277,'SINAPI FEVEREIRO 2022'!$1:$1048576,4,FALSE),"")</f>
        <v>2.2000000000000002</v>
      </c>
      <c r="I277" s="397">
        <f t="shared" si="41"/>
        <v>0.06</v>
      </c>
    </row>
    <row r="278" spans="2:9">
      <c r="B278" s="182"/>
      <c r="C278" s="182"/>
      <c r="D278" s="176"/>
      <c r="E278" s="172"/>
      <c r="F278" s="173"/>
      <c r="G278" s="449"/>
      <c r="H278" s="379"/>
      <c r="I278" s="397"/>
    </row>
    <row r="279" spans="2:9" ht="25.5">
      <c r="B279" s="183" t="s">
        <v>7038</v>
      </c>
      <c r="C279" s="227"/>
      <c r="D279" s="227"/>
      <c r="E279" s="180" t="s">
        <v>7681</v>
      </c>
      <c r="F279" s="228" t="s">
        <v>24</v>
      </c>
      <c r="G279" s="311">
        <v>1</v>
      </c>
      <c r="H279" s="387"/>
      <c r="I279" s="396">
        <f>TRUNC(SUM(I280:I285),2)</f>
        <v>11.91</v>
      </c>
    </row>
    <row r="280" spans="2:9" ht="25.5">
      <c r="B280" s="93" t="s">
        <v>548</v>
      </c>
      <c r="C280" s="182" t="s">
        <v>6</v>
      </c>
      <c r="D280" s="93">
        <v>88248</v>
      </c>
      <c r="E280" s="172" t="str">
        <f>IF($D280&lt;&gt;"",VLOOKUP($D280,'SINAPI FEVEREIRO 2022'!$1:$1048576,2,FALSE),"")</f>
        <v>AUXILIAR DE ENCANADOR OU BOMBEIRO HIDRÁULICO COM ENCARGOS COMPLEMENTARES</v>
      </c>
      <c r="F280" s="173" t="str">
        <f>IF($D280&lt;&gt;"",VLOOKUP($D280,'SINAPI FEVEREIRO 2022'!$1:$1048576,3,FALSE),"")</f>
        <v>H</v>
      </c>
      <c r="G280" s="323">
        <v>8.5000000000000006E-2</v>
      </c>
      <c r="H280" s="379">
        <f>IF($D280&lt;&gt;"",VLOOKUP($D280,'SINAPI FEVEREIRO 2022'!$1:$1048576,4,FALSE),"")</f>
        <v>15.54</v>
      </c>
      <c r="I280" s="397">
        <f t="shared" ref="I280:I285" si="42">TRUNC(H280*G280,2)</f>
        <v>1.32</v>
      </c>
    </row>
    <row r="281" spans="2:9" ht="25.5">
      <c r="B281" s="93" t="s">
        <v>548</v>
      </c>
      <c r="C281" s="182" t="s">
        <v>6</v>
      </c>
      <c r="D281" s="93">
        <v>88267</v>
      </c>
      <c r="E281" s="172" t="str">
        <f>IF($D281&lt;&gt;"",VLOOKUP($D281,'SINAPI FEVEREIRO 2022'!$1:$1048576,2,FALSE),"")</f>
        <v>ENCANADOR OU BOMBEIRO HIDRÁULICO COM ENCARGOS COMPLEMENTARES</v>
      </c>
      <c r="F281" s="173" t="str">
        <f>IF($D281&lt;&gt;"",VLOOKUP($D281,'SINAPI FEVEREIRO 2022'!$1:$1048576,3,FALSE),"")</f>
        <v>H</v>
      </c>
      <c r="G281" s="323">
        <v>8.5000000000000006E-2</v>
      </c>
      <c r="H281" s="379">
        <f>IF($D281&lt;&gt;"",VLOOKUP($D281,'SINAPI FEVEREIRO 2022'!$1:$1048576,4,FALSE),"")</f>
        <v>18.72</v>
      </c>
      <c r="I281" s="397">
        <f t="shared" si="42"/>
        <v>1.59</v>
      </c>
    </row>
    <row r="282" spans="2:9">
      <c r="B282" s="93" t="s">
        <v>546</v>
      </c>
      <c r="C282" s="182" t="s">
        <v>6</v>
      </c>
      <c r="D282" s="93">
        <v>122</v>
      </c>
      <c r="E282" s="172" t="str">
        <f>IF($D282&lt;&gt;"",VLOOKUP($D282,'SINAPI FEVEREIRO 2022'!$1:$1048576,2,FALSE),"")</f>
        <v>ADESIVO PLASTICO PARA PVC, FRASCO COM *850* GR</v>
      </c>
      <c r="F282" s="173" t="str">
        <f>IF($D282&lt;&gt;"",VLOOKUP($D282,'SINAPI FEVEREIRO 2022'!$1:$1048576,3,FALSE),"")</f>
        <v xml:space="preserve">UN    </v>
      </c>
      <c r="G282" s="323">
        <v>2.4E-2</v>
      </c>
      <c r="H282" s="379">
        <f>IF($D282&lt;&gt;"",VLOOKUP($D282,'SINAPI FEVEREIRO 2022'!$1:$1048576,4,FALSE),"")</f>
        <v>76.94</v>
      </c>
      <c r="I282" s="397">
        <f t="shared" si="42"/>
        <v>1.84</v>
      </c>
    </row>
    <row r="283" spans="2:9" ht="25.5">
      <c r="B283" s="93" t="s">
        <v>546</v>
      </c>
      <c r="C283" s="182" t="s">
        <v>6</v>
      </c>
      <c r="D283" s="93">
        <v>813</v>
      </c>
      <c r="E283" s="172" t="str">
        <f>IF($D283&lt;&gt;"",VLOOKUP($D283,'SINAPI FEVEREIRO 2022'!$1:$1048576,2,FALSE),"")</f>
        <v>BUCHA DE REDUCAO DE PVC, SOLDAVEL, LONGA, COM 50 X 25 MM, PARA AGUA FRIA PREDIAL</v>
      </c>
      <c r="F283" s="173" t="str">
        <f>IF($D283&lt;&gt;"",VLOOKUP($D283,'SINAPI FEVEREIRO 2022'!$1:$1048576,3,FALSE),"")</f>
        <v xml:space="preserve">UN    </v>
      </c>
      <c r="G283" s="323">
        <v>1</v>
      </c>
      <c r="H283" s="379">
        <f>IF($D283&lt;&gt;"",VLOOKUP($D283,'SINAPI FEVEREIRO 2022'!$1:$1048576,4,FALSE),"")</f>
        <v>4.49</v>
      </c>
      <c r="I283" s="397">
        <f t="shared" si="42"/>
        <v>4.49</v>
      </c>
    </row>
    <row r="284" spans="2:9" ht="25.5">
      <c r="B284" s="93" t="s">
        <v>546</v>
      </c>
      <c r="C284" s="182" t="s">
        <v>6</v>
      </c>
      <c r="D284" s="176">
        <v>20083</v>
      </c>
      <c r="E284" s="172" t="str">
        <f>IF($D284&lt;&gt;"",VLOOKUP($D284,'SINAPI FEVEREIRO 2022'!$1:$1048576,2,FALSE),"")</f>
        <v>SOLUCAO PREPARADORA / LIMPADORA PARA PVC, FRASCO COM 1000 CM3</v>
      </c>
      <c r="F284" s="173" t="str">
        <f>IF($D284&lt;&gt;"",VLOOKUP($D284,'SINAPI FEVEREIRO 2022'!$1:$1048576,3,FALSE),"")</f>
        <v xml:space="preserve">UN    </v>
      </c>
      <c r="G284" s="449">
        <v>0.03</v>
      </c>
      <c r="H284" s="379">
        <f>IF($D284&lt;&gt;"",VLOOKUP($D284,'SINAPI FEVEREIRO 2022'!$1:$1048576,4,FALSE),"")</f>
        <v>87.17</v>
      </c>
      <c r="I284" s="397">
        <f t="shared" si="42"/>
        <v>2.61</v>
      </c>
    </row>
    <row r="285" spans="2:9">
      <c r="B285" s="93" t="s">
        <v>546</v>
      </c>
      <c r="C285" s="182" t="s">
        <v>6</v>
      </c>
      <c r="D285" s="176">
        <v>38383</v>
      </c>
      <c r="E285" s="172" t="str">
        <f>IF($D285&lt;&gt;"",VLOOKUP($D285,'SINAPI FEVEREIRO 2022'!$1:$1048576,2,FALSE),"")</f>
        <v>LIXA D'AGUA EM FOLHA, GRAO 100</v>
      </c>
      <c r="F285" s="173" t="str">
        <f>IF($D285&lt;&gt;"",VLOOKUP($D285,'SINAPI FEVEREIRO 2022'!$1:$1048576,3,FALSE),"")</f>
        <v xml:space="preserve">UN    </v>
      </c>
      <c r="G285" s="449">
        <v>2.8000000000000001E-2</v>
      </c>
      <c r="H285" s="379">
        <f>IF($D285&lt;&gt;"",VLOOKUP($D285,'SINAPI FEVEREIRO 2022'!$1:$1048576,4,FALSE),"")</f>
        <v>2.2000000000000002</v>
      </c>
      <c r="I285" s="397">
        <f t="shared" si="42"/>
        <v>0.06</v>
      </c>
    </row>
    <row r="286" spans="2:9">
      <c r="B286" s="182"/>
      <c r="C286" s="182"/>
      <c r="D286" s="176"/>
      <c r="E286" s="172"/>
      <c r="F286" s="173"/>
      <c r="G286" s="449"/>
      <c r="H286" s="379"/>
      <c r="I286" s="397"/>
    </row>
    <row r="287" spans="2:9" ht="25.5">
      <c r="B287" s="183" t="s">
        <v>7039</v>
      </c>
      <c r="C287" s="227"/>
      <c r="D287" s="227"/>
      <c r="E287" s="180" t="s">
        <v>7041</v>
      </c>
      <c r="F287" s="228" t="s">
        <v>24</v>
      </c>
      <c r="G287" s="311">
        <v>1</v>
      </c>
      <c r="H287" s="387"/>
      <c r="I287" s="396">
        <f>TRUNC(SUM(I288:I293),2)</f>
        <v>14.02</v>
      </c>
    </row>
    <row r="288" spans="2:9" ht="25.5">
      <c r="B288" s="93" t="s">
        <v>548</v>
      </c>
      <c r="C288" s="182" t="s">
        <v>6</v>
      </c>
      <c r="D288" s="93">
        <v>88248</v>
      </c>
      <c r="E288" s="172" t="str">
        <f>IF($D288&lt;&gt;"",VLOOKUP($D288,'SINAPI FEVEREIRO 2022'!$1:$1048576,2,FALSE),"")</f>
        <v>AUXILIAR DE ENCANADOR OU BOMBEIRO HIDRÁULICO COM ENCARGOS COMPLEMENTARES</v>
      </c>
      <c r="F288" s="173" t="str">
        <f>IF($D288&lt;&gt;"",VLOOKUP($D288,'SINAPI FEVEREIRO 2022'!$1:$1048576,3,FALSE),"")</f>
        <v>H</v>
      </c>
      <c r="G288" s="323">
        <v>8.5000000000000006E-2</v>
      </c>
      <c r="H288" s="379">
        <f>IF($D288&lt;&gt;"",VLOOKUP($D288,'SINAPI FEVEREIRO 2022'!$1:$1048576,4,FALSE),"")</f>
        <v>15.54</v>
      </c>
      <c r="I288" s="397">
        <f t="shared" ref="I288:I293" si="43">TRUNC(H288*G288,2)</f>
        <v>1.32</v>
      </c>
    </row>
    <row r="289" spans="2:9" ht="25.5">
      <c r="B289" s="93" t="s">
        <v>548</v>
      </c>
      <c r="C289" s="182" t="s">
        <v>6</v>
      </c>
      <c r="D289" s="93">
        <v>88267</v>
      </c>
      <c r="E289" s="172" t="str">
        <f>IF($D289&lt;&gt;"",VLOOKUP($D289,'SINAPI FEVEREIRO 2022'!$1:$1048576,2,FALSE),"")</f>
        <v>ENCANADOR OU BOMBEIRO HIDRÁULICO COM ENCARGOS COMPLEMENTARES</v>
      </c>
      <c r="F289" s="173" t="str">
        <f>IF($D289&lt;&gt;"",VLOOKUP($D289,'SINAPI FEVEREIRO 2022'!$1:$1048576,3,FALSE),"")</f>
        <v>H</v>
      </c>
      <c r="G289" s="323">
        <v>8.5000000000000006E-2</v>
      </c>
      <c r="H289" s="379">
        <f>IF($D289&lt;&gt;"",VLOOKUP($D289,'SINAPI FEVEREIRO 2022'!$1:$1048576,4,FALSE),"")</f>
        <v>18.72</v>
      </c>
      <c r="I289" s="397">
        <f t="shared" si="43"/>
        <v>1.59</v>
      </c>
    </row>
    <row r="290" spans="2:9">
      <c r="B290" s="93" t="s">
        <v>546</v>
      </c>
      <c r="C290" s="182" t="s">
        <v>6</v>
      </c>
      <c r="D290" s="93">
        <v>122</v>
      </c>
      <c r="E290" s="172" t="str">
        <f>IF($D290&lt;&gt;"",VLOOKUP($D290,'SINAPI FEVEREIRO 2022'!$1:$1048576,2,FALSE),"")</f>
        <v>ADESIVO PLASTICO PARA PVC, FRASCO COM *850* GR</v>
      </c>
      <c r="F290" s="173" t="str">
        <f>IF($D290&lt;&gt;"",VLOOKUP($D290,'SINAPI FEVEREIRO 2022'!$1:$1048576,3,FALSE),"")</f>
        <v xml:space="preserve">UN    </v>
      </c>
      <c r="G290" s="323">
        <v>2.4E-2</v>
      </c>
      <c r="H290" s="379">
        <f>IF($D290&lt;&gt;"",VLOOKUP($D290,'SINAPI FEVEREIRO 2022'!$1:$1048576,4,FALSE),"")</f>
        <v>76.94</v>
      </c>
      <c r="I290" s="397">
        <f t="shared" si="43"/>
        <v>1.84</v>
      </c>
    </row>
    <row r="291" spans="2:9" ht="25.5" customHeight="1">
      <c r="B291" s="93" t="s">
        <v>546</v>
      </c>
      <c r="C291" s="182" t="s">
        <v>6</v>
      </c>
      <c r="D291" s="93">
        <v>7136</v>
      </c>
      <c r="E291" s="172" t="str">
        <f>IF($D291&lt;&gt;"",VLOOKUP($D291,'SINAPI FEVEREIRO 2022'!$1:$1048576,2,FALSE),"")</f>
        <v>TE DE REDUCAO, PVC, SOLDAVEL, 90 GRAUS, 32 MM X 25 MM, PARA AGUA FRIA PREDIAL</v>
      </c>
      <c r="F291" s="173" t="str">
        <f>IF($D291&lt;&gt;"",VLOOKUP($D291,'SINAPI FEVEREIRO 2022'!$1:$1048576,3,FALSE),"")</f>
        <v xml:space="preserve">UN    </v>
      </c>
      <c r="G291" s="323">
        <v>1</v>
      </c>
      <c r="H291" s="379">
        <f>IF($D291&lt;&gt;"",VLOOKUP($D291,'SINAPI FEVEREIRO 2022'!$1:$1048576,4,FALSE),"")</f>
        <v>6.6</v>
      </c>
      <c r="I291" s="397">
        <f t="shared" si="43"/>
        <v>6.6</v>
      </c>
    </row>
    <row r="292" spans="2:9" ht="25.5">
      <c r="B292" s="93" t="s">
        <v>546</v>
      </c>
      <c r="C292" s="182" t="s">
        <v>6</v>
      </c>
      <c r="D292" s="176">
        <v>20083</v>
      </c>
      <c r="E292" s="172" t="str">
        <f>IF($D292&lt;&gt;"",VLOOKUP($D292,'SINAPI FEVEREIRO 2022'!$1:$1048576,2,FALSE),"")</f>
        <v>SOLUCAO PREPARADORA / LIMPADORA PARA PVC, FRASCO COM 1000 CM3</v>
      </c>
      <c r="F292" s="173" t="str">
        <f>IF($D292&lt;&gt;"",VLOOKUP($D292,'SINAPI FEVEREIRO 2022'!$1:$1048576,3,FALSE),"")</f>
        <v xml:space="preserve">UN    </v>
      </c>
      <c r="G292" s="449">
        <v>0.03</v>
      </c>
      <c r="H292" s="379">
        <f>IF($D292&lt;&gt;"",VLOOKUP($D292,'SINAPI FEVEREIRO 2022'!$1:$1048576,4,FALSE),"")</f>
        <v>87.17</v>
      </c>
      <c r="I292" s="397">
        <f t="shared" si="43"/>
        <v>2.61</v>
      </c>
    </row>
    <row r="293" spans="2:9">
      <c r="B293" s="93" t="s">
        <v>546</v>
      </c>
      <c r="C293" s="182" t="s">
        <v>6</v>
      </c>
      <c r="D293" s="176">
        <v>38383</v>
      </c>
      <c r="E293" s="172" t="str">
        <f>IF($D293&lt;&gt;"",VLOOKUP($D293,'SINAPI FEVEREIRO 2022'!$1:$1048576,2,FALSE),"")</f>
        <v>LIXA D'AGUA EM FOLHA, GRAO 100</v>
      </c>
      <c r="F293" s="173" t="str">
        <f>IF($D293&lt;&gt;"",VLOOKUP($D293,'SINAPI FEVEREIRO 2022'!$1:$1048576,3,FALSE),"")</f>
        <v xml:space="preserve">UN    </v>
      </c>
      <c r="G293" s="449">
        <v>2.8000000000000001E-2</v>
      </c>
      <c r="H293" s="379">
        <f>IF($D293&lt;&gt;"",VLOOKUP($D293,'SINAPI FEVEREIRO 2022'!$1:$1048576,4,FALSE),"")</f>
        <v>2.2000000000000002</v>
      </c>
      <c r="I293" s="397">
        <f t="shared" si="43"/>
        <v>0.06</v>
      </c>
    </row>
    <row r="294" spans="2:9">
      <c r="B294" s="182"/>
      <c r="C294" s="182"/>
      <c r="D294" s="176"/>
      <c r="E294" s="172"/>
      <c r="F294" s="173"/>
      <c r="G294" s="449"/>
      <c r="H294" s="379"/>
      <c r="I294" s="397"/>
    </row>
    <row r="295" spans="2:9" ht="109.5" customHeight="1">
      <c r="B295" s="183" t="s">
        <v>7040</v>
      </c>
      <c r="C295" s="227"/>
      <c r="D295" s="227"/>
      <c r="E295" s="180" t="s">
        <v>7043</v>
      </c>
      <c r="F295" s="228" t="s">
        <v>24</v>
      </c>
      <c r="G295" s="311">
        <v>1</v>
      </c>
      <c r="H295" s="387"/>
      <c r="I295" s="396">
        <f>TRUNC(SUM(I296:I325),2)</f>
        <v>35865.75</v>
      </c>
    </row>
    <row r="296" spans="2:9">
      <c r="B296" s="93" t="s">
        <v>548</v>
      </c>
      <c r="C296" s="182" t="s">
        <v>6</v>
      </c>
      <c r="D296" s="176">
        <v>88317</v>
      </c>
      <c r="E296" s="172" t="str">
        <f>IF($D296&lt;&gt;"",VLOOKUP($D296,'SINAPI FEVEREIRO 2022'!$1:$1048576,2,FALSE),"")</f>
        <v>SOLDADOR COM ENCARGOS COMPLEMENTARES</v>
      </c>
      <c r="F296" s="173" t="str">
        <f>IF($D296&lt;&gt;"",VLOOKUP($D296,'SINAPI FEVEREIRO 2022'!$1:$1048576,3,FALSE),"")</f>
        <v>H</v>
      </c>
      <c r="G296" s="449">
        <v>43.441500000000005</v>
      </c>
      <c r="H296" s="379">
        <f>IF($D296&lt;&gt;"",VLOOKUP($D296,'SINAPI FEVEREIRO 2022'!$1:$1048576,4,FALSE),"")</f>
        <v>19.57</v>
      </c>
      <c r="I296" s="397">
        <f t="shared" ref="I296:I299" si="44">TRUNC(H296*G296,2)</f>
        <v>850.15</v>
      </c>
    </row>
    <row r="297" spans="2:9">
      <c r="B297" s="93" t="s">
        <v>548</v>
      </c>
      <c r="C297" s="182" t="s">
        <v>6</v>
      </c>
      <c r="D297" s="176">
        <v>88315</v>
      </c>
      <c r="E297" s="172" t="str">
        <f>IF($D297&lt;&gt;"",VLOOKUP($D297,'SINAPI FEVEREIRO 2022'!$1:$1048576,2,FALSE),"")</f>
        <v>SERRALHEIRO COM ENCARGOS COMPLEMENTARES</v>
      </c>
      <c r="F297" s="173" t="str">
        <f>IF($D297&lt;&gt;"",VLOOKUP($D297,'SINAPI FEVEREIRO 2022'!$1:$1048576,3,FALSE),"")</f>
        <v>H</v>
      </c>
      <c r="G297" s="449">
        <v>72.402500000000018</v>
      </c>
      <c r="H297" s="379">
        <f>IF($D297&lt;&gt;"",VLOOKUP($D297,'SINAPI FEVEREIRO 2022'!$1:$1048576,4,FALSE),"")</f>
        <v>18.75</v>
      </c>
      <c r="I297" s="397">
        <f t="shared" si="44"/>
        <v>1357.54</v>
      </c>
    </row>
    <row r="298" spans="2:9">
      <c r="B298" s="93" t="s">
        <v>548</v>
      </c>
      <c r="C298" s="182" t="s">
        <v>6</v>
      </c>
      <c r="D298" s="176">
        <v>88251</v>
      </c>
      <c r="E298" s="172" t="str">
        <f>IF($D298&lt;&gt;"",VLOOKUP($D298,'SINAPI FEVEREIRO 2022'!$1:$1048576,2,FALSE),"")</f>
        <v>AUXILIAR DE SERRALHEIRO COM ENCARGOS COMPLEMENTARES</v>
      </c>
      <c r="F298" s="173" t="str">
        <f>IF($D298&lt;&gt;"",VLOOKUP($D298,'SINAPI FEVEREIRO 2022'!$1:$1048576,3,FALSE),"")</f>
        <v>H</v>
      </c>
      <c r="G298" s="449">
        <v>57.922000000000011</v>
      </c>
      <c r="H298" s="379">
        <f>IF($D298&lt;&gt;"",VLOOKUP($D298,'SINAPI FEVEREIRO 2022'!$1:$1048576,4,FALSE),"")</f>
        <v>16.05</v>
      </c>
      <c r="I298" s="397">
        <f t="shared" si="44"/>
        <v>929.64</v>
      </c>
    </row>
    <row r="299" spans="2:9" ht="25.5">
      <c r="B299" s="93" t="s">
        <v>549</v>
      </c>
      <c r="C299" s="182" t="s">
        <v>6</v>
      </c>
      <c r="D299" s="176">
        <v>1319</v>
      </c>
      <c r="E299" s="172" t="str">
        <f>IF($D299&lt;&gt;"",VLOOKUP($D299,'SINAPI FEVEREIRO 2022'!$1:$1048576,2,FALSE),"")</f>
        <v>CHAPA DE ACO FINA A QUENTE BITOLA MSG 3/16 ", E = 4,75 MM (38,00 KG/M2)</v>
      </c>
      <c r="F299" s="173" t="str">
        <f>IF($D299&lt;&gt;"",VLOOKUP($D299,'SINAPI FEVEREIRO 2022'!$1:$1048576,3,FALSE),"")</f>
        <v xml:space="preserve">KG    </v>
      </c>
      <c r="G299" s="449">
        <v>826.33</v>
      </c>
      <c r="H299" s="379">
        <f>IF($D299&lt;&gt;"",VLOOKUP($D299,'SINAPI FEVEREIRO 2022'!$1:$1048576,4,FALSE),"")</f>
        <v>10.5</v>
      </c>
      <c r="I299" s="397">
        <f t="shared" si="44"/>
        <v>8676.4599999999991</v>
      </c>
    </row>
    <row r="300" spans="2:9" ht="25.5">
      <c r="B300" s="93" t="s">
        <v>549</v>
      </c>
      <c r="C300" s="182" t="s">
        <v>6</v>
      </c>
      <c r="D300" s="176">
        <v>1321</v>
      </c>
      <c r="E300" s="172" t="str">
        <f>IF($D300&lt;&gt;"",VLOOKUP($D300,'SINAPI FEVEREIRO 2022'!$1:$1048576,2,FALSE),"")</f>
        <v>CHAPA DE ACO FINA A QUENTE BITOLA MSG 13, E = 2,25 MM (18,00 KG/M2)</v>
      </c>
      <c r="F300" s="173" t="str">
        <f>IF($D300&lt;&gt;"",VLOOKUP($D300,'SINAPI FEVEREIRO 2022'!$1:$1048576,3,FALSE),"")</f>
        <v xml:space="preserve">KG    </v>
      </c>
      <c r="G300" s="449">
        <v>621.72</v>
      </c>
      <c r="H300" s="379">
        <f>IF($D300&lt;&gt;"",VLOOKUP($D300,'SINAPI FEVEREIRO 2022'!$1:$1048576,4,FALSE),"")</f>
        <v>11.78</v>
      </c>
      <c r="I300" s="397">
        <f t="shared" ref="I300:I325" si="45">TRUNC(H300*G300,2)</f>
        <v>7323.86</v>
      </c>
    </row>
    <row r="301" spans="2:9" ht="38.25">
      <c r="B301" s="93" t="s">
        <v>548</v>
      </c>
      <c r="C301" s="182" t="s">
        <v>6</v>
      </c>
      <c r="D301" s="176">
        <v>100721</v>
      </c>
      <c r="E301" s="172" t="str">
        <f>IF($D301&lt;&gt;"",VLOOKUP($D301,'SINAPI FEVEREIRO 2022'!$1:$1048576,2,FALSE),"")</f>
        <v>PINTURA COM TINTA ALQUÍDICA DE FUNDO (TIPO ZARCÃO) PULVERIZADA SOBRE SUPERFÍCIES METÁLICAS (EXCETO PERFIL) EXECUTADO EM OBRA (POR DEMÃO). AF_01/2020_P</v>
      </c>
      <c r="F301" s="173" t="str">
        <f>IF($D301&lt;&gt;"",VLOOKUP($D301,'SINAPI FEVEREIRO 2022'!$1:$1048576,3,FALSE),"")</f>
        <v>M2</v>
      </c>
      <c r="G301" s="449">
        <v>158.80000000000001</v>
      </c>
      <c r="H301" s="379">
        <f>IF($D301&lt;&gt;"",VLOOKUP($D301,'SINAPI FEVEREIRO 2022'!$1:$1048576,4,FALSE),"")</f>
        <v>17.86</v>
      </c>
      <c r="I301" s="397">
        <f t="shared" si="45"/>
        <v>2836.16</v>
      </c>
    </row>
    <row r="302" spans="2:9" ht="38.25">
      <c r="B302" s="93" t="s">
        <v>548</v>
      </c>
      <c r="C302" s="182" t="s">
        <v>6</v>
      </c>
      <c r="D302" s="176">
        <v>100751</v>
      </c>
      <c r="E302" s="172" t="str">
        <f>IF($D302&lt;&gt;"",VLOOKUP($D302,'SINAPI FEVEREIRO 2022'!$1:$1048576,2,FALSE),"")</f>
        <v>PINTURA COM TINTA EPOXÍDICA DE ACABAMENTO PULVERIZADA SOBRE PERFIL METÁLICO EXECUTADO EM FÁBRICA (02 DEMÃOS). AF_01/2020_P</v>
      </c>
      <c r="F302" s="173" t="str">
        <f>IF($D302&lt;&gt;"",VLOOKUP($D302,'SINAPI FEVEREIRO 2022'!$1:$1048576,3,FALSE),"")</f>
        <v>M2</v>
      </c>
      <c r="G302" s="449">
        <v>159.80000000000001</v>
      </c>
      <c r="H302" s="379">
        <f>IF($D302&lt;&gt;"",VLOOKUP($D302,'SINAPI FEVEREIRO 2022'!$1:$1048576,4,FALSE),"")</f>
        <v>30.11</v>
      </c>
      <c r="I302" s="397">
        <f t="shared" si="45"/>
        <v>4811.57</v>
      </c>
    </row>
    <row r="303" spans="2:9" ht="25.5">
      <c r="B303" s="93" t="s">
        <v>548</v>
      </c>
      <c r="C303" s="182" t="s">
        <v>6</v>
      </c>
      <c r="D303" s="176">
        <v>88278</v>
      </c>
      <c r="E303" s="172" t="str">
        <f>IF($D303&lt;&gt;"",VLOOKUP($D303,'SINAPI FEVEREIRO 2022'!$1:$1048576,2,FALSE),"")</f>
        <v>MONTADOR DE ESTRUTURA METÁLICA COM ENCARGOS COMPLEMENTARES</v>
      </c>
      <c r="F303" s="173" t="str">
        <f>IF($D303&lt;&gt;"",VLOOKUP($D303,'SINAPI FEVEREIRO 2022'!$1:$1048576,3,FALSE),"")</f>
        <v>H</v>
      </c>
      <c r="G303" s="449">
        <v>5</v>
      </c>
      <c r="H303" s="379">
        <f>IF($D303&lt;&gt;"",VLOOKUP($D303,'SINAPI FEVEREIRO 2022'!$1:$1048576,4,FALSE),"")</f>
        <v>13.65</v>
      </c>
      <c r="I303" s="397">
        <f t="shared" si="45"/>
        <v>68.25</v>
      </c>
    </row>
    <row r="304" spans="2:9" ht="38.25">
      <c r="B304" s="93" t="s">
        <v>549</v>
      </c>
      <c r="C304" s="182" t="s">
        <v>6</v>
      </c>
      <c r="D304" s="176">
        <v>89272</v>
      </c>
      <c r="E304" s="172" t="str">
        <f>IF($D304&lt;&gt;"",VLOOKUP($D304,'SINAPI FEVEREIRO 2022'!$1:$1048576,2,FALSE),"")</f>
        <v>GUINDASTE HIDRÁULICO AUTOPROPELIDO, COM LANÇA TELESCÓPICA 28,80 M, CAPACIDADE MÁXIMA 30 T, POTÊNCIA 97 KW, TRAÇÃO 4 X 4 - CHP DIURNO. AF_11/2014</v>
      </c>
      <c r="F304" s="173" t="str">
        <f>IF($D304&lt;&gt;"",VLOOKUP($D304,'SINAPI FEVEREIRO 2022'!$1:$1048576,3,FALSE),"")</f>
        <v>CHP</v>
      </c>
      <c r="G304" s="449">
        <v>5</v>
      </c>
      <c r="H304" s="379">
        <f>IF($D304&lt;&gt;"",VLOOKUP($D304,'SINAPI FEVEREIRO 2022'!$1:$1048576,4,FALSE),"")</f>
        <v>176.12</v>
      </c>
      <c r="I304" s="397">
        <f t="shared" si="45"/>
        <v>880.6</v>
      </c>
    </row>
    <row r="305" spans="2:9" ht="25.5">
      <c r="B305" s="93" t="s">
        <v>549</v>
      </c>
      <c r="C305" s="182" t="s">
        <v>6</v>
      </c>
      <c r="D305" s="176">
        <v>39746</v>
      </c>
      <c r="E305" s="172" t="str">
        <f>IF($D305&lt;&gt;"",VLOOKUP($D305,'SINAPI FEVEREIRO 2022'!$1:$1048576,2,FALSE),"")</f>
        <v>CHUMBADOR DE ACO, 1" X 600 MM, PARA POSTES DE ACO COM BASE, INCLUSO PORCA E ARRUELA</v>
      </c>
      <c r="F305" s="173" t="str">
        <f>IF($D305&lt;&gt;"",VLOOKUP($D305,'SINAPI FEVEREIRO 2022'!$1:$1048576,3,FALSE),"")</f>
        <v xml:space="preserve">UN    </v>
      </c>
      <c r="G305" s="449">
        <v>6</v>
      </c>
      <c r="H305" s="379">
        <f>IF($D305&lt;&gt;"",VLOOKUP($D305,'SINAPI FEVEREIRO 2022'!$1:$1048576,4,FALSE),"")</f>
        <v>298.49</v>
      </c>
      <c r="I305" s="397">
        <f t="shared" si="45"/>
        <v>1790.94</v>
      </c>
    </row>
    <row r="306" spans="2:9">
      <c r="B306" s="453" t="s">
        <v>7044</v>
      </c>
      <c r="C306" s="182"/>
      <c r="D306" s="176"/>
      <c r="E306" s="172"/>
      <c r="F306" s="173" t="str">
        <f>IF($D306&lt;&gt;"",VLOOKUP($D306,'SINAPI FEVEREIRO 2022'!$1:$1048576,3,FALSE),"")</f>
        <v/>
      </c>
      <c r="G306" s="451"/>
      <c r="H306" s="379" t="str">
        <f>IF($D306&lt;&gt;"",VLOOKUP($D306,'SINAPI FEVEREIRO 2022'!$1:$1048576,4,FALSE),"")</f>
        <v/>
      </c>
      <c r="I306" s="397"/>
    </row>
    <row r="307" spans="2:9" ht="25.5">
      <c r="B307" s="93" t="s">
        <v>548</v>
      </c>
      <c r="C307" s="182" t="s">
        <v>6</v>
      </c>
      <c r="D307" s="176">
        <v>96973</v>
      </c>
      <c r="E307" s="172" t="str">
        <f>IF($D307&lt;&gt;"",VLOOKUP($D307,'SINAPI FEVEREIRO 2022'!$1:$1048576,2,FALSE),"")</f>
        <v>CORDOALHA DE COBRE NU 35 MM², NÃO ENTERRADA, COM ISOLADOR - FORNECIMENTO E INSTALAÇÃO. AF_12/2017</v>
      </c>
      <c r="F307" s="173" t="str">
        <f>IF($D307&lt;&gt;"",VLOOKUP($D307,'SINAPI FEVEREIRO 2022'!$1:$1048576,3,FALSE),"")</f>
        <v>M</v>
      </c>
      <c r="G307" s="449">
        <v>15</v>
      </c>
      <c r="H307" s="379">
        <f>IF($D307&lt;&gt;"",VLOOKUP($D307,'SINAPI FEVEREIRO 2022'!$1:$1048576,4,FALSE),"")</f>
        <v>49.7</v>
      </c>
      <c r="I307" s="397">
        <f t="shared" si="45"/>
        <v>745.5</v>
      </c>
    </row>
    <row r="308" spans="2:9" ht="25.5">
      <c r="B308" s="93" t="s">
        <v>548</v>
      </c>
      <c r="C308" s="182" t="s">
        <v>6</v>
      </c>
      <c r="D308" s="176">
        <v>96987</v>
      </c>
      <c r="E308" s="172" t="str">
        <f>IF($D308&lt;&gt;"",VLOOKUP($D308,'SINAPI FEVEREIRO 2022'!$1:$1048576,2,FALSE),"")</f>
        <v>BASE METÁLICA PARA MASTRO 1 ½  PARA SPDA - FORNECIMENTO E INSTALAÇÃO. AF_12/2017</v>
      </c>
      <c r="F308" s="173" t="str">
        <f>IF($D308&lt;&gt;"",VLOOKUP($D308,'SINAPI FEVEREIRO 2022'!$1:$1048576,3,FALSE),"")</f>
        <v>UN</v>
      </c>
      <c r="G308" s="449">
        <v>1</v>
      </c>
      <c r="H308" s="379">
        <f>IF($D308&lt;&gt;"",VLOOKUP($D308,'SINAPI FEVEREIRO 2022'!$1:$1048576,4,FALSE),"")</f>
        <v>93.6</v>
      </c>
      <c r="I308" s="397">
        <f t="shared" si="45"/>
        <v>93.6</v>
      </c>
    </row>
    <row r="309" spans="2:9" ht="25.5">
      <c r="B309" s="93" t="s">
        <v>548</v>
      </c>
      <c r="C309" s="182" t="s">
        <v>6</v>
      </c>
      <c r="D309" s="176">
        <v>96989</v>
      </c>
      <c r="E309" s="172" t="str">
        <f>IF($D309&lt;&gt;"",VLOOKUP($D309,'SINAPI FEVEREIRO 2022'!$1:$1048576,2,FALSE),"")</f>
        <v>CAPTOR TIPO FRANKLIN PARA SPDA - FORNECIMENTO E INSTALAÇÃO. AF_12/2017</v>
      </c>
      <c r="F309" s="173" t="str">
        <f>IF($D309&lt;&gt;"",VLOOKUP($D309,'SINAPI FEVEREIRO 2022'!$1:$1048576,3,FALSE),"")</f>
        <v>UN</v>
      </c>
      <c r="G309" s="449">
        <v>1</v>
      </c>
      <c r="H309" s="379">
        <f>IF($D309&lt;&gt;"",VLOOKUP($D309,'SINAPI FEVEREIRO 2022'!$1:$1048576,4,FALSE),"")</f>
        <v>138.91</v>
      </c>
      <c r="I309" s="397">
        <f t="shared" si="45"/>
        <v>138.91</v>
      </c>
    </row>
    <row r="310" spans="2:9" ht="38.25">
      <c r="B310" s="93" t="s">
        <v>549</v>
      </c>
      <c r="C310" s="182" t="s">
        <v>6</v>
      </c>
      <c r="D310" s="176">
        <v>3380</v>
      </c>
      <c r="E310" s="172" t="str">
        <f>IF($D310&lt;&gt;"",VLOOKUP($D310,'SINAPI FEVEREIRO 2022'!$1:$1048576,2,FALSE),"")</f>
        <v>!EM PROCESSO DE DESATIVACAO! HASTE DE ATERRAMENTO EM ACO COM 3,00 M DE COMPRIMENTO E DN = 5/8", REVESTIDA COM BAIXA CAMADA DE COBRE, COM CONECTOR TIPO GRAMPO</v>
      </c>
      <c r="F310" s="173" t="str">
        <f>IF($D310&lt;&gt;"",VLOOKUP($D310,'SINAPI FEVEREIRO 2022'!$1:$1048576,3,FALSE),"")</f>
        <v xml:space="preserve">UN    </v>
      </c>
      <c r="G310" s="449">
        <v>1</v>
      </c>
      <c r="H310" s="379">
        <f>IF($D310&lt;&gt;"",VLOOKUP($D310,'SINAPI FEVEREIRO 2022'!$1:$1048576,4,FALSE),"")</f>
        <v>53.46</v>
      </c>
      <c r="I310" s="397">
        <f t="shared" si="45"/>
        <v>53.46</v>
      </c>
    </row>
    <row r="311" spans="2:9" ht="25.5">
      <c r="B311" s="93" t="s">
        <v>548</v>
      </c>
      <c r="C311" s="182" t="s">
        <v>6</v>
      </c>
      <c r="D311" s="176">
        <v>96988</v>
      </c>
      <c r="E311" s="172" t="str">
        <f>IF($D311&lt;&gt;"",VLOOKUP($D311,'SINAPI FEVEREIRO 2022'!$1:$1048576,2,FALSE),"")</f>
        <v>MASTRO 1 ½  PARA SPDA - FORNECIMENTO E INSTALAÇÃO. AF_12/2017</v>
      </c>
      <c r="F311" s="173" t="str">
        <f>IF($D311&lt;&gt;"",VLOOKUP($D311,'SINAPI FEVEREIRO 2022'!$1:$1048576,3,FALSE),"")</f>
        <v>UN</v>
      </c>
      <c r="G311" s="449">
        <v>1</v>
      </c>
      <c r="H311" s="379">
        <f>IF($D311&lt;&gt;"",VLOOKUP($D311,'SINAPI FEVEREIRO 2022'!$1:$1048576,4,FALSE),"")</f>
        <v>165.89</v>
      </c>
      <c r="I311" s="397">
        <f t="shared" si="45"/>
        <v>165.89</v>
      </c>
    </row>
    <row r="312" spans="2:9" ht="25.5">
      <c r="B312" s="93" t="s">
        <v>548</v>
      </c>
      <c r="C312" s="182" t="s">
        <v>6</v>
      </c>
      <c r="D312" s="176">
        <v>96984</v>
      </c>
      <c r="E312" s="172" t="str">
        <f>IF($D312&lt;&gt;"",VLOOKUP($D312,'SINAPI FEVEREIRO 2022'!$1:$1048576,2,FALSE),"")</f>
        <v>ELETRODUTO PVC 40MM (1 ¼ ) PARA SPDA - FORNECIMENTO E INSTALAÇÃO. AF_12/2017</v>
      </c>
      <c r="F312" s="173" t="str">
        <f>IF($D312&lt;&gt;"",VLOOKUP($D312,'SINAPI FEVEREIRO 2022'!$1:$1048576,3,FALSE),"")</f>
        <v>UN</v>
      </c>
      <c r="G312" s="449">
        <v>1</v>
      </c>
      <c r="H312" s="379">
        <f>IF($D312&lt;&gt;"",VLOOKUP($D312,'SINAPI FEVEREIRO 2022'!$1:$1048576,4,FALSE),"")</f>
        <v>45.57</v>
      </c>
      <c r="I312" s="397">
        <f t="shared" si="45"/>
        <v>45.57</v>
      </c>
    </row>
    <row r="313" spans="2:9" ht="25.5">
      <c r="B313" s="93" t="s">
        <v>548</v>
      </c>
      <c r="C313" s="182" t="s">
        <v>6</v>
      </c>
      <c r="D313" s="176">
        <v>98463</v>
      </c>
      <c r="E313" s="172" t="str">
        <f>IF($D313&lt;&gt;"",VLOOKUP($D313,'SINAPI FEVEREIRO 2022'!$1:$1048576,2,FALSE),"")</f>
        <v>SUPORTE ISOLADOR PARA CORDOALHA DE COBRE - FORNECIMENTO E INSTALAÇÃO. AF_12/2017</v>
      </c>
      <c r="F313" s="173" t="str">
        <f>IF($D313&lt;&gt;"",VLOOKUP($D313,'SINAPI FEVEREIRO 2022'!$1:$1048576,3,FALSE),"")</f>
        <v>UN</v>
      </c>
      <c r="G313" s="449">
        <v>10</v>
      </c>
      <c r="H313" s="379">
        <f>IF($D313&lt;&gt;"",VLOOKUP($D313,'SINAPI FEVEREIRO 2022'!$1:$1048576,4,FALSE),"")</f>
        <v>19.41</v>
      </c>
      <c r="I313" s="397">
        <f t="shared" si="45"/>
        <v>194.1</v>
      </c>
    </row>
    <row r="314" spans="2:9" ht="25.5">
      <c r="B314" s="93" t="s">
        <v>548</v>
      </c>
      <c r="C314" s="182" t="s">
        <v>6</v>
      </c>
      <c r="D314" s="176">
        <v>98111</v>
      </c>
      <c r="E314" s="172" t="str">
        <f>IF($D314&lt;&gt;"",VLOOKUP($D314,'SINAPI FEVEREIRO 2022'!$1:$1048576,2,FALSE),"")</f>
        <v>CAIXA DE INSPEÇÃO PARA ATERRAMENTO, CIRCULAR, EM POLIETILENO, DIÂMETRO INTERNO = 0,3 M. AF_12/2020</v>
      </c>
      <c r="F314" s="173" t="str">
        <f>IF($D314&lt;&gt;"",VLOOKUP($D314,'SINAPI FEVEREIRO 2022'!$1:$1048576,3,FALSE),"")</f>
        <v>UN</v>
      </c>
      <c r="G314" s="449">
        <v>1</v>
      </c>
      <c r="H314" s="379">
        <f>IF($D314&lt;&gt;"",VLOOKUP($D314,'SINAPI FEVEREIRO 2022'!$1:$1048576,4,FALSE),"")</f>
        <v>51.91</v>
      </c>
      <c r="I314" s="397">
        <f t="shared" si="45"/>
        <v>51.91</v>
      </c>
    </row>
    <row r="315" spans="2:9">
      <c r="B315" s="453" t="s">
        <v>7045</v>
      </c>
      <c r="C315" s="182"/>
      <c r="D315" s="93"/>
      <c r="E315" s="172"/>
      <c r="F315" s="173" t="str">
        <f>IF($D315&lt;&gt;"",VLOOKUP($D315,'SINAPI FEVEREIRO 2022'!$1:$1048576,3,FALSE),"")</f>
        <v/>
      </c>
      <c r="G315" s="452"/>
      <c r="H315" s="379" t="str">
        <f>IF($D315&lt;&gt;"",VLOOKUP($D315,'SINAPI FEVEREIRO 2022'!$1:$1048576,4,FALSE),"")</f>
        <v/>
      </c>
      <c r="I315" s="397"/>
    </row>
    <row r="316" spans="2:9" ht="38.25">
      <c r="B316" s="93" t="s">
        <v>548</v>
      </c>
      <c r="C316" s="182" t="s">
        <v>6</v>
      </c>
      <c r="D316" s="93">
        <v>101173</v>
      </c>
      <c r="E316" s="172" t="str">
        <f>IF($D316&lt;&gt;"",VLOOKUP($D316,'SINAPI FEVEREIRO 2022'!$1:$1048576,2,FALSE),"")</f>
        <v>ESTACA BROCA DE CONCRETO, DIÂMETRO DE 20CM, ESCAVAÇÃO MANUAL COM TRADO CONCHA, COM ARMADURA DE ARRANQUE. AF_05/2020</v>
      </c>
      <c r="F316" s="173" t="str">
        <f>IF($D316&lt;&gt;"",VLOOKUP($D316,'SINAPI FEVEREIRO 2022'!$1:$1048576,3,FALSE),"")</f>
        <v>M</v>
      </c>
      <c r="G316" s="451">
        <v>10</v>
      </c>
      <c r="H316" s="379">
        <f>IF($D316&lt;&gt;"",VLOOKUP($D316,'SINAPI FEVEREIRO 2022'!$1:$1048576,4,FALSE),"")</f>
        <v>52.58</v>
      </c>
      <c r="I316" s="397">
        <f t="shared" si="45"/>
        <v>525.79999999999995</v>
      </c>
    </row>
    <row r="317" spans="2:9" ht="38.25">
      <c r="B317" s="93" t="s">
        <v>548</v>
      </c>
      <c r="C317" s="182" t="s">
        <v>6</v>
      </c>
      <c r="D317" s="93">
        <v>96521</v>
      </c>
      <c r="E317" s="172" t="str">
        <f>IF($D317&lt;&gt;"",VLOOKUP($D317,'SINAPI FEVEREIRO 2022'!$1:$1048576,2,FALSE),"")</f>
        <v>ESCAVAÇÃO MECANIZADA PARA BLOCO DE COROAMENTO OU SAPATA COM RETROESCAVADEIRA (INCLUINDO ESCAVAÇÃO PARA COLOCAÇÃO DE FÔRMAS). AF_06/2017</v>
      </c>
      <c r="F317" s="173" t="str">
        <f>IF($D317&lt;&gt;"",VLOOKUP($D317,'SINAPI FEVEREIRO 2022'!$1:$1048576,3,FALSE),"")</f>
        <v>M3</v>
      </c>
      <c r="G317" s="451">
        <v>2.4200000000000004</v>
      </c>
      <c r="H317" s="379">
        <f>IF($D317&lt;&gt;"",VLOOKUP($D317,'SINAPI FEVEREIRO 2022'!$1:$1048576,4,FALSE),"")</f>
        <v>34.07</v>
      </c>
      <c r="I317" s="397">
        <f t="shared" si="45"/>
        <v>82.44</v>
      </c>
    </row>
    <row r="318" spans="2:9" ht="25.5">
      <c r="B318" s="93" t="s">
        <v>548</v>
      </c>
      <c r="C318" s="182" t="s">
        <v>6</v>
      </c>
      <c r="D318" s="93">
        <v>96617</v>
      </c>
      <c r="E318" s="172" t="str">
        <f>IF($D318&lt;&gt;"",VLOOKUP($D318,'SINAPI FEVEREIRO 2022'!$1:$1048576,2,FALSE),"")</f>
        <v>LASTRO DE CONCRETO MAGRO, APLICADO EM BLOCOS DE COROAMENTO OU SAPATAS, ESPESSURA DE 3 CM. AF_08/2017</v>
      </c>
      <c r="F318" s="173" t="str">
        <f>IF($D318&lt;&gt;"",VLOOKUP($D318,'SINAPI FEVEREIRO 2022'!$1:$1048576,3,FALSE),"")</f>
        <v>M2</v>
      </c>
      <c r="G318" s="451">
        <v>4.41</v>
      </c>
      <c r="H318" s="379">
        <f>IF($D318&lt;&gt;"",VLOOKUP($D318,'SINAPI FEVEREIRO 2022'!$1:$1048576,4,FALSE),"")</f>
        <v>15.36</v>
      </c>
      <c r="I318" s="397">
        <f t="shared" si="45"/>
        <v>67.73</v>
      </c>
    </row>
    <row r="319" spans="2:9" ht="38.25">
      <c r="B319" s="93" t="s">
        <v>548</v>
      </c>
      <c r="C319" s="182" t="s">
        <v>6</v>
      </c>
      <c r="D319" s="93">
        <v>97086</v>
      </c>
      <c r="E319" s="172" t="str">
        <f>IF($D319&lt;&gt;"",VLOOKUP($D319,'SINAPI FEVEREIRO 2022'!$1:$1048576,2,FALSE),"")</f>
        <v>FABRICAÇÃO, MONTAGEM E DESMONTAGEM DE FORMA PARA RADIER, PISO DE CONCRETO OU LAJE SOBRE SOLO, EM MADEIRA SERRADA, 4 UTILIZAÇÕES. AF_09/2021</v>
      </c>
      <c r="F319" s="173" t="str">
        <f>IF($D319&lt;&gt;"",VLOOKUP($D319,'SINAPI FEVEREIRO 2022'!$1:$1048576,3,FALSE),"")</f>
        <v>M2</v>
      </c>
      <c r="G319" s="451">
        <v>4.4000000000000004</v>
      </c>
      <c r="H319" s="379">
        <f>IF($D319&lt;&gt;"",VLOOKUP($D319,'SINAPI FEVEREIRO 2022'!$1:$1048576,4,FALSE),"")</f>
        <v>94.25</v>
      </c>
      <c r="I319" s="397">
        <f t="shared" si="45"/>
        <v>414.7</v>
      </c>
    </row>
    <row r="320" spans="2:9" ht="51">
      <c r="B320" s="93" t="s">
        <v>548</v>
      </c>
      <c r="C320" s="182" t="s">
        <v>6</v>
      </c>
      <c r="D320" s="93">
        <v>100981</v>
      </c>
      <c r="E320" s="172" t="str">
        <f>IF($D320&lt;&gt;"",VLOOKUP($D320,'SINAPI FEVEREIRO 2022'!$1:$1048576,2,FALSE),"")</f>
        <v>CARGA, MANOBRA E DESCARGA DE ENTULHO EM CAMINHÃO BASCULANTE 6 M³ - CARGA COM ESCAVADEIRA HIDRÁULICA  (CAÇAMBA DE 0,80 M³ / 111 HP) E DESCARGA LIVRE (UNIDADE: M3). AF_07/2020</v>
      </c>
      <c r="F320" s="173" t="str">
        <f>IF($D320&lt;&gt;"",VLOOKUP($D320,'SINAPI FEVEREIRO 2022'!$1:$1048576,3,FALSE),"")</f>
        <v>M3</v>
      </c>
      <c r="G320" s="451">
        <v>2.4200000000000004</v>
      </c>
      <c r="H320" s="379">
        <f>IF($D320&lt;&gt;"",VLOOKUP($D320,'SINAPI FEVEREIRO 2022'!$1:$1048576,4,FALSE),"")</f>
        <v>7.48</v>
      </c>
      <c r="I320" s="397">
        <f t="shared" si="45"/>
        <v>18.100000000000001</v>
      </c>
    </row>
    <row r="321" spans="2:9" ht="25.5">
      <c r="B321" s="93" t="s">
        <v>548</v>
      </c>
      <c r="C321" s="182" t="s">
        <v>6</v>
      </c>
      <c r="D321" s="93">
        <v>93588</v>
      </c>
      <c r="E321" s="172" t="str">
        <f>IF($D321&lt;&gt;"",VLOOKUP($D321,'SINAPI FEVEREIRO 2022'!$1:$1048576,2,FALSE),"")</f>
        <v>TRANSPORTE COM CAMINHÃO BASCULANTE DE 10 M³, EM VIA URBANA EM LEITO NATURAL (UNIDADE: M3XKM). AF_07/2020</v>
      </c>
      <c r="F321" s="173" t="str">
        <f>IF($D321&lt;&gt;"",VLOOKUP($D321,'SINAPI FEVEREIRO 2022'!$1:$1048576,3,FALSE),"")</f>
        <v>M3XKM</v>
      </c>
      <c r="G321" s="451">
        <v>36.300000000000004</v>
      </c>
      <c r="H321" s="379">
        <f>IF($D321&lt;&gt;"",VLOOKUP($D321,'SINAPI FEVEREIRO 2022'!$1:$1048576,4,FALSE),"")</f>
        <v>2.12</v>
      </c>
      <c r="I321" s="397">
        <f t="shared" si="45"/>
        <v>76.95</v>
      </c>
    </row>
    <row r="322" spans="2:9" ht="38.25">
      <c r="B322" s="93" t="s">
        <v>548</v>
      </c>
      <c r="C322" s="182" t="s">
        <v>6</v>
      </c>
      <c r="D322" s="93">
        <v>96557</v>
      </c>
      <c r="E322" s="172" t="str">
        <f>IF($D322&lt;&gt;"",VLOOKUP($D322,'SINAPI FEVEREIRO 2022'!$1:$1048576,2,FALSE),"")</f>
        <v>CONCRETAGEM DE BLOCOS DE COROAMENTO E VIGAS BALDRAMES, FCK 30 MPA, COM USO DE BOMBA  LANÇAMENTO, ADENSAMENTO E ACABAMENTO. AF_06/2017</v>
      </c>
      <c r="F322" s="173" t="str">
        <f>IF($D322&lt;&gt;"",VLOOKUP($D322,'SINAPI FEVEREIRO 2022'!$1:$1048576,3,FALSE),"")</f>
        <v>M3</v>
      </c>
      <c r="G322" s="451">
        <v>2.4200000000000004</v>
      </c>
      <c r="H322" s="379">
        <f>IF($D322&lt;&gt;"",VLOOKUP($D322,'SINAPI FEVEREIRO 2022'!$1:$1048576,4,FALSE),"")</f>
        <v>701.8</v>
      </c>
      <c r="I322" s="397">
        <f t="shared" si="45"/>
        <v>1698.35</v>
      </c>
    </row>
    <row r="323" spans="2:9" ht="25.5">
      <c r="B323" s="93" t="s">
        <v>548</v>
      </c>
      <c r="C323" s="182" t="s">
        <v>6</v>
      </c>
      <c r="D323" s="93">
        <v>96546</v>
      </c>
      <c r="E323" s="172" t="str">
        <f>IF($D323&lt;&gt;"",VLOOKUP($D323,'SINAPI FEVEREIRO 2022'!$1:$1048576,2,FALSE),"")</f>
        <v>ARMAÇÃO DE BLOCO, VIGA BALDRAME OU SAPATA UTILIZANDO AÇO CA-50 DE 10 MM - MONTAGEM. AF_06/2017</v>
      </c>
      <c r="F323" s="173" t="str">
        <f>IF($D323&lt;&gt;"",VLOOKUP($D323,'SINAPI FEVEREIRO 2022'!$1:$1048576,3,FALSE),"")</f>
        <v>KG</v>
      </c>
      <c r="G323" s="451">
        <v>88.971399999999988</v>
      </c>
      <c r="H323" s="379">
        <f>IF($D323&lt;&gt;"",VLOOKUP($D323,'SINAPI FEVEREIRO 2022'!$1:$1048576,4,FALSE),"")</f>
        <v>14.57</v>
      </c>
      <c r="I323" s="397">
        <f t="shared" si="45"/>
        <v>1296.31</v>
      </c>
    </row>
    <row r="324" spans="2:9" ht="25.5">
      <c r="B324" s="93" t="s">
        <v>548</v>
      </c>
      <c r="C324" s="182" t="s">
        <v>6</v>
      </c>
      <c r="D324" s="93">
        <v>96544</v>
      </c>
      <c r="E324" s="172" t="str">
        <f>IF($D324&lt;&gt;"",VLOOKUP($D324,'SINAPI FEVEREIRO 2022'!$1:$1048576,2,FALSE),"")</f>
        <v>ARMAÇÃO DE BLOCO, VIGA BALDRAME OU SAPATA UTILIZANDO AÇO CA-50 DE 6,3 MM - MONTAGEM. AF_06/2017</v>
      </c>
      <c r="F324" s="173" t="str">
        <f>IF($D324&lt;&gt;"",VLOOKUP($D324,'SINAPI FEVEREIRO 2022'!$1:$1048576,3,FALSE),"")</f>
        <v>KG</v>
      </c>
      <c r="G324" s="451">
        <v>9.5059999999999985</v>
      </c>
      <c r="H324" s="379">
        <f>IF($D324&lt;&gt;"",VLOOKUP($D324,'SINAPI FEVEREIRO 2022'!$1:$1048576,4,FALSE),"")</f>
        <v>17.010000000000002</v>
      </c>
      <c r="I324" s="397">
        <f t="shared" si="45"/>
        <v>161.69</v>
      </c>
    </row>
    <row r="325" spans="2:9" ht="25.5">
      <c r="B325" s="93" t="s">
        <v>548</v>
      </c>
      <c r="C325" s="182" t="s">
        <v>6</v>
      </c>
      <c r="D325" s="93">
        <v>98557</v>
      </c>
      <c r="E325" s="172" t="str">
        <f>IF($D325&lt;&gt;"",VLOOKUP($D325,'SINAPI FEVEREIRO 2022'!$1:$1048576,2,FALSE),"")</f>
        <v>IMPERMEABILIZAÇÃO DE SUPERFÍCIE COM EMULSÃO ASFÁLTICA, 2 DEMÃOS AF_06/2018</v>
      </c>
      <c r="F325" s="173" t="str">
        <f>IF($D325&lt;&gt;"",VLOOKUP($D325,'SINAPI FEVEREIRO 2022'!$1:$1048576,3,FALSE),"")</f>
        <v>M2</v>
      </c>
      <c r="G325" s="451">
        <v>8.81</v>
      </c>
      <c r="H325" s="379">
        <f>IF($D325&lt;&gt;"",VLOOKUP($D325,'SINAPI FEVEREIRO 2022'!$1:$1048576,4,FALSE),"")</f>
        <v>57.84</v>
      </c>
      <c r="I325" s="397">
        <f t="shared" si="45"/>
        <v>509.57</v>
      </c>
    </row>
    <row r="326" spans="2:9">
      <c r="B326" s="93"/>
      <c r="C326" s="182"/>
      <c r="D326" s="93"/>
      <c r="E326" s="172"/>
      <c r="F326" s="173"/>
      <c r="G326" s="451"/>
      <c r="H326" s="379"/>
      <c r="I326" s="397"/>
    </row>
    <row r="327" spans="2:9" ht="25.5">
      <c r="B327" s="183" t="s">
        <v>7042</v>
      </c>
      <c r="C327" s="227"/>
      <c r="D327" s="227"/>
      <c r="E327" s="180" t="s">
        <v>7335</v>
      </c>
      <c r="F327" s="228" t="s">
        <v>24</v>
      </c>
      <c r="G327" s="311">
        <v>1</v>
      </c>
      <c r="H327" s="387"/>
      <c r="I327" s="396">
        <f>TRUNC(SUM(I328:I330),2)</f>
        <v>153.41999999999999</v>
      </c>
    </row>
    <row r="328" spans="2:9" ht="25.5">
      <c r="B328" s="93" t="s">
        <v>548</v>
      </c>
      <c r="C328" s="182" t="s">
        <v>6</v>
      </c>
      <c r="D328" s="93">
        <v>88248</v>
      </c>
      <c r="E328" s="172" t="str">
        <f>IF($D328&lt;&gt;"",VLOOKUP($D328,'SINAPI FEVEREIRO 2022'!$1:$1048576,2,FALSE),"")</f>
        <v>AUXILIAR DE ENCANADOR OU BOMBEIRO HIDRÁULICO COM ENCARGOS COMPLEMENTARES</v>
      </c>
      <c r="F328" s="173" t="str">
        <f>IF($D328&lt;&gt;"",VLOOKUP($D328,'SINAPI FEVEREIRO 2022'!$1:$1048576,3,FALSE),"")</f>
        <v>H</v>
      </c>
      <c r="G328" s="323">
        <v>0.1</v>
      </c>
      <c r="H328" s="379">
        <f>IF($D328&lt;&gt;"",VLOOKUP($D328,'SINAPI FEVEREIRO 2022'!$1:$1048576,4,FALSE),"")</f>
        <v>15.54</v>
      </c>
      <c r="I328" s="397">
        <f t="shared" ref="I328:I330" si="46">TRUNC(H328*G328,2)</f>
        <v>1.55</v>
      </c>
    </row>
    <row r="329" spans="2:9" ht="25.5">
      <c r="B329" s="93" t="s">
        <v>548</v>
      </c>
      <c r="C329" s="182" t="s">
        <v>6</v>
      </c>
      <c r="D329" s="93">
        <v>88267</v>
      </c>
      <c r="E329" s="172" t="str">
        <f>IF($D329&lt;&gt;"",VLOOKUP($D329,'SINAPI FEVEREIRO 2022'!$1:$1048576,2,FALSE),"")</f>
        <v>ENCANADOR OU BOMBEIRO HIDRÁULICO COM ENCARGOS COMPLEMENTARES</v>
      </c>
      <c r="F329" s="173" t="str">
        <f>IF($D329&lt;&gt;"",VLOOKUP($D329,'SINAPI FEVEREIRO 2022'!$1:$1048576,3,FALSE),"")</f>
        <v>H</v>
      </c>
      <c r="G329" s="323">
        <v>0.1</v>
      </c>
      <c r="H329" s="379">
        <f>IF($D329&lt;&gt;"",VLOOKUP($D329,'SINAPI FEVEREIRO 2022'!$1:$1048576,4,FALSE),"")</f>
        <v>18.72</v>
      </c>
      <c r="I329" s="397">
        <f t="shared" si="46"/>
        <v>1.87</v>
      </c>
    </row>
    <row r="330" spans="2:9">
      <c r="B330" s="93" t="s">
        <v>546</v>
      </c>
      <c r="C330" s="182" t="s">
        <v>547</v>
      </c>
      <c r="D330" s="93"/>
      <c r="E330" s="172" t="s">
        <v>7336</v>
      </c>
      <c r="F330" s="173" t="s">
        <v>24</v>
      </c>
      <c r="G330" s="323">
        <v>1</v>
      </c>
      <c r="H330" s="379">
        <v>150</v>
      </c>
      <c r="I330" s="397">
        <f t="shared" si="46"/>
        <v>150</v>
      </c>
    </row>
    <row r="331" spans="2:9">
      <c r="B331" s="93"/>
      <c r="C331" s="182"/>
      <c r="D331" s="93"/>
      <c r="E331" s="172"/>
      <c r="F331" s="173"/>
      <c r="G331" s="323"/>
      <c r="H331" s="379"/>
      <c r="I331" s="397"/>
    </row>
    <row r="332" spans="2:9" ht="25.5">
      <c r="B332" s="183" t="s">
        <v>7918</v>
      </c>
      <c r="C332" s="227"/>
      <c r="D332" s="227"/>
      <c r="E332" s="95" t="s">
        <v>7919</v>
      </c>
      <c r="F332" s="228" t="s">
        <v>24</v>
      </c>
      <c r="G332" s="311">
        <v>1</v>
      </c>
      <c r="H332" s="387"/>
      <c r="I332" s="396">
        <f>TRUNC(SUM(I333:I336),2)</f>
        <v>1629.09</v>
      </c>
    </row>
    <row r="333" spans="2:9" ht="25.5">
      <c r="B333" s="93" t="s">
        <v>548</v>
      </c>
      <c r="C333" s="93" t="s">
        <v>6</v>
      </c>
      <c r="D333" s="93">
        <v>88267</v>
      </c>
      <c r="E333" s="172" t="str">
        <f>IF($D333&lt;&gt;"",VLOOKUP($D333,'SINAPI FEVEREIRO 2022'!$1:$1048576,2,FALSE),"")</f>
        <v>ENCANADOR OU BOMBEIRO HIDRÁULICO COM ENCARGOS COMPLEMENTARES</v>
      </c>
      <c r="F333" s="173" t="str">
        <f>IF($D333&lt;&gt;"",VLOOKUP($D333,'SINAPI FEVEREIRO 2022'!$1:$1048576,3,FALSE),"")</f>
        <v>H</v>
      </c>
      <c r="G333" s="323">
        <v>1</v>
      </c>
      <c r="H333" s="379">
        <f>IF($D333&lt;&gt;"",VLOOKUP($D333,'SINAPI FEVEREIRO 2022'!$1:$1048576,4,FALSE),"")</f>
        <v>18.72</v>
      </c>
      <c r="I333" s="397">
        <f t="shared" ref="I333:I336" si="47">TRUNC(H333*G333,2)</f>
        <v>18.72</v>
      </c>
    </row>
    <row r="334" spans="2:9" ht="25.5">
      <c r="B334" s="93" t="s">
        <v>548</v>
      </c>
      <c r="C334" s="93" t="s">
        <v>6</v>
      </c>
      <c r="D334" s="94">
        <v>86878</v>
      </c>
      <c r="E334" s="172" t="str">
        <f>IF($D334&lt;&gt;"",VLOOKUP($D334,'SINAPI FEVEREIRO 2022'!$1:$1048576,2,FALSE),"")</f>
        <v>VÁLVULA EM METAL CROMADO TIPO AMERICANA 3.1/2 X 1.1/2 PARA PIA - FORNECIMENTO E INSTALAÇÃO. AF_01/2020</v>
      </c>
      <c r="F334" s="173" t="str">
        <f>IF($D334&lt;&gt;"",VLOOKUP($D334,'SINAPI FEVEREIRO 2022'!$1:$1048576,3,FALSE),"")</f>
        <v>UN</v>
      </c>
      <c r="G334" s="410">
        <v>1</v>
      </c>
      <c r="H334" s="379">
        <f>IF($D334&lt;&gt;"",VLOOKUP($D334,'SINAPI FEVEREIRO 2022'!$1:$1048576,4,FALSE),"")</f>
        <v>55.1</v>
      </c>
      <c r="I334" s="397">
        <f t="shared" ref="I334" si="48">TRUNC(H334*G334,2)</f>
        <v>55.1</v>
      </c>
    </row>
    <row r="335" spans="2:9" ht="25.5">
      <c r="B335" s="93" t="s">
        <v>548</v>
      </c>
      <c r="C335" s="93" t="s">
        <v>6</v>
      </c>
      <c r="D335" s="94">
        <v>86881</v>
      </c>
      <c r="E335" s="172" t="str">
        <f>IF($D335&lt;&gt;"",VLOOKUP($D335,'SINAPI FEVEREIRO 2022'!$1:$1048576,2,FALSE),"")</f>
        <v>SIFÃO DO TIPO GARRAFA EM METAL CROMADO 1 X 1.1/2 - FORNECIMENTO E INSTALAÇÃO. AF_01/2020</v>
      </c>
      <c r="F335" s="173" t="str">
        <f>IF($D335&lt;&gt;"",VLOOKUP($D335,'SINAPI FEVEREIRO 2022'!$1:$1048576,3,FALSE),"")</f>
        <v>UN</v>
      </c>
      <c r="G335" s="410">
        <v>1</v>
      </c>
      <c r="H335" s="379">
        <f>IF($D335&lt;&gt;"",VLOOKUP($D335,'SINAPI FEVEREIRO 2022'!$1:$1048576,4,FALSE),"")</f>
        <v>155.27000000000001</v>
      </c>
      <c r="I335" s="397">
        <f t="shared" si="47"/>
        <v>155.27000000000001</v>
      </c>
    </row>
    <row r="336" spans="2:9">
      <c r="B336" s="93" t="s">
        <v>546</v>
      </c>
      <c r="C336" s="182" t="s">
        <v>547</v>
      </c>
      <c r="D336" s="93"/>
      <c r="E336" s="705" t="s">
        <v>7920</v>
      </c>
      <c r="F336" s="173" t="s">
        <v>24</v>
      </c>
      <c r="G336" s="410">
        <v>1</v>
      </c>
      <c r="H336" s="379">
        <v>1400</v>
      </c>
      <c r="I336" s="397">
        <f t="shared" si="47"/>
        <v>1400</v>
      </c>
    </row>
    <row r="337" spans="2:9">
      <c r="B337" s="93"/>
      <c r="C337" s="182"/>
      <c r="D337" s="93"/>
      <c r="E337" s="172"/>
      <c r="F337" s="173"/>
      <c r="G337" s="323"/>
      <c r="H337" s="379"/>
      <c r="I337" s="397"/>
    </row>
    <row r="338" spans="2:9" ht="25.5">
      <c r="B338" s="183" t="s">
        <v>7923</v>
      </c>
      <c r="C338" s="227"/>
      <c r="D338" s="227"/>
      <c r="E338" s="95" t="s">
        <v>7924</v>
      </c>
      <c r="F338" s="228" t="s">
        <v>24</v>
      </c>
      <c r="G338" s="311">
        <v>1</v>
      </c>
      <c r="H338" s="387"/>
      <c r="I338" s="396">
        <f>TRUNC(SUM(I339:I346),2)</f>
        <v>652.27</v>
      </c>
    </row>
    <row r="339" spans="2:9" ht="25.5">
      <c r="B339" s="706" t="s">
        <v>549</v>
      </c>
      <c r="C339" s="707" t="s">
        <v>6</v>
      </c>
      <c r="D339" s="708">
        <v>36521</v>
      </c>
      <c r="E339" s="172" t="str">
        <f>IF($D339&lt;&gt;"",VLOOKUP($D339,'SINAPI FEVEREIRO 2022'!$1:$1048576,2,FALSE),"")</f>
        <v>LAVATORIO DE CANTO DE LOUCA BRANCA, SUSPENSO (SEM COLUNA), DIMENSOES *40 X 30* CM (L X C)</v>
      </c>
      <c r="F339" s="173" t="str">
        <f>IF($D339&lt;&gt;"",VLOOKUP($D339,'SINAPI FEVEREIRO 2022'!$1:$1048576,3,FALSE),"")</f>
        <v xml:space="preserve">UN    </v>
      </c>
      <c r="G339" s="711">
        <v>1</v>
      </c>
      <c r="H339" s="379">
        <f>IF($D339&lt;&gt;"",VLOOKUP($D339,'SINAPI FEVEREIRO 2022'!$1:$1048576,4,FALSE),"")</f>
        <v>141.04</v>
      </c>
      <c r="I339" s="397">
        <f t="shared" ref="I339" si="49">TRUNC(H339*G339,2)</f>
        <v>141.04</v>
      </c>
    </row>
    <row r="340" spans="2:9" ht="25.5">
      <c r="B340" s="591" t="s">
        <v>548</v>
      </c>
      <c r="C340" s="93" t="s">
        <v>6</v>
      </c>
      <c r="D340" s="94">
        <v>86879</v>
      </c>
      <c r="E340" s="172" t="str">
        <f>IF($D340&lt;&gt;"",VLOOKUP($D340,'SINAPI FEVEREIRO 2022'!$1:$1048576,2,FALSE),"")</f>
        <v>VÁLVULA EM PLÁSTICO 1 PARA PIA, TANQUE OU LAVATÓRIO, COM OU SEM LADRÃO - FORNECIMENTO E INSTALAÇÃO. AF_01/2020</v>
      </c>
      <c r="F340" s="173" t="str">
        <f>IF($D340&lt;&gt;"",VLOOKUP($D340,'SINAPI FEVEREIRO 2022'!$1:$1048576,3,FALSE),"")</f>
        <v>UN</v>
      </c>
      <c r="G340" s="712">
        <v>1</v>
      </c>
      <c r="H340" s="379">
        <f>IF($D340&lt;&gt;"",VLOOKUP($D340,'SINAPI FEVEREIRO 2022'!$1:$1048576,4,FALSE),"")</f>
        <v>7</v>
      </c>
      <c r="I340" s="397">
        <f t="shared" ref="I340:I346" si="50">TRUNC(H340*G340,2)</f>
        <v>7</v>
      </c>
    </row>
    <row r="341" spans="2:9" ht="25.5">
      <c r="B341" s="591" t="s">
        <v>548</v>
      </c>
      <c r="C341" s="93" t="s">
        <v>6</v>
      </c>
      <c r="D341" s="94">
        <v>86883</v>
      </c>
      <c r="E341" s="172" t="str">
        <f>IF($D341&lt;&gt;"",VLOOKUP($D341,'SINAPI FEVEREIRO 2022'!$1:$1048576,2,FALSE),"")</f>
        <v>SIFÃO DO TIPO FLEXÍVEL EM PVC 1  X 1.1/2  - FORNECIMENTO E INSTALAÇÃO. AF_01/2020</v>
      </c>
      <c r="F341" s="173" t="str">
        <f>IF($D341&lt;&gt;"",VLOOKUP($D341,'SINAPI FEVEREIRO 2022'!$1:$1048576,3,FALSE),"")</f>
        <v>UN</v>
      </c>
      <c r="G341" s="712">
        <v>1</v>
      </c>
      <c r="H341" s="379">
        <f>IF($D341&lt;&gt;"",VLOOKUP($D341,'SINAPI FEVEREIRO 2022'!$1:$1048576,4,FALSE),"")</f>
        <v>13.13</v>
      </c>
      <c r="I341" s="397">
        <f t="shared" si="50"/>
        <v>13.13</v>
      </c>
    </row>
    <row r="342" spans="2:9" ht="25.5">
      <c r="B342" s="591" t="s">
        <v>548</v>
      </c>
      <c r="C342" s="93" t="s">
        <v>6</v>
      </c>
      <c r="D342" s="94">
        <v>86884</v>
      </c>
      <c r="E342" s="172" t="str">
        <f>IF($D342&lt;&gt;"",VLOOKUP($D342,'SINAPI FEVEREIRO 2022'!$1:$1048576,2,FALSE),"")</f>
        <v>ENGATE FLEXÍVEL EM PLÁSTICO BRANCO, 1/2 X 30CM - FORNECIMENTO E INSTALAÇÃO. AF_01/2020</v>
      </c>
      <c r="F342" s="173" t="str">
        <f>IF($D342&lt;&gt;"",VLOOKUP($D342,'SINAPI FEVEREIRO 2022'!$1:$1048576,3,FALSE),"")</f>
        <v>UN</v>
      </c>
      <c r="G342" s="712">
        <v>1</v>
      </c>
      <c r="H342" s="379">
        <f>IF($D342&lt;&gt;"",VLOOKUP($D342,'SINAPI FEVEREIRO 2022'!$1:$1048576,4,FALSE),"")</f>
        <v>8.61</v>
      </c>
      <c r="I342" s="397">
        <f t="shared" si="50"/>
        <v>8.61</v>
      </c>
    </row>
    <row r="343" spans="2:9" ht="25.5">
      <c r="B343" s="591" t="s">
        <v>548</v>
      </c>
      <c r="C343" s="93" t="s">
        <v>6</v>
      </c>
      <c r="D343" s="94">
        <v>86906</v>
      </c>
      <c r="E343" s="172" t="str">
        <f>IF($D343&lt;&gt;"",VLOOKUP($D343,'SINAPI FEVEREIRO 2022'!$1:$1048576,2,FALSE),"")</f>
        <v>TORNEIRA CROMADA DE MESA, 1/2 OU 3/4, PARA LAVATÓRIO, PADRÃO POPULAR - FORNECIMENTO E INSTALAÇÃO. AF_01/2020</v>
      </c>
      <c r="F343" s="173" t="str">
        <f>IF($D343&lt;&gt;"",VLOOKUP($D343,'SINAPI FEVEREIRO 2022'!$1:$1048576,3,FALSE),"")</f>
        <v>UN</v>
      </c>
      <c r="G343" s="712">
        <v>1</v>
      </c>
      <c r="H343" s="379">
        <f>IF($D343&lt;&gt;"",VLOOKUP($D343,'SINAPI FEVEREIRO 2022'!$1:$1048576,4,FALSE),"")</f>
        <v>64.94</v>
      </c>
      <c r="I343" s="397">
        <f t="shared" si="50"/>
        <v>64.94</v>
      </c>
    </row>
    <row r="344" spans="2:9" ht="25.5">
      <c r="B344" s="591" t="s">
        <v>548</v>
      </c>
      <c r="C344" s="93" t="s">
        <v>6</v>
      </c>
      <c r="D344" s="94">
        <v>36204</v>
      </c>
      <c r="E344" s="172" t="str">
        <f>IF($D344&lt;&gt;"",VLOOKUP($D344,'SINAPI FEVEREIRO 2022'!$1:$1048576,2,FALSE),"")</f>
        <v>BARRA DE APOIO RETA, EM ACO INOX POLIDO, COMPRIMENTO 60CM, DIAMETRO MINIMO 3 CM</v>
      </c>
      <c r="F344" s="173" t="str">
        <f>IF($D344&lt;&gt;"",VLOOKUP($D344,'SINAPI FEVEREIRO 2022'!$1:$1048576,3,FALSE),"")</f>
        <v xml:space="preserve">UN    </v>
      </c>
      <c r="G344" s="712">
        <v>2</v>
      </c>
      <c r="H344" s="379">
        <f>IF($D344&lt;&gt;"",VLOOKUP($D344,'SINAPI FEVEREIRO 2022'!$1:$1048576,4,FALSE),"")</f>
        <v>203.52</v>
      </c>
      <c r="I344" s="397">
        <f t="shared" si="50"/>
        <v>407.04</v>
      </c>
    </row>
    <row r="345" spans="2:9">
      <c r="B345" s="591" t="s">
        <v>548</v>
      </c>
      <c r="C345" s="93" t="s">
        <v>6</v>
      </c>
      <c r="D345" s="94">
        <v>88316</v>
      </c>
      <c r="E345" s="172" t="str">
        <f>IF($D345&lt;&gt;"",VLOOKUP($D345,'SINAPI FEVEREIRO 2022'!$1:$1048576,2,FALSE),"")</f>
        <v>SERVENTE COM ENCARGOS COMPLEMENTARES</v>
      </c>
      <c r="F345" s="173" t="str">
        <f>IF($D345&lt;&gt;"",VLOOKUP($D345,'SINAPI FEVEREIRO 2022'!$1:$1048576,3,FALSE),"")</f>
        <v>H</v>
      </c>
      <c r="G345" s="712">
        <v>0.2</v>
      </c>
      <c r="H345" s="379">
        <f>IF($D345&lt;&gt;"",VLOOKUP($D345,'SINAPI FEVEREIRO 2022'!$1:$1048576,4,FALSE),"")</f>
        <v>15.16</v>
      </c>
      <c r="I345" s="397">
        <f t="shared" si="50"/>
        <v>3.03</v>
      </c>
    </row>
    <row r="346" spans="2:9" ht="25.5">
      <c r="B346" s="709" t="s">
        <v>548</v>
      </c>
      <c r="C346" s="710" t="s">
        <v>6</v>
      </c>
      <c r="D346" s="710">
        <v>88267</v>
      </c>
      <c r="E346" s="172" t="str">
        <f>IF($D346&lt;&gt;"",VLOOKUP($D346,'SINAPI FEVEREIRO 2022'!$1:$1048576,2,FALSE),"")</f>
        <v>ENCANADOR OU BOMBEIRO HIDRÁULICO COM ENCARGOS COMPLEMENTARES</v>
      </c>
      <c r="F346" s="173" t="str">
        <f>IF($D346&lt;&gt;"",VLOOKUP($D346,'SINAPI FEVEREIRO 2022'!$1:$1048576,3,FALSE),"")</f>
        <v>H</v>
      </c>
      <c r="G346" s="713">
        <v>0.4</v>
      </c>
      <c r="H346" s="379">
        <f>IF($D346&lt;&gt;"",VLOOKUP($D346,'SINAPI FEVEREIRO 2022'!$1:$1048576,4,FALSE),"")</f>
        <v>18.72</v>
      </c>
      <c r="I346" s="397">
        <f t="shared" si="50"/>
        <v>7.48</v>
      </c>
    </row>
    <row r="347" spans="2:9">
      <c r="B347" s="714"/>
      <c r="C347" s="710"/>
      <c r="D347" s="710"/>
      <c r="E347" s="172"/>
      <c r="F347" s="173"/>
      <c r="G347" s="713"/>
      <c r="H347" s="379"/>
      <c r="I347" s="397"/>
    </row>
    <row r="348" spans="2:9" ht="25.5">
      <c r="B348" s="183" t="s">
        <v>7925</v>
      </c>
      <c r="C348" s="227"/>
      <c r="D348" s="227"/>
      <c r="E348" s="95" t="s">
        <v>7926</v>
      </c>
      <c r="F348" s="228" t="s">
        <v>24</v>
      </c>
      <c r="G348" s="311">
        <v>1</v>
      </c>
      <c r="H348" s="387"/>
      <c r="I348" s="396">
        <f>TRUNC(SUM(I349:M354),2)</f>
        <v>8.4</v>
      </c>
    </row>
    <row r="349" spans="2:9" ht="25.5">
      <c r="B349" s="591" t="s">
        <v>548</v>
      </c>
      <c r="C349" s="707" t="s">
        <v>6</v>
      </c>
      <c r="D349" s="708">
        <v>88248</v>
      </c>
      <c r="E349" s="172" t="str">
        <f>IF($D349&lt;&gt;"",VLOOKUP($D349,'SINAPI FEVEREIRO 2022'!$1:$1048576,2,FALSE),"")</f>
        <v>AUXILIAR DE ENCANADOR OU BOMBEIRO HIDRÁULICO COM ENCARGOS COMPLEMENTARES</v>
      </c>
      <c r="F349" s="173" t="str">
        <f>IF($D349&lt;&gt;"",VLOOKUP($D349,'SINAPI FEVEREIRO 2022'!$1:$1048576,3,FALSE),"")</f>
        <v>H</v>
      </c>
      <c r="G349" s="711">
        <v>0.09</v>
      </c>
      <c r="H349" s="379">
        <f>IF($D349&lt;&gt;"",VLOOKUP($D349,'SINAPI FEVEREIRO 2022'!$1:$1048576,4,FALSE),"")</f>
        <v>15.54</v>
      </c>
      <c r="I349" s="397">
        <f t="shared" ref="I349:I350" si="51">TRUNC(H349*G349,2)</f>
        <v>1.39</v>
      </c>
    </row>
    <row r="350" spans="2:9" ht="25.5">
      <c r="B350" s="591" t="s">
        <v>548</v>
      </c>
      <c r="C350" s="93" t="s">
        <v>6</v>
      </c>
      <c r="D350" s="94">
        <v>88267</v>
      </c>
      <c r="E350" s="172" t="str">
        <f>IF($D350&lt;&gt;"",VLOOKUP($D350,'SINAPI FEVEREIRO 2022'!$1:$1048576,2,FALSE),"")</f>
        <v>ENCANADOR OU BOMBEIRO HIDRÁULICO COM ENCARGOS COMPLEMENTARES</v>
      </c>
      <c r="F350" s="173" t="str">
        <f>IF($D350&lt;&gt;"",VLOOKUP($D350,'SINAPI FEVEREIRO 2022'!$1:$1048576,3,FALSE),"")</f>
        <v>H</v>
      </c>
      <c r="G350" s="712">
        <v>0.09</v>
      </c>
      <c r="H350" s="379">
        <f>IF($D350&lt;&gt;"",VLOOKUP($D350,'SINAPI FEVEREIRO 2022'!$1:$1048576,4,FALSE),"")</f>
        <v>18.72</v>
      </c>
      <c r="I350" s="397">
        <f t="shared" si="51"/>
        <v>1.68</v>
      </c>
    </row>
    <row r="351" spans="2:9">
      <c r="B351" s="591" t="s">
        <v>546</v>
      </c>
      <c r="C351" s="93" t="s">
        <v>6</v>
      </c>
      <c r="D351" s="94">
        <v>122</v>
      </c>
      <c r="E351" s="172" t="str">
        <f>IF($D351&lt;&gt;"",VLOOKUP($D351,'SINAPI FEVEREIRO 2022'!$1:$1048576,2,FALSE),"")</f>
        <v>ADESIVO PLASTICO PARA PVC, FRASCO COM *850* GR</v>
      </c>
      <c r="F351" s="173" t="str">
        <f>IF($D351&lt;&gt;"",VLOOKUP($D351,'SINAPI FEVEREIRO 2022'!$1:$1048576,3,FALSE),"")</f>
        <v xml:space="preserve">UN    </v>
      </c>
      <c r="G351" s="712">
        <v>7.0000000000000001E-3</v>
      </c>
      <c r="H351" s="379">
        <f>IF($D351&lt;&gt;"",VLOOKUP($D351,'SINAPI FEVEREIRO 2022'!$1:$1048576,4,FALSE),"")</f>
        <v>76.94</v>
      </c>
      <c r="I351" s="397">
        <f t="shared" ref="I351:I354" si="52">TRUNC(H351*G351,2)</f>
        <v>0.53</v>
      </c>
    </row>
    <row r="352" spans="2:9" ht="25.5">
      <c r="B352" s="591" t="s">
        <v>546</v>
      </c>
      <c r="C352" s="93" t="s">
        <v>6</v>
      </c>
      <c r="D352" s="94">
        <v>3496</v>
      </c>
      <c r="E352" s="172" t="str">
        <f>IF($D352&lt;&gt;"",VLOOKUP($D352,'SINAPI FEVEREIRO 2022'!$1:$1048576,2,FALSE),"")</f>
        <v>JOELHO DE REDUCAO, PVC, ROSCAVEL, 90 GRAUS, 3/4" X 1/2", PARA AGUA FRIA PREDIAL</v>
      </c>
      <c r="F352" s="173" t="str">
        <f>IF($D352&lt;&gt;"",VLOOKUP($D352,'SINAPI FEVEREIRO 2022'!$1:$1048576,3,FALSE),"")</f>
        <v xml:space="preserve">UN    </v>
      </c>
      <c r="G352" s="712">
        <v>1</v>
      </c>
      <c r="H352" s="379">
        <f>IF($D352&lt;&gt;"",VLOOKUP($D352,'SINAPI FEVEREIRO 2022'!$1:$1048576,4,FALSE),"")</f>
        <v>4.05</v>
      </c>
      <c r="I352" s="397">
        <f t="shared" si="52"/>
        <v>4.05</v>
      </c>
    </row>
    <row r="353" spans="1:9" ht="25.5">
      <c r="B353" s="591" t="s">
        <v>546</v>
      </c>
      <c r="C353" s="93" t="s">
        <v>6</v>
      </c>
      <c r="D353" s="94">
        <v>20083</v>
      </c>
      <c r="E353" s="172" t="str">
        <f>IF($D353&lt;&gt;"",VLOOKUP($D353,'SINAPI FEVEREIRO 2022'!$1:$1048576,2,FALSE),"")</f>
        <v>SOLUCAO PREPARADORA / LIMPADORA PARA PVC, FRASCO COM 1000 CM3</v>
      </c>
      <c r="F353" s="173" t="str">
        <f>IF($D353&lt;&gt;"",VLOOKUP($D353,'SINAPI FEVEREIRO 2022'!$1:$1048576,3,FALSE),"")</f>
        <v xml:space="preserve">UN    </v>
      </c>
      <c r="G353" s="712">
        <v>8.0000000000000002E-3</v>
      </c>
      <c r="H353" s="379">
        <f>IF($D353&lt;&gt;"",VLOOKUP($D353,'SINAPI FEVEREIRO 2022'!$1:$1048576,4,FALSE),"")</f>
        <v>87.17</v>
      </c>
      <c r="I353" s="397">
        <f t="shared" si="52"/>
        <v>0.69</v>
      </c>
    </row>
    <row r="354" spans="1:9">
      <c r="B354" s="591" t="s">
        <v>546</v>
      </c>
      <c r="C354" s="93" t="s">
        <v>6</v>
      </c>
      <c r="D354" s="94">
        <v>38383</v>
      </c>
      <c r="E354" s="172" t="str">
        <f>IF($D354&lt;&gt;"",VLOOKUP($D354,'SINAPI FEVEREIRO 2022'!$1:$1048576,2,FALSE),"")</f>
        <v>LIXA D'AGUA EM FOLHA, GRAO 100</v>
      </c>
      <c r="F354" s="173" t="str">
        <f>IF($D354&lt;&gt;"",VLOOKUP($D354,'SINAPI FEVEREIRO 2022'!$1:$1048576,3,FALSE),"")</f>
        <v xml:space="preserve">UN    </v>
      </c>
      <c r="G354" s="712">
        <v>0.03</v>
      </c>
      <c r="H354" s="379">
        <f>IF($D354&lt;&gt;"",VLOOKUP($D354,'SINAPI FEVEREIRO 2022'!$1:$1048576,4,FALSE),"")</f>
        <v>2.2000000000000002</v>
      </c>
      <c r="I354" s="397">
        <f t="shared" si="52"/>
        <v>0.06</v>
      </c>
    </row>
    <row r="355" spans="1:9">
      <c r="B355" s="714"/>
      <c r="C355" s="710"/>
      <c r="D355" s="710"/>
      <c r="E355" s="172"/>
      <c r="F355" s="173"/>
      <c r="G355" s="713"/>
      <c r="H355" s="379"/>
      <c r="I355" s="397"/>
    </row>
    <row r="356" spans="1:9">
      <c r="B356" s="346"/>
      <c r="C356" s="224"/>
      <c r="D356" s="224"/>
      <c r="E356" s="225"/>
      <c r="F356" s="224"/>
      <c r="G356" s="303"/>
      <c r="H356" s="380"/>
      <c r="I356" s="399"/>
    </row>
    <row r="357" spans="1:9">
      <c r="B357" s="969" t="s">
        <v>3088</v>
      </c>
      <c r="C357" s="970"/>
      <c r="D357" s="970"/>
      <c r="E357" s="970"/>
      <c r="F357" s="970"/>
      <c r="G357" s="970"/>
      <c r="H357" s="970"/>
      <c r="I357" s="971"/>
    </row>
    <row r="358" spans="1:9">
      <c r="B358" s="348"/>
      <c r="C358" s="334"/>
      <c r="D358" s="334"/>
      <c r="E358" s="334"/>
      <c r="F358" s="334"/>
      <c r="G358" s="299"/>
      <c r="H358" s="388"/>
      <c r="I358" s="405"/>
    </row>
    <row r="359" spans="1:9" s="160" customFormat="1">
      <c r="A359" s="159"/>
      <c r="B359" s="183" t="s">
        <v>5489</v>
      </c>
      <c r="C359" s="223"/>
      <c r="D359" s="223"/>
      <c r="E359" s="95" t="s">
        <v>5511</v>
      </c>
      <c r="F359" s="96" t="s">
        <v>32</v>
      </c>
      <c r="G359" s="301">
        <v>1</v>
      </c>
      <c r="H359" s="378"/>
      <c r="I359" s="396">
        <f>TRUNC(SUM(I360:I361),2)</f>
        <v>41.44</v>
      </c>
    </row>
    <row r="360" spans="1:9" ht="40.5" customHeight="1">
      <c r="B360" s="591" t="s">
        <v>548</v>
      </c>
      <c r="C360" s="93" t="s">
        <v>6</v>
      </c>
      <c r="D360" s="93">
        <v>87905</v>
      </c>
      <c r="E360" s="172" t="str">
        <f>IF($D360&lt;&gt;"",VLOOKUP($D360,'SINAPI FEVEREIRO 2022'!$1:$1048576,2,FALSE),"")</f>
        <v>CHAPISCO APLICADO EM ALVENARIA (COM PRESENÇA DE VÃOS) E ESTRUTURAS DE CONCRETO DE FACHADA, COM COLHER DE PEDREIRO.  ARGAMASSA TRAÇO 1:3 COM PREPARO EM BETONEIRA 400L. AF_06/2014</v>
      </c>
      <c r="F360" s="173" t="str">
        <f>IF($D360&lt;&gt;"",VLOOKUP($D360,'SINAPI FEVEREIRO 2022'!$1:$1048576,3,FALSE),"")</f>
        <v>M2</v>
      </c>
      <c r="G360" s="599">
        <v>1</v>
      </c>
      <c r="H360" s="379">
        <f>IF($D360&lt;&gt;"",VLOOKUP($D360,'SINAPI FEVEREIRO 2022'!$1:$1048576,4,FALSE),"")</f>
        <v>6.7</v>
      </c>
      <c r="I360" s="398">
        <f>TRUNC(H360*G360,2)</f>
        <v>6.7</v>
      </c>
    </row>
    <row r="361" spans="1:9" ht="51">
      <c r="B361" s="591" t="s">
        <v>548</v>
      </c>
      <c r="C361" s="93" t="s">
        <v>6</v>
      </c>
      <c r="D361" s="93">
        <v>87794</v>
      </c>
      <c r="E361" s="172" t="str">
        <f>IF($D361&lt;&gt;"",VLOOKUP($D361,'SINAPI FEVEREIRO 2022'!$1:$1048576,2,FALSE),"")</f>
        <v>EMBOÇO OU MASSA ÚNICA EM ARGAMASSA TRAÇO 1:2:8, PREPARO MANUAL, APLICADA MANUALMENTE EM PANOS CEGOS DE FACHADA (SEM PRESENÇA DE VÃOS), ESPESSURA DE 25 MM. AF_06/2014</v>
      </c>
      <c r="F361" s="173" t="str">
        <f>IF($D361&lt;&gt;"",VLOOKUP($D361,'SINAPI FEVEREIRO 2022'!$1:$1048576,3,FALSE),"")</f>
        <v>M2</v>
      </c>
      <c r="G361" s="451">
        <v>1</v>
      </c>
      <c r="H361" s="379">
        <f>IF($D361&lt;&gt;"",VLOOKUP($D361,'SINAPI FEVEREIRO 2022'!$1:$1048576,4,FALSE),"")</f>
        <v>34.74</v>
      </c>
      <c r="I361" s="398">
        <f>TRUNC(H361*G361,2)</f>
        <v>34.74</v>
      </c>
    </row>
    <row r="362" spans="1:9" s="160" customFormat="1">
      <c r="A362" s="159"/>
      <c r="B362" s="93"/>
      <c r="C362" s="93"/>
      <c r="D362" s="177"/>
      <c r="E362" s="172"/>
      <c r="F362" s="173"/>
      <c r="G362" s="310"/>
      <c r="H362" s="379"/>
      <c r="I362" s="398"/>
    </row>
    <row r="363" spans="1:9" s="160" customFormat="1">
      <c r="A363" s="159"/>
      <c r="B363" s="183" t="s">
        <v>5496</v>
      </c>
      <c r="C363" s="223"/>
      <c r="D363" s="223"/>
      <c r="E363" s="95" t="s">
        <v>5512</v>
      </c>
      <c r="F363" s="96" t="s">
        <v>531</v>
      </c>
      <c r="G363" s="301">
        <v>1</v>
      </c>
      <c r="H363" s="378"/>
      <c r="I363" s="396">
        <f>TRUNC(SUM(I364:I366),2)</f>
        <v>231.76</v>
      </c>
    </row>
    <row r="364" spans="1:9" ht="24.75" customHeight="1">
      <c r="B364" s="591" t="s">
        <v>548</v>
      </c>
      <c r="C364" s="93" t="s">
        <v>6</v>
      </c>
      <c r="D364" s="93">
        <v>88247</v>
      </c>
      <c r="E364" s="172" t="str">
        <f>IF($D364&lt;&gt;"",VLOOKUP($D364,'SINAPI FEVEREIRO 2022'!$1:$1048576,2,FALSE),"")</f>
        <v>AUXILIAR DE ELETRICISTA COM ENCARGOS COMPLEMENTARES</v>
      </c>
      <c r="F364" s="173" t="str">
        <f>IF($D364&lt;&gt;"",VLOOKUP($D364,'SINAPI FEVEREIRO 2022'!$1:$1048576,3,FALSE),"")</f>
        <v>H</v>
      </c>
      <c r="G364" s="599">
        <v>0.17349999999999999</v>
      </c>
      <c r="H364" s="379">
        <f>IF($D364&lt;&gt;"",VLOOKUP($D364,'SINAPI FEVEREIRO 2022'!$1:$1048576,4,FALSE),"")</f>
        <v>15.19</v>
      </c>
      <c r="I364" s="398">
        <f>TRUNC(H364*G364,2)</f>
        <v>2.63</v>
      </c>
    </row>
    <row r="365" spans="1:9" ht="24.75" customHeight="1">
      <c r="B365" s="591" t="s">
        <v>548</v>
      </c>
      <c r="C365" s="93" t="s">
        <v>6</v>
      </c>
      <c r="D365" s="93">
        <v>88264</v>
      </c>
      <c r="E365" s="172" t="str">
        <f>IF($D365&lt;&gt;"",VLOOKUP($D365,'SINAPI FEVEREIRO 2022'!$1:$1048576,2,FALSE),"")</f>
        <v>ELETRICISTA COM ENCARGOS COMPLEMENTARES</v>
      </c>
      <c r="F365" s="173" t="str">
        <f>IF($D365&lt;&gt;"",VLOOKUP($D365,'SINAPI FEVEREIRO 2022'!$1:$1048576,3,FALSE),"")</f>
        <v>H</v>
      </c>
      <c r="G365" s="451">
        <v>0.41649999999999998</v>
      </c>
      <c r="H365" s="379">
        <f>IF($D365&lt;&gt;"",VLOOKUP($D365,'SINAPI FEVEREIRO 2022'!$1:$1048576,4,FALSE),"")</f>
        <v>19.53</v>
      </c>
      <c r="I365" s="398">
        <f>TRUNC(H365*G365,2)</f>
        <v>8.1300000000000008</v>
      </c>
    </row>
    <row r="366" spans="1:9" ht="24.75" customHeight="1">
      <c r="B366" s="591" t="s">
        <v>548</v>
      </c>
      <c r="C366" s="93" t="s">
        <v>6</v>
      </c>
      <c r="D366" s="93">
        <v>39391</v>
      </c>
      <c r="E366" s="172" t="s">
        <v>6147</v>
      </c>
      <c r="F366" s="173" t="s">
        <v>24</v>
      </c>
      <c r="G366" s="451">
        <v>1</v>
      </c>
      <c r="H366" s="379">
        <v>221</v>
      </c>
      <c r="I366" s="398">
        <f>TRUNC(H366*G366,2)</f>
        <v>221</v>
      </c>
    </row>
    <row r="367" spans="1:9" s="160" customFormat="1">
      <c r="B367" s="368"/>
      <c r="C367" s="93"/>
      <c r="D367" s="93"/>
      <c r="E367" s="172"/>
      <c r="F367" s="173"/>
      <c r="G367" s="302"/>
      <c r="H367" s="379"/>
      <c r="I367" s="398"/>
    </row>
    <row r="368" spans="1:9" s="160" customFormat="1">
      <c r="A368" s="159"/>
      <c r="B368" s="183" t="s">
        <v>5487</v>
      </c>
      <c r="C368" s="223"/>
      <c r="D368" s="223"/>
      <c r="E368" s="95" t="s">
        <v>5513</v>
      </c>
      <c r="F368" s="96" t="s">
        <v>531</v>
      </c>
      <c r="G368" s="301">
        <v>1</v>
      </c>
      <c r="H368" s="378"/>
      <c r="I368" s="396">
        <f>TRUNC(SUM(I369:I371),2)</f>
        <v>233.72</v>
      </c>
    </row>
    <row r="369" spans="1:9" ht="24.75" customHeight="1">
      <c r="B369" s="591" t="s">
        <v>548</v>
      </c>
      <c r="C369" s="93" t="s">
        <v>6</v>
      </c>
      <c r="D369" s="93">
        <v>88247</v>
      </c>
      <c r="E369" s="172" t="str">
        <f>IF($D369&lt;&gt;"",VLOOKUP($D369,'SINAPI FEVEREIRO 2022'!$1:$1048576,2,FALSE),"")</f>
        <v>AUXILIAR DE ELETRICISTA COM ENCARGOS COMPLEMENTARES</v>
      </c>
      <c r="F369" s="173" t="str">
        <f>IF($D369&lt;&gt;"",VLOOKUP($D369,'SINAPI FEVEREIRO 2022'!$1:$1048576,3,FALSE),"")</f>
        <v>H</v>
      </c>
      <c r="G369" s="302">
        <v>1</v>
      </c>
      <c r="H369" s="379">
        <f>IF($D369&lt;&gt;"",VLOOKUP($D369,'SINAPI FEVEREIRO 2022'!$1:$1048576,4,FALSE),"")</f>
        <v>15.19</v>
      </c>
      <c r="I369" s="398">
        <f>TRUNC(H369*G369,2)</f>
        <v>15.19</v>
      </c>
    </row>
    <row r="370" spans="1:9" ht="24.75" customHeight="1">
      <c r="B370" s="591" t="s">
        <v>548</v>
      </c>
      <c r="C370" s="93" t="s">
        <v>6</v>
      </c>
      <c r="D370" s="93">
        <v>88264</v>
      </c>
      <c r="E370" s="172" t="str">
        <f>IF($D370&lt;&gt;"",VLOOKUP($D370,'SINAPI FEVEREIRO 2022'!$1:$1048576,2,FALSE),"")</f>
        <v>ELETRICISTA COM ENCARGOS COMPLEMENTARES</v>
      </c>
      <c r="F370" s="173" t="str">
        <f>IF($D370&lt;&gt;"",VLOOKUP($D370,'SINAPI FEVEREIRO 2022'!$1:$1048576,3,FALSE),"")</f>
        <v>H</v>
      </c>
      <c r="G370" s="302">
        <v>1</v>
      </c>
      <c r="H370" s="379">
        <f>IF($D370&lt;&gt;"",VLOOKUP($D370,'SINAPI FEVEREIRO 2022'!$1:$1048576,4,FALSE),"")</f>
        <v>19.53</v>
      </c>
      <c r="I370" s="398">
        <f>TRUNC(H370*G370,2)</f>
        <v>19.53</v>
      </c>
    </row>
    <row r="371" spans="1:9" s="160" customFormat="1">
      <c r="A371" s="159"/>
      <c r="B371" s="591" t="s">
        <v>546</v>
      </c>
      <c r="C371" s="93" t="s">
        <v>547</v>
      </c>
      <c r="D371" s="93"/>
      <c r="E371" s="172" t="s">
        <v>5514</v>
      </c>
      <c r="F371" s="173" t="s">
        <v>24</v>
      </c>
      <c r="G371" s="310">
        <v>1</v>
      </c>
      <c r="H371" s="379">
        <v>199</v>
      </c>
      <c r="I371" s="398">
        <f>TRUNC(H371*G371,2)</f>
        <v>199</v>
      </c>
    </row>
    <row r="372" spans="1:9" s="160" customFormat="1">
      <c r="A372" s="159"/>
      <c r="B372" s="349"/>
      <c r="C372" s="94"/>
      <c r="D372" s="177"/>
      <c r="E372" s="172"/>
      <c r="F372" s="173"/>
      <c r="G372" s="312"/>
      <c r="H372" s="379"/>
      <c r="I372" s="406"/>
    </row>
    <row r="373" spans="1:9" s="160" customFormat="1">
      <c r="A373" s="159"/>
      <c r="B373" s="183" t="s">
        <v>5488</v>
      </c>
      <c r="C373" s="223"/>
      <c r="D373" s="223"/>
      <c r="E373" s="95" t="s">
        <v>5515</v>
      </c>
      <c r="F373" s="96" t="s">
        <v>531</v>
      </c>
      <c r="G373" s="301">
        <v>1</v>
      </c>
      <c r="H373" s="378"/>
      <c r="I373" s="396">
        <f>TRUNC(SUM(I374:I376),2)</f>
        <v>153.88</v>
      </c>
    </row>
    <row r="374" spans="1:9" ht="24.75" customHeight="1">
      <c r="B374" s="591" t="s">
        <v>548</v>
      </c>
      <c r="C374" s="93" t="s">
        <v>6</v>
      </c>
      <c r="D374" s="93">
        <v>88247</v>
      </c>
      <c r="E374" s="172" t="str">
        <f>IF($D374&lt;&gt;"",VLOOKUP($D374,'SINAPI FEVEREIRO 2022'!$1:$1048576,2,FALSE),"")</f>
        <v>AUXILIAR DE ELETRICISTA COM ENCARGOS COMPLEMENTARES</v>
      </c>
      <c r="F374" s="173" t="str">
        <f>IF($D374&lt;&gt;"",VLOOKUP($D374,'SINAPI FEVEREIRO 2022'!$1:$1048576,3,FALSE),"")</f>
        <v>H</v>
      </c>
      <c r="G374" s="302">
        <v>0.4</v>
      </c>
      <c r="H374" s="379">
        <f>IF($D374&lt;&gt;"",VLOOKUP($D374,'SINAPI FEVEREIRO 2022'!$1:$1048576,4,FALSE),"")</f>
        <v>15.19</v>
      </c>
      <c r="I374" s="398">
        <f>TRUNC(H374*G374,2)</f>
        <v>6.07</v>
      </c>
    </row>
    <row r="375" spans="1:9" ht="24.75" customHeight="1">
      <c r="B375" s="591" t="s">
        <v>548</v>
      </c>
      <c r="C375" s="93" t="s">
        <v>6</v>
      </c>
      <c r="D375" s="93">
        <v>88264</v>
      </c>
      <c r="E375" s="172" t="str">
        <f>IF($D375&lt;&gt;"",VLOOKUP($D375,'SINAPI FEVEREIRO 2022'!$1:$1048576,2,FALSE),"")</f>
        <v>ELETRICISTA COM ENCARGOS COMPLEMENTARES</v>
      </c>
      <c r="F375" s="173" t="str">
        <f>IF($D375&lt;&gt;"",VLOOKUP($D375,'SINAPI FEVEREIRO 2022'!$1:$1048576,3,FALSE),"")</f>
        <v>H</v>
      </c>
      <c r="G375" s="302">
        <v>0.4</v>
      </c>
      <c r="H375" s="379">
        <f>IF($D375&lt;&gt;"",VLOOKUP($D375,'SINAPI FEVEREIRO 2022'!$1:$1048576,4,FALSE),"")</f>
        <v>19.53</v>
      </c>
      <c r="I375" s="398">
        <f>TRUNC(H375*G375,2)</f>
        <v>7.81</v>
      </c>
    </row>
    <row r="376" spans="1:9" s="160" customFormat="1" ht="25.5" customHeight="1">
      <c r="A376" s="159"/>
      <c r="B376" s="591" t="s">
        <v>546</v>
      </c>
      <c r="C376" s="93" t="s">
        <v>547</v>
      </c>
      <c r="D376" s="93"/>
      <c r="E376" s="172" t="s">
        <v>5515</v>
      </c>
      <c r="F376" s="173" t="s">
        <v>24</v>
      </c>
      <c r="G376" s="310">
        <v>1</v>
      </c>
      <c r="H376" s="379">
        <v>140</v>
      </c>
      <c r="I376" s="398">
        <f>TRUNC(H376*G376,2)</f>
        <v>140</v>
      </c>
    </row>
    <row r="377" spans="1:9" s="160" customFormat="1">
      <c r="A377" s="159"/>
      <c r="B377" s="349"/>
      <c r="C377" s="94"/>
      <c r="D377" s="177"/>
      <c r="E377" s="172"/>
      <c r="F377" s="173"/>
      <c r="G377" s="312"/>
      <c r="H377" s="379"/>
      <c r="I377" s="406"/>
    </row>
    <row r="378" spans="1:9" s="160" customFormat="1" ht="25.5">
      <c r="A378" s="159"/>
      <c r="B378" s="183" t="s">
        <v>5495</v>
      </c>
      <c r="C378" s="223"/>
      <c r="D378" s="223"/>
      <c r="E378" s="95" t="s">
        <v>5516</v>
      </c>
      <c r="F378" s="96" t="s">
        <v>531</v>
      </c>
      <c r="G378" s="301">
        <v>1</v>
      </c>
      <c r="H378" s="378"/>
      <c r="I378" s="396">
        <f>TRUNC(SUM(I379:I382),2)</f>
        <v>182.09</v>
      </c>
    </row>
    <row r="379" spans="1:9" ht="24.75" customHeight="1">
      <c r="B379" s="591" t="s">
        <v>546</v>
      </c>
      <c r="C379" s="93" t="s">
        <v>6</v>
      </c>
      <c r="D379" s="176">
        <v>39387</v>
      </c>
      <c r="E379" s="172" t="str">
        <f>IF($D379&lt;&gt;"",VLOOKUP($D379,'SINAPI FEVEREIRO 2022'!$1:$1048576,2,FALSE),"")</f>
        <v>LAMPADA LED TUBULAR BIVOLT 18/20 W, BASE G13</v>
      </c>
      <c r="F379" s="173" t="str">
        <f>IF($D379&lt;&gt;"",VLOOKUP($D379,'SINAPI FEVEREIRO 2022'!$1:$1048576,3,FALSE),"")</f>
        <v xml:space="preserve">UN    </v>
      </c>
      <c r="G379" s="599">
        <v>1</v>
      </c>
      <c r="H379" s="379">
        <f>IF($D379&lt;&gt;"",VLOOKUP($D379,'SINAPI FEVEREIRO 2022'!$1:$1048576,4,FALSE),"")</f>
        <v>14.26</v>
      </c>
      <c r="I379" s="398">
        <f>TRUNC(H379*G379,2)</f>
        <v>14.26</v>
      </c>
    </row>
    <row r="380" spans="1:9" s="160" customFormat="1">
      <c r="A380" s="159"/>
      <c r="B380" s="591" t="s">
        <v>563</v>
      </c>
      <c r="C380" s="93" t="s">
        <v>547</v>
      </c>
      <c r="D380" s="176"/>
      <c r="E380" s="172" t="s">
        <v>5517</v>
      </c>
      <c r="F380" s="173" t="s">
        <v>24</v>
      </c>
      <c r="G380" s="451">
        <v>1</v>
      </c>
      <c r="H380" s="379">
        <v>154</v>
      </c>
      <c r="I380" s="402">
        <f>TRUNC(H380*G380,2)</f>
        <v>154</v>
      </c>
    </row>
    <row r="381" spans="1:9" ht="24.75" customHeight="1">
      <c r="B381" s="591" t="s">
        <v>563</v>
      </c>
      <c r="C381" s="93" t="s">
        <v>6</v>
      </c>
      <c r="D381" s="176">
        <v>88247</v>
      </c>
      <c r="E381" s="172" t="str">
        <f>IF($D381&lt;&gt;"",VLOOKUP($D381,'SINAPI FEVEREIRO 2022'!$1:$1048576,2,FALSE),"")</f>
        <v>AUXILIAR DE ELETRICISTA COM ENCARGOS COMPLEMENTARES</v>
      </c>
      <c r="F381" s="173" t="str">
        <f>IF($D381&lt;&gt;"",VLOOKUP($D381,'SINAPI FEVEREIRO 2022'!$1:$1048576,3,FALSE),"")</f>
        <v>H</v>
      </c>
      <c r="G381" s="327">
        <v>0.22309999999999999</v>
      </c>
      <c r="H381" s="379">
        <f>IF($D381&lt;&gt;"",VLOOKUP($D381,'SINAPI FEVEREIRO 2022'!$1:$1048576,4,FALSE),"")</f>
        <v>15.19</v>
      </c>
      <c r="I381" s="398">
        <f>TRUNC(H381*G381,2)</f>
        <v>3.38</v>
      </c>
    </row>
    <row r="382" spans="1:9" s="160" customFormat="1">
      <c r="A382" s="159"/>
      <c r="B382" s="591" t="s">
        <v>563</v>
      </c>
      <c r="C382" s="93" t="s">
        <v>6</v>
      </c>
      <c r="D382" s="176">
        <v>88264</v>
      </c>
      <c r="E382" s="172" t="str">
        <f>IF($D382&lt;&gt;"",VLOOKUP($D382,'SINAPI FEVEREIRO 2022'!$1:$1048576,2,FALSE),"")</f>
        <v>ELETRICISTA COM ENCARGOS COMPLEMENTARES</v>
      </c>
      <c r="F382" s="173" t="str">
        <f>IF($D382&lt;&gt;"",VLOOKUP($D382,'SINAPI FEVEREIRO 2022'!$1:$1048576,3,FALSE),"")</f>
        <v>H</v>
      </c>
      <c r="G382" s="327">
        <v>0.53549999999999998</v>
      </c>
      <c r="H382" s="379">
        <f>IF($D382&lt;&gt;"",VLOOKUP($D382,'SINAPI FEVEREIRO 2022'!$1:$1048576,4,FALSE),"")</f>
        <v>19.53</v>
      </c>
      <c r="I382" s="398">
        <f>TRUNC(H382*G382,2)</f>
        <v>10.45</v>
      </c>
    </row>
    <row r="383" spans="1:9" s="160" customFormat="1">
      <c r="A383" s="159"/>
      <c r="B383" s="368"/>
      <c r="C383" s="93"/>
      <c r="D383" s="176"/>
      <c r="E383" s="172"/>
      <c r="F383" s="173"/>
      <c r="G383" s="312"/>
      <c r="H383" s="379"/>
      <c r="I383" s="406"/>
    </row>
    <row r="384" spans="1:9" s="160" customFormat="1" ht="35.25" customHeight="1">
      <c r="A384" s="159"/>
      <c r="B384" s="183" t="s">
        <v>5494</v>
      </c>
      <c r="C384" s="223"/>
      <c r="D384" s="223"/>
      <c r="E384" s="95" t="s">
        <v>7391</v>
      </c>
      <c r="F384" s="96" t="s">
        <v>531</v>
      </c>
      <c r="G384" s="301">
        <v>1</v>
      </c>
      <c r="H384" s="378"/>
      <c r="I384" s="396">
        <f>TRUNC(SUM(I385:L388),2)</f>
        <v>95.61</v>
      </c>
    </row>
    <row r="385" spans="1:9" s="160" customFormat="1">
      <c r="A385" s="159"/>
      <c r="B385" s="591" t="s">
        <v>546</v>
      </c>
      <c r="C385" s="93" t="s">
        <v>547</v>
      </c>
      <c r="D385" s="176"/>
      <c r="E385" s="172" t="s">
        <v>7392</v>
      </c>
      <c r="F385" s="173" t="s">
        <v>24</v>
      </c>
      <c r="G385" s="599">
        <v>1</v>
      </c>
      <c r="H385" s="379">
        <v>71.900000000000006</v>
      </c>
      <c r="I385" s="398">
        <f>TRUNC(H385*G385,2)</f>
        <v>71.900000000000006</v>
      </c>
    </row>
    <row r="386" spans="1:9" ht="24.75" customHeight="1">
      <c r="B386" s="591" t="s">
        <v>563</v>
      </c>
      <c r="C386" s="93" t="s">
        <v>6</v>
      </c>
      <c r="D386" s="176">
        <v>38773</v>
      </c>
      <c r="E386" s="172" t="str">
        <f>IF($D386&lt;&gt;"",VLOOKUP($D386,'SINAPI FEVEREIRO 2022'!$1:$1048576,2,FALSE),"")</f>
        <v>LUMINARIA DE TETO PLAFON/PLAFONIER EM PLASTICO COM BASE E27, POTENCIA MAXIMA 60 W (NAO INCLUI LAMPADA)</v>
      </c>
      <c r="F386" s="173" t="str">
        <f>IF($D386&lt;&gt;"",VLOOKUP($D386,'SINAPI FEVEREIRO 2022'!$1:$1048576,3,FALSE),"")</f>
        <v xml:space="preserve">UN    </v>
      </c>
      <c r="G386" s="451">
        <v>1</v>
      </c>
      <c r="H386" s="379">
        <f>IF($D386&lt;&gt;"",VLOOKUP($D386,'SINAPI FEVEREIRO 2022'!$1:$1048576,4,FALSE),"")</f>
        <v>9.8800000000000008</v>
      </c>
      <c r="I386" s="398">
        <f>TRUNC(H386*G386,2)</f>
        <v>9.8800000000000008</v>
      </c>
    </row>
    <row r="387" spans="1:9" ht="24.75" customHeight="1">
      <c r="B387" s="591" t="s">
        <v>563</v>
      </c>
      <c r="C387" s="93" t="s">
        <v>6</v>
      </c>
      <c r="D387" s="176">
        <v>88247</v>
      </c>
      <c r="E387" s="172" t="str">
        <f>IF($D387&lt;&gt;"",VLOOKUP($D387,'SINAPI FEVEREIRO 2022'!$1:$1048576,2,FALSE),"")</f>
        <v>AUXILIAR DE ELETRICISTA COM ENCARGOS COMPLEMENTARES</v>
      </c>
      <c r="F387" s="173" t="str">
        <f>IF($D387&lt;&gt;"",VLOOKUP($D387,'SINAPI FEVEREIRO 2022'!$1:$1048576,3,FALSE),"")</f>
        <v>H</v>
      </c>
      <c r="G387" s="327">
        <v>0.22309999999999999</v>
      </c>
      <c r="H387" s="379">
        <f>IF($D387&lt;&gt;"",VLOOKUP($D387,'SINAPI FEVEREIRO 2022'!$1:$1048576,4,FALSE),"")</f>
        <v>15.19</v>
      </c>
      <c r="I387" s="398">
        <f>TRUNC(H387*G387,2)</f>
        <v>3.38</v>
      </c>
    </row>
    <row r="388" spans="1:9" s="160" customFormat="1">
      <c r="A388" s="159"/>
      <c r="B388" s="591" t="s">
        <v>563</v>
      </c>
      <c r="C388" s="93" t="s">
        <v>6</v>
      </c>
      <c r="D388" s="176">
        <v>88264</v>
      </c>
      <c r="E388" s="172" t="str">
        <f>IF($D388&lt;&gt;"",VLOOKUP($D388,'SINAPI FEVEREIRO 2022'!$1:$1048576,2,FALSE),"")</f>
        <v>ELETRICISTA COM ENCARGOS COMPLEMENTARES</v>
      </c>
      <c r="F388" s="173" t="str">
        <f>IF($D388&lt;&gt;"",VLOOKUP($D388,'SINAPI FEVEREIRO 2022'!$1:$1048576,3,FALSE),"")</f>
        <v>H</v>
      </c>
      <c r="G388" s="327">
        <v>0.53549999999999998</v>
      </c>
      <c r="H388" s="379">
        <f>IF($D388&lt;&gt;"",VLOOKUP($D388,'SINAPI FEVEREIRO 2022'!$1:$1048576,4,FALSE),"")</f>
        <v>19.53</v>
      </c>
      <c r="I388" s="398">
        <f>TRUNC(H388*G388,2)</f>
        <v>10.45</v>
      </c>
    </row>
    <row r="389" spans="1:9" s="160" customFormat="1">
      <c r="A389" s="159"/>
      <c r="B389" s="368"/>
      <c r="C389" s="93"/>
      <c r="D389" s="176"/>
      <c r="E389" s="172"/>
      <c r="F389" s="173"/>
      <c r="G389" s="312"/>
      <c r="H389" s="379"/>
      <c r="I389" s="406"/>
    </row>
    <row r="390" spans="1:9" s="160" customFormat="1">
      <c r="A390" s="159"/>
      <c r="B390" s="183" t="s">
        <v>5519</v>
      </c>
      <c r="C390" s="223"/>
      <c r="D390" s="223"/>
      <c r="E390" s="95" t="s">
        <v>4562</v>
      </c>
      <c r="F390" s="96" t="s">
        <v>531</v>
      </c>
      <c r="G390" s="301">
        <v>1</v>
      </c>
      <c r="H390" s="378"/>
      <c r="I390" s="396">
        <f>TRUNC(SUM(I391:I393),2)</f>
        <v>138.56</v>
      </c>
    </row>
    <row r="391" spans="1:9" ht="24.75" customHeight="1">
      <c r="B391" s="591" t="s">
        <v>548</v>
      </c>
      <c r="C391" s="93" t="s">
        <v>6</v>
      </c>
      <c r="D391" s="93">
        <v>88247</v>
      </c>
      <c r="E391" s="172" t="str">
        <f>IF($D391&lt;&gt;"",VLOOKUP($D391,'SINAPI FEVEREIRO 2022'!$1:$1048576,2,FALSE),"")</f>
        <v>AUXILIAR DE ELETRICISTA COM ENCARGOS COMPLEMENTARES</v>
      </c>
      <c r="F391" s="173" t="str">
        <f>IF($D391&lt;&gt;"",VLOOKUP($D391,'SINAPI FEVEREIRO 2022'!$1:$1048576,3,FALSE),"")</f>
        <v>H</v>
      </c>
      <c r="G391" s="302">
        <v>1</v>
      </c>
      <c r="H391" s="379">
        <f>IF($D391&lt;&gt;"",VLOOKUP($D391,'SINAPI FEVEREIRO 2022'!$1:$1048576,4,FALSE),"")</f>
        <v>15.19</v>
      </c>
      <c r="I391" s="398">
        <f>TRUNC(H391*G391,2)</f>
        <v>15.19</v>
      </c>
    </row>
    <row r="392" spans="1:9" ht="24.75" customHeight="1">
      <c r="B392" s="591" t="s">
        <v>548</v>
      </c>
      <c r="C392" s="93" t="s">
        <v>6</v>
      </c>
      <c r="D392" s="93">
        <v>88264</v>
      </c>
      <c r="E392" s="172" t="str">
        <f>IF($D392&lt;&gt;"",VLOOKUP($D392,'SINAPI FEVEREIRO 2022'!$1:$1048576,2,FALSE),"")</f>
        <v>ELETRICISTA COM ENCARGOS COMPLEMENTARES</v>
      </c>
      <c r="F392" s="173" t="str">
        <f>IF($D392&lt;&gt;"",VLOOKUP($D392,'SINAPI FEVEREIRO 2022'!$1:$1048576,3,FALSE),"")</f>
        <v>H</v>
      </c>
      <c r="G392" s="302">
        <v>1</v>
      </c>
      <c r="H392" s="379">
        <f>IF($D392&lt;&gt;"",VLOOKUP($D392,'SINAPI FEVEREIRO 2022'!$1:$1048576,4,FALSE),"")</f>
        <v>19.53</v>
      </c>
      <c r="I392" s="398">
        <f>TRUNC(H392*G392,2)</f>
        <v>19.53</v>
      </c>
    </row>
    <row r="393" spans="1:9" ht="24.75" customHeight="1">
      <c r="B393" s="591" t="s">
        <v>546</v>
      </c>
      <c r="C393" s="93" t="s">
        <v>6</v>
      </c>
      <c r="D393" s="93">
        <v>39467</v>
      </c>
      <c r="E393" s="172" t="str">
        <f>IF($D393&lt;&gt;"",VLOOKUP($D393,'SINAPI FEVEREIRO 2022'!$1:$1048576,2,FALSE),"")</f>
        <v>DISPOSITIVO DPS CLASSE II, 1 POLO, TENSAO MAXIMA DE 175 V, CORRENTE MAXIMA DE *45* KA (TIPO AC)</v>
      </c>
      <c r="F393" s="173" t="str">
        <f>IF($D393&lt;&gt;"",VLOOKUP($D393,'SINAPI FEVEREIRO 2022'!$1:$1048576,3,FALSE),"")</f>
        <v xml:space="preserve">UN    </v>
      </c>
      <c r="G393" s="302">
        <v>1</v>
      </c>
      <c r="H393" s="379">
        <f>IF($D393&lt;&gt;"",VLOOKUP($D393,'SINAPI FEVEREIRO 2022'!$1:$1048576,4,FALSE),"")</f>
        <v>103.84</v>
      </c>
      <c r="I393" s="398">
        <f>TRUNC(H393*G393,2)</f>
        <v>103.84</v>
      </c>
    </row>
    <row r="394" spans="1:9" s="160" customFormat="1">
      <c r="A394" s="159"/>
      <c r="B394" s="94"/>
      <c r="C394" s="94"/>
      <c r="D394" s="177"/>
      <c r="E394" s="172"/>
      <c r="F394" s="173"/>
      <c r="G394" s="312"/>
      <c r="H394" s="379"/>
      <c r="I394" s="406"/>
    </row>
    <row r="395" spans="1:9" s="160" customFormat="1">
      <c r="A395" s="159"/>
      <c r="B395" s="183" t="s">
        <v>5520</v>
      </c>
      <c r="C395" s="185"/>
      <c r="D395" s="185"/>
      <c r="E395" s="186" t="s">
        <v>13299</v>
      </c>
      <c r="F395" s="185" t="s">
        <v>24</v>
      </c>
      <c r="G395" s="313">
        <v>1</v>
      </c>
      <c r="H395" s="389"/>
      <c r="I395" s="396">
        <f>TRUNC(SUM(I396:I398),2)</f>
        <v>117.72</v>
      </c>
    </row>
    <row r="396" spans="1:9" ht="24.75" customHeight="1">
      <c r="B396" s="329" t="s">
        <v>4563</v>
      </c>
      <c r="C396" s="329" t="s">
        <v>6</v>
      </c>
      <c r="D396" s="330">
        <v>88247</v>
      </c>
      <c r="E396" s="172" t="str">
        <f>IF($D396&lt;&gt;"",VLOOKUP($D396,'SINAPI FEVEREIRO 2022'!$1:$1048576,2,FALSE),"")</f>
        <v>AUXILIAR DE ELETRICISTA COM ENCARGOS COMPLEMENTARES</v>
      </c>
      <c r="F396" s="173" t="str">
        <f>IF($D396&lt;&gt;"",VLOOKUP($D396,'SINAPI FEVEREIRO 2022'!$1:$1048576,3,FALSE),"")</f>
        <v>H</v>
      </c>
      <c r="G396" s="599">
        <v>0.4</v>
      </c>
      <c r="H396" s="379">
        <f>IF($D396&lt;&gt;"",VLOOKUP($D396,'SINAPI FEVEREIRO 2022'!$1:$1048576,4,FALSE),"")</f>
        <v>15.19</v>
      </c>
      <c r="I396" s="398">
        <f>TRUNC(H396*G396,2)</f>
        <v>6.07</v>
      </c>
    </row>
    <row r="397" spans="1:9" ht="24.75" customHeight="1">
      <c r="B397" s="329" t="s">
        <v>4563</v>
      </c>
      <c r="C397" s="329" t="s">
        <v>6</v>
      </c>
      <c r="D397" s="330">
        <v>88264</v>
      </c>
      <c r="E397" s="172" t="str">
        <f>IF($D397&lt;&gt;"",VLOOKUP($D397,'SINAPI FEVEREIRO 2022'!$1:$1048576,2,FALSE),"")</f>
        <v>ELETRICISTA COM ENCARGOS COMPLEMENTARES</v>
      </c>
      <c r="F397" s="173" t="str">
        <f>IF($D397&lt;&gt;"",VLOOKUP($D397,'SINAPI FEVEREIRO 2022'!$1:$1048576,3,FALSE),"")</f>
        <v>H</v>
      </c>
      <c r="G397" s="451">
        <v>0.4</v>
      </c>
      <c r="H397" s="379">
        <f>IF($D397&lt;&gt;"",VLOOKUP($D397,'SINAPI FEVEREIRO 2022'!$1:$1048576,4,FALSE),"")</f>
        <v>19.53</v>
      </c>
      <c r="I397" s="398">
        <f>TRUNC(H397*G397,2)</f>
        <v>7.81</v>
      </c>
    </row>
    <row r="398" spans="1:9" ht="24.75" customHeight="1">
      <c r="B398" s="329" t="s">
        <v>546</v>
      </c>
      <c r="C398" s="329" t="s">
        <v>6</v>
      </c>
      <c r="D398" s="330">
        <v>39467</v>
      </c>
      <c r="E398" s="172" t="str">
        <f>IF($D398&lt;&gt;"",VLOOKUP($D398,'SINAPI FEVEREIRO 2022'!$1:$1048576,2,FALSE),"")</f>
        <v>DISPOSITIVO DPS CLASSE II, 1 POLO, TENSAO MAXIMA DE 175 V, CORRENTE MAXIMA DE *45* KA (TIPO AC)</v>
      </c>
      <c r="F398" s="173" t="str">
        <f>IF($D398&lt;&gt;"",VLOOKUP($D398,'SINAPI FEVEREIRO 2022'!$1:$1048576,3,FALSE),"")</f>
        <v xml:space="preserve">UN    </v>
      </c>
      <c r="G398" s="451">
        <v>1</v>
      </c>
      <c r="H398" s="379">
        <f>IF($D398&lt;&gt;"",VLOOKUP($D398,'SINAPI FEVEREIRO 2022'!$1:$1048576,4,FALSE),"")</f>
        <v>103.84</v>
      </c>
      <c r="I398" s="398">
        <f>TRUNC(H398*G398,2)</f>
        <v>103.84</v>
      </c>
    </row>
    <row r="399" spans="1:9" s="160" customFormat="1">
      <c r="A399" s="159"/>
      <c r="B399" s="329"/>
      <c r="C399" s="329"/>
      <c r="D399" s="330"/>
      <c r="E399" s="172"/>
      <c r="F399" s="173"/>
      <c r="G399" s="310"/>
      <c r="H399" s="379"/>
      <c r="I399" s="398"/>
    </row>
    <row r="400" spans="1:9" s="160" customFormat="1">
      <c r="A400" s="159"/>
      <c r="B400" s="183" t="s">
        <v>5521</v>
      </c>
      <c r="C400" s="185"/>
      <c r="D400" s="185"/>
      <c r="E400" s="186" t="s">
        <v>5518</v>
      </c>
      <c r="F400" s="185" t="s">
        <v>24</v>
      </c>
      <c r="G400" s="313">
        <v>1</v>
      </c>
      <c r="H400" s="389"/>
      <c r="I400" s="396">
        <f>TRUNC(SUM(I401:I403),2)</f>
        <v>432.98</v>
      </c>
    </row>
    <row r="401" spans="2:9" ht="24.75" customHeight="1">
      <c r="B401" s="329" t="s">
        <v>4563</v>
      </c>
      <c r="C401" s="329" t="s">
        <v>6</v>
      </c>
      <c r="D401" s="330">
        <v>88247</v>
      </c>
      <c r="E401" s="172" t="str">
        <f>IF($D401&lt;&gt;"",VLOOKUP($D401,'SINAPI FEVEREIRO 2022'!$1:$1048576,2,FALSE),"")</f>
        <v>AUXILIAR DE ELETRICISTA COM ENCARGOS COMPLEMENTARES</v>
      </c>
      <c r="F401" s="173" t="str">
        <f>IF($D401&lt;&gt;"",VLOOKUP($D401,'SINAPI FEVEREIRO 2022'!$1:$1048576,3,FALSE),"")</f>
        <v>H</v>
      </c>
      <c r="G401" s="302">
        <v>0.4</v>
      </c>
      <c r="H401" s="379">
        <f>IF($D401&lt;&gt;"",VLOOKUP($D401,'SINAPI FEVEREIRO 2022'!$1:$1048576,4,FALSE),"")</f>
        <v>15.19</v>
      </c>
      <c r="I401" s="398">
        <f>TRUNC(H401*G401,2)</f>
        <v>6.07</v>
      </c>
    </row>
    <row r="402" spans="2:9" ht="24.75" customHeight="1">
      <c r="B402" s="329" t="s">
        <v>4563</v>
      </c>
      <c r="C402" s="329" t="s">
        <v>6</v>
      </c>
      <c r="D402" s="330">
        <v>88264</v>
      </c>
      <c r="E402" s="172" t="str">
        <f>IF($D402&lt;&gt;"",VLOOKUP($D402,'SINAPI FEVEREIRO 2022'!$1:$1048576,2,FALSE),"")</f>
        <v>ELETRICISTA COM ENCARGOS COMPLEMENTARES</v>
      </c>
      <c r="F402" s="173" t="str">
        <f>IF($D402&lt;&gt;"",VLOOKUP($D402,'SINAPI FEVEREIRO 2022'!$1:$1048576,3,FALSE),"")</f>
        <v>H</v>
      </c>
      <c r="G402" s="302">
        <v>0.4</v>
      </c>
      <c r="H402" s="379">
        <f>IF($D402&lt;&gt;"",VLOOKUP($D402,'SINAPI FEVEREIRO 2022'!$1:$1048576,4,FALSE),"")</f>
        <v>19.53</v>
      </c>
      <c r="I402" s="398">
        <f>TRUNC(H402*G402,2)</f>
        <v>7.81</v>
      </c>
    </row>
    <row r="403" spans="2:9" ht="24.75" customHeight="1">
      <c r="B403" s="329" t="s">
        <v>546</v>
      </c>
      <c r="C403" s="329" t="s">
        <v>6</v>
      </c>
      <c r="D403" s="330">
        <v>2374</v>
      </c>
      <c r="E403" s="172" t="str">
        <f>IF($D403&lt;&gt;"",VLOOKUP($D403,'SINAPI FEVEREIRO 2022'!$1:$1048576,2,FALSE),"")</f>
        <v>DISJUNTOR TERMOMAGNETICO TRIPOLAR 150 A / 600 V, TIPO FXD / ICC - 35 KA</v>
      </c>
      <c r="F403" s="173" t="str">
        <f>IF($D403&lt;&gt;"",VLOOKUP($D403,'SINAPI FEVEREIRO 2022'!$1:$1048576,3,FALSE),"")</f>
        <v xml:space="preserve">UN    </v>
      </c>
      <c r="G403" s="302">
        <v>1</v>
      </c>
      <c r="H403" s="379">
        <f>IF($D403&lt;&gt;"",VLOOKUP($D403,'SINAPI FEVEREIRO 2022'!$1:$1048576,4,FALSE),"")</f>
        <v>419.1</v>
      </c>
      <c r="I403" s="398">
        <f>TRUNC(H403*G403,2)</f>
        <v>419.1</v>
      </c>
    </row>
    <row r="404" spans="2:9" s="160" customFormat="1" ht="24.75" customHeight="1">
      <c r="B404" s="329"/>
      <c r="C404" s="329"/>
      <c r="D404" s="330"/>
      <c r="E404" s="172"/>
      <c r="F404" s="173"/>
      <c r="G404" s="302"/>
      <c r="H404" s="379"/>
      <c r="I404" s="398"/>
    </row>
    <row r="405" spans="2:9" s="160" customFormat="1" ht="24.75" customHeight="1">
      <c r="B405" s="183" t="s">
        <v>7393</v>
      </c>
      <c r="C405" s="185"/>
      <c r="D405" s="185"/>
      <c r="E405" s="186" t="s">
        <v>7394</v>
      </c>
      <c r="F405" s="185" t="s">
        <v>24</v>
      </c>
      <c r="G405" s="313">
        <v>1</v>
      </c>
      <c r="H405" s="389"/>
      <c r="I405" s="396">
        <f>TRUNC(SUM(I406:I409),2)</f>
        <v>1344.51</v>
      </c>
    </row>
    <row r="406" spans="2:9" s="160" customFormat="1" ht="24.75" customHeight="1">
      <c r="B406" s="329" t="s">
        <v>4563</v>
      </c>
      <c r="C406" s="329" t="s">
        <v>6</v>
      </c>
      <c r="D406" s="330">
        <v>88247</v>
      </c>
      <c r="E406" s="172" t="str">
        <f>IF($D406&lt;&gt;"",VLOOKUP($D406,'SINAPI FEVEREIRO 2022'!$1:$1048576,2,FALSE),"")</f>
        <v>AUXILIAR DE ELETRICISTA COM ENCARGOS COMPLEMENTARES</v>
      </c>
      <c r="F406" s="173" t="str">
        <f>IF($D406&lt;&gt;"",VLOOKUP($D406,'SINAPI FEVEREIRO 2022'!$1:$1048576,3,FALSE),"")</f>
        <v>H</v>
      </c>
      <c r="G406" s="599">
        <v>2</v>
      </c>
      <c r="H406" s="379">
        <f>IF($D406&lt;&gt;"",VLOOKUP($D406,'SINAPI FEVEREIRO 2022'!$1:$1048576,4,FALSE),"")</f>
        <v>15.19</v>
      </c>
      <c r="I406" s="398">
        <f>TRUNC(H406*G406,2)</f>
        <v>30.38</v>
      </c>
    </row>
    <row r="407" spans="2:9" s="160" customFormat="1" ht="24.75" customHeight="1">
      <c r="B407" s="329" t="s">
        <v>4563</v>
      </c>
      <c r="C407" s="329" t="s">
        <v>6</v>
      </c>
      <c r="D407" s="330">
        <v>88264</v>
      </c>
      <c r="E407" s="172" t="str">
        <f>IF($D407&lt;&gt;"",VLOOKUP($D407,'SINAPI FEVEREIRO 2022'!$1:$1048576,2,FALSE),"")</f>
        <v>ELETRICISTA COM ENCARGOS COMPLEMENTARES</v>
      </c>
      <c r="F407" s="173" t="str">
        <f>IF($D407&lt;&gt;"",VLOOKUP($D407,'SINAPI FEVEREIRO 2022'!$1:$1048576,3,FALSE),"")</f>
        <v>H</v>
      </c>
      <c r="G407" s="451">
        <v>2</v>
      </c>
      <c r="H407" s="379">
        <f>IF($D407&lt;&gt;"",VLOOKUP($D407,'SINAPI FEVEREIRO 2022'!$1:$1048576,4,FALSE),"")</f>
        <v>19.53</v>
      </c>
      <c r="I407" s="398">
        <f>TRUNC(H407*G407,2)</f>
        <v>39.06</v>
      </c>
    </row>
    <row r="408" spans="2:9" s="160" customFormat="1" ht="24.75" customHeight="1">
      <c r="B408" s="329" t="s">
        <v>4563</v>
      </c>
      <c r="C408" s="329" t="s">
        <v>6</v>
      </c>
      <c r="D408" s="330">
        <v>87367</v>
      </c>
      <c r="E408" s="172" t="str">
        <f>IF($D408&lt;&gt;"",VLOOKUP($D408,'SINAPI FEVEREIRO 2022'!$1:$1048576,2,FALSE),"")</f>
        <v>ARGAMASSA TRAÇO 1:1:6 (EM VOLUME DE CIMENTO, CAL E AREIA MÉDIA ÚMIDA) PARA EMBOÇO/MASSA ÚNICA/ASSENTAMENTO DE ALVENARIA DE VEDAÇÃO, PREPARO MANUAL. AF_08/2019</v>
      </c>
      <c r="F408" s="173" t="str">
        <f>IF($D408&lt;&gt;"",VLOOKUP($D408,'SINAPI FEVEREIRO 2022'!$1:$1048576,3,FALSE),"")</f>
        <v>M3</v>
      </c>
      <c r="G408" s="451">
        <v>0.02</v>
      </c>
      <c r="H408" s="379">
        <f>IF($D408&lt;&gt;"",VLOOKUP($D408,'SINAPI FEVEREIRO 2022'!$1:$1048576,4,FALSE),"")</f>
        <v>554.6</v>
      </c>
      <c r="I408" s="398">
        <f>TRUNC(H408*G408,2)</f>
        <v>11.09</v>
      </c>
    </row>
    <row r="409" spans="2:9" s="160" customFormat="1" ht="24.75" customHeight="1">
      <c r="B409" s="329" t="s">
        <v>546</v>
      </c>
      <c r="C409" s="329" t="s">
        <v>6</v>
      </c>
      <c r="D409" s="330">
        <v>39763</v>
      </c>
      <c r="E409" s="172" t="str">
        <f>IF($D409&lt;&gt;"",VLOOKUP($D409,'SINAPI FEVEREIRO 2022'!$1:$1048576,2,FALSE),"")</f>
        <v>QUADRO DE DISTRIBUICAO COM BARRAMENTO TRIFASICO, DE EMBUTIR, EM CHAPA DE ACO GALVANIZADO, PARA 48 DISJUNTORES DIN, 100 A</v>
      </c>
      <c r="F409" s="173" t="str">
        <f>IF($D409&lt;&gt;"",VLOOKUP($D409,'SINAPI FEVEREIRO 2022'!$1:$1048576,3,FALSE),"")</f>
        <v xml:space="preserve">UN    </v>
      </c>
      <c r="G409" s="451">
        <v>1</v>
      </c>
      <c r="H409" s="379">
        <f>IF($D409&lt;&gt;"",VLOOKUP($D409,'SINAPI FEVEREIRO 2022'!$1:$1048576,4,FALSE),"")</f>
        <v>1263.98</v>
      </c>
      <c r="I409" s="398">
        <f>TRUNC(H409*G409,2)</f>
        <v>1263.98</v>
      </c>
    </row>
    <row r="410" spans="2:9" s="160" customFormat="1" ht="24.75" customHeight="1">
      <c r="B410" s="329"/>
      <c r="C410" s="329"/>
      <c r="D410" s="330"/>
      <c r="E410" s="172"/>
      <c r="F410" s="173"/>
      <c r="G410" s="302"/>
      <c r="H410" s="379"/>
      <c r="I410" s="398"/>
    </row>
    <row r="411" spans="2:9" s="160" customFormat="1" ht="24.75" customHeight="1">
      <c r="B411" s="183" t="s">
        <v>7385</v>
      </c>
      <c r="C411" s="185"/>
      <c r="D411" s="185"/>
      <c r="E411" s="186" t="s">
        <v>7386</v>
      </c>
      <c r="F411" s="185" t="s">
        <v>24</v>
      </c>
      <c r="G411" s="313">
        <v>1</v>
      </c>
      <c r="H411" s="389"/>
      <c r="I411" s="396">
        <f>TRUNC(SUM(I412:I414),2)</f>
        <v>116.99</v>
      </c>
    </row>
    <row r="412" spans="2:9" s="160" customFormat="1" ht="24.75" customHeight="1">
      <c r="B412" s="591" t="s">
        <v>548</v>
      </c>
      <c r="C412" s="93" t="s">
        <v>6</v>
      </c>
      <c r="D412" s="93">
        <v>88247</v>
      </c>
      <c r="E412" s="172" t="str">
        <f>IF($D412&lt;&gt;"",VLOOKUP($D412,'SINAPI FEVEREIRO 2022'!$1:$1048576,2,FALSE),"")</f>
        <v>AUXILIAR DE ELETRICISTA COM ENCARGOS COMPLEMENTARES</v>
      </c>
      <c r="F412" s="173" t="str">
        <f>IF($D412&lt;&gt;"",VLOOKUP($D412,'SINAPI FEVEREIRO 2022'!$1:$1048576,3,FALSE),"")</f>
        <v>H</v>
      </c>
      <c r="G412" s="599">
        <v>0.42</v>
      </c>
      <c r="H412" s="379">
        <f>IF($D412&lt;&gt;"",VLOOKUP($D412,'SINAPI FEVEREIRO 2022'!$1:$1048576,4,FALSE),"")</f>
        <v>15.19</v>
      </c>
      <c r="I412" s="398">
        <f>TRUNC(H412*G412,2)</f>
        <v>6.37</v>
      </c>
    </row>
    <row r="413" spans="2:9" s="160" customFormat="1" ht="24.75" customHeight="1">
      <c r="B413" s="591" t="s">
        <v>548</v>
      </c>
      <c r="C413" s="93" t="s">
        <v>6</v>
      </c>
      <c r="D413" s="93">
        <v>88264</v>
      </c>
      <c r="E413" s="172" t="str">
        <f>IF($D413&lt;&gt;"",VLOOKUP($D413,'SINAPI FEVEREIRO 2022'!$1:$1048576,2,FALSE),"")</f>
        <v>ELETRICISTA COM ENCARGOS COMPLEMENTARES</v>
      </c>
      <c r="F413" s="173" t="str">
        <f>IF($D413&lt;&gt;"",VLOOKUP($D413,'SINAPI FEVEREIRO 2022'!$1:$1048576,3,FALSE),"")</f>
        <v>H</v>
      </c>
      <c r="G413" s="451">
        <v>0.42</v>
      </c>
      <c r="H413" s="379">
        <f>IF($D413&lt;&gt;"",VLOOKUP($D413,'SINAPI FEVEREIRO 2022'!$1:$1048576,4,FALSE),"")</f>
        <v>19.53</v>
      </c>
      <c r="I413" s="398">
        <f>TRUNC(H413*G413,2)</f>
        <v>8.1999999999999993</v>
      </c>
    </row>
    <row r="414" spans="2:9" s="160" customFormat="1" ht="24.75" customHeight="1">
      <c r="B414" s="591" t="s">
        <v>546</v>
      </c>
      <c r="C414" s="93" t="s">
        <v>547</v>
      </c>
      <c r="D414" s="93"/>
      <c r="E414" s="172" t="s">
        <v>7386</v>
      </c>
      <c r="F414" s="173" t="s">
        <v>24</v>
      </c>
      <c r="G414" s="451">
        <v>1</v>
      </c>
      <c r="H414" s="379">
        <v>102.42</v>
      </c>
      <c r="I414" s="398">
        <f>TRUNC(H414*G414,2)</f>
        <v>102.42</v>
      </c>
    </row>
    <row r="415" spans="2:9" s="160" customFormat="1" ht="24.75" customHeight="1">
      <c r="B415" s="93"/>
      <c r="C415" s="93"/>
      <c r="D415" s="178"/>
      <c r="E415" s="172"/>
      <c r="F415" s="173"/>
      <c r="G415" s="302"/>
      <c r="H415" s="379"/>
      <c r="I415" s="398"/>
    </row>
    <row r="416" spans="2:9" s="160" customFormat="1" ht="24.75" customHeight="1">
      <c r="B416" s="183" t="s">
        <v>7389</v>
      </c>
      <c r="C416" s="185"/>
      <c r="D416" s="185"/>
      <c r="E416" s="186" t="s">
        <v>7388</v>
      </c>
      <c r="F416" s="185" t="s">
        <v>24</v>
      </c>
      <c r="G416" s="313">
        <v>1</v>
      </c>
      <c r="H416" s="389"/>
      <c r="I416" s="396">
        <f>TRUNC(SUM(I417:I419),2)</f>
        <v>159.61000000000001</v>
      </c>
    </row>
    <row r="417" spans="2:9" s="160" customFormat="1" ht="24.75" customHeight="1">
      <c r="B417" s="591" t="s">
        <v>548</v>
      </c>
      <c r="C417" s="93" t="s">
        <v>6</v>
      </c>
      <c r="D417" s="93">
        <v>88247</v>
      </c>
      <c r="E417" s="172" t="str">
        <f>IF($D417&lt;&gt;"",VLOOKUP($D417,'SINAPI FEVEREIRO 2022'!$1:$1048576,2,FALSE),"")</f>
        <v>AUXILIAR DE ELETRICISTA COM ENCARGOS COMPLEMENTARES</v>
      </c>
      <c r="F417" s="173" t="str">
        <f>IF($D417&lt;&gt;"",VLOOKUP($D417,'SINAPI FEVEREIRO 2022'!$1:$1048576,3,FALSE),"")</f>
        <v>H</v>
      </c>
      <c r="G417" s="302">
        <v>0.42</v>
      </c>
      <c r="H417" s="379">
        <f>IF($D417&lt;&gt;"",VLOOKUP($D417,'SINAPI FEVEREIRO 2022'!$1:$1048576,4,FALSE),"")</f>
        <v>15.19</v>
      </c>
      <c r="I417" s="398">
        <f>TRUNC(H417*G417,2)</f>
        <v>6.37</v>
      </c>
    </row>
    <row r="418" spans="2:9" s="160" customFormat="1" ht="24.75" customHeight="1">
      <c r="B418" s="591" t="s">
        <v>548</v>
      </c>
      <c r="C418" s="93" t="s">
        <v>6</v>
      </c>
      <c r="D418" s="93">
        <v>88264</v>
      </c>
      <c r="E418" s="172" t="str">
        <f>IF($D418&lt;&gt;"",VLOOKUP($D418,'SINAPI FEVEREIRO 2022'!$1:$1048576,2,FALSE),"")</f>
        <v>ELETRICISTA COM ENCARGOS COMPLEMENTARES</v>
      </c>
      <c r="F418" s="173" t="str">
        <f>IF($D418&lt;&gt;"",VLOOKUP($D418,'SINAPI FEVEREIRO 2022'!$1:$1048576,3,FALSE),"")</f>
        <v>H</v>
      </c>
      <c r="G418" s="302">
        <v>0.42</v>
      </c>
      <c r="H418" s="379">
        <f>IF($D418&lt;&gt;"",VLOOKUP($D418,'SINAPI FEVEREIRO 2022'!$1:$1048576,4,FALSE),"")</f>
        <v>19.53</v>
      </c>
      <c r="I418" s="398">
        <f>TRUNC(H418*G418,2)</f>
        <v>8.1999999999999993</v>
      </c>
    </row>
    <row r="419" spans="2:9" s="160" customFormat="1" ht="24.75" customHeight="1">
      <c r="B419" s="591" t="s">
        <v>546</v>
      </c>
      <c r="C419" s="93" t="s">
        <v>547</v>
      </c>
      <c r="D419" s="93"/>
      <c r="E419" s="172" t="s">
        <v>7388</v>
      </c>
      <c r="F419" s="326" t="s">
        <v>24</v>
      </c>
      <c r="G419" s="302">
        <v>1</v>
      </c>
      <c r="H419" s="379">
        <v>145.04</v>
      </c>
      <c r="I419" s="398">
        <f>TRUNC(H419*G419,2)</f>
        <v>145.04</v>
      </c>
    </row>
    <row r="420" spans="2:9" s="160" customFormat="1">
      <c r="B420" s="93"/>
      <c r="C420" s="93"/>
      <c r="D420" s="178"/>
      <c r="E420" s="172"/>
      <c r="F420" s="173"/>
      <c r="G420" s="302"/>
      <c r="H420" s="379"/>
      <c r="I420" s="398"/>
    </row>
    <row r="421" spans="2:9" s="160" customFormat="1" ht="24.75" customHeight="1">
      <c r="B421" s="183" t="s">
        <v>7387</v>
      </c>
      <c r="C421" s="185"/>
      <c r="D421" s="185"/>
      <c r="E421" s="186" t="s">
        <v>7390</v>
      </c>
      <c r="F421" s="185" t="s">
        <v>24</v>
      </c>
      <c r="G421" s="313">
        <v>1</v>
      </c>
      <c r="H421" s="389"/>
      <c r="I421" s="396">
        <f>TRUNC(SUM(I422:I424),2)</f>
        <v>165.01</v>
      </c>
    </row>
    <row r="422" spans="2:9" s="160" customFormat="1" ht="24.75" customHeight="1">
      <c r="B422" s="591" t="s">
        <v>548</v>
      </c>
      <c r="C422" s="93" t="s">
        <v>6</v>
      </c>
      <c r="D422" s="93">
        <v>88247</v>
      </c>
      <c r="E422" s="172" t="str">
        <f>IF($D422&lt;&gt;"",VLOOKUP($D422,'SINAPI FEVEREIRO 2022'!$1:$1048576,2,FALSE),"")</f>
        <v>AUXILIAR DE ELETRICISTA COM ENCARGOS COMPLEMENTARES</v>
      </c>
      <c r="F422" s="173" t="str">
        <f>IF($D422&lt;&gt;"",VLOOKUP($D422,'SINAPI FEVEREIRO 2022'!$1:$1048576,3,FALSE),"")</f>
        <v>H</v>
      </c>
      <c r="G422" s="599">
        <v>0.4</v>
      </c>
      <c r="H422" s="379">
        <f>IF($D422&lt;&gt;"",VLOOKUP($D422,'SINAPI FEVEREIRO 2022'!$1:$1048576,4,FALSE),"")</f>
        <v>15.19</v>
      </c>
      <c r="I422" s="398">
        <f>TRUNC(H422*G422,2)</f>
        <v>6.07</v>
      </c>
    </row>
    <row r="423" spans="2:9" s="160" customFormat="1" ht="24.75" customHeight="1">
      <c r="B423" s="591" t="s">
        <v>548</v>
      </c>
      <c r="C423" s="93" t="s">
        <v>6</v>
      </c>
      <c r="D423" s="93">
        <v>88264</v>
      </c>
      <c r="E423" s="172" t="str">
        <f>IF($D423&lt;&gt;"",VLOOKUP($D423,'SINAPI FEVEREIRO 2022'!$1:$1048576,2,FALSE),"")</f>
        <v>ELETRICISTA COM ENCARGOS COMPLEMENTARES</v>
      </c>
      <c r="F423" s="173" t="str">
        <f>IF($D423&lt;&gt;"",VLOOKUP($D423,'SINAPI FEVEREIRO 2022'!$1:$1048576,3,FALSE),"")</f>
        <v>H</v>
      </c>
      <c r="G423" s="451">
        <v>0.4</v>
      </c>
      <c r="H423" s="379">
        <f>IF($D423&lt;&gt;"",VLOOKUP($D423,'SINAPI FEVEREIRO 2022'!$1:$1048576,4,FALSE),"")</f>
        <v>19.53</v>
      </c>
      <c r="I423" s="398">
        <f>TRUNC(H423*G423,2)</f>
        <v>7.81</v>
      </c>
    </row>
    <row r="424" spans="2:9" s="160" customFormat="1" ht="24.75" customHeight="1">
      <c r="B424" s="591" t="s">
        <v>546</v>
      </c>
      <c r="C424" s="93" t="s">
        <v>6</v>
      </c>
      <c r="D424" s="93">
        <v>39446</v>
      </c>
      <c r="E424" s="172" t="s">
        <v>7386</v>
      </c>
      <c r="F424" s="173" t="str">
        <f>IF($D424&lt;&gt;"",VLOOKUP($D424,'SINAPI FEVEREIRO 2022'!$1:$1048576,3,FALSE),"")</f>
        <v xml:space="preserve">UN    </v>
      </c>
      <c r="G424" s="451">
        <v>1</v>
      </c>
      <c r="H424" s="379">
        <f>IF($D424&lt;&gt;"",VLOOKUP($D424,'SINAPI FEVEREIRO 2022'!$1:$1048576,4,FALSE),"")</f>
        <v>151.13</v>
      </c>
      <c r="I424" s="398">
        <f>TRUNC(H424*G424,2)</f>
        <v>151.13</v>
      </c>
    </row>
    <row r="425" spans="2:9" s="160" customFormat="1" ht="24.75" customHeight="1">
      <c r="B425" s="368"/>
      <c r="C425" s="93"/>
      <c r="D425" s="93"/>
      <c r="E425" s="172"/>
      <c r="F425" s="173"/>
      <c r="G425" s="451"/>
      <c r="H425" s="379"/>
      <c r="I425" s="398"/>
    </row>
    <row r="426" spans="2:9" s="160" customFormat="1" ht="24.75" customHeight="1">
      <c r="B426" s="183" t="s">
        <v>13297</v>
      </c>
      <c r="C426" s="185"/>
      <c r="D426" s="185"/>
      <c r="E426" s="186" t="s">
        <v>13301</v>
      </c>
      <c r="F426" s="185" t="s">
        <v>24</v>
      </c>
      <c r="G426" s="313">
        <v>1</v>
      </c>
      <c r="H426" s="389"/>
      <c r="I426" s="396">
        <f>TRUNC(SUM(I427:I429),2)</f>
        <v>315.72000000000003</v>
      </c>
    </row>
    <row r="427" spans="2:9" s="160" customFormat="1" ht="24.75" customHeight="1">
      <c r="B427" s="591" t="s">
        <v>548</v>
      </c>
      <c r="C427" s="93" t="s">
        <v>6</v>
      </c>
      <c r="D427" s="178">
        <v>88247</v>
      </c>
      <c r="E427" s="172" t="str">
        <f>IF($D427&lt;&gt;"",VLOOKUP($D427,'SINAPI FEVEREIRO 2022'!$1:$1048576,2,FALSE),"")</f>
        <v>AUXILIAR DE ELETRICISTA COM ENCARGOS COMPLEMENTARES</v>
      </c>
      <c r="F427" s="173" t="str">
        <f>IF($D427&lt;&gt;"",VLOOKUP($D427,'SINAPI FEVEREIRO 2022'!$1:$1048576,3,FALSE),"")</f>
        <v>H</v>
      </c>
      <c r="G427" s="599">
        <v>1</v>
      </c>
      <c r="H427" s="379">
        <f>IF($D427&lt;&gt;"",VLOOKUP($D427,'SINAPI FEVEREIRO 2022'!$1:$1048576,4,FALSE),"")</f>
        <v>15.19</v>
      </c>
      <c r="I427" s="398">
        <f>TRUNC(H427*G427,2)</f>
        <v>15.19</v>
      </c>
    </row>
    <row r="428" spans="2:9" s="160" customFormat="1" ht="24.75" customHeight="1">
      <c r="B428" s="591" t="s">
        <v>548</v>
      </c>
      <c r="C428" s="93" t="s">
        <v>6</v>
      </c>
      <c r="D428" s="177">
        <v>88264</v>
      </c>
      <c r="E428" s="172" t="str">
        <f>IF($D428&lt;&gt;"",VLOOKUP($D428,'SINAPI FEVEREIRO 2022'!$1:$1048576,2,FALSE),"")</f>
        <v>ELETRICISTA COM ENCARGOS COMPLEMENTARES</v>
      </c>
      <c r="F428" s="173" t="str">
        <f>IF($D428&lt;&gt;"",VLOOKUP($D428,'SINAPI FEVEREIRO 2022'!$1:$1048576,3,FALSE),"")</f>
        <v>H</v>
      </c>
      <c r="G428" s="451">
        <v>1</v>
      </c>
      <c r="H428" s="379">
        <f>IF($D428&lt;&gt;"",VLOOKUP($D428,'SINAPI FEVEREIRO 2022'!$1:$1048576,4,FALSE),"")</f>
        <v>19.53</v>
      </c>
      <c r="I428" s="398">
        <f>TRUNC(H428*G428,2)</f>
        <v>19.53</v>
      </c>
    </row>
    <row r="429" spans="2:9" s="160" customFormat="1" ht="24.75" customHeight="1">
      <c r="B429" s="591" t="s">
        <v>546</v>
      </c>
      <c r="C429" s="93" t="s">
        <v>547</v>
      </c>
      <c r="D429" s="177"/>
      <c r="E429" s="172" t="s">
        <v>13302</v>
      </c>
      <c r="F429" s="173" t="s">
        <v>24</v>
      </c>
      <c r="G429" s="451">
        <v>1</v>
      </c>
      <c r="H429" s="379">
        <v>281</v>
      </c>
      <c r="I429" s="398">
        <f>TRUNC(H429*G429,2)</f>
        <v>281</v>
      </c>
    </row>
    <row r="430" spans="2:9" s="160" customFormat="1">
      <c r="B430" s="368"/>
      <c r="C430" s="93"/>
      <c r="D430" s="93"/>
      <c r="E430" s="172"/>
      <c r="F430" s="173"/>
      <c r="G430" s="451"/>
      <c r="H430" s="379"/>
      <c r="I430" s="398"/>
    </row>
    <row r="431" spans="2:9" s="160" customFormat="1">
      <c r="B431" s="183" t="s">
        <v>13300</v>
      </c>
      <c r="C431" s="185"/>
      <c r="D431" s="185"/>
      <c r="E431" s="186" t="s">
        <v>13298</v>
      </c>
      <c r="F431" s="185" t="s">
        <v>24</v>
      </c>
      <c r="G431" s="313">
        <v>1</v>
      </c>
      <c r="H431" s="389"/>
      <c r="I431" s="396">
        <f>TRUNC(SUM(I432),2)</f>
        <v>624.17999999999995</v>
      </c>
    </row>
    <row r="432" spans="2:9" s="160" customFormat="1" ht="25.5">
      <c r="B432" s="591" t="s">
        <v>548</v>
      </c>
      <c r="C432" s="93" t="s">
        <v>6</v>
      </c>
      <c r="D432" s="93">
        <v>102113</v>
      </c>
      <c r="E432" s="172" t="str">
        <f>IF($D432&lt;&gt;"",VLOOKUP($D432,'SINAPI FEVEREIRO 2022'!$1:$1048576,2,FALSE),"")</f>
        <v>BOMBA CENTRÍFUGA, TRIFÁSICA, 1 CV OU 0,99 HP, HM 14 A 40 M, Q 0,6 A 8,4 M3/H - FORNECIMENTO E INSTALAÇÃO. AF_12/2020</v>
      </c>
      <c r="F432" s="173" t="str">
        <f>IF($D432&lt;&gt;"",VLOOKUP($D432,'SINAPI FEVEREIRO 2022'!$1:$1048576,3,FALSE),"")</f>
        <v>UN</v>
      </c>
      <c r="G432" s="599">
        <v>0.5</v>
      </c>
      <c r="H432" s="379">
        <f>IF($D432&lt;&gt;"",VLOOKUP($D432,'SINAPI FEVEREIRO 2022'!$1:$1048576,4,FALSE),"")</f>
        <v>1248.3699999999999</v>
      </c>
      <c r="I432" s="398">
        <f>TRUNC(H432*G432,2)</f>
        <v>624.17999999999995</v>
      </c>
    </row>
    <row r="433" spans="2:9" s="160" customFormat="1" ht="24.75" customHeight="1">
      <c r="B433" s="368"/>
      <c r="C433" s="93"/>
      <c r="D433" s="93"/>
      <c r="E433" s="172"/>
      <c r="F433" s="173"/>
      <c r="G433" s="599"/>
      <c r="H433" s="379"/>
      <c r="I433" s="398"/>
    </row>
    <row r="434" spans="2:9" s="160" customFormat="1" ht="24.75" customHeight="1">
      <c r="B434" s="969" t="s">
        <v>13305</v>
      </c>
      <c r="C434" s="970"/>
      <c r="D434" s="970"/>
      <c r="E434" s="970"/>
      <c r="F434" s="970"/>
      <c r="G434" s="970"/>
      <c r="H434" s="970"/>
      <c r="I434" s="971"/>
    </row>
    <row r="435" spans="2:9" s="160" customFormat="1" ht="24.75" customHeight="1">
      <c r="B435" s="368"/>
      <c r="C435" s="93"/>
      <c r="D435" s="93"/>
      <c r="E435" s="172"/>
      <c r="F435" s="173"/>
      <c r="G435" s="599"/>
      <c r="H435" s="379"/>
      <c r="I435" s="398"/>
    </row>
    <row r="436" spans="2:9" s="160" customFormat="1" ht="24.75" customHeight="1">
      <c r="B436" s="183" t="s">
        <v>13306</v>
      </c>
      <c r="C436" s="185"/>
      <c r="D436" s="185"/>
      <c r="E436" s="186" t="s">
        <v>13307</v>
      </c>
      <c r="F436" s="185" t="s">
        <v>24</v>
      </c>
      <c r="G436" s="313">
        <v>1</v>
      </c>
      <c r="H436" s="389"/>
      <c r="I436" s="396">
        <f>TRUNC(SUM(I437:I439),2)</f>
        <v>3784.72</v>
      </c>
    </row>
    <row r="437" spans="2:9" s="160" customFormat="1" ht="24.75" customHeight="1">
      <c r="B437" s="591" t="s">
        <v>548</v>
      </c>
      <c r="C437" s="93" t="s">
        <v>6</v>
      </c>
      <c r="D437" s="178">
        <v>88247</v>
      </c>
      <c r="E437" s="172" t="str">
        <f>IF($D437&lt;&gt;"",VLOOKUP($D437,'SINAPI FEVEREIRO 2022'!$1:$1048576,2,FALSE),"")</f>
        <v>AUXILIAR DE ELETRICISTA COM ENCARGOS COMPLEMENTARES</v>
      </c>
      <c r="F437" s="173" t="str">
        <f>IF($D437&lt;&gt;"",VLOOKUP($D437,'SINAPI FEVEREIRO 2022'!$1:$1048576,3,FALSE),"")</f>
        <v>H</v>
      </c>
      <c r="G437" s="599">
        <v>1</v>
      </c>
      <c r="H437" s="379">
        <f>IF($D437&lt;&gt;"",VLOOKUP($D437,'SINAPI FEVEREIRO 2022'!$1:$1048576,4,FALSE),"")</f>
        <v>15.19</v>
      </c>
      <c r="I437" s="398">
        <f>TRUNC(H437*G437,2)</f>
        <v>15.19</v>
      </c>
    </row>
    <row r="438" spans="2:9" s="160" customFormat="1" ht="24.75" customHeight="1">
      <c r="B438" s="591" t="s">
        <v>548</v>
      </c>
      <c r="C438" s="93" t="s">
        <v>6</v>
      </c>
      <c r="D438" s="177">
        <v>88264</v>
      </c>
      <c r="E438" s="172" t="str">
        <f>IF($D438&lt;&gt;"",VLOOKUP($D438,'SINAPI FEVEREIRO 2022'!$1:$1048576,2,FALSE),"")</f>
        <v>ELETRICISTA COM ENCARGOS COMPLEMENTARES</v>
      </c>
      <c r="F438" s="173" t="str">
        <f>IF($D438&lt;&gt;"",VLOOKUP($D438,'SINAPI FEVEREIRO 2022'!$1:$1048576,3,FALSE),"")</f>
        <v>H</v>
      </c>
      <c r="G438" s="599">
        <v>1</v>
      </c>
      <c r="H438" s="379">
        <f>IF($D438&lt;&gt;"",VLOOKUP($D438,'SINAPI FEVEREIRO 2022'!$1:$1048576,4,FALSE),"")</f>
        <v>19.53</v>
      </c>
      <c r="I438" s="398">
        <f t="shared" ref="I438:I439" si="53">TRUNC(H438*G438,2)</f>
        <v>19.53</v>
      </c>
    </row>
    <row r="439" spans="2:9" s="160" customFormat="1" ht="24.75" customHeight="1">
      <c r="B439" s="591" t="s">
        <v>548</v>
      </c>
      <c r="C439" s="93" t="s">
        <v>547</v>
      </c>
      <c r="D439" s="177"/>
      <c r="E439" s="172" t="s">
        <v>13307</v>
      </c>
      <c r="F439" s="173" t="s">
        <v>24</v>
      </c>
      <c r="G439" s="599">
        <v>1</v>
      </c>
      <c r="H439" s="379">
        <v>3750</v>
      </c>
      <c r="I439" s="398">
        <f t="shared" si="53"/>
        <v>3750</v>
      </c>
    </row>
    <row r="440" spans="2:9" s="160" customFormat="1" ht="24.75" customHeight="1">
      <c r="B440" s="368"/>
      <c r="C440" s="93"/>
      <c r="D440" s="93"/>
      <c r="E440" s="172"/>
      <c r="F440" s="173"/>
      <c r="G440" s="599"/>
      <c r="H440" s="379"/>
      <c r="I440" s="398"/>
    </row>
    <row r="441" spans="2:9" s="160" customFormat="1" ht="24.75" customHeight="1">
      <c r="B441" s="183" t="s">
        <v>13308</v>
      </c>
      <c r="C441" s="185"/>
      <c r="D441" s="185"/>
      <c r="E441" s="186" t="s">
        <v>13309</v>
      </c>
      <c r="F441" s="185" t="s">
        <v>24</v>
      </c>
      <c r="G441" s="313">
        <v>1</v>
      </c>
      <c r="H441" s="389"/>
      <c r="I441" s="396">
        <f>TRUNC(SUM(I442:I444),2)</f>
        <v>27.29</v>
      </c>
    </row>
    <row r="442" spans="2:9" s="160" customFormat="1" ht="24.75" customHeight="1">
      <c r="B442" s="591" t="s">
        <v>548</v>
      </c>
      <c r="C442" s="93" t="s">
        <v>6</v>
      </c>
      <c r="D442" s="178">
        <v>88247</v>
      </c>
      <c r="E442" s="172" t="str">
        <f>IF($D442&lt;&gt;"",VLOOKUP($D442,'SINAPI FEVEREIRO 2022'!$1:$1048576,2,FALSE),"")</f>
        <v>AUXILIAR DE ELETRICISTA COM ENCARGOS COMPLEMENTARES</v>
      </c>
      <c r="F442" s="173" t="str">
        <f>IF($D442&lt;&gt;"",VLOOKUP($D442,'SINAPI FEVEREIRO 2022'!$1:$1048576,3,FALSE),"")</f>
        <v>H</v>
      </c>
      <c r="G442" s="599">
        <v>0.1</v>
      </c>
      <c r="H442" s="379">
        <f>IF($D442&lt;&gt;"",VLOOKUP($D442,'SINAPI FEVEREIRO 2022'!$1:$1048576,4,FALSE),"")</f>
        <v>15.19</v>
      </c>
      <c r="I442" s="398">
        <f>TRUNC(H442*G442,2)</f>
        <v>1.51</v>
      </c>
    </row>
    <row r="443" spans="2:9" s="160" customFormat="1" ht="24.75" customHeight="1">
      <c r="B443" s="591" t="s">
        <v>548</v>
      </c>
      <c r="C443" s="93" t="s">
        <v>6</v>
      </c>
      <c r="D443" s="177">
        <v>88264</v>
      </c>
      <c r="E443" s="172" t="str">
        <f>IF($D443&lt;&gt;"",VLOOKUP($D443,'SINAPI FEVEREIRO 2022'!$1:$1048576,2,FALSE),"")</f>
        <v>ELETRICISTA COM ENCARGOS COMPLEMENTARES</v>
      </c>
      <c r="F443" s="173" t="str">
        <f>IF($D443&lt;&gt;"",VLOOKUP($D443,'SINAPI FEVEREIRO 2022'!$1:$1048576,3,FALSE),"")</f>
        <v>H</v>
      </c>
      <c r="G443" s="599">
        <v>0.1</v>
      </c>
      <c r="H443" s="379">
        <f>IF($D443&lt;&gt;"",VLOOKUP($D443,'SINAPI FEVEREIRO 2022'!$1:$1048576,4,FALSE),"")</f>
        <v>19.53</v>
      </c>
      <c r="I443" s="398">
        <f t="shared" ref="I443:I444" si="54">TRUNC(H443*G443,2)</f>
        <v>1.95</v>
      </c>
    </row>
    <row r="444" spans="2:9" s="160" customFormat="1" ht="24.75" customHeight="1">
      <c r="B444" s="591" t="s">
        <v>548</v>
      </c>
      <c r="C444" s="93" t="s">
        <v>547</v>
      </c>
      <c r="D444" s="177"/>
      <c r="E444" s="172" t="s">
        <v>13309</v>
      </c>
      <c r="F444" s="173" t="s">
        <v>24</v>
      </c>
      <c r="G444" s="599">
        <v>1</v>
      </c>
      <c r="H444" s="379">
        <v>23.83</v>
      </c>
      <c r="I444" s="398">
        <f t="shared" si="54"/>
        <v>23.83</v>
      </c>
    </row>
    <row r="445" spans="2:9" s="160" customFormat="1" ht="24.75" customHeight="1">
      <c r="B445" s="368"/>
      <c r="C445" s="93"/>
      <c r="D445" s="93"/>
      <c r="E445" s="172"/>
      <c r="F445" s="173"/>
      <c r="G445" s="599"/>
      <c r="H445" s="379"/>
      <c r="I445" s="398"/>
    </row>
    <row r="446" spans="2:9" s="160" customFormat="1" ht="24.75" customHeight="1">
      <c r="B446" s="183" t="s">
        <v>13310</v>
      </c>
      <c r="C446" s="185"/>
      <c r="D446" s="185"/>
      <c r="E446" s="186" t="s">
        <v>13311</v>
      </c>
      <c r="F446" s="185" t="s">
        <v>24</v>
      </c>
      <c r="G446" s="313">
        <v>1</v>
      </c>
      <c r="H446" s="389"/>
      <c r="I446" s="396">
        <f>TRUNC(SUM(I447:I449),2)</f>
        <v>114.46</v>
      </c>
    </row>
    <row r="447" spans="2:9" s="160" customFormat="1" ht="24.75" customHeight="1">
      <c r="B447" s="591" t="s">
        <v>548</v>
      </c>
      <c r="C447" s="93" t="s">
        <v>6</v>
      </c>
      <c r="D447" s="178">
        <v>88247</v>
      </c>
      <c r="E447" s="172" t="str">
        <f>IF($D447&lt;&gt;"",VLOOKUP($D447,'SINAPI FEVEREIRO 2022'!$1:$1048576,2,FALSE),"")</f>
        <v>AUXILIAR DE ELETRICISTA COM ENCARGOS COMPLEMENTARES</v>
      </c>
      <c r="F447" s="173" t="str">
        <f>IF($D447&lt;&gt;"",VLOOKUP($D447,'SINAPI FEVEREIRO 2022'!$1:$1048576,3,FALSE),"")</f>
        <v>H</v>
      </c>
      <c r="G447" s="599">
        <v>0.1</v>
      </c>
      <c r="H447" s="379">
        <f>IF($D447&lt;&gt;"",VLOOKUP($D447,'SINAPI FEVEREIRO 2022'!$1:$1048576,4,FALSE),"")</f>
        <v>15.19</v>
      </c>
      <c r="I447" s="398">
        <f>TRUNC(H447*G447,2)</f>
        <v>1.51</v>
      </c>
    </row>
    <row r="448" spans="2:9" s="160" customFormat="1" ht="24.75" customHeight="1">
      <c r="B448" s="591" t="s">
        <v>548</v>
      </c>
      <c r="C448" s="93" t="s">
        <v>6</v>
      </c>
      <c r="D448" s="177">
        <v>88264</v>
      </c>
      <c r="E448" s="172" t="str">
        <f>IF($D448&lt;&gt;"",VLOOKUP($D448,'SINAPI FEVEREIRO 2022'!$1:$1048576,2,FALSE),"")</f>
        <v>ELETRICISTA COM ENCARGOS COMPLEMENTARES</v>
      </c>
      <c r="F448" s="173" t="str">
        <f>IF($D448&lt;&gt;"",VLOOKUP($D448,'SINAPI FEVEREIRO 2022'!$1:$1048576,3,FALSE),"")</f>
        <v>H</v>
      </c>
      <c r="G448" s="599">
        <v>0.1</v>
      </c>
      <c r="H448" s="379">
        <f>IF($D448&lt;&gt;"",VLOOKUP($D448,'SINAPI FEVEREIRO 2022'!$1:$1048576,4,FALSE),"")</f>
        <v>19.53</v>
      </c>
      <c r="I448" s="398">
        <f t="shared" ref="I448:I449" si="55">TRUNC(H448*G448,2)</f>
        <v>1.95</v>
      </c>
    </row>
    <row r="449" spans="2:9" s="160" customFormat="1" ht="24.75" customHeight="1">
      <c r="B449" s="591" t="s">
        <v>548</v>
      </c>
      <c r="C449" s="93" t="s">
        <v>547</v>
      </c>
      <c r="D449" s="177"/>
      <c r="E449" s="172" t="s">
        <v>13311</v>
      </c>
      <c r="F449" s="173" t="s">
        <v>24</v>
      </c>
      <c r="G449" s="599">
        <v>1</v>
      </c>
      <c r="H449" s="379">
        <v>111</v>
      </c>
      <c r="I449" s="398">
        <f t="shared" si="55"/>
        <v>111</v>
      </c>
    </row>
    <row r="450" spans="2:9" s="160" customFormat="1" ht="24.75" customHeight="1">
      <c r="B450" s="368"/>
      <c r="C450" s="93"/>
      <c r="D450" s="93"/>
      <c r="E450" s="172"/>
      <c r="F450" s="173"/>
      <c r="G450" s="599"/>
      <c r="H450" s="379"/>
      <c r="I450" s="398"/>
    </row>
    <row r="451" spans="2:9" s="160" customFormat="1" ht="24.75" customHeight="1">
      <c r="B451" s="183" t="s">
        <v>13312</v>
      </c>
      <c r="C451" s="185"/>
      <c r="D451" s="185"/>
      <c r="E451" s="186" t="s">
        <v>13313</v>
      </c>
      <c r="F451" s="185" t="s">
        <v>24</v>
      </c>
      <c r="G451" s="313">
        <v>1</v>
      </c>
      <c r="H451" s="389"/>
      <c r="I451" s="396">
        <f>TRUNC(SUM(I452:I454),2)</f>
        <v>14.36</v>
      </c>
    </row>
    <row r="452" spans="2:9" s="160" customFormat="1" ht="24.75" customHeight="1">
      <c r="B452" s="591" t="s">
        <v>548</v>
      </c>
      <c r="C452" s="93" t="s">
        <v>6</v>
      </c>
      <c r="D452" s="178">
        <v>88247</v>
      </c>
      <c r="E452" s="172" t="str">
        <f>IF($D452&lt;&gt;"",VLOOKUP($D452,'SINAPI FEVEREIRO 2022'!$1:$1048576,2,FALSE),"")</f>
        <v>AUXILIAR DE ELETRICISTA COM ENCARGOS COMPLEMENTARES</v>
      </c>
      <c r="F452" s="173" t="str">
        <f>IF($D452&lt;&gt;"",VLOOKUP($D452,'SINAPI FEVEREIRO 2022'!$1:$1048576,3,FALSE),"")</f>
        <v>H</v>
      </c>
      <c r="G452" s="599">
        <v>0.1</v>
      </c>
      <c r="H452" s="379">
        <f>IF($D452&lt;&gt;"",VLOOKUP($D452,'SINAPI FEVEREIRO 2022'!$1:$1048576,4,FALSE),"")</f>
        <v>15.19</v>
      </c>
      <c r="I452" s="398">
        <f>TRUNC(H452*G452,2)</f>
        <v>1.51</v>
      </c>
    </row>
    <row r="453" spans="2:9" s="160" customFormat="1" ht="24.75" customHeight="1">
      <c r="B453" s="591" t="s">
        <v>548</v>
      </c>
      <c r="C453" s="93" t="s">
        <v>6</v>
      </c>
      <c r="D453" s="177">
        <v>88264</v>
      </c>
      <c r="E453" s="172" t="str">
        <f>IF($D453&lt;&gt;"",VLOOKUP($D453,'SINAPI FEVEREIRO 2022'!$1:$1048576,2,FALSE),"")</f>
        <v>ELETRICISTA COM ENCARGOS COMPLEMENTARES</v>
      </c>
      <c r="F453" s="173" t="str">
        <f>IF($D453&lt;&gt;"",VLOOKUP($D453,'SINAPI FEVEREIRO 2022'!$1:$1048576,3,FALSE),"")</f>
        <v>H</v>
      </c>
      <c r="G453" s="599">
        <v>0.1</v>
      </c>
      <c r="H453" s="379">
        <f>IF($D453&lt;&gt;"",VLOOKUP($D453,'SINAPI FEVEREIRO 2022'!$1:$1048576,4,FALSE),"")</f>
        <v>19.53</v>
      </c>
      <c r="I453" s="398">
        <f t="shared" ref="I453:I454" si="56">TRUNC(H453*G453,2)</f>
        <v>1.95</v>
      </c>
    </row>
    <row r="454" spans="2:9" s="160" customFormat="1" ht="24.75" customHeight="1">
      <c r="B454" s="591" t="s">
        <v>548</v>
      </c>
      <c r="C454" s="93" t="s">
        <v>547</v>
      </c>
      <c r="D454" s="177"/>
      <c r="E454" s="172" t="s">
        <v>13313</v>
      </c>
      <c r="F454" s="173" t="s">
        <v>24</v>
      </c>
      <c r="G454" s="599">
        <v>1</v>
      </c>
      <c r="H454" s="379">
        <v>10.9</v>
      </c>
      <c r="I454" s="398">
        <f t="shared" si="56"/>
        <v>10.9</v>
      </c>
    </row>
    <row r="455" spans="2:9" s="160" customFormat="1" ht="24.75" customHeight="1">
      <c r="B455" s="368"/>
      <c r="C455" s="93"/>
      <c r="D455" s="93"/>
      <c r="E455" s="172"/>
      <c r="F455" s="173"/>
      <c r="G455" s="599"/>
      <c r="H455" s="379"/>
      <c r="I455" s="398"/>
    </row>
    <row r="456" spans="2:9" s="160" customFormat="1" ht="24.75" customHeight="1">
      <c r="B456" s="183" t="s">
        <v>13315</v>
      </c>
      <c r="C456" s="185"/>
      <c r="D456" s="185"/>
      <c r="E456" s="186" t="s">
        <v>13316</v>
      </c>
      <c r="F456" s="185" t="s">
        <v>24</v>
      </c>
      <c r="G456" s="313">
        <v>1</v>
      </c>
      <c r="H456" s="389"/>
      <c r="I456" s="396">
        <f>TRUNC(SUM(I457:I459),2)</f>
        <v>705.72</v>
      </c>
    </row>
    <row r="457" spans="2:9" s="160" customFormat="1" ht="24.75" customHeight="1">
      <c r="B457" s="591" t="s">
        <v>548</v>
      </c>
      <c r="C457" s="93" t="s">
        <v>6</v>
      </c>
      <c r="D457" s="178">
        <v>88247</v>
      </c>
      <c r="E457" s="172" t="str">
        <f>IF($D457&lt;&gt;"",VLOOKUP($D457,'SINAPI FEVEREIRO 2022'!$1:$1048576,2,FALSE),"")</f>
        <v>AUXILIAR DE ELETRICISTA COM ENCARGOS COMPLEMENTARES</v>
      </c>
      <c r="F457" s="173" t="str">
        <f>IF($D457&lt;&gt;"",VLOOKUP($D457,'SINAPI FEVEREIRO 2022'!$1:$1048576,3,FALSE),"")</f>
        <v>H</v>
      </c>
      <c r="G457" s="599">
        <v>1</v>
      </c>
      <c r="H457" s="379">
        <f>IF($D457&lt;&gt;"",VLOOKUP($D457,'SINAPI FEVEREIRO 2022'!$1:$1048576,4,FALSE),"")</f>
        <v>15.19</v>
      </c>
      <c r="I457" s="398">
        <f>TRUNC(H457*G457,2)</f>
        <v>15.19</v>
      </c>
    </row>
    <row r="458" spans="2:9" s="160" customFormat="1" ht="24.75" customHeight="1">
      <c r="B458" s="591" t="s">
        <v>548</v>
      </c>
      <c r="C458" s="93" t="s">
        <v>6</v>
      </c>
      <c r="D458" s="177">
        <v>88264</v>
      </c>
      <c r="E458" s="172" t="str">
        <f>IF($D458&lt;&gt;"",VLOOKUP($D458,'SINAPI FEVEREIRO 2022'!$1:$1048576,2,FALSE),"")</f>
        <v>ELETRICISTA COM ENCARGOS COMPLEMENTARES</v>
      </c>
      <c r="F458" s="173" t="str">
        <f>IF($D458&lt;&gt;"",VLOOKUP($D458,'SINAPI FEVEREIRO 2022'!$1:$1048576,3,FALSE),"")</f>
        <v>H</v>
      </c>
      <c r="G458" s="599">
        <v>1</v>
      </c>
      <c r="H458" s="379">
        <f>IF($D458&lt;&gt;"",VLOOKUP($D458,'SINAPI FEVEREIRO 2022'!$1:$1048576,4,FALSE),"")</f>
        <v>19.53</v>
      </c>
      <c r="I458" s="398">
        <f t="shared" ref="I458:I459" si="57">TRUNC(H458*G458,2)</f>
        <v>19.53</v>
      </c>
    </row>
    <row r="459" spans="2:9" s="160" customFormat="1" ht="24.75" customHeight="1">
      <c r="B459" s="591" t="s">
        <v>548</v>
      </c>
      <c r="C459" s="93" t="s">
        <v>547</v>
      </c>
      <c r="D459" s="177"/>
      <c r="E459" s="172" t="s">
        <v>13316</v>
      </c>
      <c r="F459" s="173" t="s">
        <v>24</v>
      </c>
      <c r="G459" s="599">
        <v>1</v>
      </c>
      <c r="H459" s="379">
        <v>671</v>
      </c>
      <c r="I459" s="398">
        <f t="shared" si="57"/>
        <v>671</v>
      </c>
    </row>
    <row r="460" spans="2:9" s="160" customFormat="1" ht="24.75" customHeight="1">
      <c r="B460" s="368"/>
      <c r="C460" s="93"/>
      <c r="D460" s="93"/>
      <c r="E460" s="172"/>
      <c r="F460" s="173"/>
      <c r="G460" s="599"/>
      <c r="H460" s="379"/>
      <c r="I460" s="398"/>
    </row>
    <row r="461" spans="2:9" s="160" customFormat="1" ht="24.75" customHeight="1">
      <c r="B461" s="183" t="s">
        <v>13314</v>
      </c>
      <c r="C461" s="185"/>
      <c r="D461" s="185"/>
      <c r="E461" s="186" t="s">
        <v>13317</v>
      </c>
      <c r="F461" s="185" t="s">
        <v>24</v>
      </c>
      <c r="G461" s="313">
        <v>1</v>
      </c>
      <c r="H461" s="389"/>
      <c r="I461" s="396">
        <f>TRUNC(SUM(I462:I464),2)</f>
        <v>12.58</v>
      </c>
    </row>
    <row r="462" spans="2:9" s="160" customFormat="1" ht="24.75" customHeight="1">
      <c r="B462" s="591" t="s">
        <v>548</v>
      </c>
      <c r="C462" s="93" t="s">
        <v>6</v>
      </c>
      <c r="D462" s="178">
        <v>88247</v>
      </c>
      <c r="E462" s="172" t="str">
        <f>IF($D462&lt;&gt;"",VLOOKUP($D462,'SINAPI FEVEREIRO 2022'!$1:$1048576,2,FALSE),"")</f>
        <v>AUXILIAR DE ELETRICISTA COM ENCARGOS COMPLEMENTARES</v>
      </c>
      <c r="F462" s="173" t="str">
        <f>IF($D462&lt;&gt;"",VLOOKUP($D462,'SINAPI FEVEREIRO 2022'!$1:$1048576,3,FALSE),"")</f>
        <v>H</v>
      </c>
      <c r="G462" s="599">
        <v>0.1</v>
      </c>
      <c r="H462" s="379">
        <f>IF($D462&lt;&gt;"",VLOOKUP($D462,'SINAPI FEVEREIRO 2022'!$1:$1048576,4,FALSE),"")</f>
        <v>15.19</v>
      </c>
      <c r="I462" s="398">
        <f>TRUNC(H462*G462,2)</f>
        <v>1.51</v>
      </c>
    </row>
    <row r="463" spans="2:9" s="160" customFormat="1" ht="24.75" customHeight="1">
      <c r="B463" s="591" t="s">
        <v>548</v>
      </c>
      <c r="C463" s="93" t="s">
        <v>6</v>
      </c>
      <c r="D463" s="177">
        <v>88264</v>
      </c>
      <c r="E463" s="172" t="str">
        <f>IF($D463&lt;&gt;"",VLOOKUP($D463,'SINAPI FEVEREIRO 2022'!$1:$1048576,2,FALSE),"")</f>
        <v>ELETRICISTA COM ENCARGOS COMPLEMENTARES</v>
      </c>
      <c r="F463" s="173" t="str">
        <f>IF($D463&lt;&gt;"",VLOOKUP($D463,'SINAPI FEVEREIRO 2022'!$1:$1048576,3,FALSE),"")</f>
        <v>H</v>
      </c>
      <c r="G463" s="599">
        <v>0.1</v>
      </c>
      <c r="H463" s="379">
        <f>IF($D463&lt;&gt;"",VLOOKUP($D463,'SINAPI FEVEREIRO 2022'!$1:$1048576,4,FALSE),"")</f>
        <v>19.53</v>
      </c>
      <c r="I463" s="398">
        <f t="shared" ref="I463:I464" si="58">TRUNC(H463*G463,2)</f>
        <v>1.95</v>
      </c>
    </row>
    <row r="464" spans="2:9" s="160" customFormat="1" ht="24.75" customHeight="1">
      <c r="B464" s="591" t="s">
        <v>548</v>
      </c>
      <c r="C464" s="93" t="s">
        <v>547</v>
      </c>
      <c r="D464" s="177"/>
      <c r="E464" s="172" t="s">
        <v>13317</v>
      </c>
      <c r="F464" s="173" t="s">
        <v>24</v>
      </c>
      <c r="G464" s="599">
        <v>1</v>
      </c>
      <c r="H464" s="379">
        <v>9.1199999999999992</v>
      </c>
      <c r="I464" s="398">
        <f t="shared" si="58"/>
        <v>9.1199999999999992</v>
      </c>
    </row>
    <row r="465" spans="2:9" s="160" customFormat="1">
      <c r="B465" s="93"/>
      <c r="C465" s="93"/>
      <c r="D465" s="178"/>
      <c r="E465" s="172"/>
      <c r="F465" s="173"/>
      <c r="G465" s="302"/>
      <c r="H465" s="379"/>
      <c r="I465" s="398"/>
    </row>
    <row r="466" spans="2:9" s="160" customFormat="1">
      <c r="B466" s="969" t="s">
        <v>6151</v>
      </c>
      <c r="C466" s="970"/>
      <c r="D466" s="970"/>
      <c r="E466" s="970"/>
      <c r="F466" s="970"/>
      <c r="G466" s="970"/>
      <c r="H466" s="970"/>
      <c r="I466" s="971"/>
    </row>
    <row r="467" spans="2:9" s="160" customFormat="1">
      <c r="B467" s="482"/>
      <c r="C467" s="483"/>
      <c r="D467" s="483"/>
      <c r="E467" s="483"/>
      <c r="F467" s="483"/>
      <c r="G467" s="483"/>
      <c r="H467" s="483"/>
      <c r="I467" s="484"/>
    </row>
    <row r="468" spans="2:9" s="160" customFormat="1" ht="24.75" customHeight="1">
      <c r="B468" s="183" t="s">
        <v>6152</v>
      </c>
      <c r="C468" s="223"/>
      <c r="D468" s="223"/>
      <c r="E468" s="95" t="s">
        <v>6153</v>
      </c>
      <c r="F468" s="96" t="s">
        <v>531</v>
      </c>
      <c r="G468" s="324">
        <v>1</v>
      </c>
      <c r="H468" s="381"/>
      <c r="I468" s="396">
        <f>TRUNC(SUM(I469:I471),2)</f>
        <v>88.25</v>
      </c>
    </row>
    <row r="469" spans="2:9" s="160" customFormat="1" ht="24.75" customHeight="1">
      <c r="B469" s="93" t="s">
        <v>548</v>
      </c>
      <c r="C469" s="93" t="s">
        <v>6</v>
      </c>
      <c r="D469" s="93">
        <v>88247</v>
      </c>
      <c r="E469" s="172" t="str">
        <f>IF($D469&lt;&gt;"",VLOOKUP($D469,'SINAPI FEVEREIRO 2022'!$1:$1048576,2,FALSE),"")</f>
        <v>AUXILIAR DE ELETRICISTA COM ENCARGOS COMPLEMENTARES</v>
      </c>
      <c r="F469" s="173" t="str">
        <f>IF($D469&lt;&gt;"",VLOOKUP($D469,'SINAPI FEVEREIRO 2022'!$1:$1048576,3,FALSE),"")</f>
        <v>H</v>
      </c>
      <c r="G469" s="327">
        <v>1.2</v>
      </c>
      <c r="H469" s="379">
        <f>IF($D469&lt;&gt;"",VLOOKUP($D469,'SINAPI FEVEREIRO 2022'!$1:$1048576,4,FALSE),"")</f>
        <v>15.19</v>
      </c>
      <c r="I469" s="398">
        <f t="shared" ref="I469:I471" si="59">TRUNC(H469*G469,2)</f>
        <v>18.22</v>
      </c>
    </row>
    <row r="470" spans="2:9" s="160" customFormat="1" ht="24.75" customHeight="1">
      <c r="B470" s="93" t="s">
        <v>548</v>
      </c>
      <c r="C470" s="93" t="s">
        <v>6</v>
      </c>
      <c r="D470" s="93">
        <v>88631</v>
      </c>
      <c r="E470" s="172" t="str">
        <f>IF($D470&lt;&gt;"",VLOOKUP($D470,'SINAPI FEVEREIRO 2022'!$1:$1048576,2,FALSE),"")</f>
        <v>ARGAMASSA TRAÇO 1:4 (EM VOLUME DE CIMENTO E AREIA MÉDIA ÚMIDA), PREPARO MANUAL. AF_08/2019</v>
      </c>
      <c r="F470" s="173" t="str">
        <f>IF($D470&lt;&gt;"",VLOOKUP($D470,'SINAPI FEVEREIRO 2022'!$1:$1048576,3,FALSE),"")</f>
        <v>M3</v>
      </c>
      <c r="G470" s="327">
        <v>1.7999999999999999E-2</v>
      </c>
      <c r="H470" s="379">
        <f>IF($D470&lt;&gt;"",VLOOKUP($D470,'SINAPI FEVEREIRO 2022'!$1:$1048576,4,FALSE),"")</f>
        <v>502.15</v>
      </c>
      <c r="I470" s="398">
        <f t="shared" si="59"/>
        <v>9.0299999999999994</v>
      </c>
    </row>
    <row r="471" spans="2:9" s="160" customFormat="1" ht="24.75" customHeight="1">
      <c r="B471" s="93" t="s">
        <v>546</v>
      </c>
      <c r="C471" s="93" t="s">
        <v>547</v>
      </c>
      <c r="D471" s="93"/>
      <c r="E471" s="325" t="s">
        <v>6154</v>
      </c>
      <c r="F471" s="326" t="s">
        <v>24</v>
      </c>
      <c r="G471" s="327">
        <v>1</v>
      </c>
      <c r="H471" s="386">
        <v>61</v>
      </c>
      <c r="I471" s="398">
        <f t="shared" si="59"/>
        <v>61</v>
      </c>
    </row>
    <row r="472" spans="2:9" s="160" customFormat="1">
      <c r="B472" s="93"/>
      <c r="C472" s="93"/>
      <c r="D472" s="93"/>
      <c r="E472" s="325"/>
      <c r="F472" s="326"/>
      <c r="G472" s="342"/>
      <c r="H472" s="386"/>
      <c r="I472" s="406"/>
    </row>
    <row r="473" spans="2:9" s="160" customFormat="1" ht="24.75" customHeight="1">
      <c r="B473" s="183" t="s">
        <v>6155</v>
      </c>
      <c r="C473" s="185"/>
      <c r="D473" s="185"/>
      <c r="E473" s="186" t="s">
        <v>6156</v>
      </c>
      <c r="F473" s="185" t="s">
        <v>531</v>
      </c>
      <c r="G473" s="328">
        <v>1</v>
      </c>
      <c r="H473" s="390"/>
      <c r="I473" s="396">
        <f>TRUNC(SUM(I474:I476),2)</f>
        <v>16.899999999999999</v>
      </c>
    </row>
    <row r="474" spans="2:9" s="160" customFormat="1" ht="24.75" customHeight="1">
      <c r="B474" s="329" t="s">
        <v>4563</v>
      </c>
      <c r="C474" s="329" t="s">
        <v>6</v>
      </c>
      <c r="D474" s="330">
        <v>88247</v>
      </c>
      <c r="E474" s="172" t="str">
        <f>IF($D474&lt;&gt;"",VLOOKUP($D474,'SINAPI FEVEREIRO 2022'!$1:$1048576,2,FALSE),"")</f>
        <v>AUXILIAR DE ELETRICISTA COM ENCARGOS COMPLEMENTARES</v>
      </c>
      <c r="F474" s="173" t="str">
        <f>IF($D474&lt;&gt;"",VLOOKUP($D474,'SINAPI FEVEREIRO 2022'!$1:$1048576,3,FALSE),"")</f>
        <v>H</v>
      </c>
      <c r="G474" s="327">
        <v>0.1</v>
      </c>
      <c r="H474" s="379">
        <f>IF($D474&lt;&gt;"",VLOOKUP($D474,'SINAPI FEVEREIRO 2022'!$1:$1048576,4,FALSE),"")</f>
        <v>15.19</v>
      </c>
      <c r="I474" s="398">
        <f t="shared" ref="I474:I476" si="60">TRUNC(H474*G474,2)</f>
        <v>1.51</v>
      </c>
    </row>
    <row r="475" spans="2:9" s="160" customFormat="1" ht="24.75" customHeight="1">
      <c r="B475" s="329" t="s">
        <v>4563</v>
      </c>
      <c r="C475" s="329" t="s">
        <v>6</v>
      </c>
      <c r="D475" s="330">
        <v>88264</v>
      </c>
      <c r="E475" s="172" t="str">
        <f>IF($D475&lt;&gt;"",VLOOKUP($D475,'SINAPI FEVEREIRO 2022'!$1:$1048576,2,FALSE),"")</f>
        <v>ELETRICISTA COM ENCARGOS COMPLEMENTARES</v>
      </c>
      <c r="F475" s="173" t="str">
        <f>IF($D475&lt;&gt;"",VLOOKUP($D475,'SINAPI FEVEREIRO 2022'!$1:$1048576,3,FALSE),"")</f>
        <v>H</v>
      </c>
      <c r="G475" s="327">
        <v>0.1</v>
      </c>
      <c r="H475" s="379">
        <f>IF($D475&lt;&gt;"",VLOOKUP($D475,'SINAPI FEVEREIRO 2022'!$1:$1048576,4,FALSE),"")</f>
        <v>19.53</v>
      </c>
      <c r="I475" s="398">
        <f t="shared" si="60"/>
        <v>1.95</v>
      </c>
    </row>
    <row r="476" spans="2:9" s="160" customFormat="1" ht="24.75" customHeight="1">
      <c r="B476" s="329" t="s">
        <v>546</v>
      </c>
      <c r="C476" s="329" t="s">
        <v>547</v>
      </c>
      <c r="D476" s="330"/>
      <c r="E476" s="325" t="s">
        <v>6157</v>
      </c>
      <c r="F476" s="326" t="s">
        <v>24</v>
      </c>
      <c r="G476" s="327">
        <v>1</v>
      </c>
      <c r="H476" s="386">
        <v>13.44</v>
      </c>
      <c r="I476" s="398">
        <f t="shared" si="60"/>
        <v>13.44</v>
      </c>
    </row>
    <row r="477" spans="2:9" s="160" customFormat="1">
      <c r="B477" s="93"/>
      <c r="C477" s="93"/>
      <c r="D477" s="93"/>
      <c r="E477" s="325"/>
      <c r="F477" s="326"/>
      <c r="G477" s="342"/>
      <c r="H477" s="386"/>
      <c r="I477" s="406"/>
    </row>
    <row r="478" spans="2:9" s="160" customFormat="1" ht="24.75" customHeight="1">
      <c r="B478" s="183" t="s">
        <v>6158</v>
      </c>
      <c r="C478" s="185"/>
      <c r="D478" s="185"/>
      <c r="E478" s="186" t="s">
        <v>6159</v>
      </c>
      <c r="F478" s="185" t="s">
        <v>531</v>
      </c>
      <c r="G478" s="328">
        <v>1</v>
      </c>
      <c r="H478" s="390"/>
      <c r="I478" s="396">
        <f>TRUNC(SUM(I479:I481),2)</f>
        <v>10.31</v>
      </c>
    </row>
    <row r="479" spans="2:9" s="160" customFormat="1" ht="24.75" customHeight="1">
      <c r="B479" s="329" t="s">
        <v>4563</v>
      </c>
      <c r="C479" s="329" t="s">
        <v>6</v>
      </c>
      <c r="D479" s="330">
        <v>88247</v>
      </c>
      <c r="E479" s="172" t="str">
        <f>IF($D479&lt;&gt;"",VLOOKUP($D479,'SINAPI FEVEREIRO 2022'!$1:$1048576,2,FALSE),"")</f>
        <v>AUXILIAR DE ELETRICISTA COM ENCARGOS COMPLEMENTARES</v>
      </c>
      <c r="F479" s="173" t="str">
        <f>IF($D479&lt;&gt;"",VLOOKUP($D479,'SINAPI FEVEREIRO 2022'!$1:$1048576,3,FALSE),"")</f>
        <v>H</v>
      </c>
      <c r="G479" s="327">
        <v>0.1</v>
      </c>
      <c r="H479" s="379">
        <f>IF($D479&lt;&gt;"",VLOOKUP($D479,'SINAPI FEVEREIRO 2022'!$1:$1048576,4,FALSE),"")</f>
        <v>15.19</v>
      </c>
      <c r="I479" s="398">
        <f t="shared" ref="I479:I481" si="61">TRUNC(H479*G479,2)</f>
        <v>1.51</v>
      </c>
    </row>
    <row r="480" spans="2:9" s="160" customFormat="1" ht="24.75" customHeight="1">
      <c r="B480" s="329" t="s">
        <v>4563</v>
      </c>
      <c r="C480" s="329" t="s">
        <v>6</v>
      </c>
      <c r="D480" s="330">
        <v>88264</v>
      </c>
      <c r="E480" s="172" t="str">
        <f>IF($D480&lt;&gt;"",VLOOKUP($D480,'SINAPI FEVEREIRO 2022'!$1:$1048576,2,FALSE),"")</f>
        <v>ELETRICISTA COM ENCARGOS COMPLEMENTARES</v>
      </c>
      <c r="F480" s="173" t="str">
        <f>IF($D480&lt;&gt;"",VLOOKUP($D480,'SINAPI FEVEREIRO 2022'!$1:$1048576,3,FALSE),"")</f>
        <v>H</v>
      </c>
      <c r="G480" s="327">
        <v>0.1</v>
      </c>
      <c r="H480" s="379">
        <f>IF($D480&lt;&gt;"",VLOOKUP($D480,'SINAPI FEVEREIRO 2022'!$1:$1048576,4,FALSE),"")</f>
        <v>19.53</v>
      </c>
      <c r="I480" s="398">
        <f t="shared" si="61"/>
        <v>1.95</v>
      </c>
    </row>
    <row r="481" spans="2:9" s="160" customFormat="1" ht="24.75" customHeight="1">
      <c r="B481" s="329" t="s">
        <v>546</v>
      </c>
      <c r="C481" s="329" t="s">
        <v>547</v>
      </c>
      <c r="D481" s="330"/>
      <c r="E481" s="325" t="s">
        <v>6160</v>
      </c>
      <c r="F481" s="326" t="s">
        <v>24</v>
      </c>
      <c r="G481" s="327">
        <v>1</v>
      </c>
      <c r="H481" s="386">
        <v>6.85</v>
      </c>
      <c r="I481" s="398">
        <f t="shared" si="61"/>
        <v>6.85</v>
      </c>
    </row>
    <row r="482" spans="2:9" s="160" customFormat="1">
      <c r="B482" s="93"/>
      <c r="C482" s="93"/>
      <c r="D482" s="93"/>
      <c r="E482" s="325"/>
      <c r="F482" s="326"/>
      <c r="G482" s="342"/>
      <c r="H482" s="386"/>
      <c r="I482" s="406"/>
    </row>
    <row r="483" spans="2:9" s="160" customFormat="1" ht="24.75" customHeight="1">
      <c r="B483" s="183" t="s">
        <v>6161</v>
      </c>
      <c r="C483" s="185"/>
      <c r="D483" s="185"/>
      <c r="E483" s="186" t="s">
        <v>6162</v>
      </c>
      <c r="F483" s="185" t="s">
        <v>531</v>
      </c>
      <c r="G483" s="328">
        <v>1</v>
      </c>
      <c r="H483" s="390"/>
      <c r="I483" s="396">
        <f>TRUNC(SUM(I484:I487),2)</f>
        <v>29.92</v>
      </c>
    </row>
    <row r="484" spans="2:9" s="160" customFormat="1" ht="24.75" customHeight="1">
      <c r="B484" s="329" t="s">
        <v>4563</v>
      </c>
      <c r="C484" s="329" t="s">
        <v>6</v>
      </c>
      <c r="D484" s="330">
        <v>88247</v>
      </c>
      <c r="E484" s="172" t="str">
        <f>IF($D484&lt;&gt;"",VLOOKUP($D484,'SINAPI FEVEREIRO 2022'!$1:$1048576,2,FALSE),"")</f>
        <v>AUXILIAR DE ELETRICISTA COM ENCARGOS COMPLEMENTARES</v>
      </c>
      <c r="F484" s="173" t="str">
        <f>IF($D484&lt;&gt;"",VLOOKUP($D484,'SINAPI FEVEREIRO 2022'!$1:$1048576,3,FALSE),"")</f>
        <v>H</v>
      </c>
      <c r="G484" s="327">
        <v>0.31640000000000001</v>
      </c>
      <c r="H484" s="379">
        <f>IF($D484&lt;&gt;"",VLOOKUP($D484,'SINAPI FEVEREIRO 2022'!$1:$1048576,4,FALSE),"")</f>
        <v>15.19</v>
      </c>
      <c r="I484" s="398">
        <f t="shared" ref="I484:I487" si="62">TRUNC(H484*G484,2)</f>
        <v>4.8</v>
      </c>
    </row>
    <row r="485" spans="2:9" s="160" customFormat="1" ht="24.75" customHeight="1">
      <c r="B485" s="329" t="s">
        <v>4563</v>
      </c>
      <c r="C485" s="329" t="s">
        <v>6</v>
      </c>
      <c r="D485" s="330">
        <v>88264</v>
      </c>
      <c r="E485" s="172" t="str">
        <f>IF($D485&lt;&gt;"",VLOOKUP($D485,'SINAPI FEVEREIRO 2022'!$1:$1048576,2,FALSE),"")</f>
        <v>ELETRICISTA COM ENCARGOS COMPLEMENTARES</v>
      </c>
      <c r="F485" s="173" t="str">
        <f>IF($D485&lt;&gt;"",VLOOKUP($D485,'SINAPI FEVEREIRO 2022'!$1:$1048576,3,FALSE),"")</f>
        <v>H</v>
      </c>
      <c r="G485" s="327">
        <v>0.31640000000000001</v>
      </c>
      <c r="H485" s="379">
        <f>IF($D485&lt;&gt;"",VLOOKUP($D485,'SINAPI FEVEREIRO 2022'!$1:$1048576,4,FALSE),"")</f>
        <v>19.53</v>
      </c>
      <c r="I485" s="398">
        <f t="shared" si="62"/>
        <v>6.17</v>
      </c>
    </row>
    <row r="486" spans="2:9" s="160" customFormat="1" ht="24.75" customHeight="1">
      <c r="B486" s="329" t="s">
        <v>546</v>
      </c>
      <c r="C486" s="329" t="s">
        <v>547</v>
      </c>
      <c r="D486" s="330"/>
      <c r="E486" s="325" t="s">
        <v>6163</v>
      </c>
      <c r="F486" s="326" t="s">
        <v>24</v>
      </c>
      <c r="G486" s="327">
        <v>1</v>
      </c>
      <c r="H486" s="386">
        <v>18.350000000000001</v>
      </c>
      <c r="I486" s="398">
        <f t="shared" si="62"/>
        <v>18.350000000000001</v>
      </c>
    </row>
    <row r="487" spans="2:9" s="160" customFormat="1" ht="24.75" customHeight="1">
      <c r="B487" s="329" t="s">
        <v>4563</v>
      </c>
      <c r="C487" s="329" t="s">
        <v>6</v>
      </c>
      <c r="D487" s="330">
        <v>4356</v>
      </c>
      <c r="E487" s="172" t="str">
        <f>IF($D487&lt;&gt;"",VLOOKUP($D487,'SINAPI FEVEREIRO 2022'!$1:$1048576,2,FALSE),"")</f>
        <v>PARAFUSO DE ACO ZINCADO COM ROSCA SOBERBA, CABECA CHATA E FENDA SIMPLES, DIAMETRO 4,8 MM, COMPRIMENTO 45 MM</v>
      </c>
      <c r="F487" s="173" t="str">
        <f>IF($D487&lt;&gt;"",VLOOKUP($D487,'SINAPI FEVEREIRO 2022'!$1:$1048576,3,FALSE),"")</f>
        <v xml:space="preserve">UN    </v>
      </c>
      <c r="G487" s="327">
        <v>2</v>
      </c>
      <c r="H487" s="379">
        <f>IF($D487&lt;&gt;"",VLOOKUP($D487,'SINAPI FEVEREIRO 2022'!$1:$1048576,4,FALSE),"")</f>
        <v>0.3</v>
      </c>
      <c r="I487" s="398">
        <f t="shared" si="62"/>
        <v>0.6</v>
      </c>
    </row>
    <row r="488" spans="2:9" s="160" customFormat="1">
      <c r="B488" s="93"/>
      <c r="C488" s="93"/>
      <c r="D488" s="93"/>
      <c r="E488" s="325"/>
      <c r="F488" s="326"/>
      <c r="G488" s="342"/>
      <c r="H488" s="386"/>
      <c r="I488" s="406"/>
    </row>
    <row r="489" spans="2:9" s="160" customFormat="1" ht="24.75" customHeight="1">
      <c r="B489" s="183" t="s">
        <v>6164</v>
      </c>
      <c r="C489" s="185"/>
      <c r="D489" s="185"/>
      <c r="E489" s="186" t="s">
        <v>6165</v>
      </c>
      <c r="F489" s="185" t="s">
        <v>531</v>
      </c>
      <c r="G489" s="328">
        <v>1</v>
      </c>
      <c r="H489" s="390"/>
      <c r="I489" s="396">
        <f>TRUNC(SUM(I490:I492),2)</f>
        <v>38.520000000000003</v>
      </c>
    </row>
    <row r="490" spans="2:9" s="160" customFormat="1" ht="24.75" customHeight="1">
      <c r="B490" s="329" t="s">
        <v>4563</v>
      </c>
      <c r="C490" s="329" t="s">
        <v>6</v>
      </c>
      <c r="D490" s="330">
        <v>88247</v>
      </c>
      <c r="E490" s="172" t="str">
        <f>IF($D490&lt;&gt;"",VLOOKUP($D490,'SINAPI FEVEREIRO 2022'!$1:$1048576,2,FALSE),"")</f>
        <v>AUXILIAR DE ELETRICISTA COM ENCARGOS COMPLEMENTARES</v>
      </c>
      <c r="F490" s="173" t="str">
        <f>IF($D490&lt;&gt;"",VLOOKUP($D490,'SINAPI FEVEREIRO 2022'!$1:$1048576,3,FALSE),"")</f>
        <v>H</v>
      </c>
      <c r="G490" s="327">
        <v>0.25330000000000003</v>
      </c>
      <c r="H490" s="379">
        <f>IF($D490&lt;&gt;"",VLOOKUP($D490,'SINAPI FEVEREIRO 2022'!$1:$1048576,4,FALSE),"")</f>
        <v>15.19</v>
      </c>
      <c r="I490" s="398">
        <f t="shared" ref="I490:I492" si="63">TRUNC(H490*G490,2)</f>
        <v>3.84</v>
      </c>
    </row>
    <row r="491" spans="2:9" s="160" customFormat="1" ht="24.75" customHeight="1">
      <c r="B491" s="329" t="s">
        <v>4563</v>
      </c>
      <c r="C491" s="329" t="s">
        <v>6</v>
      </c>
      <c r="D491" s="330">
        <v>88264</v>
      </c>
      <c r="E491" s="172" t="str">
        <f>IF($D491&lt;&gt;"",VLOOKUP($D491,'SINAPI FEVEREIRO 2022'!$1:$1048576,2,FALSE),"")</f>
        <v>ELETRICISTA COM ENCARGOS COMPLEMENTARES</v>
      </c>
      <c r="F491" s="173" t="str">
        <f>IF($D491&lt;&gt;"",VLOOKUP($D491,'SINAPI FEVEREIRO 2022'!$1:$1048576,3,FALSE),"")</f>
        <v>H</v>
      </c>
      <c r="G491" s="327">
        <v>0.25330000000000003</v>
      </c>
      <c r="H491" s="379">
        <f>IF($D491&lt;&gt;"",VLOOKUP($D491,'SINAPI FEVEREIRO 2022'!$1:$1048576,4,FALSE),"")</f>
        <v>19.53</v>
      </c>
      <c r="I491" s="398">
        <f t="shared" si="63"/>
        <v>4.9400000000000004</v>
      </c>
    </row>
    <row r="492" spans="2:9" s="160" customFormat="1" ht="24.75" customHeight="1">
      <c r="B492" s="329" t="s">
        <v>546</v>
      </c>
      <c r="C492" s="329" t="s">
        <v>6</v>
      </c>
      <c r="D492" s="330">
        <v>863</v>
      </c>
      <c r="E492" s="172" t="str">
        <f>IF($D492&lt;&gt;"",VLOOKUP($D492,'SINAPI FEVEREIRO 2022'!$1:$1048576,2,FALSE),"")</f>
        <v>CABO DE COBRE NU 35 MM2 MEIO-DURO</v>
      </c>
      <c r="F492" s="173" t="str">
        <f>IF($D492&lt;&gt;"",VLOOKUP($D492,'SINAPI FEVEREIRO 2022'!$1:$1048576,3,FALSE),"")</f>
        <v xml:space="preserve">M     </v>
      </c>
      <c r="G492" s="327">
        <v>1</v>
      </c>
      <c r="H492" s="379">
        <f>IF($D492&lt;&gt;"",VLOOKUP($D492,'SINAPI FEVEREIRO 2022'!$1:$1048576,4,FALSE),"")</f>
        <v>29.74</v>
      </c>
      <c r="I492" s="398">
        <f t="shared" si="63"/>
        <v>29.74</v>
      </c>
    </row>
    <row r="493" spans="2:9" s="160" customFormat="1">
      <c r="B493" s="94"/>
      <c r="C493" s="94"/>
      <c r="D493" s="97"/>
      <c r="E493" s="219"/>
      <c r="F493" s="94"/>
      <c r="G493" s="350"/>
      <c r="H493" s="391"/>
      <c r="I493" s="406"/>
    </row>
    <row r="494" spans="2:9" s="160" customFormat="1" ht="24.75" customHeight="1">
      <c r="B494" s="183" t="s">
        <v>6166</v>
      </c>
      <c r="C494" s="185"/>
      <c r="D494" s="185"/>
      <c r="E494" s="186" t="s">
        <v>6167</v>
      </c>
      <c r="F494" s="185" t="s">
        <v>531</v>
      </c>
      <c r="G494" s="328">
        <v>1</v>
      </c>
      <c r="H494" s="390"/>
      <c r="I494" s="396">
        <f>TRUNC(SUM(I495:I498),2)</f>
        <v>434.24</v>
      </c>
    </row>
    <row r="495" spans="2:9" s="160" customFormat="1" ht="24.75" customHeight="1">
      <c r="B495" s="329" t="s">
        <v>4563</v>
      </c>
      <c r="C495" s="329" t="s">
        <v>6</v>
      </c>
      <c r="D495" s="330">
        <v>88247</v>
      </c>
      <c r="E495" s="172" t="str">
        <f>IF($D495&lt;&gt;"",VLOOKUP($D495,'SINAPI FEVEREIRO 2022'!$1:$1048576,2,FALSE),"")</f>
        <v>AUXILIAR DE ELETRICISTA COM ENCARGOS COMPLEMENTARES</v>
      </c>
      <c r="F495" s="173" t="str">
        <f>IF($D495&lt;&gt;"",VLOOKUP($D495,'SINAPI FEVEREIRO 2022'!$1:$1048576,3,FALSE),"")</f>
        <v>H</v>
      </c>
      <c r="G495" s="327">
        <v>2</v>
      </c>
      <c r="H495" s="379">
        <f>IF($D495&lt;&gt;"",VLOOKUP($D495,'SINAPI FEVEREIRO 2022'!$1:$1048576,4,FALSE),"")</f>
        <v>15.19</v>
      </c>
      <c r="I495" s="398">
        <f t="shared" ref="I495:I498" si="64">TRUNC(H495*G495,2)</f>
        <v>30.38</v>
      </c>
    </row>
    <row r="496" spans="2:9" s="160" customFormat="1" ht="24.75" customHeight="1">
      <c r="B496" s="329" t="s">
        <v>4563</v>
      </c>
      <c r="C496" s="329" t="s">
        <v>6</v>
      </c>
      <c r="D496" s="330">
        <v>88264</v>
      </c>
      <c r="E496" s="172" t="str">
        <f>IF($D496&lt;&gt;"",VLOOKUP($D496,'SINAPI FEVEREIRO 2022'!$1:$1048576,2,FALSE),"")</f>
        <v>ELETRICISTA COM ENCARGOS COMPLEMENTARES</v>
      </c>
      <c r="F496" s="173" t="str">
        <f>IF($D496&lt;&gt;"",VLOOKUP($D496,'SINAPI FEVEREIRO 2022'!$1:$1048576,3,FALSE),"")</f>
        <v>H</v>
      </c>
      <c r="G496" s="327">
        <v>1.2</v>
      </c>
      <c r="H496" s="379">
        <f>IF($D496&lt;&gt;"",VLOOKUP($D496,'SINAPI FEVEREIRO 2022'!$1:$1048576,4,FALSE),"")</f>
        <v>19.53</v>
      </c>
      <c r="I496" s="398">
        <f t="shared" si="64"/>
        <v>23.43</v>
      </c>
    </row>
    <row r="497" spans="1:11" s="160" customFormat="1" ht="24.75" customHeight="1">
      <c r="B497" s="329" t="s">
        <v>546</v>
      </c>
      <c r="C497" s="329" t="s">
        <v>547</v>
      </c>
      <c r="D497" s="330"/>
      <c r="E497" s="325" t="s">
        <v>6168</v>
      </c>
      <c r="F497" s="326" t="s">
        <v>24</v>
      </c>
      <c r="G497" s="327">
        <v>1</v>
      </c>
      <c r="H497" s="386">
        <v>355.33</v>
      </c>
      <c r="I497" s="398">
        <f t="shared" si="64"/>
        <v>355.33</v>
      </c>
    </row>
    <row r="498" spans="1:11" s="160" customFormat="1" ht="24.75" customHeight="1">
      <c r="B498" s="329" t="s">
        <v>4563</v>
      </c>
      <c r="C498" s="329" t="s">
        <v>6</v>
      </c>
      <c r="D498" s="330">
        <v>88631</v>
      </c>
      <c r="E498" s="172" t="str">
        <f>IF($D498&lt;&gt;"",VLOOKUP($D498,'SINAPI FEVEREIRO 2022'!$1:$1048576,2,FALSE),"")</f>
        <v>ARGAMASSA TRAÇO 1:4 (EM VOLUME DE CIMENTO E AREIA MÉDIA ÚMIDA), PREPARO MANUAL. AF_08/2019</v>
      </c>
      <c r="F498" s="173" t="str">
        <f>IF($D498&lt;&gt;"",VLOOKUP($D498,'SINAPI FEVEREIRO 2022'!$1:$1048576,3,FALSE),"")</f>
        <v>M3</v>
      </c>
      <c r="G498" s="327">
        <v>0.05</v>
      </c>
      <c r="H498" s="379">
        <f>IF($D498&lt;&gt;"",VLOOKUP($D498,'SINAPI FEVEREIRO 2022'!$1:$1048576,4,FALSE),"")</f>
        <v>502.15</v>
      </c>
      <c r="I498" s="398">
        <f t="shared" si="64"/>
        <v>25.1</v>
      </c>
    </row>
    <row r="499" spans="1:11" s="160" customFormat="1">
      <c r="A499" s="159"/>
      <c r="B499" s="94"/>
      <c r="C499" s="94"/>
      <c r="D499" s="177"/>
      <c r="E499" s="172"/>
      <c r="F499" s="173"/>
      <c r="G499" s="312"/>
      <c r="H499" s="379"/>
      <c r="I499" s="406"/>
    </row>
    <row r="500" spans="1:11" s="160" customFormat="1">
      <c r="A500" s="159"/>
      <c r="B500" s="183" t="s">
        <v>13288</v>
      </c>
      <c r="C500" s="185"/>
      <c r="D500" s="185"/>
      <c r="E500" s="186" t="s">
        <v>13289</v>
      </c>
      <c r="F500" s="185" t="s">
        <v>531</v>
      </c>
      <c r="G500" s="328">
        <v>1</v>
      </c>
      <c r="H500" s="390"/>
      <c r="I500" s="396">
        <f>TRUNC(SUM(I501:I505),2)</f>
        <v>990.67</v>
      </c>
    </row>
    <row r="501" spans="1:11" s="160" customFormat="1" ht="25.5">
      <c r="A501" s="159"/>
      <c r="B501" s="329" t="s">
        <v>4563</v>
      </c>
      <c r="C501" s="329" t="s">
        <v>6</v>
      </c>
      <c r="D501" s="330">
        <v>96987</v>
      </c>
      <c r="E501" s="172" t="str">
        <f>IF($D501&lt;&gt;"",VLOOKUP($D501,'SINAPI FEVEREIRO 2022'!$1:$1048576,2,FALSE),"")</f>
        <v>BASE METÁLICA PARA MASTRO 1 ½  PARA SPDA - FORNECIMENTO E INSTALAÇÃO. AF_12/2017</v>
      </c>
      <c r="F501" s="173" t="str">
        <f>IF($D501&lt;&gt;"",VLOOKUP($D501,'SINAPI FEVEREIRO 2022'!$1:$1048576,3,FALSE),"")</f>
        <v>UN</v>
      </c>
      <c r="G501" s="327">
        <v>1</v>
      </c>
      <c r="H501" s="379">
        <f>IF($D501&lt;&gt;"",VLOOKUP($D501,'SINAPI FEVEREIRO 2022'!$1:$1048576,4,FALSE),"")</f>
        <v>93.6</v>
      </c>
      <c r="I501" s="398">
        <f t="shared" ref="I501:I504" si="65">TRUNC(H501*G501,2)</f>
        <v>93.6</v>
      </c>
    </row>
    <row r="502" spans="1:11" s="160" customFormat="1" ht="25.5">
      <c r="A502" s="159"/>
      <c r="B502" s="329" t="s">
        <v>4563</v>
      </c>
      <c r="C502" s="329" t="s">
        <v>6</v>
      </c>
      <c r="D502" s="330">
        <v>96988</v>
      </c>
      <c r="E502" s="172" t="str">
        <f>IF($D502&lt;&gt;"",VLOOKUP($D502,'SINAPI FEVEREIRO 2022'!$1:$1048576,2,FALSE),"")</f>
        <v>MASTRO 1 ½  PARA SPDA - FORNECIMENTO E INSTALAÇÃO. AF_12/2017</v>
      </c>
      <c r="F502" s="173" t="str">
        <f>IF($D502&lt;&gt;"",VLOOKUP($D502,'SINAPI FEVEREIRO 2022'!$1:$1048576,3,FALSE),"")</f>
        <v>UN</v>
      </c>
      <c r="G502" s="327">
        <v>1</v>
      </c>
      <c r="H502" s="379">
        <f>IF($D502&lt;&gt;"",VLOOKUP($D502,'SINAPI FEVEREIRO 2022'!$1:$1048576,4,FALSE),"")</f>
        <v>165.89</v>
      </c>
      <c r="I502" s="398">
        <f t="shared" si="65"/>
        <v>165.89</v>
      </c>
    </row>
    <row r="503" spans="1:11" s="160" customFormat="1" ht="25.5">
      <c r="A503" s="159"/>
      <c r="B503" s="329" t="s">
        <v>546</v>
      </c>
      <c r="C503" s="329" t="s">
        <v>6</v>
      </c>
      <c r="D503" s="330">
        <v>96989</v>
      </c>
      <c r="E503" s="172" t="str">
        <f>IF($D503&lt;&gt;"",VLOOKUP($D503,'SINAPI FEVEREIRO 2022'!$1:$1048576,2,FALSE),"")</f>
        <v>CAPTOR TIPO FRANKLIN PARA SPDA - FORNECIMENTO E INSTALAÇÃO. AF_12/2017</v>
      </c>
      <c r="F503" s="173" t="str">
        <f>IF($D503&lt;&gt;"",VLOOKUP($D503,'SINAPI FEVEREIRO 2022'!$1:$1048576,3,FALSE),"")</f>
        <v>UN</v>
      </c>
      <c r="G503" s="327">
        <v>1</v>
      </c>
      <c r="H503" s="379">
        <f>IF($D503&lt;&gt;"",VLOOKUP($D503,'SINAPI FEVEREIRO 2022'!$1:$1048576,4,FALSE),"")</f>
        <v>138.91</v>
      </c>
      <c r="I503" s="398">
        <f t="shared" ref="I503" si="66">TRUNC(H503*G503,2)</f>
        <v>138.91</v>
      </c>
    </row>
    <row r="504" spans="1:11" s="160" customFormat="1" ht="25.5">
      <c r="A504" s="159"/>
      <c r="B504" s="329" t="s">
        <v>546</v>
      </c>
      <c r="C504" s="329" t="s">
        <v>6</v>
      </c>
      <c r="D504" s="330">
        <v>96973</v>
      </c>
      <c r="E504" s="172" t="str">
        <f>IF($D504&lt;&gt;"",VLOOKUP($D504,'SINAPI FEVEREIRO 2022'!$1:$1048576,2,FALSE),"")</f>
        <v>CORDOALHA DE COBRE NU 35 MM², NÃO ENTERRADA, COM ISOLADOR - FORNECIMENTO E INSTALAÇÃO. AF_12/2017</v>
      </c>
      <c r="F504" s="173" t="str">
        <f>IF($D504&lt;&gt;"",VLOOKUP($D504,'SINAPI FEVEREIRO 2022'!$1:$1048576,3,FALSE),"")</f>
        <v>M</v>
      </c>
      <c r="G504" s="327">
        <v>11</v>
      </c>
      <c r="H504" s="379">
        <f>IF($D504&lt;&gt;"",VLOOKUP($D504,'SINAPI FEVEREIRO 2022'!$1:$1048576,4,FALSE),"")</f>
        <v>49.7</v>
      </c>
      <c r="I504" s="398">
        <f t="shared" si="65"/>
        <v>546.70000000000005</v>
      </c>
    </row>
    <row r="505" spans="1:11" s="160" customFormat="1" ht="25.5">
      <c r="A505" s="159"/>
      <c r="B505" s="329" t="s">
        <v>546</v>
      </c>
      <c r="C505" s="329" t="s">
        <v>6</v>
      </c>
      <c r="D505" s="330">
        <v>96984</v>
      </c>
      <c r="E505" s="172" t="str">
        <f>IF($D505&lt;&gt;"",VLOOKUP($D505,'SINAPI FEVEREIRO 2022'!$1:$1048576,2,FALSE),"")</f>
        <v>ELETRODUTO PVC 40MM (1 ¼ ) PARA SPDA - FORNECIMENTO E INSTALAÇÃO. AF_12/2017</v>
      </c>
      <c r="F505" s="173" t="str">
        <f>IF($D505&lt;&gt;"",VLOOKUP($D505,'SINAPI FEVEREIRO 2022'!$1:$1048576,3,FALSE),"")</f>
        <v>UN</v>
      </c>
      <c r="G505" s="327">
        <v>1</v>
      </c>
      <c r="H505" s="379">
        <f>IF($D505&lt;&gt;"",VLOOKUP($D505,'SINAPI FEVEREIRO 2022'!$1:$1048576,4,FALSE),"")</f>
        <v>45.57</v>
      </c>
      <c r="I505" s="398">
        <f t="shared" ref="I505" si="67">TRUNC(H505*G505,2)</f>
        <v>45.57</v>
      </c>
    </row>
    <row r="506" spans="1:11" s="160" customFormat="1">
      <c r="A506" s="159"/>
      <c r="B506" s="745"/>
      <c r="C506" s="746"/>
      <c r="D506" s="747"/>
      <c r="E506" s="532"/>
      <c r="F506" s="533"/>
      <c r="G506" s="748"/>
      <c r="H506" s="534"/>
      <c r="I506" s="749"/>
    </row>
    <row r="507" spans="1:11" s="160" customFormat="1">
      <c r="A507" s="159"/>
      <c r="B507" s="183" t="s">
        <v>13290</v>
      </c>
      <c r="C507" s="185"/>
      <c r="D507" s="185"/>
      <c r="E507" s="186" t="s">
        <v>13291</v>
      </c>
      <c r="F507" s="185" t="s">
        <v>531</v>
      </c>
      <c r="G507" s="328">
        <v>1</v>
      </c>
      <c r="H507" s="390"/>
      <c r="I507" s="396">
        <f>TRUNC(SUM(I508:I510),2)</f>
        <v>11.14</v>
      </c>
    </row>
    <row r="508" spans="1:11" s="160" customFormat="1">
      <c r="A508" s="159"/>
      <c r="B508" s="329" t="s">
        <v>4563</v>
      </c>
      <c r="C508" s="329" t="s">
        <v>6</v>
      </c>
      <c r="D508" s="330">
        <v>88247</v>
      </c>
      <c r="E508" s="172" t="str">
        <f>IF($D508&lt;&gt;"",VLOOKUP($D508,'SINAPI FEVEREIRO 2022'!$1:$1048576,2,FALSE),"")</f>
        <v>AUXILIAR DE ELETRICISTA COM ENCARGOS COMPLEMENTARES</v>
      </c>
      <c r="F508" s="173" t="str">
        <f>IF($D508&lt;&gt;"",VLOOKUP($D508,'SINAPI FEVEREIRO 2022'!$1:$1048576,3,FALSE),"")</f>
        <v>H</v>
      </c>
      <c r="G508" s="327">
        <v>0.25330000000000003</v>
      </c>
      <c r="H508" s="379">
        <f>IF($D508&lt;&gt;"",VLOOKUP($D508,'SINAPI FEVEREIRO 2022'!$1:$1048576,4,FALSE),"")</f>
        <v>15.19</v>
      </c>
      <c r="I508" s="398">
        <f t="shared" ref="I508:I510" si="68">TRUNC(H508*G508,2)</f>
        <v>3.84</v>
      </c>
    </row>
    <row r="509" spans="1:11" s="160" customFormat="1">
      <c r="A509" s="159"/>
      <c r="B509" s="329" t="s">
        <v>4563</v>
      </c>
      <c r="C509" s="329" t="s">
        <v>6</v>
      </c>
      <c r="D509" s="330">
        <v>88264</v>
      </c>
      <c r="E509" s="172" t="str">
        <f>IF($D509&lt;&gt;"",VLOOKUP($D509,'SINAPI FEVEREIRO 2022'!$1:$1048576,2,FALSE),"")</f>
        <v>ELETRICISTA COM ENCARGOS COMPLEMENTARES</v>
      </c>
      <c r="F509" s="173" t="str">
        <f>IF($D509&lt;&gt;"",VLOOKUP($D509,'SINAPI FEVEREIRO 2022'!$1:$1048576,3,FALSE),"")</f>
        <v>H</v>
      </c>
      <c r="G509" s="327">
        <v>0.25330000000000003</v>
      </c>
      <c r="H509" s="379">
        <f>IF($D509&lt;&gt;"",VLOOKUP($D509,'SINAPI FEVEREIRO 2022'!$1:$1048576,4,FALSE),"")</f>
        <v>19.53</v>
      </c>
      <c r="I509" s="398">
        <f t="shared" si="68"/>
        <v>4.9400000000000004</v>
      </c>
    </row>
    <row r="510" spans="1:11" s="160" customFormat="1" ht="38.25">
      <c r="A510" s="159"/>
      <c r="B510" s="329" t="s">
        <v>546</v>
      </c>
      <c r="C510" s="329" t="s">
        <v>6</v>
      </c>
      <c r="D510" s="330">
        <v>1577</v>
      </c>
      <c r="E510" s="172" t="str">
        <f>IF($D510&lt;&gt;"",VLOOKUP($D510,'SINAPI FEVEREIRO 2022'!$1:$1048576,2,FALSE),"")</f>
        <v>TERMINAL A COMPRESSAO EM COBRE ESTANHADO PARA CABO 35 MM2, 1 FURO E 1 COMPRESSAO, PARA PARAFUSO DE FIXACAO M8</v>
      </c>
      <c r="F510" s="173" t="str">
        <f>IF($D510&lt;&gt;"",VLOOKUP($D510,'SINAPI FEVEREIRO 2022'!$1:$1048576,3,FALSE),"")</f>
        <v xml:space="preserve">UN    </v>
      </c>
      <c r="G510" s="327">
        <v>1</v>
      </c>
      <c r="H510" s="379">
        <f>IF($D510&lt;&gt;"",VLOOKUP($D510,'SINAPI FEVEREIRO 2022'!$1:$1048576,4,FALSE),"")</f>
        <v>2.36</v>
      </c>
      <c r="I510" s="398">
        <f t="shared" si="68"/>
        <v>2.36</v>
      </c>
    </row>
    <row r="511" spans="1:11" s="160" customFormat="1">
      <c r="A511" s="159"/>
      <c r="B511" s="745"/>
      <c r="C511" s="746"/>
      <c r="D511" s="747"/>
      <c r="E511" s="532"/>
      <c r="F511" s="533"/>
      <c r="G511" s="748"/>
      <c r="H511" s="534"/>
      <c r="I511" s="749"/>
    </row>
    <row r="512" spans="1:11">
      <c r="B512" s="977" t="s">
        <v>7046</v>
      </c>
      <c r="C512" s="978"/>
      <c r="D512" s="978"/>
      <c r="E512" s="978"/>
      <c r="F512" s="978"/>
      <c r="G512" s="978"/>
      <c r="H512" s="978"/>
      <c r="I512" s="979"/>
      <c r="J512" s="344"/>
      <c r="K512" s="229"/>
    </row>
    <row r="513" spans="2:11">
      <c r="B513" s="220"/>
      <c r="C513" s="220"/>
      <c r="D513" s="220"/>
      <c r="E513" s="230"/>
      <c r="F513" s="336"/>
      <c r="G513" s="314"/>
      <c r="H513" s="377"/>
      <c r="I513" s="407"/>
    </row>
    <row r="514" spans="2:11" ht="51">
      <c r="B514" s="223" t="s">
        <v>4130</v>
      </c>
      <c r="C514" s="222"/>
      <c r="D514" s="727" t="s">
        <v>3585</v>
      </c>
      <c r="E514" s="231" t="s">
        <v>4131</v>
      </c>
      <c r="F514" s="232" t="s">
        <v>24</v>
      </c>
      <c r="G514" s="301">
        <v>1</v>
      </c>
      <c r="H514" s="378"/>
      <c r="I514" s="396">
        <f>TRUNC(SUM(I515:I516),2)</f>
        <v>22.43</v>
      </c>
      <c r="J514" s="344"/>
      <c r="K514" s="229"/>
    </row>
    <row r="515" spans="2:11" ht="51">
      <c r="B515" s="179" t="s">
        <v>563</v>
      </c>
      <c r="C515" s="179" t="s">
        <v>6</v>
      </c>
      <c r="D515" s="189">
        <v>37539</v>
      </c>
      <c r="E515" s="172" t="str">
        <f>IF($D515&lt;&gt;"",VLOOKUP($D515,'SINAPI FEVEREIRO 2022'!$1:$1048576,2,FALSE),"")</f>
        <v>PLACA DE SINALIZACAO DE SEGURANCA CONTRA INCENDIO, FOTOLUMINESCENTE, RETANGULAR, *13 X 26* CM, EM PVC *2* MM ANTI-CHAMAS (SIMBOLOS, CORES E PICTOGRAMAS CONFORME NBR 16820)</v>
      </c>
      <c r="F515" s="173" t="str">
        <f>IF($D515&lt;&gt;"",VLOOKUP($D515,'SINAPI FEVEREIRO 2022'!$1:$1048576,3,FALSE),"")</f>
        <v xml:space="preserve">UN    </v>
      </c>
      <c r="G515" s="302">
        <v>1</v>
      </c>
      <c r="H515" s="379">
        <f>IF($D515&lt;&gt;"",VLOOKUP($D515,'SINAPI FEVEREIRO 2022'!$1:$1048576,4,FALSE),"")</f>
        <v>21.37</v>
      </c>
      <c r="I515" s="401">
        <f>TRUNC(G515*H515,2)</f>
        <v>21.37</v>
      </c>
      <c r="J515" s="344"/>
      <c r="K515" s="229"/>
    </row>
    <row r="516" spans="2:11">
      <c r="B516" s="179" t="s">
        <v>563</v>
      </c>
      <c r="C516" s="179" t="s">
        <v>6</v>
      </c>
      <c r="D516" s="561">
        <v>88316</v>
      </c>
      <c r="E516" s="172" t="str">
        <f>IF($D516&lt;&gt;"",VLOOKUP($D516,'SINAPI FEVEREIRO 2022'!$1:$1048576,2,FALSE),"")</f>
        <v>SERVENTE COM ENCARGOS COMPLEMENTARES</v>
      </c>
      <c r="F516" s="173" t="str">
        <f>IF($D516&lt;&gt;"",VLOOKUP($D516,'SINAPI FEVEREIRO 2022'!$1:$1048576,3,FALSE),"")</f>
        <v>H</v>
      </c>
      <c r="G516" s="310">
        <v>7.0000000000000007E-2</v>
      </c>
      <c r="H516" s="379">
        <f>IF($D516&lt;&gt;"",VLOOKUP($D516,'SINAPI FEVEREIRO 2022'!$1:$1048576,4,FALSE),"")</f>
        <v>15.16</v>
      </c>
      <c r="I516" s="401">
        <f>TRUNC(G516*H516,2)</f>
        <v>1.06</v>
      </c>
      <c r="J516" s="344"/>
      <c r="K516" s="229"/>
    </row>
    <row r="517" spans="2:11">
      <c r="B517" s="346"/>
      <c r="C517" s="224"/>
      <c r="D517" s="224"/>
      <c r="E517" s="225"/>
      <c r="F517" s="224"/>
      <c r="G517" s="303"/>
      <c r="H517" s="380"/>
      <c r="I517" s="399"/>
    </row>
    <row r="518" spans="2:11">
      <c r="B518" s="969" t="s">
        <v>7047</v>
      </c>
      <c r="C518" s="970"/>
      <c r="D518" s="970"/>
      <c r="E518" s="970"/>
      <c r="F518" s="970"/>
      <c r="G518" s="970"/>
      <c r="H518" s="970"/>
      <c r="I518" s="971"/>
      <c r="J518" s="344"/>
      <c r="K518" s="229"/>
    </row>
    <row r="519" spans="2:11">
      <c r="B519" s="93"/>
      <c r="C519" s="93"/>
      <c r="D519" s="176"/>
      <c r="E519" s="195"/>
      <c r="F519" s="93"/>
      <c r="G519" s="310"/>
      <c r="H519" s="380"/>
      <c r="I519" s="398"/>
      <c r="J519" s="344"/>
      <c r="K519" s="229"/>
    </row>
    <row r="520" spans="2:11" ht="25.5">
      <c r="B520" s="223" t="s">
        <v>3252</v>
      </c>
      <c r="C520" s="223"/>
      <c r="D520" s="223"/>
      <c r="E520" s="95" t="s">
        <v>3087</v>
      </c>
      <c r="F520" s="96" t="s">
        <v>531</v>
      </c>
      <c r="G520" s="301">
        <v>1</v>
      </c>
      <c r="H520" s="378"/>
      <c r="I520" s="396">
        <f>TRUNC(SUM(I521:I542),2)</f>
        <v>3261.08</v>
      </c>
      <c r="J520" s="344"/>
      <c r="K520" s="229"/>
    </row>
    <row r="521" spans="2:11">
      <c r="B521" s="715"/>
      <c r="C521" s="715"/>
      <c r="D521" s="716"/>
      <c r="E521" s="717" t="s">
        <v>7927</v>
      </c>
      <c r="F521" s="718"/>
      <c r="G521" s="719"/>
      <c r="H521" s="720"/>
      <c r="I521" s="721"/>
      <c r="J521" s="344"/>
      <c r="K521" s="229"/>
    </row>
    <row r="522" spans="2:11" ht="38.25">
      <c r="B522" s="329" t="s">
        <v>4563</v>
      </c>
      <c r="C522" s="329" t="s">
        <v>6</v>
      </c>
      <c r="D522" s="94">
        <v>97086</v>
      </c>
      <c r="E522" s="172" t="str">
        <f>IF($D522&lt;&gt;"",VLOOKUP($D522,'SINAPI FEVEREIRO 2022'!$1:$1048576,2,FALSE),"")</f>
        <v>FABRICAÇÃO, MONTAGEM E DESMONTAGEM DE FORMA PARA RADIER, PISO DE CONCRETO OU LAJE SOBRE SOLO, EM MADEIRA SERRADA, 4 UTILIZAÇÕES. AF_09/2021</v>
      </c>
      <c r="F522" s="173" t="str">
        <f>IF($D522&lt;&gt;"",VLOOKUP($D522,'SINAPI FEVEREIRO 2022'!$1:$1048576,3,FALSE),"")</f>
        <v>M2</v>
      </c>
      <c r="G522" s="449">
        <f>1.85*0.75</f>
        <v>1.3875000000000002</v>
      </c>
      <c r="H522" s="379">
        <f>IF($D522&lt;&gt;"",VLOOKUP($D522,'SINAPI FEVEREIRO 2022'!$1:$1048576,4,FALSE),"")</f>
        <v>94.25</v>
      </c>
      <c r="I522" s="398">
        <f t="shared" ref="I522:I542" si="69">TRUNC(H522*G522,2)</f>
        <v>130.77000000000001</v>
      </c>
      <c r="J522" s="344"/>
      <c r="K522" s="229"/>
    </row>
    <row r="523" spans="2:11" ht="25.5">
      <c r="B523" s="329" t="s">
        <v>4563</v>
      </c>
      <c r="C523" s="329" t="s">
        <v>6</v>
      </c>
      <c r="D523" s="94">
        <v>95240</v>
      </c>
      <c r="E523" s="172" t="str">
        <f>IF($D523&lt;&gt;"",VLOOKUP($D523,'SINAPI FEVEREIRO 2022'!$1:$1048576,2,FALSE),"")</f>
        <v>LASTRO DE CONCRETO MAGRO, APLICADO EM PISOS, LAJES SOBRE SOLO OU RADIERS, ESPESSURA DE 3 CM. AF_07/2016</v>
      </c>
      <c r="F523" s="173" t="str">
        <f>IF($D523&lt;&gt;"",VLOOKUP($D523,'SINAPI FEVEREIRO 2022'!$1:$1048576,3,FALSE),"")</f>
        <v>M2</v>
      </c>
      <c r="G523" s="449">
        <f>G522</f>
        <v>1.3875000000000002</v>
      </c>
      <c r="H523" s="379">
        <f>IF($D523&lt;&gt;"",VLOOKUP($D523,'SINAPI FEVEREIRO 2022'!$1:$1048576,4,FALSE),"")</f>
        <v>14.82</v>
      </c>
      <c r="I523" s="398">
        <f t="shared" si="69"/>
        <v>20.56</v>
      </c>
      <c r="J523" s="344"/>
      <c r="K523" s="229"/>
    </row>
    <row r="524" spans="2:11" ht="38.25">
      <c r="B524" s="329" t="s">
        <v>546</v>
      </c>
      <c r="C524" s="329" t="s">
        <v>6</v>
      </c>
      <c r="D524" s="94">
        <v>7156</v>
      </c>
      <c r="E524" s="172" t="str">
        <f>IF($D524&lt;&gt;"",VLOOKUP($D524,'SINAPI FEVEREIRO 2022'!$1:$1048576,2,FALSE),"")</f>
        <v>TELA DE ACO SOLDADA NERVURADA, CA-60, Q-196, (3,11 KG/M2), DIAMETRO DO FIO = 5,0 MM, LARGURA = 2,45 M, ESPACAMENTO DA MALHA = 10 X 10 CM</v>
      </c>
      <c r="F524" s="173" t="str">
        <f>IF($D524&lt;&gt;"",VLOOKUP($D524,'SINAPI FEVEREIRO 2022'!$1:$1048576,3,FALSE),"")</f>
        <v xml:space="preserve">M2    </v>
      </c>
      <c r="G524" s="449">
        <f>G522</f>
        <v>1.3875000000000002</v>
      </c>
      <c r="H524" s="379">
        <f>IF($D524&lt;&gt;"",VLOOKUP($D524,'SINAPI FEVEREIRO 2022'!$1:$1048576,4,FALSE),"")</f>
        <v>49.86</v>
      </c>
      <c r="I524" s="398">
        <f t="shared" si="69"/>
        <v>69.180000000000007</v>
      </c>
      <c r="J524" s="344"/>
      <c r="K524" s="229"/>
    </row>
    <row r="525" spans="2:11" ht="25.5">
      <c r="B525" s="329" t="s">
        <v>4563</v>
      </c>
      <c r="C525" s="329" t="s">
        <v>6</v>
      </c>
      <c r="D525" s="184">
        <v>43132</v>
      </c>
      <c r="E525" s="172" t="str">
        <f>IF($D525&lt;&gt;"",VLOOKUP($D525,'SINAPI FEVEREIRO 2022'!$1:$1048576,2,FALSE),"")</f>
        <v>ARAME RECOZIDO 16 BWG, D = 1,65 MM (0,016 KG/M) OU 18 BWG, D = 1,25 MM (0,01 KG/M)</v>
      </c>
      <c r="F525" s="173" t="str">
        <f>IF($D525&lt;&gt;"",VLOOKUP($D525,'SINAPI FEVEREIRO 2022'!$1:$1048576,3,FALSE),"")</f>
        <v xml:space="preserve">KG    </v>
      </c>
      <c r="G525" s="449">
        <v>0.39</v>
      </c>
      <c r="H525" s="379">
        <f>IF($D525&lt;&gt;"",VLOOKUP($D525,'SINAPI FEVEREIRO 2022'!$1:$1048576,4,FALSE),"")</f>
        <v>20</v>
      </c>
      <c r="I525" s="398">
        <f t="shared" si="69"/>
        <v>7.8</v>
      </c>
      <c r="J525" s="344"/>
      <c r="K525" s="229"/>
    </row>
    <row r="526" spans="2:11" ht="38.25">
      <c r="B526" s="329" t="s">
        <v>4563</v>
      </c>
      <c r="C526" s="329" t="s">
        <v>6</v>
      </c>
      <c r="D526" s="94">
        <v>97096</v>
      </c>
      <c r="E526" s="172" t="str">
        <f>IF($D526&lt;&gt;"",VLOOKUP($D526,'SINAPI FEVEREIRO 2022'!$1:$1048576,2,FALSE),"")</f>
        <v>CONCRETAGEM DE RADIER, PISO DE CONCRETO OU LAJE SOBRE SOLO, FCK 30 MPA - LANÇAMENTO, ADENSAMENTO E ACABAMENTO. AF_09/2021</v>
      </c>
      <c r="F526" s="173" t="str">
        <f>IF($D526&lt;&gt;"",VLOOKUP($D526,'SINAPI FEVEREIRO 2022'!$1:$1048576,3,FALSE),"")</f>
        <v>M3</v>
      </c>
      <c r="G526" s="449">
        <f>G522*0.1</f>
        <v>0.13875000000000001</v>
      </c>
      <c r="H526" s="379">
        <f>IF($D526&lt;&gt;"",VLOOKUP($D526,'SINAPI FEVEREIRO 2022'!$1:$1048576,4,FALSE),"")</f>
        <v>646.91</v>
      </c>
      <c r="I526" s="398">
        <f>TRUNC(H526*G526,2)</f>
        <v>89.75</v>
      </c>
      <c r="J526" s="344"/>
      <c r="K526" s="229"/>
    </row>
    <row r="527" spans="2:11">
      <c r="B527" s="329" t="s">
        <v>4563</v>
      </c>
      <c r="C527" s="329" t="s">
        <v>6</v>
      </c>
      <c r="D527" s="94">
        <v>88238</v>
      </c>
      <c r="E527" s="172" t="str">
        <f>IF($D527&lt;&gt;"",VLOOKUP($D527,'SINAPI FEVEREIRO 2022'!$1:$1048576,2,FALSE),"")</f>
        <v>AJUDANTE DE ARMADOR COM ENCARGOS COMPLEMENTARES</v>
      </c>
      <c r="F527" s="173" t="str">
        <f>IF($D527&lt;&gt;"",VLOOKUP($D527,'SINAPI FEVEREIRO 2022'!$1:$1048576,3,FALSE),"")</f>
        <v>H</v>
      </c>
      <c r="G527" s="449">
        <v>0.01</v>
      </c>
      <c r="H527" s="379">
        <f>IF($D527&lt;&gt;"",VLOOKUP($D527,'SINAPI FEVEREIRO 2022'!$1:$1048576,4,FALSE),"")</f>
        <v>15.19</v>
      </c>
      <c r="I527" s="398">
        <f t="shared" ref="I527:I528" si="70">TRUNC(H527*G527,2)</f>
        <v>0.15</v>
      </c>
      <c r="J527" s="344"/>
      <c r="K527" s="229"/>
    </row>
    <row r="528" spans="2:11">
      <c r="B528" s="329" t="s">
        <v>4563</v>
      </c>
      <c r="C528" s="329" t="s">
        <v>6</v>
      </c>
      <c r="D528" s="94">
        <v>88245</v>
      </c>
      <c r="E528" s="172" t="str">
        <f>IF($D528&lt;&gt;"",VLOOKUP($D528,'SINAPI FEVEREIRO 2022'!$1:$1048576,2,FALSE),"")</f>
        <v>ARMADOR COM ENCARGOS COMPLEMENTARES</v>
      </c>
      <c r="F528" s="173" t="str">
        <f>IF($D528&lt;&gt;"",VLOOKUP($D528,'SINAPI FEVEREIRO 2022'!$1:$1048576,3,FALSE),"")</f>
        <v>H</v>
      </c>
      <c r="G528" s="449">
        <v>0.03</v>
      </c>
      <c r="H528" s="379">
        <f>IF($D528&lt;&gt;"",VLOOKUP($D528,'SINAPI FEVEREIRO 2022'!$1:$1048576,4,FALSE),"")</f>
        <v>18.75</v>
      </c>
      <c r="I528" s="398">
        <f t="shared" si="70"/>
        <v>0.56000000000000005</v>
      </c>
      <c r="J528" s="344"/>
      <c r="K528" s="229"/>
    </row>
    <row r="529" spans="2:11">
      <c r="B529" s="715"/>
      <c r="C529" s="715"/>
      <c r="D529" s="716"/>
      <c r="E529" s="717" t="s">
        <v>7928</v>
      </c>
      <c r="F529" s="718"/>
      <c r="G529" s="719"/>
      <c r="H529" s="720"/>
      <c r="I529" s="721"/>
      <c r="J529" s="344"/>
      <c r="K529" s="229"/>
    </row>
    <row r="530" spans="2:11" ht="38.25">
      <c r="B530" s="329" t="s">
        <v>4563</v>
      </c>
      <c r="C530" s="329" t="s">
        <v>6</v>
      </c>
      <c r="D530" s="94">
        <v>103322</v>
      </c>
      <c r="E530" s="172" t="str">
        <f>IF($D530&lt;&gt;"",VLOOKUP($D530,'SINAPI FEVEREIRO 2022'!$1:$1048576,2,FALSE),"")</f>
        <v>ALVENARIA DE VEDAÇÃO DE BLOCOS CERÂMICOS FURADOS NA VERTICAL DE 9X19X39 CM (ESPESSURA 9 CM) E ARGAMASSA DE ASSENTAMENTO COM PREPARO EM BETONEIRA. AF_12/2021</v>
      </c>
      <c r="F530" s="173" t="str">
        <f>IF($D530&lt;&gt;"",VLOOKUP($D530,'SINAPI FEVEREIRO 2022'!$1:$1048576,3,FALSE),"")</f>
        <v>M2</v>
      </c>
      <c r="G530" s="449">
        <f>(1.85*2)+(0.75*2*2)</f>
        <v>6.7</v>
      </c>
      <c r="H530" s="379">
        <f>IF($D530&lt;&gt;"",VLOOKUP($D530,'SINAPI FEVEREIRO 2022'!$1:$1048576,4,FALSE),"")</f>
        <v>53.73</v>
      </c>
      <c r="I530" s="398">
        <f>TRUNC(H530*G530,2)</f>
        <v>359.99</v>
      </c>
      <c r="J530" s="344"/>
      <c r="K530" s="229"/>
    </row>
    <row r="531" spans="2:11" ht="51">
      <c r="B531" s="329" t="s">
        <v>4563</v>
      </c>
      <c r="C531" s="329" t="s">
        <v>6</v>
      </c>
      <c r="D531" s="94">
        <v>87905</v>
      </c>
      <c r="E531" s="172" t="str">
        <f>IF($D531&lt;&gt;"",VLOOKUP($D531,'SINAPI FEVEREIRO 2022'!$1:$1048576,2,FALSE),"")</f>
        <v>CHAPISCO APLICADO EM ALVENARIA (COM PRESENÇA DE VÃOS) E ESTRUTURAS DE CONCRETO DE FACHADA, COM COLHER DE PEDREIRO.  ARGAMASSA TRAÇO 1:3 COM PREPARO EM BETONEIRA 400L. AF_06/2014</v>
      </c>
      <c r="F531" s="173" t="str">
        <f>IF($D531&lt;&gt;"",VLOOKUP($D531,'SINAPI FEVEREIRO 2022'!$1:$1048576,3,FALSE),"")</f>
        <v>M2</v>
      </c>
      <c r="G531" s="449">
        <f>G530+(0.75*2*2)+G522+G537</f>
        <v>12.474999999999998</v>
      </c>
      <c r="H531" s="379">
        <f>IF($D531&lt;&gt;"",VLOOKUP($D531,'SINAPI FEVEREIRO 2022'!$1:$1048576,4,FALSE),"")</f>
        <v>6.7</v>
      </c>
      <c r="I531" s="398">
        <f t="shared" si="69"/>
        <v>83.58</v>
      </c>
      <c r="J531" s="344"/>
      <c r="K531" s="229"/>
    </row>
    <row r="532" spans="2:11" ht="63.75">
      <c r="B532" s="329" t="s">
        <v>4563</v>
      </c>
      <c r="C532" s="329" t="s">
        <v>6</v>
      </c>
      <c r="D532" s="94">
        <v>87529</v>
      </c>
      <c r="E532" s="172" t="str">
        <f>IF($D532&lt;&gt;"",VLOOKUP($D532,'SINAPI FEVEREIRO 2022'!$1:$1048576,2,FALSE),"")</f>
        <v>MASSA ÚNICA, PARA RECEBIMENTO DE PINTURA, EM ARGAMASSA TRAÇO 1:2:8, PREPARO MECÂNICO COM BETONEIRA 400L, APLICADA MANUALMENTE EM FACES INTERNAS DE PAREDES, ESPESSURA DE 20MM, COM EXECUÇÃO DE TALISCAS. AF_06/2014</v>
      </c>
      <c r="F532" s="173" t="str">
        <f>IF($D532&lt;&gt;"",VLOOKUP($D532,'SINAPI FEVEREIRO 2022'!$1:$1048576,3,FALSE),"")</f>
        <v>M2</v>
      </c>
      <c r="G532" s="449">
        <f>G531</f>
        <v>12.474999999999998</v>
      </c>
      <c r="H532" s="379">
        <f>IF($D532&lt;&gt;"",VLOOKUP($D532,'SINAPI FEVEREIRO 2022'!$1:$1048576,4,FALSE),"")</f>
        <v>28.39</v>
      </c>
      <c r="I532" s="398">
        <f t="shared" si="69"/>
        <v>354.16</v>
      </c>
      <c r="J532" s="344"/>
      <c r="K532" s="229"/>
    </row>
    <row r="533" spans="2:11" ht="25.5">
      <c r="B533" s="329" t="s">
        <v>4563</v>
      </c>
      <c r="C533" s="329" t="s">
        <v>6</v>
      </c>
      <c r="D533" s="94">
        <v>88415</v>
      </c>
      <c r="E533" s="172" t="str">
        <f>IF($D533&lt;&gt;"",VLOOKUP($D533,'SINAPI FEVEREIRO 2022'!$1:$1048576,2,FALSE),"")</f>
        <v>APLICAÇÃO MANUAL DE FUNDO SELADOR ACRÍLICO EM PAREDES EXTERNAS DE CASAS. AF_06/2014</v>
      </c>
      <c r="F533" s="173" t="str">
        <f>IF($D533&lt;&gt;"",VLOOKUP($D533,'SINAPI FEVEREIRO 2022'!$1:$1048576,3,FALSE),"")</f>
        <v>M2</v>
      </c>
      <c r="G533" s="449">
        <f>G532</f>
        <v>12.474999999999998</v>
      </c>
      <c r="H533" s="379">
        <f>IF($D533&lt;&gt;"",VLOOKUP($D533,'SINAPI FEVEREIRO 2022'!$1:$1048576,4,FALSE),"")</f>
        <v>1.99</v>
      </c>
      <c r="I533" s="398">
        <f t="shared" si="69"/>
        <v>24.82</v>
      </c>
      <c r="J533" s="344"/>
      <c r="K533" s="229"/>
    </row>
    <row r="534" spans="2:11" ht="25.5">
      <c r="B534" s="329" t="s">
        <v>4563</v>
      </c>
      <c r="C534" s="329" t="s">
        <v>6</v>
      </c>
      <c r="D534" s="94">
        <v>88489</v>
      </c>
      <c r="E534" s="172" t="str">
        <f>IF($D534&lt;&gt;"",VLOOKUP($D534,'SINAPI FEVEREIRO 2022'!$1:$1048576,2,FALSE),"")</f>
        <v>APLICAÇÃO MANUAL DE PINTURA COM TINTA LÁTEX ACRÍLICA EM PAREDES, DUAS DEMÃOS. AF_06/2014</v>
      </c>
      <c r="F534" s="173" t="str">
        <f>IF($D534&lt;&gt;"",VLOOKUP($D534,'SINAPI FEVEREIRO 2022'!$1:$1048576,3,FALSE),"")</f>
        <v>M2</v>
      </c>
      <c r="G534" s="449">
        <f>G533</f>
        <v>12.474999999999998</v>
      </c>
      <c r="H534" s="379">
        <f>IF($D534&lt;&gt;"",VLOOKUP($D534,'SINAPI FEVEREIRO 2022'!$1:$1048576,4,FALSE),"")</f>
        <v>12.15</v>
      </c>
      <c r="I534" s="398">
        <f t="shared" si="69"/>
        <v>151.57</v>
      </c>
      <c r="J534" s="344"/>
      <c r="K534" s="229"/>
    </row>
    <row r="535" spans="2:11" ht="38.25">
      <c r="B535" s="329" t="s">
        <v>4563</v>
      </c>
      <c r="C535" s="329" t="s">
        <v>6</v>
      </c>
      <c r="D535" s="94">
        <v>91341</v>
      </c>
      <c r="E535" s="172" t="str">
        <f>IF($D535&lt;&gt;"",VLOOKUP($D535,'SINAPI FEVEREIRO 2022'!$1:$1048576,2,FALSE),"")</f>
        <v>PORTA EM ALUMÍNIO DE ABRIR TIPO VENEZIANA COM GUARNIÇÃO, FIXAÇÃO COM PARAFUSOS - FORNECIMENTO E INSTALAÇÃO. AF_12/2019</v>
      </c>
      <c r="F535" s="173" t="str">
        <f>IF($D535&lt;&gt;"",VLOOKUP($D535,'SINAPI FEVEREIRO 2022'!$1:$1048576,3,FALSE),"")</f>
        <v>M2</v>
      </c>
      <c r="G535" s="449">
        <v>2</v>
      </c>
      <c r="H535" s="379">
        <f>IF($D535&lt;&gt;"",VLOOKUP($D535,'SINAPI FEVEREIRO 2022'!$1:$1048576,4,FALSE),"")</f>
        <v>720.17</v>
      </c>
      <c r="I535" s="398">
        <f t="shared" si="69"/>
        <v>1440.34</v>
      </c>
      <c r="J535" s="344"/>
      <c r="K535" s="229"/>
    </row>
    <row r="536" spans="2:11">
      <c r="B536" s="715"/>
      <c r="C536" s="715"/>
      <c r="D536" s="716"/>
      <c r="E536" s="717" t="s">
        <v>7929</v>
      </c>
      <c r="F536" s="718"/>
      <c r="G536" s="719"/>
      <c r="H536" s="720"/>
      <c r="I536" s="721"/>
      <c r="J536" s="344"/>
      <c r="K536" s="229"/>
    </row>
    <row r="537" spans="2:11" ht="25.5">
      <c r="B537" s="329" t="s">
        <v>4563</v>
      </c>
      <c r="C537" s="329" t="s">
        <v>6</v>
      </c>
      <c r="D537" s="94">
        <v>92268</v>
      </c>
      <c r="E537" s="172" t="str">
        <f>IF($D537&lt;&gt;"",VLOOKUP($D537,'SINAPI FEVEREIRO 2022'!$1:$1048576,2,FALSE),"")</f>
        <v>FABRICAÇÃO DE FÔRMA PARA LAJES, EM CHAPA DE MADEIRA COMPENSADA PLASTIFICADA, E = 18 MM. AF_09/2020</v>
      </c>
      <c r="F537" s="173" t="str">
        <f>IF($D537&lt;&gt;"",VLOOKUP($D537,'SINAPI FEVEREIRO 2022'!$1:$1048576,3,FALSE),"")</f>
        <v>M2</v>
      </c>
      <c r="G537" s="449">
        <f>G522</f>
        <v>1.3875000000000002</v>
      </c>
      <c r="H537" s="379">
        <f>IF($D537&lt;&gt;"",VLOOKUP($D537,'SINAPI FEVEREIRO 2022'!$1:$1048576,4,FALSE),"")</f>
        <v>116.1</v>
      </c>
      <c r="I537" s="398">
        <f t="shared" si="69"/>
        <v>161.08000000000001</v>
      </c>
      <c r="J537" s="344"/>
      <c r="K537" s="229"/>
    </row>
    <row r="538" spans="2:11" ht="38.25">
      <c r="B538" s="329" t="s">
        <v>4563</v>
      </c>
      <c r="C538" s="329" t="s">
        <v>6</v>
      </c>
      <c r="D538" s="94">
        <v>7156</v>
      </c>
      <c r="E538" s="172" t="str">
        <f>IF($D538&lt;&gt;"",VLOOKUP($D538,'SINAPI FEVEREIRO 2022'!$1:$1048576,2,FALSE),"")</f>
        <v>TELA DE ACO SOLDADA NERVURADA, CA-60, Q-196, (3,11 KG/M2), DIAMETRO DO FIO = 5,0 MM, LARGURA = 2,45 M, ESPACAMENTO DA MALHA = 10 X 10 CM</v>
      </c>
      <c r="F538" s="173" t="str">
        <f>IF($D538&lt;&gt;"",VLOOKUP($D538,'SINAPI FEVEREIRO 2022'!$1:$1048576,3,FALSE),"")</f>
        <v xml:space="preserve">M2    </v>
      </c>
      <c r="G538" s="449">
        <f>G524</f>
        <v>1.3875000000000002</v>
      </c>
      <c r="H538" s="379">
        <f>IF($D538&lt;&gt;"",VLOOKUP($D538,'SINAPI FEVEREIRO 2022'!$1:$1048576,4,FALSE),"")</f>
        <v>49.86</v>
      </c>
      <c r="I538" s="398">
        <f t="shared" si="69"/>
        <v>69.180000000000007</v>
      </c>
      <c r="J538" s="344"/>
      <c r="K538" s="229"/>
    </row>
    <row r="539" spans="2:11" ht="25.5">
      <c r="B539" s="329" t="s">
        <v>4563</v>
      </c>
      <c r="C539" s="329" t="s">
        <v>6</v>
      </c>
      <c r="D539" s="184">
        <v>43132</v>
      </c>
      <c r="E539" s="172" t="str">
        <f>IF($D539&lt;&gt;"",VLOOKUP($D539,'SINAPI FEVEREIRO 2022'!$1:$1048576,2,FALSE),"")</f>
        <v>ARAME RECOZIDO 16 BWG, D = 1,65 MM (0,016 KG/M) OU 18 BWG, D = 1,25 MM (0,01 KG/M)</v>
      </c>
      <c r="F539" s="173" t="str">
        <f>IF($D539&lt;&gt;"",VLOOKUP($D539,'SINAPI FEVEREIRO 2022'!$1:$1048576,3,FALSE),"")</f>
        <v xml:space="preserve">KG    </v>
      </c>
      <c r="G539" s="449">
        <f>G525</f>
        <v>0.39</v>
      </c>
      <c r="H539" s="379">
        <f>IF($D539&lt;&gt;"",VLOOKUP($D539,'SINAPI FEVEREIRO 2022'!$1:$1048576,4,FALSE),"")</f>
        <v>20</v>
      </c>
      <c r="I539" s="398">
        <f t="shared" si="69"/>
        <v>7.8</v>
      </c>
      <c r="J539" s="344"/>
      <c r="K539" s="229"/>
    </row>
    <row r="540" spans="2:11" ht="38.25">
      <c r="B540" s="329" t="s">
        <v>4563</v>
      </c>
      <c r="C540" s="329" t="s">
        <v>6</v>
      </c>
      <c r="D540" s="94">
        <v>97096</v>
      </c>
      <c r="E540" s="172" t="str">
        <f>IF($D540&lt;&gt;"",VLOOKUP($D540,'SINAPI FEVEREIRO 2022'!$1:$1048576,2,FALSE),"")</f>
        <v>CONCRETAGEM DE RADIER, PISO DE CONCRETO OU LAJE SOBRE SOLO, FCK 30 MPA - LANÇAMENTO, ADENSAMENTO E ACABAMENTO. AF_09/2021</v>
      </c>
      <c r="F540" s="173" t="str">
        <f>IF($D540&lt;&gt;"",VLOOKUP($D540,'SINAPI FEVEREIRO 2022'!$1:$1048576,3,FALSE),"")</f>
        <v>M3</v>
      </c>
      <c r="G540" s="449">
        <f>G537*0.1</f>
        <v>0.13875000000000001</v>
      </c>
      <c r="H540" s="379">
        <f>IF($D540&lt;&gt;"",VLOOKUP($D540,'SINAPI FEVEREIRO 2022'!$1:$1048576,4,FALSE),"")</f>
        <v>646.91</v>
      </c>
      <c r="I540" s="398">
        <f t="shared" si="69"/>
        <v>89.75</v>
      </c>
      <c r="J540" s="344"/>
      <c r="K540" s="229"/>
    </row>
    <row r="541" spans="2:11" ht="25.5">
      <c r="B541" s="715"/>
      <c r="C541" s="715"/>
      <c r="D541" s="716"/>
      <c r="E541" s="717" t="s">
        <v>7930</v>
      </c>
      <c r="F541" s="718"/>
      <c r="G541" s="719"/>
      <c r="H541" s="720"/>
      <c r="I541" s="721"/>
      <c r="J541" s="344"/>
      <c r="K541" s="229"/>
    </row>
    <row r="542" spans="2:11" ht="38.25">
      <c r="B542" s="561" t="s">
        <v>548</v>
      </c>
      <c r="C542" s="93" t="s">
        <v>6</v>
      </c>
      <c r="D542" s="560">
        <v>98561</v>
      </c>
      <c r="E542" s="172" t="str">
        <f>IF($D542&lt;&gt;"",VLOOKUP($D542,'SINAPI FEVEREIRO 2022'!$1:$1048576,2,FALSE),"")</f>
        <v>IMPERMEABILIZAÇÃO DE PAREDES COM ARGAMASSA DE CIMENTO E AREIA, COM ADITIVO IMPERMEABILIZANTE, E = 2CM. AF_06/2018</v>
      </c>
      <c r="F542" s="173" t="str">
        <f>IF($D542&lt;&gt;"",VLOOKUP($D542,'SINAPI FEVEREIRO 2022'!$1:$1048576,3,FALSE),"")</f>
        <v>M2</v>
      </c>
      <c r="G542" s="375">
        <v>6.125</v>
      </c>
      <c r="H542" s="379">
        <f>IF($D542&lt;&gt;"",VLOOKUP($D542,'SINAPI FEVEREIRO 2022'!$1:$1048576,4,FALSE),"")</f>
        <v>32.659999999999997</v>
      </c>
      <c r="I542" s="398">
        <f t="shared" si="69"/>
        <v>200.04</v>
      </c>
      <c r="J542" s="344"/>
      <c r="K542" s="229"/>
    </row>
    <row r="543" spans="2:11">
      <c r="B543" s="93"/>
      <c r="C543" s="93"/>
      <c r="D543" s="176"/>
      <c r="E543" s="195"/>
      <c r="F543" s="93"/>
      <c r="G543" s="310"/>
      <c r="H543" s="380"/>
      <c r="I543" s="398"/>
      <c r="J543" s="344"/>
      <c r="K543" s="229"/>
    </row>
    <row r="544" spans="2:11" ht="25.5">
      <c r="B544" s="223" t="s">
        <v>3253</v>
      </c>
      <c r="C544" s="223"/>
      <c r="D544" s="223"/>
      <c r="E544" s="95" t="s">
        <v>7052</v>
      </c>
      <c r="F544" s="96" t="s">
        <v>661</v>
      </c>
      <c r="G544" s="301">
        <v>1</v>
      </c>
      <c r="H544" s="378"/>
      <c r="I544" s="396">
        <f>TRUNC(SUM(I545:I548),2)</f>
        <v>400.73</v>
      </c>
    </row>
    <row r="545" spans="2:11">
      <c r="B545" s="329" t="s">
        <v>4563</v>
      </c>
      <c r="C545" s="93" t="s">
        <v>6</v>
      </c>
      <c r="D545" s="93">
        <v>88316</v>
      </c>
      <c r="E545" s="172" t="str">
        <f>IF($D545&lt;&gt;"",VLOOKUP($D545,'SINAPI FEVEREIRO 2022'!$1:$1048576,2,FALSE),"")</f>
        <v>SERVENTE COM ENCARGOS COMPLEMENTARES</v>
      </c>
      <c r="F545" s="173" t="str">
        <f>IF($D545&lt;&gt;"",VLOOKUP($D545,'SINAPI FEVEREIRO 2022'!$1:$1048576,3,FALSE),"")</f>
        <v>H</v>
      </c>
      <c r="G545" s="449">
        <v>0.6</v>
      </c>
      <c r="H545" s="379">
        <f>IF($D545&lt;&gt;"",VLOOKUP($D545,'SINAPI FEVEREIRO 2022'!$1:$1048576,4,FALSE),"")</f>
        <v>15.16</v>
      </c>
      <c r="I545" s="398">
        <f>TRUNC(H545*G545,2)</f>
        <v>9.09</v>
      </c>
      <c r="J545" s="344"/>
      <c r="K545" s="229"/>
    </row>
    <row r="546" spans="2:11" ht="25.5">
      <c r="B546" s="329" t="s">
        <v>546</v>
      </c>
      <c r="C546" s="93" t="s">
        <v>6</v>
      </c>
      <c r="D546" s="93">
        <v>36887</v>
      </c>
      <c r="E546" s="172" t="str">
        <f>IF($D546&lt;&gt;"",VLOOKUP($D546,'SINAPI FEVEREIRO 2022'!$1:$1048576,2,FALSE),"")</f>
        <v>TELA DE FIBRA DE VIDRO, ACABAMENTO ANTI-ALCALINO, MALHA 10 X 10 MM</v>
      </c>
      <c r="F546" s="173" t="str">
        <f>IF($D546&lt;&gt;"",VLOOKUP($D546,'SINAPI FEVEREIRO 2022'!$1:$1048576,3,FALSE),"")</f>
        <v xml:space="preserve">M2    </v>
      </c>
      <c r="G546" s="449">
        <v>1</v>
      </c>
      <c r="H546" s="379">
        <f>IF($D546&lt;&gt;"",VLOOKUP($D546,'SINAPI FEVEREIRO 2022'!$1:$1048576,4,FALSE),"")</f>
        <v>10.87</v>
      </c>
      <c r="I546" s="398">
        <f>TRUNC(H546*G546,2)</f>
        <v>10.87</v>
      </c>
      <c r="J546" s="344"/>
      <c r="K546" s="229"/>
    </row>
    <row r="547" spans="2:11" ht="38.25">
      <c r="B547" s="329" t="s">
        <v>546</v>
      </c>
      <c r="C547" s="93" t="s">
        <v>6</v>
      </c>
      <c r="D547" s="93">
        <v>36888</v>
      </c>
      <c r="E547" s="172" t="str">
        <f>IF($D547&lt;&gt;"",VLOOKUP($D547,'SINAPI FEVEREIRO 2022'!$1:$1048576,2,FALSE),"")</f>
        <v>GUARNICAO / MOLDURA / ARREMATE DE ACABAMENTO PARA ESQUADRIA, EM ALUMINIO PERFIL 25, ACABAMENTO ANODIZADO BRANCO OU BRILHANTE, PARA 1 FACE</v>
      </c>
      <c r="F547" s="173" t="str">
        <f>IF($D547&lt;&gt;"",VLOOKUP($D547,'SINAPI FEVEREIRO 2022'!$1:$1048576,3,FALSE),"")</f>
        <v xml:space="preserve">M     </v>
      </c>
      <c r="G547" s="449">
        <f>8.6</f>
        <v>8.6</v>
      </c>
      <c r="H547" s="379">
        <f>IF($D547&lt;&gt;"",VLOOKUP($D547,'SINAPI FEVEREIRO 2022'!$1:$1048576,4,FALSE),"")</f>
        <v>43.85</v>
      </c>
      <c r="I547" s="398">
        <f>TRUNC(H547*G547,2)</f>
        <v>377.11</v>
      </c>
    </row>
    <row r="548" spans="2:11" ht="38.25">
      <c r="B548" s="329" t="s">
        <v>546</v>
      </c>
      <c r="C548" s="93" t="s">
        <v>6</v>
      </c>
      <c r="D548" s="93">
        <v>7568</v>
      </c>
      <c r="E548" s="172" t="str">
        <f>IF($D548&lt;&gt;"",VLOOKUP($D548,'SINAPI FEVEREIRO 2022'!$1:$1048576,2,FALSE),"")</f>
        <v>BUCHA DE NYLON SEM ABA S10, COM PARAFUSO DE 6,10 X 65 MM EM ACO ZINCADO COM ROSCA SOBERBA, CABECA CHATA E FENDA PHILLIPS</v>
      </c>
      <c r="F548" s="173" t="str">
        <f>IF($D548&lt;&gt;"",VLOOKUP($D548,'SINAPI FEVEREIRO 2022'!$1:$1048576,3,FALSE),"")</f>
        <v xml:space="preserve">UN    </v>
      </c>
      <c r="G548" s="449">
        <v>6</v>
      </c>
      <c r="H548" s="379">
        <f>IF($D548&lt;&gt;"",VLOOKUP($D548,'SINAPI FEVEREIRO 2022'!$1:$1048576,4,FALSE),"")</f>
        <v>0.61</v>
      </c>
      <c r="I548" s="398">
        <f>TRUNC(H548*G548,2)</f>
        <v>3.66</v>
      </c>
      <c r="J548" s="344"/>
      <c r="K548" s="229"/>
    </row>
    <row r="549" spans="2:11" ht="15.75" customHeight="1">
      <c r="B549" s="93"/>
      <c r="C549" s="93"/>
      <c r="D549" s="176"/>
      <c r="E549" s="195"/>
      <c r="F549" s="93"/>
      <c r="G549" s="310"/>
      <c r="H549" s="380"/>
      <c r="I549" s="398"/>
      <c r="J549" s="344"/>
      <c r="K549" s="229"/>
    </row>
    <row r="550" spans="2:11" ht="25.5">
      <c r="B550" s="223" t="s">
        <v>3254</v>
      </c>
      <c r="C550" s="223"/>
      <c r="D550" s="223"/>
      <c r="E550" s="95" t="s">
        <v>7684</v>
      </c>
      <c r="F550" s="96" t="s">
        <v>531</v>
      </c>
      <c r="G550" s="301">
        <v>1</v>
      </c>
      <c r="H550" s="378"/>
      <c r="I550" s="396">
        <f>TRUNC(SUM(I551:I557),2)</f>
        <v>2101.87</v>
      </c>
      <c r="J550" s="344"/>
      <c r="K550" s="229"/>
    </row>
    <row r="551" spans="2:11" ht="38.25">
      <c r="B551" s="329" t="s">
        <v>4563</v>
      </c>
      <c r="C551" s="329" t="s">
        <v>6</v>
      </c>
      <c r="D551" s="93">
        <v>100788</v>
      </c>
      <c r="E551" s="172" t="str">
        <f>IF($D551&lt;&gt;"",VLOOKUP($D551,'SINAPI FEVEREIRO 2022'!$1:$1048576,2,FALSE),"")</f>
        <v>KIT CAVALETE PARA GÁS - SEM MEDIDOR OU REGULADOR - ENTRADA INDIVIDUAL PRINCIPAL, EM AÇO GALVANIZADO DN 15 E 25 MM (1/2" E 1") - FORNECIMENTO E INSTALAÇÃO. AF_01/2020</v>
      </c>
      <c r="F551" s="173" t="str">
        <f>IF($D551&lt;&gt;"",VLOOKUP($D551,'SINAPI FEVEREIRO 2022'!$1:$1048576,3,FALSE),"")</f>
        <v>UN</v>
      </c>
      <c r="G551" s="449">
        <v>1</v>
      </c>
      <c r="H551" s="379">
        <f>IF($D551&lt;&gt;"",VLOOKUP($D551,'SINAPI FEVEREIRO 2022'!$1:$1048576,4,FALSE),"")</f>
        <v>554.29999999999995</v>
      </c>
      <c r="I551" s="398">
        <f>TRUNC(H551*G551,2)</f>
        <v>554.29999999999995</v>
      </c>
    </row>
    <row r="552" spans="2:11" ht="25.5">
      <c r="B552" s="329" t="s">
        <v>546</v>
      </c>
      <c r="C552" s="329" t="s">
        <v>547</v>
      </c>
      <c r="D552" s="647"/>
      <c r="E552" s="486" t="s">
        <v>7682</v>
      </c>
      <c r="F552" s="648" t="s">
        <v>24</v>
      </c>
      <c r="G552" s="449">
        <v>1</v>
      </c>
      <c r="H552" s="649">
        <v>330</v>
      </c>
      <c r="I552" s="398">
        <f>TRUNC(H552*G552,2)</f>
        <v>330</v>
      </c>
      <c r="J552" s="344"/>
      <c r="K552" s="229"/>
    </row>
    <row r="553" spans="2:11" ht="25.5">
      <c r="B553" s="329" t="s">
        <v>546</v>
      </c>
      <c r="C553" s="329" t="s">
        <v>547</v>
      </c>
      <c r="D553" s="647"/>
      <c r="E553" s="486" t="s">
        <v>7683</v>
      </c>
      <c r="F553" s="648" t="s">
        <v>24</v>
      </c>
      <c r="G553" s="449">
        <v>2</v>
      </c>
      <c r="H553" s="649">
        <v>160</v>
      </c>
      <c r="I553" s="398">
        <f>TRUNC(H553*G553,2)</f>
        <v>320</v>
      </c>
      <c r="J553" s="344"/>
      <c r="K553" s="229"/>
    </row>
    <row r="554" spans="2:11" ht="51">
      <c r="B554" s="329" t="s">
        <v>4563</v>
      </c>
      <c r="C554" s="329" t="s">
        <v>6</v>
      </c>
      <c r="D554" s="93">
        <v>92688</v>
      </c>
      <c r="E554" s="172" t="str">
        <f>IF($D554&lt;&gt;"",VLOOKUP($D554,'SINAPI FEVEREIRO 2022'!$1:$1048576,2,FALSE),"")</f>
        <v>TUBO DE AÇO GALVANIZADO COM COSTURA, CLASSE MÉDIA, CONEXÃO ROSQUEADA, DN 20 (3/4"), INSTALADO EM RAMAIS E SUB-RAMAIS DE GÁS - FORNECIMENTO E INSTALAÇÃO. AF_10/2020</v>
      </c>
      <c r="F554" s="173" t="str">
        <f>IF($D554&lt;&gt;"",VLOOKUP($D554,'SINAPI FEVEREIRO 2022'!$1:$1048576,3,FALSE),"")</f>
        <v>M</v>
      </c>
      <c r="G554" s="449">
        <v>17</v>
      </c>
      <c r="H554" s="379">
        <f>IF($D554&lt;&gt;"",VLOOKUP($D554,'SINAPI FEVEREIRO 2022'!$1:$1048576,4,FALSE),"")</f>
        <v>40.380000000000003</v>
      </c>
      <c r="I554" s="398">
        <f t="shared" ref="I554:I556" si="71">TRUNC(H554*G554,2)</f>
        <v>686.46</v>
      </c>
      <c r="J554" s="344"/>
      <c r="K554" s="229"/>
    </row>
    <row r="555" spans="2:11" ht="38.25">
      <c r="B555" s="329" t="s">
        <v>4563</v>
      </c>
      <c r="C555" s="329" t="s">
        <v>6</v>
      </c>
      <c r="D555" s="93">
        <v>92701</v>
      </c>
      <c r="E555" s="172" t="str">
        <f>IF($D555&lt;&gt;"",VLOOKUP($D555,'SINAPI FEVEREIRO 2022'!$1:$1048576,2,FALSE),"")</f>
        <v>JOELHO 90 GRAUS, EM FERRO GALVANIZADO, CONEXÃO ROSQUEADA, DN 20 (3/4"), INSTALADO EM RAMAIS E SUB-RAMAIS DE GÁS - FORNECIMENTO E INSTALAÇÃO. AF_10/2020</v>
      </c>
      <c r="F555" s="173" t="str">
        <f>IF($D555&lt;&gt;"",VLOOKUP($D555,'SINAPI FEVEREIRO 2022'!$1:$1048576,3,FALSE),"")</f>
        <v>UN</v>
      </c>
      <c r="G555" s="449">
        <v>6</v>
      </c>
      <c r="H555" s="379">
        <f>IF($D555&lt;&gt;"",VLOOKUP($D555,'SINAPI FEVEREIRO 2022'!$1:$1048576,4,FALSE),"")</f>
        <v>23.71</v>
      </c>
      <c r="I555" s="398">
        <f t="shared" si="71"/>
        <v>142.26</v>
      </c>
      <c r="J555" s="344"/>
      <c r="K555" s="229"/>
    </row>
    <row r="556" spans="2:11" ht="38.25">
      <c r="B556" s="329" t="s">
        <v>4563</v>
      </c>
      <c r="C556" s="329" t="s">
        <v>6</v>
      </c>
      <c r="D556" s="93">
        <v>92695</v>
      </c>
      <c r="E556" s="172" t="str">
        <f>IF($D556&lt;&gt;"",VLOOKUP($D556,'SINAPI FEVEREIRO 2022'!$1:$1048576,2,FALSE),"")</f>
        <v>LUVA, EM FERRO GALVANIZADO, CONEXÃO ROSQUEADA, DN 20 (3/4"), INSTALADO EM RAMAIS E SUB-RAMAIS DE GÁS - FORNECIMENTO E INSTALAÇÃO. AF_10/2020</v>
      </c>
      <c r="F556" s="173" t="str">
        <f>IF($D556&lt;&gt;"",VLOOKUP($D556,'SINAPI FEVEREIRO 2022'!$1:$1048576,3,FALSE),"")</f>
        <v>UN</v>
      </c>
      <c r="G556" s="449">
        <v>3</v>
      </c>
      <c r="H556" s="379">
        <f>IF($D556&lt;&gt;"",VLOOKUP($D556,'SINAPI FEVEREIRO 2022'!$1:$1048576,4,FALSE),"")</f>
        <v>16.95</v>
      </c>
      <c r="I556" s="398">
        <f t="shared" si="71"/>
        <v>50.85</v>
      </c>
      <c r="J556" s="344"/>
      <c r="K556" s="229"/>
    </row>
    <row r="557" spans="2:11" ht="25.5">
      <c r="B557" s="329" t="s">
        <v>546</v>
      </c>
      <c r="C557" s="329" t="s">
        <v>6</v>
      </c>
      <c r="D557" s="93">
        <v>39128</v>
      </c>
      <c r="E557" s="172" t="str">
        <f>IF($D557&lt;&gt;"",VLOOKUP($D557,'SINAPI FEVEREIRO 2022'!$1:$1048576,2,FALSE),"")</f>
        <v>ABRACADEIRA EM ACO PARA AMARRACAO DE ELETRODUTOS, TIPO D, COM 3/4" E CUNHA DE FIXACAO</v>
      </c>
      <c r="F557" s="173" t="str">
        <f>IF($D557&lt;&gt;"",VLOOKUP($D557,'SINAPI FEVEREIRO 2022'!$1:$1048576,3,FALSE),"")</f>
        <v xml:space="preserve">UN    </v>
      </c>
      <c r="G557" s="449">
        <v>8</v>
      </c>
      <c r="H557" s="379">
        <f>IF($D557&lt;&gt;"",VLOOKUP($D557,'SINAPI FEVEREIRO 2022'!$1:$1048576,4,FALSE),"")</f>
        <v>2.25</v>
      </c>
      <c r="I557" s="398">
        <f t="shared" ref="I557" si="72">TRUNC(H557*G557,2)</f>
        <v>18</v>
      </c>
      <c r="J557" s="344"/>
      <c r="K557" s="229"/>
    </row>
    <row r="558" spans="2:11">
      <c r="B558" s="93"/>
      <c r="C558" s="93"/>
      <c r="D558" s="176"/>
      <c r="E558" s="195"/>
      <c r="F558" s="93"/>
      <c r="G558" s="310"/>
      <c r="H558" s="380"/>
      <c r="I558" s="398"/>
    </row>
    <row r="559" spans="2:11">
      <c r="B559" s="969" t="s">
        <v>7048</v>
      </c>
      <c r="C559" s="970"/>
      <c r="D559" s="970"/>
      <c r="E559" s="970"/>
      <c r="F559" s="970"/>
      <c r="G559" s="970"/>
      <c r="H559" s="970"/>
      <c r="I559" s="971"/>
    </row>
    <row r="560" spans="2:11">
      <c r="B560" s="482"/>
      <c r="C560" s="483"/>
      <c r="D560" s="483"/>
      <c r="E560" s="483"/>
      <c r="F560" s="483"/>
      <c r="G560" s="483"/>
      <c r="H560" s="483"/>
      <c r="I560" s="484"/>
    </row>
    <row r="561" spans="2:11" ht="25.5">
      <c r="B561" s="223" t="s">
        <v>7331</v>
      </c>
      <c r="C561" s="223"/>
      <c r="D561" s="223"/>
      <c r="E561" s="95" t="s">
        <v>7332</v>
      </c>
      <c r="F561" s="96" t="s">
        <v>22</v>
      </c>
      <c r="G561" s="301">
        <v>1</v>
      </c>
      <c r="H561" s="378"/>
      <c r="I561" s="396">
        <f>TRUNC(SUM(I562:I564),2)</f>
        <v>99.95</v>
      </c>
    </row>
    <row r="562" spans="2:11" ht="13.5">
      <c r="B562" s="93" t="s">
        <v>548</v>
      </c>
      <c r="C562" s="93" t="s">
        <v>6</v>
      </c>
      <c r="D562" s="558">
        <v>88316</v>
      </c>
      <c r="E562" s="172" t="str">
        <f>IF($D562&lt;&gt;"",VLOOKUP($D562,'SINAPI FEVEREIRO 2022'!$1:$1048576,2,FALSE),"")</f>
        <v>SERVENTE COM ENCARGOS COMPLEMENTARES</v>
      </c>
      <c r="F562" s="173" t="str">
        <f>IF($D562&lt;&gt;"",VLOOKUP($D562,'SINAPI FEVEREIRO 2022'!$1:$1048576,3,FALSE),"")</f>
        <v>H</v>
      </c>
      <c r="G562" s="559">
        <v>0.2</v>
      </c>
      <c r="H562" s="379">
        <f>IF($D562&lt;&gt;"",VLOOKUP($D562,'SINAPI FEVEREIRO 2022'!$1:$1048576,4,FALSE),"")</f>
        <v>15.16</v>
      </c>
      <c r="I562" s="398">
        <f t="shared" ref="I562:I563" si="73">TRUNC(H562*G562,2)</f>
        <v>3.03</v>
      </c>
    </row>
    <row r="563" spans="2:11" ht="25.5">
      <c r="B563" s="93" t="s">
        <v>546</v>
      </c>
      <c r="C563" s="93" t="s">
        <v>6</v>
      </c>
      <c r="D563" s="558">
        <v>4721</v>
      </c>
      <c r="E563" s="172" t="str">
        <f>IF($D563&lt;&gt;"",VLOOKUP($D563,'SINAPI FEVEREIRO 2022'!$1:$1048576,2,FALSE),"")</f>
        <v>PEDRA BRITADA N. 1 (9,5 a 19 MM) POSTO PEDREIRA/FORNECEDOR, SEM FRETE</v>
      </c>
      <c r="F563" s="173" t="str">
        <f>IF($D563&lt;&gt;"",VLOOKUP($D563,'SINAPI FEVEREIRO 2022'!$1:$1048576,3,FALSE),"")</f>
        <v xml:space="preserve">M3    </v>
      </c>
      <c r="G563" s="559">
        <v>1</v>
      </c>
      <c r="H563" s="379">
        <f>IF($D563&lt;&gt;"",VLOOKUP($D563,'SINAPI FEVEREIRO 2022'!$1:$1048576,4,FALSE),"")</f>
        <v>84.4</v>
      </c>
      <c r="I563" s="398">
        <f t="shared" si="73"/>
        <v>84.4</v>
      </c>
    </row>
    <row r="564" spans="2:11" ht="38.25">
      <c r="B564" s="93" t="s">
        <v>548</v>
      </c>
      <c r="C564" s="93" t="s">
        <v>6</v>
      </c>
      <c r="D564" s="558">
        <v>95875</v>
      </c>
      <c r="E564" s="172" t="str">
        <f>IF($D564&lt;&gt;"",VLOOKUP($D564,'SINAPI FEVEREIRO 2022'!$1:$1048576,2,FALSE),"")</f>
        <v>TRANSPORTE COM CAMINHÃO BASCULANTE DE 10 M³, EM VIA URBANA PAVIMENTADA, DMT ATÉ 30 KM (UNIDADE: M3XKM). AF_07/2020</v>
      </c>
      <c r="F564" s="173" t="str">
        <f>IF($D564&lt;&gt;"",VLOOKUP($D564,'SINAPI FEVEREIRO 2022'!$1:$1048576,3,FALSE),"")</f>
        <v>M3XKM</v>
      </c>
      <c r="G564" s="559">
        <v>7.5</v>
      </c>
      <c r="H564" s="379">
        <f>IF($D564&lt;&gt;"",VLOOKUP($D564,'SINAPI FEVEREIRO 2022'!$1:$1048576,4,FALSE),"")</f>
        <v>1.67</v>
      </c>
      <c r="I564" s="398">
        <f t="shared" ref="I564" si="74">TRUNC(H564*G564,2)</f>
        <v>12.52</v>
      </c>
    </row>
    <row r="565" spans="2:11" ht="13.5">
      <c r="B565" s="93"/>
      <c r="C565" s="93"/>
      <c r="D565" s="558"/>
      <c r="E565" s="172"/>
      <c r="F565" s="173"/>
      <c r="G565" s="559"/>
      <c r="H565" s="379"/>
      <c r="I565" s="398"/>
    </row>
    <row r="566" spans="2:11">
      <c r="B566" s="969" t="s">
        <v>27</v>
      </c>
      <c r="C566" s="970"/>
      <c r="D566" s="970"/>
      <c r="E566" s="970"/>
      <c r="F566" s="970"/>
      <c r="G566" s="970"/>
      <c r="H566" s="970"/>
      <c r="I566" s="971"/>
    </row>
    <row r="567" spans="2:11">
      <c r="B567" s="482"/>
      <c r="C567" s="483"/>
      <c r="D567" s="483"/>
      <c r="E567" s="483"/>
      <c r="F567" s="483"/>
      <c r="G567" s="483"/>
      <c r="H567" s="483"/>
      <c r="I567" s="484"/>
    </row>
    <row r="568" spans="2:11" ht="25.5">
      <c r="B568" s="223" t="s">
        <v>7053</v>
      </c>
      <c r="C568" s="223"/>
      <c r="D568" s="223"/>
      <c r="E568" s="95" t="s">
        <v>6149</v>
      </c>
      <c r="F568" s="96" t="s">
        <v>531</v>
      </c>
      <c r="G568" s="301">
        <v>1</v>
      </c>
      <c r="H568" s="378"/>
      <c r="I568" s="396">
        <f>TRUNC(SUM(I569:I594),2)</f>
        <v>4442.22</v>
      </c>
      <c r="J568" s="344"/>
      <c r="K568" s="229"/>
    </row>
    <row r="569" spans="2:11" ht="25.5">
      <c r="B569" s="93" t="s">
        <v>548</v>
      </c>
      <c r="C569" s="93" t="s">
        <v>6</v>
      </c>
      <c r="D569" s="93">
        <v>92716</v>
      </c>
      <c r="E569" s="172" t="str">
        <f>IF($D569&lt;&gt;"",VLOOKUP($D569,'SINAPI FEVEREIRO 2022'!$1:$1048576,2,FALSE),"")</f>
        <v>APARELHO PARA CORTE E SOLDA OXI-ACETILENO SOBRE RODAS, INCLUSIVE CILINDROS E MAÇARICOS - CHP DIURNO. AF_12/2015</v>
      </c>
      <c r="F569" s="173" t="str">
        <f>IF($D569&lt;&gt;"",VLOOKUP($D569,'SINAPI FEVEREIRO 2022'!$1:$1048576,3,FALSE),"")</f>
        <v>CHP</v>
      </c>
      <c r="G569" s="375">
        <v>0.85</v>
      </c>
      <c r="H569" s="379">
        <f>IF($D569&lt;&gt;"",VLOOKUP($D569,'SINAPI FEVEREIRO 2022'!$1:$1048576,4,FALSE),"")</f>
        <v>31.08</v>
      </c>
      <c r="I569" s="398">
        <f t="shared" ref="I569:I594" si="75">TRUNC(H569*G569,2)</f>
        <v>26.41</v>
      </c>
    </row>
    <row r="570" spans="2:11">
      <c r="B570" s="93" t="s">
        <v>548</v>
      </c>
      <c r="C570" s="93" t="s">
        <v>6</v>
      </c>
      <c r="D570" s="93">
        <v>88238</v>
      </c>
      <c r="E570" s="172" t="str">
        <f>IF($D570&lt;&gt;"",VLOOKUP($D570,'SINAPI FEVEREIRO 2022'!$1:$1048576,2,FALSE),"")</f>
        <v>AJUDANTE DE ARMADOR COM ENCARGOS COMPLEMENTARES</v>
      </c>
      <c r="F570" s="173" t="str">
        <f>IF($D570&lt;&gt;"",VLOOKUP($D570,'SINAPI FEVEREIRO 2022'!$1:$1048576,3,FALSE),"")</f>
        <v>H</v>
      </c>
      <c r="G570" s="375">
        <v>2.34</v>
      </c>
      <c r="H570" s="379">
        <f>IF($D570&lt;&gt;"",VLOOKUP($D570,'SINAPI FEVEREIRO 2022'!$1:$1048576,4,FALSE),"")</f>
        <v>15.19</v>
      </c>
      <c r="I570" s="398">
        <f t="shared" si="75"/>
        <v>35.54</v>
      </c>
    </row>
    <row r="571" spans="2:11">
      <c r="B571" s="93" t="s">
        <v>548</v>
      </c>
      <c r="C571" s="93" t="s">
        <v>6</v>
      </c>
      <c r="D571" s="93">
        <v>88239</v>
      </c>
      <c r="E571" s="172" t="str">
        <f>IF($D571&lt;&gt;"",VLOOKUP($D571,'SINAPI FEVEREIRO 2022'!$1:$1048576,2,FALSE),"")</f>
        <v>AJUDANTE DE CARPINTEIRO COM ENCARGOS COMPLEMENTARES</v>
      </c>
      <c r="F571" s="173" t="str">
        <f>IF($D571&lt;&gt;"",VLOOKUP($D571,'SINAPI FEVEREIRO 2022'!$1:$1048576,3,FALSE),"")</f>
        <v>H</v>
      </c>
      <c r="G571" s="375">
        <v>3.5</v>
      </c>
      <c r="H571" s="379">
        <f>IF($D571&lt;&gt;"",VLOOKUP($D571,'SINAPI FEVEREIRO 2022'!$1:$1048576,4,FALSE),"")</f>
        <v>15.96</v>
      </c>
      <c r="I571" s="398">
        <f t="shared" si="75"/>
        <v>55.86</v>
      </c>
    </row>
    <row r="572" spans="2:11">
      <c r="B572" s="93" t="s">
        <v>549</v>
      </c>
      <c r="C572" s="93" t="s">
        <v>6</v>
      </c>
      <c r="D572" s="93">
        <v>34466</v>
      </c>
      <c r="E572" s="172" t="str">
        <f>IF($D572&lt;&gt;"",VLOOKUP($D572,'SINAPI FEVEREIRO 2022'!$1:$1048576,2,FALSE),"")</f>
        <v>AJUDANTE DE PINTOR (HORISTA)</v>
      </c>
      <c r="F572" s="173" t="str">
        <f>IF($D572&lt;&gt;"",VLOOKUP($D572,'SINAPI FEVEREIRO 2022'!$1:$1048576,3,FALSE),"")</f>
        <v xml:space="preserve">H     </v>
      </c>
      <c r="G572" s="375">
        <v>3.5</v>
      </c>
      <c r="H572" s="379">
        <f>IF($D572&lt;&gt;"",VLOOKUP($D572,'SINAPI FEVEREIRO 2022'!$1:$1048576,4,FALSE),"")</f>
        <v>11.05</v>
      </c>
      <c r="I572" s="398">
        <f t="shared" si="75"/>
        <v>38.67</v>
      </c>
    </row>
    <row r="573" spans="2:11">
      <c r="B573" s="93" t="s">
        <v>548</v>
      </c>
      <c r="C573" s="93" t="s">
        <v>6</v>
      </c>
      <c r="D573" s="93">
        <v>88245</v>
      </c>
      <c r="E573" s="172" t="str">
        <f>IF($D573&lt;&gt;"",VLOOKUP($D573,'SINAPI FEVEREIRO 2022'!$1:$1048576,2,FALSE),"")</f>
        <v>ARMADOR COM ENCARGOS COMPLEMENTARES</v>
      </c>
      <c r="F573" s="173" t="str">
        <f>IF($D573&lt;&gt;"",VLOOKUP($D573,'SINAPI FEVEREIRO 2022'!$1:$1048576,3,FALSE),"")</f>
        <v>H</v>
      </c>
      <c r="G573" s="375">
        <v>2.34</v>
      </c>
      <c r="H573" s="379">
        <f>IF($D573&lt;&gt;"",VLOOKUP($D573,'SINAPI FEVEREIRO 2022'!$1:$1048576,4,FALSE),"")</f>
        <v>18.75</v>
      </c>
      <c r="I573" s="398">
        <f t="shared" si="75"/>
        <v>43.87</v>
      </c>
    </row>
    <row r="574" spans="2:11">
      <c r="B574" s="93" t="s">
        <v>548</v>
      </c>
      <c r="C574" s="93" t="s">
        <v>6</v>
      </c>
      <c r="D574" s="93">
        <v>88262</v>
      </c>
      <c r="E574" s="172" t="str">
        <f>IF($D574&lt;&gt;"",VLOOKUP($D574,'SINAPI FEVEREIRO 2022'!$1:$1048576,2,FALSE),"")</f>
        <v>CARPINTEIRO DE FORMAS COM ENCARGOS COMPLEMENTARES</v>
      </c>
      <c r="F574" s="173" t="str">
        <f>IF($D574&lt;&gt;"",VLOOKUP($D574,'SINAPI FEVEREIRO 2022'!$1:$1048576,3,FALSE),"")</f>
        <v>H</v>
      </c>
      <c r="G574" s="375">
        <v>3.5</v>
      </c>
      <c r="H574" s="379">
        <f>IF($D574&lt;&gt;"",VLOOKUP($D574,'SINAPI FEVEREIRO 2022'!$1:$1048576,4,FALSE),"")</f>
        <v>18.63</v>
      </c>
      <c r="I574" s="398">
        <f t="shared" si="75"/>
        <v>65.2</v>
      </c>
    </row>
    <row r="575" spans="2:11" ht="25.5">
      <c r="B575" s="93" t="s">
        <v>548</v>
      </c>
      <c r="C575" s="93" t="s">
        <v>6</v>
      </c>
      <c r="D575" s="93">
        <v>88256</v>
      </c>
      <c r="E575" s="172" t="str">
        <f>IF($D575&lt;&gt;"",VLOOKUP($D575,'SINAPI FEVEREIRO 2022'!$1:$1048576,2,FALSE),"")</f>
        <v>AZULEJISTA OU LADRILHISTA COM ENCARGOS COMPLEMENTARES</v>
      </c>
      <c r="F575" s="173" t="str">
        <f>IF($D575&lt;&gt;"",VLOOKUP($D575,'SINAPI FEVEREIRO 2022'!$1:$1048576,3,FALSE),"")</f>
        <v>H</v>
      </c>
      <c r="G575" s="375">
        <v>5.5</v>
      </c>
      <c r="H575" s="379">
        <f>IF($D575&lt;&gt;"",VLOOKUP($D575,'SINAPI FEVEREIRO 2022'!$1:$1048576,4,FALSE),"")</f>
        <v>18.79</v>
      </c>
      <c r="I575" s="398">
        <f t="shared" si="75"/>
        <v>103.34</v>
      </c>
    </row>
    <row r="576" spans="2:11">
      <c r="B576" s="93" t="s">
        <v>548</v>
      </c>
      <c r="C576" s="93" t="s">
        <v>6</v>
      </c>
      <c r="D576" s="93">
        <v>88309</v>
      </c>
      <c r="E576" s="172" t="str">
        <f>IF($D576&lt;&gt;"",VLOOKUP($D576,'SINAPI FEVEREIRO 2022'!$1:$1048576,2,FALSE),"")</f>
        <v>PEDREIRO COM ENCARGOS COMPLEMENTARES</v>
      </c>
      <c r="F576" s="173" t="str">
        <f>IF($D576&lt;&gt;"",VLOOKUP($D576,'SINAPI FEVEREIRO 2022'!$1:$1048576,3,FALSE),"")</f>
        <v>H</v>
      </c>
      <c r="G576" s="375">
        <v>1.91</v>
      </c>
      <c r="H576" s="379">
        <f>IF($D576&lt;&gt;"",VLOOKUP($D576,'SINAPI FEVEREIRO 2022'!$1:$1048576,4,FALSE),"")</f>
        <v>18.86</v>
      </c>
      <c r="I576" s="398">
        <f t="shared" si="75"/>
        <v>36.020000000000003</v>
      </c>
    </row>
    <row r="577" spans="2:9">
      <c r="B577" s="93" t="s">
        <v>548</v>
      </c>
      <c r="C577" s="93" t="s">
        <v>6</v>
      </c>
      <c r="D577" s="93">
        <v>88316</v>
      </c>
      <c r="E577" s="172" t="str">
        <f>IF($D577&lt;&gt;"",VLOOKUP($D577,'SINAPI FEVEREIRO 2022'!$1:$1048576,2,FALSE),"")</f>
        <v>SERVENTE COM ENCARGOS COMPLEMENTARES</v>
      </c>
      <c r="F577" s="173" t="str">
        <f>IF($D577&lt;&gt;"",VLOOKUP($D577,'SINAPI FEVEREIRO 2022'!$1:$1048576,3,FALSE),"")</f>
        <v>H</v>
      </c>
      <c r="G577" s="375">
        <v>12.5</v>
      </c>
      <c r="H577" s="379">
        <f>IF($D577&lt;&gt;"",VLOOKUP($D577,'SINAPI FEVEREIRO 2022'!$1:$1048576,4,FALSE),"")</f>
        <v>15.16</v>
      </c>
      <c r="I577" s="398">
        <f t="shared" si="75"/>
        <v>189.5</v>
      </c>
    </row>
    <row r="578" spans="2:9" ht="25.5">
      <c r="B578" s="93" t="s">
        <v>549</v>
      </c>
      <c r="C578" s="93" t="s">
        <v>6</v>
      </c>
      <c r="D578" s="93">
        <v>367</v>
      </c>
      <c r="E578" s="172" t="str">
        <f>IF($D578&lt;&gt;"",VLOOKUP($D578,'SINAPI FEVEREIRO 2022'!$1:$1048576,2,FALSE),"")</f>
        <v>AREIA GROSSA - POSTO JAZIDA/FORNECEDOR (RETIRADO NA JAZIDA, SEM TRANSPORTE)</v>
      </c>
      <c r="F578" s="173" t="str">
        <f>IF($D578&lt;&gt;"",VLOOKUP($D578,'SINAPI FEVEREIRO 2022'!$1:$1048576,3,FALSE),"")</f>
        <v xml:space="preserve">M3    </v>
      </c>
      <c r="G578" s="375">
        <v>0.5</v>
      </c>
      <c r="H578" s="379">
        <f>IF($D578&lt;&gt;"",VLOOKUP($D578,'SINAPI FEVEREIRO 2022'!$1:$1048576,4,FALSE),"")</f>
        <v>84.59</v>
      </c>
      <c r="I578" s="398">
        <f t="shared" si="75"/>
        <v>42.29</v>
      </c>
    </row>
    <row r="579" spans="2:9">
      <c r="B579" s="93" t="s">
        <v>549</v>
      </c>
      <c r="C579" s="93" t="s">
        <v>6</v>
      </c>
      <c r="D579" s="93">
        <v>33</v>
      </c>
      <c r="E579" s="172" t="str">
        <f>IF($D579&lt;&gt;"",VLOOKUP($D579,'SINAPI FEVEREIRO 2022'!$1:$1048576,2,FALSE),"")</f>
        <v>ACO CA-50, 8,0 MM, VERGALHAO</v>
      </c>
      <c r="F579" s="173" t="str">
        <f>IF($D579&lt;&gt;"",VLOOKUP($D579,'SINAPI FEVEREIRO 2022'!$1:$1048576,3,FALSE),"")</f>
        <v xml:space="preserve">KG    </v>
      </c>
      <c r="G579" s="375">
        <v>33.5</v>
      </c>
      <c r="H579" s="379">
        <f>IF($D579&lt;&gt;"",VLOOKUP($D579,'SINAPI FEVEREIRO 2022'!$1:$1048576,4,FALSE),"")</f>
        <v>11.11</v>
      </c>
      <c r="I579" s="398">
        <f t="shared" si="75"/>
        <v>372.18</v>
      </c>
    </row>
    <row r="580" spans="2:9" ht="25.5">
      <c r="B580" s="93" t="s">
        <v>549</v>
      </c>
      <c r="C580" s="93" t="s">
        <v>6</v>
      </c>
      <c r="D580" s="93">
        <v>4718</v>
      </c>
      <c r="E580" s="172" t="str">
        <f>IF($D580&lt;&gt;"",VLOOKUP($D580,'SINAPI FEVEREIRO 2022'!$1:$1048576,2,FALSE),"")</f>
        <v>PEDRA BRITADA N. 2 (19 A 38 MM) POSTO PEDREIRA/FORNECEDOR, SEM FRETE</v>
      </c>
      <c r="F580" s="173" t="str">
        <f>IF($D580&lt;&gt;"",VLOOKUP($D580,'SINAPI FEVEREIRO 2022'!$1:$1048576,3,FALSE),"")</f>
        <v xml:space="preserve">M3    </v>
      </c>
      <c r="G580" s="375">
        <v>0.16</v>
      </c>
      <c r="H580" s="379">
        <f>IF($D580&lt;&gt;"",VLOOKUP($D580,'SINAPI FEVEREIRO 2022'!$1:$1048576,4,FALSE),"")</f>
        <v>84.85</v>
      </c>
      <c r="I580" s="398">
        <f t="shared" si="75"/>
        <v>13.57</v>
      </c>
    </row>
    <row r="581" spans="2:9">
      <c r="B581" s="93" t="s">
        <v>549</v>
      </c>
      <c r="C581" s="93" t="s">
        <v>6</v>
      </c>
      <c r="D581" s="93">
        <v>1106</v>
      </c>
      <c r="E581" s="172" t="str">
        <f>IF($D581&lt;&gt;"",VLOOKUP($D581,'SINAPI FEVEREIRO 2022'!$1:$1048576,2,FALSE),"")</f>
        <v>CAL HIDRATADA CH-I PARA ARGAMASSAS</v>
      </c>
      <c r="F581" s="173" t="str">
        <f>IF($D581&lt;&gt;"",VLOOKUP($D581,'SINAPI FEVEREIRO 2022'!$1:$1048576,3,FALSE),"")</f>
        <v xml:space="preserve">KG    </v>
      </c>
      <c r="G581" s="375">
        <v>7.28</v>
      </c>
      <c r="H581" s="379">
        <f>IF($D581&lt;&gt;"",VLOOKUP($D581,'SINAPI FEVEREIRO 2022'!$1:$1048576,4,FALSE),"")</f>
        <v>0.85</v>
      </c>
      <c r="I581" s="398">
        <f t="shared" si="75"/>
        <v>6.18</v>
      </c>
    </row>
    <row r="582" spans="2:9" ht="38.25">
      <c r="B582" s="93" t="s">
        <v>549</v>
      </c>
      <c r="C582" s="93" t="s">
        <v>6</v>
      </c>
      <c r="D582" s="93">
        <v>1347</v>
      </c>
      <c r="E582" s="172" t="str">
        <f>IF($D582&lt;&gt;"",VLOOKUP($D582,'SINAPI FEVEREIRO 2022'!$1:$1048576,2,FALSE),"")</f>
        <v>CHAPA/PAINEL DE MADEIRA COMPENSADA PLASTIFICADA (MADEIRITE PLASTIFICADO) PARA FORMA DE CONCRETO, DE 2200 x 1100 MM, E = 12 MM</v>
      </c>
      <c r="F582" s="173" t="str">
        <f>IF($D582&lt;&gt;"",VLOOKUP($D582,'SINAPI FEVEREIRO 2022'!$1:$1048576,3,FALSE),"")</f>
        <v xml:space="preserve">M2    </v>
      </c>
      <c r="G582" s="375">
        <v>3.3</v>
      </c>
      <c r="H582" s="379">
        <f>IF($D582&lt;&gt;"",VLOOKUP($D582,'SINAPI FEVEREIRO 2022'!$1:$1048576,4,FALSE),"")</f>
        <v>79.25</v>
      </c>
      <c r="I582" s="398">
        <f t="shared" si="75"/>
        <v>261.52</v>
      </c>
    </row>
    <row r="583" spans="2:9">
      <c r="B583" s="93" t="s">
        <v>549</v>
      </c>
      <c r="C583" s="93" t="s">
        <v>6</v>
      </c>
      <c r="D583" s="93">
        <v>1379</v>
      </c>
      <c r="E583" s="172" t="str">
        <f>IF($D583&lt;&gt;"",VLOOKUP($D583,'SINAPI FEVEREIRO 2022'!$1:$1048576,2,FALSE),"")</f>
        <v>CIMENTO PORTLAND COMPOSTO CP II-32</v>
      </c>
      <c r="F583" s="173" t="str">
        <f>IF($D583&lt;&gt;"",VLOOKUP($D583,'SINAPI FEVEREIRO 2022'!$1:$1048576,3,FALSE),"")</f>
        <v xml:space="preserve">KG    </v>
      </c>
      <c r="G583" s="375">
        <v>112</v>
      </c>
      <c r="H583" s="379">
        <f>IF($D583&lt;&gt;"",VLOOKUP($D583,'SINAPI FEVEREIRO 2022'!$1:$1048576,4,FALSE),"")</f>
        <v>0.72</v>
      </c>
      <c r="I583" s="398">
        <f t="shared" si="75"/>
        <v>80.64</v>
      </c>
    </row>
    <row r="584" spans="2:9" ht="25.5">
      <c r="B584" s="93" t="s">
        <v>549</v>
      </c>
      <c r="C584" s="93" t="s">
        <v>6</v>
      </c>
      <c r="D584" s="93">
        <v>2692</v>
      </c>
      <c r="E584" s="172" t="str">
        <f>IF($D584&lt;&gt;"",VLOOKUP($D584,'SINAPI FEVEREIRO 2022'!$1:$1048576,2,FALSE),"")</f>
        <v>DESMOLDANTE PROTETOR PARA FORMAS DE MADEIRA, DE BASE OLEOSA EMULSIONADA EM AGUA</v>
      </c>
      <c r="F584" s="173" t="str">
        <f>IF($D584&lt;&gt;"",VLOOKUP($D584,'SINAPI FEVEREIRO 2022'!$1:$1048576,3,FALSE),"")</f>
        <v xml:space="preserve">L     </v>
      </c>
      <c r="G584" s="375">
        <v>1.8</v>
      </c>
      <c r="H584" s="379">
        <f>IF($D584&lt;&gt;"",VLOOKUP($D584,'SINAPI FEVEREIRO 2022'!$1:$1048576,4,FALSE),"")</f>
        <v>5.24</v>
      </c>
      <c r="I584" s="398">
        <f t="shared" si="75"/>
        <v>9.43</v>
      </c>
    </row>
    <row r="585" spans="2:9">
      <c r="B585" s="93" t="s">
        <v>549</v>
      </c>
      <c r="C585" s="93" t="s">
        <v>6</v>
      </c>
      <c r="D585" s="93">
        <v>10997</v>
      </c>
      <c r="E585" s="172" t="str">
        <f>IF($D585&lt;&gt;"",VLOOKUP($D585,'SINAPI FEVEREIRO 2022'!$1:$1048576,2,FALSE),"")</f>
        <v>ELETRODO REVESTIDO AWS - E7018, DIAMETRO IGUAL A 4,00 MM</v>
      </c>
      <c r="F585" s="173" t="str">
        <f>IF($D585&lt;&gt;"",VLOOKUP($D585,'SINAPI FEVEREIRO 2022'!$1:$1048576,3,FALSE),"")</f>
        <v xml:space="preserve">KG    </v>
      </c>
      <c r="G585" s="375">
        <v>0.85</v>
      </c>
      <c r="H585" s="379">
        <f>IF($D585&lt;&gt;"",VLOOKUP($D585,'SINAPI FEVEREIRO 2022'!$1:$1048576,4,FALSE),"")</f>
        <v>28.65</v>
      </c>
      <c r="I585" s="398">
        <f t="shared" si="75"/>
        <v>24.35</v>
      </c>
    </row>
    <row r="586" spans="2:9" ht="25.5">
      <c r="B586" s="93" t="s">
        <v>549</v>
      </c>
      <c r="C586" s="93" t="s">
        <v>6</v>
      </c>
      <c r="D586" s="93">
        <v>7293</v>
      </c>
      <c r="E586" s="172" t="str">
        <f>IF($D586&lt;&gt;"",VLOOKUP($D586,'SINAPI FEVEREIRO 2022'!$1:$1048576,2,FALSE),"")</f>
        <v>TINTA ESMALTE SINTETICO PREMIUM DE DUPLA ACAO GRAFITE FOSCO PARA SUPERFICIES METALICAS FERROSAS</v>
      </c>
      <c r="F586" s="173" t="str">
        <f>IF($D586&lt;&gt;"",VLOOKUP($D586,'SINAPI FEVEREIRO 2022'!$1:$1048576,3,FALSE),"")</f>
        <v xml:space="preserve">L     </v>
      </c>
      <c r="G586" s="375">
        <v>1.1000000000000001</v>
      </c>
      <c r="H586" s="379">
        <f>IF($D586&lt;&gt;"",VLOOKUP($D586,'SINAPI FEVEREIRO 2022'!$1:$1048576,4,FALSE),"")</f>
        <v>32.24</v>
      </c>
      <c r="I586" s="398">
        <f t="shared" si="75"/>
        <v>35.46</v>
      </c>
    </row>
    <row r="587" spans="2:9" ht="25.5">
      <c r="B587" s="93" t="s">
        <v>549</v>
      </c>
      <c r="C587" s="93" t="s">
        <v>6</v>
      </c>
      <c r="D587" s="93">
        <v>3731</v>
      </c>
      <c r="E587" s="172" t="str">
        <f>IF($D587&lt;&gt;"",VLOOKUP($D587,'SINAPI FEVEREIRO 2022'!$1:$1048576,2,FALSE),"")</f>
        <v>LADRILHO HIDRAULICO, *20 X 20* CM, E= 2 CM, DADOS, COR NATURAL</v>
      </c>
      <c r="F587" s="173" t="str">
        <f>IF($D587&lt;&gt;"",VLOOKUP($D587,'SINAPI FEVEREIRO 2022'!$1:$1048576,3,FALSE),"")</f>
        <v xml:space="preserve">M2    </v>
      </c>
      <c r="G587" s="375">
        <v>4.3499999999999996</v>
      </c>
      <c r="H587" s="379">
        <f>IF($D587&lt;&gt;"",VLOOKUP($D587,'SINAPI FEVEREIRO 2022'!$1:$1048576,4,FALSE),"")</f>
        <v>58.95</v>
      </c>
      <c r="I587" s="398">
        <f t="shared" si="75"/>
        <v>256.43</v>
      </c>
    </row>
    <row r="588" spans="2:9">
      <c r="B588" s="93" t="s">
        <v>549</v>
      </c>
      <c r="C588" s="93" t="s">
        <v>6</v>
      </c>
      <c r="D588" s="93">
        <v>3768</v>
      </c>
      <c r="E588" s="172" t="str">
        <f>IF($D588&lt;&gt;"",VLOOKUP($D588,'SINAPI FEVEREIRO 2022'!$1:$1048576,2,FALSE),"")</f>
        <v>LIXA EM FOLHA PARA FERRO, NUMERO 150</v>
      </c>
      <c r="F588" s="173" t="str">
        <f>IF($D588&lt;&gt;"",VLOOKUP($D588,'SINAPI FEVEREIRO 2022'!$1:$1048576,3,FALSE),"")</f>
        <v xml:space="preserve">UN    </v>
      </c>
      <c r="G588" s="375">
        <v>2.1</v>
      </c>
      <c r="H588" s="379">
        <f>IF($D588&lt;&gt;"",VLOOKUP($D588,'SINAPI FEVEREIRO 2022'!$1:$1048576,4,FALSE),"")</f>
        <v>3.36</v>
      </c>
      <c r="I588" s="398">
        <f t="shared" si="75"/>
        <v>7.05</v>
      </c>
    </row>
    <row r="589" spans="2:9" ht="25.5">
      <c r="B589" s="93" t="s">
        <v>549</v>
      </c>
      <c r="C589" s="93" t="s">
        <v>6</v>
      </c>
      <c r="D589" s="93">
        <v>4720</v>
      </c>
      <c r="E589" s="172" t="str">
        <f>IF($D589&lt;&gt;"",VLOOKUP($D589,'SINAPI FEVEREIRO 2022'!$1:$1048576,2,FALSE),"")</f>
        <v>PEDRA BRITADA N. 0, OU PEDRISCO (4,8 A 9,5 MM) POSTO PEDREIRA/FORNECEDOR, SEM FRETE</v>
      </c>
      <c r="F589" s="173" t="str">
        <f>IF($D589&lt;&gt;"",VLOOKUP($D589,'SINAPI FEVEREIRO 2022'!$1:$1048576,3,FALSE),"")</f>
        <v xml:space="preserve">M3    </v>
      </c>
      <c r="G589" s="375">
        <v>0.38</v>
      </c>
      <c r="H589" s="379">
        <f>IF($D589&lt;&gt;"",VLOOKUP($D589,'SINAPI FEVEREIRO 2022'!$1:$1048576,4,FALSE),"")</f>
        <v>97.44</v>
      </c>
      <c r="I589" s="398">
        <f t="shared" si="75"/>
        <v>37.020000000000003</v>
      </c>
    </row>
    <row r="590" spans="2:9">
      <c r="B590" s="93" t="s">
        <v>549</v>
      </c>
      <c r="C590" s="93" t="s">
        <v>547</v>
      </c>
      <c r="D590" s="93"/>
      <c r="E590" s="486" t="s">
        <v>7049</v>
      </c>
      <c r="F590" s="173" t="s">
        <v>653</v>
      </c>
      <c r="G590" s="375">
        <v>0.45</v>
      </c>
      <c r="H590" s="379">
        <v>9.4</v>
      </c>
      <c r="I590" s="398">
        <f t="shared" si="75"/>
        <v>4.2300000000000004</v>
      </c>
    </row>
    <row r="591" spans="2:9">
      <c r="B591" s="93" t="s">
        <v>549</v>
      </c>
      <c r="C591" s="93" t="s">
        <v>547</v>
      </c>
      <c r="D591" s="93"/>
      <c r="E591" s="486" t="s">
        <v>7050</v>
      </c>
      <c r="F591" s="173" t="s">
        <v>14</v>
      </c>
      <c r="G591" s="375">
        <v>2.25</v>
      </c>
      <c r="H591" s="379">
        <v>4.74</v>
      </c>
      <c r="I591" s="398">
        <f t="shared" si="75"/>
        <v>10.66</v>
      </c>
    </row>
    <row r="592" spans="2:9" ht="25.5">
      <c r="B592" s="93" t="s">
        <v>549</v>
      </c>
      <c r="C592" s="93" t="s">
        <v>6</v>
      </c>
      <c r="D592" s="93">
        <v>21014</v>
      </c>
      <c r="E592" s="172" t="str">
        <f>IF($D592&lt;&gt;"",VLOOKUP($D592,'SINAPI FEVEREIRO 2022'!$1:$1048576,2,FALSE),"")</f>
        <v>TUBO ACO GALVANIZADO COM COSTURA, CLASSE LEVE, DN 65 MM ( 2 1/2"),  E = 3,35 MM, * 6,23* KG/M (NBR 5580)</v>
      </c>
      <c r="F592" s="173" t="str">
        <f>IF($D592&lt;&gt;"",VLOOKUP($D592,'SINAPI FEVEREIRO 2022'!$1:$1048576,3,FALSE),"")</f>
        <v xml:space="preserve">M     </v>
      </c>
      <c r="G592" s="375">
        <v>11</v>
      </c>
      <c r="H592" s="379">
        <f>IF($D592&lt;&gt;"",VLOOKUP($D592,'SINAPI FEVEREIRO 2022'!$1:$1048576,4,FALSE),"")</f>
        <v>115.34</v>
      </c>
      <c r="I592" s="398">
        <f t="shared" si="75"/>
        <v>1268.74</v>
      </c>
    </row>
    <row r="593" spans="2:11" ht="25.5">
      <c r="B593" s="93" t="s">
        <v>549</v>
      </c>
      <c r="C593" s="93" t="s">
        <v>6</v>
      </c>
      <c r="D593" s="93">
        <v>21015</v>
      </c>
      <c r="E593" s="172" t="str">
        <f>IF($D593&lt;&gt;"",VLOOKUP($D593,'SINAPI FEVEREIRO 2022'!$1:$1048576,2,FALSE),"")</f>
        <v>TUBO ACO GALVANIZADO COM COSTURA, CLASSE LEVE, DN 80 MM ( 3"),  E = 3,35 MM, *7,32* KG/M (NBR 5580)</v>
      </c>
      <c r="F593" s="173" t="str">
        <f>IF($D593&lt;&gt;"",VLOOKUP($D593,'SINAPI FEVEREIRO 2022'!$1:$1048576,3,FALSE),"")</f>
        <v xml:space="preserve">M     </v>
      </c>
      <c r="G593" s="375">
        <v>10.5</v>
      </c>
      <c r="H593" s="379">
        <f>IF($D593&lt;&gt;"",VLOOKUP($D593,'SINAPI FEVEREIRO 2022'!$1:$1048576,4,FALSE),"")</f>
        <v>132.51</v>
      </c>
      <c r="I593" s="398">
        <f t="shared" si="75"/>
        <v>1391.35</v>
      </c>
    </row>
    <row r="594" spans="2:11">
      <c r="B594" s="93" t="s">
        <v>549</v>
      </c>
      <c r="C594" s="93" t="s">
        <v>6</v>
      </c>
      <c r="D594" s="93">
        <v>7307</v>
      </c>
      <c r="E594" s="172" t="str">
        <f>IF($D594&lt;&gt;"",VLOOKUP($D594,'SINAPI FEVEREIRO 2022'!$1:$1048576,2,FALSE),"")</f>
        <v>FUNDO ANTICORROSIVO PARA METAIS FERROSOS (ZARCAO)</v>
      </c>
      <c r="F594" s="173" t="str">
        <f>IF($D594&lt;&gt;"",VLOOKUP($D594,'SINAPI FEVEREIRO 2022'!$1:$1048576,3,FALSE),"")</f>
        <v xml:space="preserve">L     </v>
      </c>
      <c r="G594" s="375">
        <v>0.85</v>
      </c>
      <c r="H594" s="379">
        <f>IF($D594&lt;&gt;"",VLOOKUP($D594,'SINAPI FEVEREIRO 2022'!$1:$1048576,4,FALSE),"")</f>
        <v>31.43</v>
      </c>
      <c r="I594" s="398">
        <f t="shared" si="75"/>
        <v>26.71</v>
      </c>
    </row>
    <row r="595" spans="2:11">
      <c r="B595" s="94"/>
      <c r="C595" s="335"/>
      <c r="D595" s="177"/>
      <c r="E595" s="172"/>
      <c r="F595" s="173"/>
      <c r="G595" s="315"/>
      <c r="H595" s="379"/>
      <c r="I595" s="406"/>
      <c r="J595" s="344"/>
      <c r="K595" s="229"/>
    </row>
    <row r="596" spans="2:11" ht="25.5">
      <c r="B596" s="223" t="s">
        <v>7054</v>
      </c>
      <c r="C596" s="223"/>
      <c r="D596" s="223"/>
      <c r="E596" s="95" t="s">
        <v>7051</v>
      </c>
      <c r="F596" s="96" t="s">
        <v>531</v>
      </c>
      <c r="G596" s="301">
        <v>1</v>
      </c>
      <c r="H596" s="378"/>
      <c r="I596" s="396">
        <f>TRUNC(SUM(I597:I601),2)</f>
        <v>733.99</v>
      </c>
      <c r="J596" s="344"/>
      <c r="K596" s="229"/>
    </row>
    <row r="597" spans="2:11">
      <c r="B597" s="93" t="s">
        <v>546</v>
      </c>
      <c r="C597" s="93" t="s">
        <v>6</v>
      </c>
      <c r="D597" s="93">
        <v>11186</v>
      </c>
      <c r="E597" s="172" t="str">
        <f>IF($D597&lt;&gt;"",VLOOKUP($D597,'SINAPI FEVEREIRO 2022'!$1:$1048576,2,FALSE),"")</f>
        <v>ESPELHO CRISTAL E = 4 MM</v>
      </c>
      <c r="F597" s="173" t="str">
        <f>IF($D597&lt;&gt;"",VLOOKUP($D597,'SINAPI FEVEREIRO 2022'!$1:$1048576,3,FALSE),"")</f>
        <v xml:space="preserve">M2    </v>
      </c>
      <c r="G597" s="375">
        <v>0.9</v>
      </c>
      <c r="H597" s="379">
        <f>IF($D597&lt;&gt;"",VLOOKUP($D597,'SINAPI FEVEREIRO 2022'!$1:$1048576,4,FALSE),"")</f>
        <v>677.6</v>
      </c>
      <c r="I597" s="398">
        <f t="shared" ref="I597:I601" si="76">TRUNC(H597*G597,2)</f>
        <v>609.84</v>
      </c>
      <c r="J597" s="344"/>
      <c r="K597" s="229"/>
    </row>
    <row r="598" spans="2:11" ht="25.5">
      <c r="B598" s="93" t="s">
        <v>546</v>
      </c>
      <c r="C598" s="93" t="s">
        <v>6</v>
      </c>
      <c r="D598" s="93">
        <v>20259</v>
      </c>
      <c r="E598" s="172" t="str">
        <f>IF($D598&lt;&gt;"",VLOOKUP($D598,'SINAPI FEVEREIRO 2022'!$1:$1048576,2,FALSE),"")</f>
        <v>PERFIL DE BORRACHA EPDM MACICO *12 X 15* MM PARA ESQUADRIAS</v>
      </c>
      <c r="F598" s="173" t="str">
        <f>IF($D598&lt;&gt;"",VLOOKUP($D598,'SINAPI FEVEREIRO 2022'!$1:$1048576,3,FALSE),"")</f>
        <v xml:space="preserve">M     </v>
      </c>
      <c r="G598" s="375">
        <v>7.3</v>
      </c>
      <c r="H598" s="379">
        <f>IF($D598&lt;&gt;"",VLOOKUP($D598,'SINAPI FEVEREIRO 2022'!$1:$1048576,4,FALSE),"")</f>
        <v>11</v>
      </c>
      <c r="I598" s="398">
        <f t="shared" si="76"/>
        <v>80.3</v>
      </c>
      <c r="J598" s="344"/>
      <c r="K598" s="229"/>
    </row>
    <row r="599" spans="2:11" ht="25.5">
      <c r="B599" s="93" t="s">
        <v>546</v>
      </c>
      <c r="C599" s="93" t="s">
        <v>6</v>
      </c>
      <c r="D599" s="93">
        <v>39432</v>
      </c>
      <c r="E599" s="172" t="str">
        <f>IF($D599&lt;&gt;"",VLOOKUP($D599,'SINAPI FEVEREIRO 2022'!$1:$1048576,2,FALSE),"")</f>
        <v>FITA DE PAPEL REFORCADA COM LAMINA DE METAL PARA REFORCO DE CANTOS DE CHAPA DE GESSO PARA DRYWALL</v>
      </c>
      <c r="F599" s="173" t="str">
        <f>IF($D599&lt;&gt;"",VLOOKUP($D599,'SINAPI FEVEREIRO 2022'!$1:$1048576,3,FALSE),"")</f>
        <v xml:space="preserve">M     </v>
      </c>
      <c r="G599" s="375">
        <v>6.4</v>
      </c>
      <c r="H599" s="379">
        <f>IF($D599&lt;&gt;"",VLOOKUP($D599,'SINAPI FEVEREIRO 2022'!$1:$1048576,4,FALSE),"")</f>
        <v>2.97</v>
      </c>
      <c r="I599" s="398">
        <f t="shared" si="76"/>
        <v>19</v>
      </c>
      <c r="J599" s="344"/>
      <c r="K599" s="229"/>
    </row>
    <row r="600" spans="2:11">
      <c r="B600" s="93" t="s">
        <v>548</v>
      </c>
      <c r="C600" s="93" t="s">
        <v>6</v>
      </c>
      <c r="D600" s="93">
        <v>88325</v>
      </c>
      <c r="E600" s="172" t="str">
        <f>IF($D600&lt;&gt;"",VLOOKUP($D600,'SINAPI FEVEREIRO 2022'!$1:$1048576,2,FALSE),"")</f>
        <v>VIDRACEIRO COM ENCARGOS COMPLEMENTARES</v>
      </c>
      <c r="F600" s="173" t="str">
        <f>IF($D600&lt;&gt;"",VLOOKUP($D600,'SINAPI FEVEREIRO 2022'!$1:$1048576,3,FALSE),"")</f>
        <v>H</v>
      </c>
      <c r="G600" s="375">
        <v>0.8</v>
      </c>
      <c r="H600" s="379">
        <f>IF($D600&lt;&gt;"",VLOOKUP($D600,'SINAPI FEVEREIRO 2022'!$1:$1048576,4,FALSE),"")</f>
        <v>16.86</v>
      </c>
      <c r="I600" s="398">
        <f t="shared" si="76"/>
        <v>13.48</v>
      </c>
      <c r="J600" s="344"/>
      <c r="K600" s="229"/>
    </row>
    <row r="601" spans="2:11">
      <c r="B601" s="93" t="s">
        <v>548</v>
      </c>
      <c r="C601" s="93" t="s">
        <v>6</v>
      </c>
      <c r="D601" s="93">
        <v>88316</v>
      </c>
      <c r="E601" s="172" t="str">
        <f>IF($D601&lt;&gt;"",VLOOKUP($D601,'SINAPI FEVEREIRO 2022'!$1:$1048576,2,FALSE),"")</f>
        <v>SERVENTE COM ENCARGOS COMPLEMENTARES</v>
      </c>
      <c r="F601" s="173" t="str">
        <f>IF($D601&lt;&gt;"",VLOOKUP($D601,'SINAPI FEVEREIRO 2022'!$1:$1048576,3,FALSE),"")</f>
        <v>H</v>
      </c>
      <c r="G601" s="375">
        <v>0.75</v>
      </c>
      <c r="H601" s="379">
        <f>IF($D601&lt;&gt;"",VLOOKUP($D601,'SINAPI FEVEREIRO 2022'!$1:$1048576,4,FALSE),"")</f>
        <v>15.16</v>
      </c>
      <c r="I601" s="398">
        <f t="shared" si="76"/>
        <v>11.37</v>
      </c>
      <c r="J601" s="344"/>
      <c r="K601" s="229"/>
    </row>
    <row r="602" spans="2:11">
      <c r="B602" s="94"/>
      <c r="C602" s="444"/>
      <c r="D602" s="177"/>
      <c r="E602" s="172"/>
      <c r="F602" s="173"/>
      <c r="G602" s="315"/>
      <c r="H602" s="379"/>
      <c r="I602" s="406"/>
      <c r="J602" s="344"/>
      <c r="K602" s="229"/>
    </row>
    <row r="603" spans="2:11" ht="25.5">
      <c r="B603" s="223" t="s">
        <v>7055</v>
      </c>
      <c r="C603" s="223"/>
      <c r="D603" s="223"/>
      <c r="E603" s="95" t="s">
        <v>7052</v>
      </c>
      <c r="F603" s="96" t="s">
        <v>661</v>
      </c>
      <c r="G603" s="301">
        <v>1</v>
      </c>
      <c r="H603" s="378"/>
      <c r="I603" s="396">
        <f>TRUNC(SUM(I604:I607),2)</f>
        <v>400.73</v>
      </c>
      <c r="J603" s="344"/>
      <c r="K603" s="229"/>
    </row>
    <row r="604" spans="2:11">
      <c r="B604" s="329" t="s">
        <v>4563</v>
      </c>
      <c r="C604" s="93" t="s">
        <v>6</v>
      </c>
      <c r="D604" s="93">
        <v>88316</v>
      </c>
      <c r="E604" s="172" t="str">
        <f>IF($D604&lt;&gt;"",VLOOKUP($D604,'SINAPI FEVEREIRO 2022'!$1:$1048576,2,FALSE),"")</f>
        <v>SERVENTE COM ENCARGOS COMPLEMENTARES</v>
      </c>
      <c r="F604" s="173" t="str">
        <f>IF($D604&lt;&gt;"",VLOOKUP($D604,'SINAPI FEVEREIRO 2022'!$1:$1048576,3,FALSE),"")</f>
        <v>H</v>
      </c>
      <c r="G604" s="449">
        <v>0.6</v>
      </c>
      <c r="H604" s="379">
        <f>IF($D604&lt;&gt;"",VLOOKUP($D604,'SINAPI FEVEREIRO 2022'!$1:$1048576,4,FALSE),"")</f>
        <v>15.16</v>
      </c>
      <c r="I604" s="398">
        <f t="shared" ref="I604:I606" si="77">TRUNC(H604*G604,2)</f>
        <v>9.09</v>
      </c>
      <c r="J604" s="344"/>
      <c r="K604" s="229"/>
    </row>
    <row r="605" spans="2:11" ht="25.5">
      <c r="B605" s="329" t="s">
        <v>546</v>
      </c>
      <c r="C605" s="93" t="s">
        <v>6</v>
      </c>
      <c r="D605" s="93">
        <v>36887</v>
      </c>
      <c r="E605" s="172" t="str">
        <f>IF($D605&lt;&gt;"",VLOOKUP($D605,'SINAPI FEVEREIRO 2022'!$1:$1048576,2,FALSE),"")</f>
        <v>TELA DE FIBRA DE VIDRO, ACABAMENTO ANTI-ALCALINO, MALHA 10 X 10 MM</v>
      </c>
      <c r="F605" s="173" t="str">
        <f>IF($D605&lt;&gt;"",VLOOKUP($D605,'SINAPI FEVEREIRO 2022'!$1:$1048576,3,FALSE),"")</f>
        <v xml:space="preserve">M2    </v>
      </c>
      <c r="G605" s="449">
        <v>1</v>
      </c>
      <c r="H605" s="379">
        <f>IF($D605&lt;&gt;"",VLOOKUP($D605,'SINAPI FEVEREIRO 2022'!$1:$1048576,4,FALSE),"")</f>
        <v>10.87</v>
      </c>
      <c r="I605" s="398">
        <f t="shared" si="77"/>
        <v>10.87</v>
      </c>
      <c r="J605" s="344"/>
      <c r="K605" s="229"/>
    </row>
    <row r="606" spans="2:11" ht="38.25">
      <c r="B606" s="329" t="s">
        <v>546</v>
      </c>
      <c r="C606" s="93" t="s">
        <v>6</v>
      </c>
      <c r="D606" s="93">
        <v>36888</v>
      </c>
      <c r="E606" s="172" t="str">
        <f>IF($D606&lt;&gt;"",VLOOKUP($D606,'SINAPI FEVEREIRO 2022'!$1:$1048576,2,FALSE),"")</f>
        <v>GUARNICAO / MOLDURA / ARREMATE DE ACABAMENTO PARA ESQUADRIA, EM ALUMINIO PERFIL 25, ACABAMENTO ANODIZADO BRANCO OU BRILHANTE, PARA 1 FACE</v>
      </c>
      <c r="F606" s="173" t="str">
        <f>IF($D606&lt;&gt;"",VLOOKUP($D606,'SINAPI FEVEREIRO 2022'!$1:$1048576,3,FALSE),"")</f>
        <v xml:space="preserve">M     </v>
      </c>
      <c r="G606" s="449">
        <f>8.6</f>
        <v>8.6</v>
      </c>
      <c r="H606" s="379">
        <f>IF($D606&lt;&gt;"",VLOOKUP($D606,'SINAPI FEVEREIRO 2022'!$1:$1048576,4,FALSE),"")</f>
        <v>43.85</v>
      </c>
      <c r="I606" s="398">
        <f t="shared" si="77"/>
        <v>377.11</v>
      </c>
      <c r="J606" s="344"/>
      <c r="K606" s="229"/>
    </row>
    <row r="607" spans="2:11" ht="38.25">
      <c r="B607" s="329" t="s">
        <v>546</v>
      </c>
      <c r="C607" s="93" t="s">
        <v>6</v>
      </c>
      <c r="D607" s="93">
        <v>7568</v>
      </c>
      <c r="E607" s="172" t="str">
        <f>IF($D607&lt;&gt;"",VLOOKUP($D607,'SINAPI FEVEREIRO 2022'!$1:$1048576,2,FALSE),"")</f>
        <v>BUCHA DE NYLON SEM ABA S10, COM PARAFUSO DE 6,10 X 65 MM EM ACO ZINCADO COM ROSCA SOBERBA, CABECA CHATA E FENDA PHILLIPS</v>
      </c>
      <c r="F607" s="173" t="str">
        <f>IF($D607&lt;&gt;"",VLOOKUP($D607,'SINAPI FEVEREIRO 2022'!$1:$1048576,3,FALSE),"")</f>
        <v xml:space="preserve">UN    </v>
      </c>
      <c r="G607" s="449">
        <v>6</v>
      </c>
      <c r="H607" s="379">
        <f>IF($D607&lt;&gt;"",VLOOKUP($D607,'SINAPI FEVEREIRO 2022'!$1:$1048576,4,FALSE),"")</f>
        <v>0.61</v>
      </c>
      <c r="I607" s="398">
        <f t="shared" ref="I607" si="78">TRUNC(H607*G607,2)</f>
        <v>3.66</v>
      </c>
      <c r="J607" s="344"/>
      <c r="K607" s="229"/>
    </row>
    <row r="608" spans="2:11">
      <c r="B608" s="329"/>
      <c r="C608" s="93"/>
      <c r="D608" s="93"/>
      <c r="E608" s="172"/>
      <c r="F608" s="173"/>
      <c r="G608" s="449"/>
      <c r="H608" s="379"/>
      <c r="I608" s="398"/>
      <c r="J608" s="344"/>
      <c r="K608" s="229"/>
    </row>
    <row r="609" spans="2:11">
      <c r="B609" s="223" t="s">
        <v>7056</v>
      </c>
      <c r="C609" s="223"/>
      <c r="D609" s="223"/>
      <c r="E609" s="95" t="s">
        <v>7057</v>
      </c>
      <c r="F609" s="96" t="s">
        <v>531</v>
      </c>
      <c r="G609" s="301">
        <v>1</v>
      </c>
      <c r="H609" s="378"/>
      <c r="I609" s="396">
        <f>TRUNC(SUM(I610:I611),2)</f>
        <v>195.1</v>
      </c>
      <c r="J609" s="344"/>
      <c r="K609" s="229"/>
    </row>
    <row r="610" spans="2:11" ht="38.25">
      <c r="B610" s="329" t="s">
        <v>546</v>
      </c>
      <c r="C610" s="93" t="s">
        <v>6</v>
      </c>
      <c r="D610" s="93">
        <v>11560</v>
      </c>
      <c r="E610" s="172" t="str">
        <f>IF($D610&lt;&gt;"",VLOOKUP($D610,'SINAPI FEVEREIRO 2022'!$1:$1048576,2,FALSE),"")</f>
        <v>MOLA HIDRAULICA AEREA, PARA PORTAS DE ATE 950 MM E PESO DE ATE 65 KG, COM CORPO EM ALUMINIO E BRACO EM ACO, SEM BRACO DE PARADA</v>
      </c>
      <c r="F610" s="173" t="str">
        <f>IF($D610&lt;&gt;"",VLOOKUP($D610,'SINAPI FEVEREIRO 2022'!$1:$1048576,3,FALSE),"")</f>
        <v xml:space="preserve">UN    </v>
      </c>
      <c r="G610" s="449">
        <v>1</v>
      </c>
      <c r="H610" s="379">
        <f>IF($D610&lt;&gt;"",VLOOKUP($D610,'SINAPI FEVEREIRO 2022'!$1:$1048576,4,FALSE),"")</f>
        <v>192.07</v>
      </c>
      <c r="I610" s="398">
        <f t="shared" ref="I610:I611" si="79">TRUNC(H610*G610,2)</f>
        <v>192.07</v>
      </c>
      <c r="J610" s="344"/>
      <c r="K610" s="229"/>
    </row>
    <row r="611" spans="2:11">
      <c r="B611" s="329" t="s">
        <v>4563</v>
      </c>
      <c r="C611" s="93" t="s">
        <v>6</v>
      </c>
      <c r="D611" s="93">
        <v>88316</v>
      </c>
      <c r="E611" s="172" t="str">
        <f>IF($D611&lt;&gt;"",VLOOKUP($D611,'SINAPI FEVEREIRO 2022'!$1:$1048576,2,FALSE),"")</f>
        <v>SERVENTE COM ENCARGOS COMPLEMENTARES</v>
      </c>
      <c r="F611" s="173" t="str">
        <f>IF($D611&lt;&gt;"",VLOOKUP($D611,'SINAPI FEVEREIRO 2022'!$1:$1048576,3,FALSE),"")</f>
        <v>H</v>
      </c>
      <c r="G611" s="449">
        <v>0.2</v>
      </c>
      <c r="H611" s="379">
        <f>IF($D611&lt;&gt;"",VLOOKUP($D611,'SINAPI FEVEREIRO 2022'!$1:$1048576,4,FALSE),"")</f>
        <v>15.16</v>
      </c>
      <c r="I611" s="398">
        <f t="shared" si="79"/>
        <v>3.03</v>
      </c>
      <c r="J611" s="344"/>
      <c r="K611" s="229"/>
    </row>
    <row r="612" spans="2:11">
      <c r="B612" s="329"/>
      <c r="C612" s="93"/>
      <c r="D612" s="93"/>
      <c r="E612" s="172"/>
      <c r="F612" s="173"/>
      <c r="G612" s="449"/>
      <c r="H612" s="379"/>
      <c r="I612" s="398"/>
      <c r="J612" s="344"/>
      <c r="K612" s="229"/>
    </row>
    <row r="613" spans="2:11" ht="25.5">
      <c r="B613" s="223" t="s">
        <v>7059</v>
      </c>
      <c r="C613" s="223"/>
      <c r="D613" s="223"/>
      <c r="E613" s="95" t="s">
        <v>7058</v>
      </c>
      <c r="F613" s="96" t="s">
        <v>531</v>
      </c>
      <c r="G613" s="301">
        <v>1</v>
      </c>
      <c r="H613" s="378"/>
      <c r="I613" s="396">
        <f>TRUNC(SUM(I614:I619),2)</f>
        <v>2902.24</v>
      </c>
      <c r="J613" s="344"/>
      <c r="K613" s="229"/>
    </row>
    <row r="614" spans="2:11">
      <c r="B614" s="329" t="s">
        <v>4563</v>
      </c>
      <c r="C614" s="93" t="s">
        <v>6</v>
      </c>
      <c r="D614" s="93">
        <v>88316</v>
      </c>
      <c r="E614" s="172" t="str">
        <f>IF($D614&lt;&gt;"",VLOOKUP($D614,'SINAPI FEVEREIRO 2022'!$1:$1048576,2,FALSE),"")</f>
        <v>SERVENTE COM ENCARGOS COMPLEMENTARES</v>
      </c>
      <c r="F614" s="173" t="str">
        <f>IF($D614&lt;&gt;"",VLOOKUP($D614,'SINAPI FEVEREIRO 2022'!$1:$1048576,3,FALSE),"")</f>
        <v>H</v>
      </c>
      <c r="G614" s="449">
        <v>0.3</v>
      </c>
      <c r="H614" s="379">
        <f>IF($D614&lt;&gt;"",VLOOKUP($D614,'SINAPI FEVEREIRO 2022'!$1:$1048576,4,FALSE),"")</f>
        <v>15.16</v>
      </c>
      <c r="I614" s="398">
        <f t="shared" ref="I614:I615" si="80">TRUNC(H614*G614,2)</f>
        <v>4.54</v>
      </c>
      <c r="J614" s="344"/>
      <c r="K614" s="229"/>
    </row>
    <row r="615" spans="2:11">
      <c r="B615" s="487" t="s">
        <v>546</v>
      </c>
      <c r="C615" s="93" t="s">
        <v>547</v>
      </c>
      <c r="D615" s="93"/>
      <c r="E615" s="172" t="s">
        <v>7060</v>
      </c>
      <c r="F615" s="173" t="str">
        <f>IF($D615&lt;&gt;"",VLOOKUP($D615,'SINAPI FEVEREIRO 2022'!$1:$1048576,3,FALSE),"")</f>
        <v/>
      </c>
      <c r="G615" s="449">
        <v>1</v>
      </c>
      <c r="H615" s="379">
        <v>2880</v>
      </c>
      <c r="I615" s="398">
        <f t="shared" si="80"/>
        <v>2880</v>
      </c>
      <c r="J615" s="344"/>
      <c r="K615" s="229"/>
    </row>
    <row r="616" spans="2:11" ht="38.25">
      <c r="B616" s="487" t="s">
        <v>546</v>
      </c>
      <c r="C616" s="93" t="s">
        <v>6</v>
      </c>
      <c r="D616" s="93">
        <v>4377</v>
      </c>
      <c r="E616" s="172" t="str">
        <f>IF($D616&lt;&gt;"",VLOOKUP($D616,'SINAPI FEVEREIRO 2022'!$1:$1048576,2,FALSE),"")</f>
        <v>PARAFUSO DE ACO ZINCADO COM ROSCA SOBERBA, CABECA CHATA E FENDA SIMPLES, DIAMETRO 4,2 MM, COMPRIMENTO * 32 * MM</v>
      </c>
      <c r="F616" s="173" t="str">
        <f>IF($D616&lt;&gt;"",VLOOKUP($D616,'SINAPI FEVEREIRO 2022'!$1:$1048576,3,FALSE),"")</f>
        <v xml:space="preserve">UN    </v>
      </c>
      <c r="G616" s="449">
        <v>10</v>
      </c>
      <c r="H616" s="379">
        <f>IF($D616&lt;&gt;"",VLOOKUP($D616,'SINAPI FEVEREIRO 2022'!$1:$1048576,4,FALSE),"")</f>
        <v>0.21</v>
      </c>
      <c r="I616" s="398">
        <f t="shared" ref="I616:I619" si="81">TRUNC(H616*G616,2)</f>
        <v>2.1</v>
      </c>
      <c r="J616" s="344"/>
      <c r="K616" s="229"/>
    </row>
    <row r="617" spans="2:11">
      <c r="B617" s="487" t="s">
        <v>546</v>
      </c>
      <c r="C617" s="93" t="s">
        <v>6</v>
      </c>
      <c r="D617" s="93">
        <v>39961</v>
      </c>
      <c r="E617" s="172" t="str">
        <f>IF($D617&lt;&gt;"",VLOOKUP($D617,'SINAPI FEVEREIRO 2022'!$1:$1048576,2,FALSE),"")</f>
        <v>SILICONE ACETICO USO GERAL INCOLOR 280 G</v>
      </c>
      <c r="F617" s="173" t="str">
        <f>IF($D617&lt;&gt;"",VLOOKUP($D617,'SINAPI FEVEREIRO 2022'!$1:$1048576,3,FALSE),"")</f>
        <v xml:space="preserve">UN    </v>
      </c>
      <c r="G617" s="449">
        <v>0.5</v>
      </c>
      <c r="H617" s="379">
        <f>IF($D617&lt;&gt;"",VLOOKUP($D617,'SINAPI FEVEREIRO 2022'!$1:$1048576,4,FALSE),"")</f>
        <v>17.3</v>
      </c>
      <c r="I617" s="398">
        <f t="shared" si="81"/>
        <v>8.65</v>
      </c>
      <c r="J617" s="344"/>
      <c r="K617" s="229"/>
    </row>
    <row r="618" spans="2:11">
      <c r="B618" s="487" t="s">
        <v>4563</v>
      </c>
      <c r="C618" s="93" t="s">
        <v>6</v>
      </c>
      <c r="D618" s="93">
        <v>88325</v>
      </c>
      <c r="E618" s="172" t="str">
        <f>IF($D618&lt;&gt;"",VLOOKUP($D618,'SINAPI FEVEREIRO 2022'!$1:$1048576,2,FALSE),"")</f>
        <v>VIDRACEIRO COM ENCARGOS COMPLEMENTARES</v>
      </c>
      <c r="F618" s="173" t="str">
        <f>IF($D618&lt;&gt;"",VLOOKUP($D618,'SINAPI FEVEREIRO 2022'!$1:$1048576,3,FALSE),"")</f>
        <v>H</v>
      </c>
      <c r="G618" s="449">
        <v>0.3</v>
      </c>
      <c r="H618" s="379">
        <f>IF($D618&lt;&gt;"",VLOOKUP($D618,'SINAPI FEVEREIRO 2022'!$1:$1048576,4,FALSE),"")</f>
        <v>16.86</v>
      </c>
      <c r="I618" s="398">
        <f t="shared" si="81"/>
        <v>5.05</v>
      </c>
      <c r="J618" s="344"/>
      <c r="K618" s="229"/>
    </row>
    <row r="619" spans="2:11">
      <c r="B619" s="487" t="s">
        <v>546</v>
      </c>
      <c r="C619" s="93" t="s">
        <v>6</v>
      </c>
      <c r="D619" s="93">
        <v>4376</v>
      </c>
      <c r="E619" s="172" t="str">
        <f>IF($D619&lt;&gt;"",VLOOKUP($D619,'SINAPI FEVEREIRO 2022'!$1:$1048576,2,FALSE),"")</f>
        <v>BUCHA DE NYLON SEM ABA S8</v>
      </c>
      <c r="F619" s="173" t="str">
        <f>IF($D619&lt;&gt;"",VLOOKUP($D619,'SINAPI FEVEREIRO 2022'!$1:$1048576,3,FALSE),"")</f>
        <v xml:space="preserve">UN    </v>
      </c>
      <c r="G619" s="449">
        <v>10</v>
      </c>
      <c r="H619" s="379">
        <f>IF($D619&lt;&gt;"",VLOOKUP($D619,'SINAPI FEVEREIRO 2022'!$1:$1048576,4,FALSE),"")</f>
        <v>0.19</v>
      </c>
      <c r="I619" s="398">
        <f t="shared" si="81"/>
        <v>1.9</v>
      </c>
      <c r="J619" s="344"/>
      <c r="K619" s="229"/>
    </row>
    <row r="620" spans="2:11">
      <c r="B620" s="94"/>
      <c r="C620" s="335"/>
      <c r="D620" s="177"/>
      <c r="E620" s="172"/>
      <c r="F620" s="173"/>
      <c r="G620" s="315"/>
      <c r="H620" s="379"/>
      <c r="I620" s="406"/>
      <c r="J620" s="344"/>
      <c r="K620" s="229"/>
    </row>
    <row r="621" spans="2:11" ht="38.25">
      <c r="B621" s="223" t="s">
        <v>7297</v>
      </c>
      <c r="C621" s="223"/>
      <c r="D621" s="223"/>
      <c r="E621" s="95" t="s">
        <v>7298</v>
      </c>
      <c r="F621" s="96" t="s">
        <v>531</v>
      </c>
      <c r="G621" s="301">
        <v>1</v>
      </c>
      <c r="H621" s="378"/>
      <c r="I621" s="396">
        <f>TRUNC(SUM(I622:I623),2)</f>
        <v>9865.16</v>
      </c>
      <c r="J621" s="344"/>
      <c r="K621" s="229"/>
    </row>
    <row r="622" spans="2:11">
      <c r="B622" s="329" t="s">
        <v>4563</v>
      </c>
      <c r="C622" s="93" t="s">
        <v>6</v>
      </c>
      <c r="D622" s="93">
        <v>88316</v>
      </c>
      <c r="E622" s="172" t="str">
        <f>IF($D622&lt;&gt;"",VLOOKUP($D622,'SINAPI FEVEREIRO 2022'!$1:$1048576,2,FALSE),"")</f>
        <v>SERVENTE COM ENCARGOS COMPLEMENTARES</v>
      </c>
      <c r="F622" s="173" t="str">
        <f>IF($D622&lt;&gt;"",VLOOKUP($D622,'SINAPI FEVEREIRO 2022'!$1:$1048576,3,FALSE),"")</f>
        <v>H</v>
      </c>
      <c r="G622" s="449">
        <v>1</v>
      </c>
      <c r="H622" s="379">
        <f>IF($D622&lt;&gt;"",VLOOKUP($D622,'SINAPI FEVEREIRO 2022'!$1:$1048576,4,FALSE),"")</f>
        <v>15.16</v>
      </c>
      <c r="I622" s="398">
        <f t="shared" ref="I622:I623" si="82">TRUNC(H622*G622,2)</f>
        <v>15.16</v>
      </c>
      <c r="J622" s="344"/>
      <c r="K622" s="229"/>
    </row>
    <row r="623" spans="2:11" ht="38.25">
      <c r="B623" s="487" t="s">
        <v>546</v>
      </c>
      <c r="C623" s="93" t="s">
        <v>547</v>
      </c>
      <c r="D623" s="93"/>
      <c r="E623" s="172" t="s">
        <v>7298</v>
      </c>
      <c r="F623" s="173" t="s">
        <v>24</v>
      </c>
      <c r="G623" s="449">
        <v>1</v>
      </c>
      <c r="H623" s="379">
        <v>9850</v>
      </c>
      <c r="I623" s="398">
        <f t="shared" si="82"/>
        <v>9850</v>
      </c>
      <c r="J623" s="344"/>
      <c r="K623" s="229"/>
    </row>
    <row r="624" spans="2:11">
      <c r="B624" s="642"/>
      <c r="C624" s="643"/>
      <c r="D624" s="643"/>
      <c r="E624" s="532"/>
      <c r="F624" s="533"/>
      <c r="G624" s="644"/>
      <c r="H624" s="534"/>
      <c r="I624" s="645"/>
      <c r="J624" s="344"/>
      <c r="K624" s="229"/>
    </row>
    <row r="625" spans="2:11">
      <c r="B625" s="223" t="s">
        <v>7423</v>
      </c>
      <c r="C625" s="223"/>
      <c r="D625" s="223"/>
      <c r="E625" s="95" t="s">
        <v>7424</v>
      </c>
      <c r="F625" s="96" t="s">
        <v>24</v>
      </c>
      <c r="G625" s="301">
        <v>1</v>
      </c>
      <c r="H625" s="378"/>
      <c r="I625" s="396">
        <f>TRUNC(SUM(I626:I629),2)</f>
        <v>401.91</v>
      </c>
      <c r="J625" s="344"/>
      <c r="K625" s="229"/>
    </row>
    <row r="626" spans="2:11" ht="25.5">
      <c r="B626" s="329" t="s">
        <v>546</v>
      </c>
      <c r="C626" s="93" t="s">
        <v>6</v>
      </c>
      <c r="D626" s="93">
        <v>35276</v>
      </c>
      <c r="E626" s="172" t="str">
        <f>IF($D626&lt;&gt;"",VLOOKUP($D626,'SINAPI FEVEREIRO 2022'!$1:$1048576,2,FALSE),"")</f>
        <v>PILAR QUADRADO NAO APARELHADO *20 X 20* CM, EM MACARANDUBA, ANGELIM OU EQUIVALENTE DA REGIAO - BRUTA</v>
      </c>
      <c r="F626" s="173" t="str">
        <f>IF($D626&lt;&gt;"",VLOOKUP($D626,'SINAPI FEVEREIRO 2022'!$1:$1048576,3,FALSE),"")</f>
        <v xml:space="preserve">M     </v>
      </c>
      <c r="G626" s="449">
        <v>2.5</v>
      </c>
      <c r="H626" s="379">
        <f>IF($D626&lt;&gt;"",VLOOKUP($D626,'SINAPI FEVEREIRO 2022'!$1:$1048576,4,FALSE),"")</f>
        <v>146.18</v>
      </c>
      <c r="I626" s="398">
        <f t="shared" ref="I626" si="83">TRUNC(H626*G626,2)</f>
        <v>365.45</v>
      </c>
      <c r="J626" s="344"/>
      <c r="K626" s="229"/>
    </row>
    <row r="627" spans="2:11" ht="25.5">
      <c r="B627" s="329" t="s">
        <v>548</v>
      </c>
      <c r="C627" s="93" t="s">
        <v>6</v>
      </c>
      <c r="D627" s="93">
        <v>102203</v>
      </c>
      <c r="E627" s="172" t="str">
        <f>IF($D627&lt;&gt;"",VLOOKUP($D627,'SINAPI FEVEREIRO 2022'!$1:$1048576,2,FALSE),"")</f>
        <v>PINTURA VERNIZ (INCOLOR) ALQUÍDICO EM MADEIRA, USO INTERNO E EXTERNO, 1 DEMÃO. AF_01/2021</v>
      </c>
      <c r="F627" s="173" t="str">
        <f>IF($D627&lt;&gt;"",VLOOKUP($D627,'SINAPI FEVEREIRO 2022'!$1:$1048576,3,FALSE),"")</f>
        <v>M2</v>
      </c>
      <c r="G627" s="449">
        <v>0.75</v>
      </c>
      <c r="H627" s="379">
        <f>IF($D627&lt;&gt;"",VLOOKUP($D627,'SINAPI FEVEREIRO 2022'!$1:$1048576,4,FALSE),"")</f>
        <v>7.12</v>
      </c>
      <c r="I627" s="398">
        <f t="shared" ref="I627" si="84">TRUNC(H627*G627,2)</f>
        <v>5.34</v>
      </c>
      <c r="J627" s="344"/>
      <c r="K627" s="229"/>
    </row>
    <row r="628" spans="2:11">
      <c r="B628" s="329" t="s">
        <v>548</v>
      </c>
      <c r="C628" s="93" t="s">
        <v>6</v>
      </c>
      <c r="D628" s="93">
        <v>88316</v>
      </c>
      <c r="E628" s="172" t="str">
        <f>IF($D628&lt;&gt;"",VLOOKUP($D628,'SINAPI FEVEREIRO 2022'!$1:$1048576,2,FALSE),"")</f>
        <v>SERVENTE COM ENCARGOS COMPLEMENTARES</v>
      </c>
      <c r="F628" s="173" t="str">
        <f>IF($D628&lt;&gt;"",VLOOKUP($D628,'SINAPI FEVEREIRO 2022'!$1:$1048576,3,FALSE),"")</f>
        <v>H</v>
      </c>
      <c r="G628" s="449">
        <v>1</v>
      </c>
      <c r="H628" s="379">
        <f>IF($D628&lt;&gt;"",VLOOKUP($D628,'SINAPI FEVEREIRO 2022'!$1:$1048576,4,FALSE),"")</f>
        <v>15.16</v>
      </c>
      <c r="I628" s="398">
        <f t="shared" ref="I628" si="85">TRUNC(H628*G628,2)</f>
        <v>15.16</v>
      </c>
      <c r="J628" s="344"/>
      <c r="K628" s="229"/>
    </row>
    <row r="629" spans="2:11" ht="13.5" customHeight="1">
      <c r="B629" s="329" t="s">
        <v>548</v>
      </c>
      <c r="C629" s="93" t="s">
        <v>6</v>
      </c>
      <c r="D629" s="643">
        <v>88239</v>
      </c>
      <c r="E629" s="172" t="str">
        <f>IF($D629&lt;&gt;"",VLOOKUP($D629,'SINAPI FEVEREIRO 2022'!$1:$1048576,2,FALSE),"")</f>
        <v>AJUDANTE DE CARPINTEIRO COM ENCARGOS COMPLEMENTARES</v>
      </c>
      <c r="F629" s="173" t="str">
        <f>IF($D629&lt;&gt;"",VLOOKUP($D629,'SINAPI FEVEREIRO 2022'!$1:$1048576,3,FALSE),"")</f>
        <v>H</v>
      </c>
      <c r="G629" s="449">
        <v>1</v>
      </c>
      <c r="H629" s="379">
        <f>IF($D629&lt;&gt;"",VLOOKUP($D629,'SINAPI FEVEREIRO 2022'!$1:$1048576,4,FALSE),"")</f>
        <v>15.96</v>
      </c>
      <c r="I629" s="398">
        <f t="shared" ref="I629" si="86">TRUNC(H629*G629,2)</f>
        <v>15.96</v>
      </c>
      <c r="J629" s="344"/>
      <c r="K629" s="229"/>
    </row>
    <row r="630" spans="2:11" ht="13.5" customHeight="1">
      <c r="B630" s="704"/>
      <c r="C630" s="643"/>
      <c r="D630" s="643"/>
      <c r="E630" s="172"/>
      <c r="F630" s="173"/>
      <c r="G630" s="449"/>
      <c r="H630" s="379"/>
      <c r="I630" s="398"/>
      <c r="J630" s="344"/>
      <c r="K630" s="229"/>
    </row>
    <row r="631" spans="2:11" ht="41.25" customHeight="1">
      <c r="B631" s="223" t="s">
        <v>7914</v>
      </c>
      <c r="C631" s="223"/>
      <c r="D631" s="223"/>
      <c r="E631" s="95" t="s">
        <v>7915</v>
      </c>
      <c r="F631" s="96" t="s">
        <v>24</v>
      </c>
      <c r="G631" s="301">
        <v>1</v>
      </c>
      <c r="H631" s="378"/>
      <c r="I631" s="396">
        <f>TRUNC(SUM(I632:I638),2)</f>
        <v>3911.35</v>
      </c>
      <c r="J631" s="344"/>
      <c r="K631" s="229"/>
    </row>
    <row r="632" spans="2:11" ht="33.75" customHeight="1">
      <c r="B632" s="93" t="s">
        <v>549</v>
      </c>
      <c r="C632" s="93" t="s">
        <v>547</v>
      </c>
      <c r="D632" s="94"/>
      <c r="E632" s="705" t="s">
        <v>7916</v>
      </c>
      <c r="F632" s="173" t="s">
        <v>24</v>
      </c>
      <c r="G632" s="410">
        <v>1</v>
      </c>
      <c r="H632" s="379">
        <v>3500</v>
      </c>
      <c r="I632" s="398">
        <f t="shared" ref="I632:I633" si="87">TRUNC(H632*G632,2)</f>
        <v>3500</v>
      </c>
      <c r="J632" s="344"/>
      <c r="K632" s="229"/>
    </row>
    <row r="633" spans="2:11" ht="27" customHeight="1">
      <c r="B633" s="93" t="s">
        <v>548</v>
      </c>
      <c r="C633" s="93" t="s">
        <v>6</v>
      </c>
      <c r="D633" s="94">
        <v>86877</v>
      </c>
      <c r="E633" s="172" t="str">
        <f>IF($D633&lt;&gt;"",VLOOKUP($D633,'SINAPI FEVEREIRO 2022'!$1:$1048576,2,FALSE),"")</f>
        <v>VÁLVULA EM METAL CROMADO 1.1/2 X 1.1/2 PARA TANQUE OU LAVATÓRIO, COM OU SEM LADRÃO - FORNECIMENTO E INSTALAÇÃO. AF_01/2020</v>
      </c>
      <c r="F633" s="173" t="str">
        <f>IF($D633&lt;&gt;"",VLOOKUP($D633,'SINAPI FEVEREIRO 2022'!$1:$1048576,3,FALSE),"")</f>
        <v>UN</v>
      </c>
      <c r="G633" s="410">
        <v>2</v>
      </c>
      <c r="H633" s="379">
        <f>IF($D633&lt;&gt;"",VLOOKUP($D633,'SINAPI FEVEREIRO 2022'!$1:$1048576,4,FALSE),"")</f>
        <v>51.1</v>
      </c>
      <c r="I633" s="398">
        <f t="shared" si="87"/>
        <v>102.2</v>
      </c>
      <c r="J633" s="344"/>
      <c r="K633" s="229"/>
    </row>
    <row r="634" spans="2:11" ht="29.25" customHeight="1">
      <c r="B634" s="93" t="s">
        <v>548</v>
      </c>
      <c r="C634" s="93" t="s">
        <v>6</v>
      </c>
      <c r="D634" s="94">
        <v>86885</v>
      </c>
      <c r="E634" s="172" t="str">
        <f>IF($D634&lt;&gt;"",VLOOKUP($D634,'SINAPI FEVEREIRO 2022'!$1:$1048576,2,FALSE),"")</f>
        <v>ENGATE FLEXÍVEL EM PLÁSTICO BRANCO, 1/2 X 40CM - FORNECIMENTO E INSTALAÇÃO. AF_01/2020</v>
      </c>
      <c r="F634" s="173" t="str">
        <f>IF($D634&lt;&gt;"",VLOOKUP($D634,'SINAPI FEVEREIRO 2022'!$1:$1048576,3,FALSE),"")</f>
        <v>UN</v>
      </c>
      <c r="G634" s="410">
        <v>2</v>
      </c>
      <c r="H634" s="379">
        <f>IF($D634&lt;&gt;"",VLOOKUP($D634,'SINAPI FEVEREIRO 2022'!$1:$1048576,4,FALSE),"")</f>
        <v>11.94</v>
      </c>
      <c r="I634" s="398">
        <f t="shared" ref="I634:I638" si="88">TRUNC(H634*G634,2)</f>
        <v>23.88</v>
      </c>
      <c r="J634" s="344"/>
      <c r="K634" s="229"/>
    </row>
    <row r="635" spans="2:11" ht="25.5" customHeight="1">
      <c r="B635" s="93" t="s">
        <v>548</v>
      </c>
      <c r="C635" s="93" t="s">
        <v>6</v>
      </c>
      <c r="D635" s="94">
        <v>86882</v>
      </c>
      <c r="E635" s="172" t="str">
        <f>IF($D635&lt;&gt;"",VLOOKUP($D635,'SINAPI FEVEREIRO 2022'!$1:$1048576,2,FALSE),"")</f>
        <v>SIFÃO DO TIPO GARRAFA/COPO EM PVC 1.1/4  X 1.1/2 - FORNECIMENTO E INSTALAÇÃO. AF_01/2020</v>
      </c>
      <c r="F635" s="173" t="str">
        <f>IF($D635&lt;&gt;"",VLOOKUP($D635,'SINAPI FEVEREIRO 2022'!$1:$1048576,3,FALSE),"")</f>
        <v>UN</v>
      </c>
      <c r="G635" s="410">
        <v>1</v>
      </c>
      <c r="H635" s="379">
        <f>IF($D635&lt;&gt;"",VLOOKUP($D635,'SINAPI FEVEREIRO 2022'!$1:$1048576,4,FALSE),"")</f>
        <v>23.1</v>
      </c>
      <c r="I635" s="398">
        <f t="shared" si="88"/>
        <v>23.1</v>
      </c>
      <c r="J635" s="344"/>
      <c r="K635" s="229"/>
    </row>
    <row r="636" spans="2:11" ht="33" customHeight="1">
      <c r="B636" s="93" t="s">
        <v>548</v>
      </c>
      <c r="C636" s="93" t="s">
        <v>6</v>
      </c>
      <c r="D636" s="94">
        <v>86911</v>
      </c>
      <c r="E636" s="172" t="str">
        <f>IF($D636&lt;&gt;"",VLOOKUP($D636,'SINAPI FEVEREIRO 2022'!$1:$1048576,2,FALSE),"")</f>
        <v>TORNEIRA CROMADA LONGA, DE PAREDE, 1/2 OU 3/4, PARA PIA DE COZINHA, PADRÃO POPULAR - FORNECIMENTO E INSTALAÇÃO. AF_01/2020</v>
      </c>
      <c r="F636" s="173" t="str">
        <f>IF($D636&lt;&gt;"",VLOOKUP($D636,'SINAPI FEVEREIRO 2022'!$1:$1048576,3,FALSE),"")</f>
        <v>UN</v>
      </c>
      <c r="G636" s="410">
        <v>3</v>
      </c>
      <c r="H636" s="379">
        <f>IF($D636&lt;&gt;"",VLOOKUP($D636,'SINAPI FEVEREIRO 2022'!$1:$1048576,4,FALSE),"")</f>
        <v>75.97</v>
      </c>
      <c r="I636" s="398">
        <f t="shared" si="88"/>
        <v>227.91</v>
      </c>
      <c r="J636" s="344"/>
      <c r="K636" s="229"/>
    </row>
    <row r="637" spans="2:11" ht="33.75" customHeight="1">
      <c r="B637" s="93" t="s">
        <v>548</v>
      </c>
      <c r="C637" s="93" t="s">
        <v>6</v>
      </c>
      <c r="D637" s="94">
        <v>88248</v>
      </c>
      <c r="E637" s="172" t="str">
        <f>IF($D637&lt;&gt;"",VLOOKUP($D637,'SINAPI FEVEREIRO 2022'!$1:$1048576,2,FALSE),"")</f>
        <v>AUXILIAR DE ENCANADOR OU BOMBEIRO HIDRÁULICO COM ENCARGOS COMPLEMENTARES</v>
      </c>
      <c r="F637" s="173" t="str">
        <f>IF($D637&lt;&gt;"",VLOOKUP($D637,'SINAPI FEVEREIRO 2022'!$1:$1048576,3,FALSE),"")</f>
        <v>H</v>
      </c>
      <c r="G637" s="410">
        <v>1</v>
      </c>
      <c r="H637" s="379">
        <f>IF($D637&lt;&gt;"",VLOOKUP($D637,'SINAPI FEVEREIRO 2022'!$1:$1048576,4,FALSE),"")</f>
        <v>15.54</v>
      </c>
      <c r="I637" s="398">
        <f t="shared" si="88"/>
        <v>15.54</v>
      </c>
      <c r="J637" s="344"/>
      <c r="K637" s="229"/>
    </row>
    <row r="638" spans="2:11" ht="28.5" customHeight="1">
      <c r="B638" s="93" t="s">
        <v>548</v>
      </c>
      <c r="C638" s="93" t="s">
        <v>6</v>
      </c>
      <c r="D638" s="93">
        <v>88267</v>
      </c>
      <c r="E638" s="172" t="str">
        <f>IF($D638&lt;&gt;"",VLOOKUP($D638,'SINAPI FEVEREIRO 2022'!$1:$1048576,2,FALSE),"")</f>
        <v>ENCANADOR OU BOMBEIRO HIDRÁULICO COM ENCARGOS COMPLEMENTARES</v>
      </c>
      <c r="F638" s="173" t="str">
        <f>IF($D638&lt;&gt;"",VLOOKUP($D638,'SINAPI FEVEREIRO 2022'!$1:$1048576,3,FALSE),"")</f>
        <v>H</v>
      </c>
      <c r="G638" s="410">
        <v>1</v>
      </c>
      <c r="H638" s="379">
        <f>IF($D638&lt;&gt;"",VLOOKUP($D638,'SINAPI FEVEREIRO 2022'!$1:$1048576,4,FALSE),"")</f>
        <v>18.72</v>
      </c>
      <c r="I638" s="398">
        <f t="shared" si="88"/>
        <v>18.72</v>
      </c>
      <c r="J638" s="344"/>
      <c r="K638" s="229"/>
    </row>
    <row r="639" spans="2:11" ht="28.5" customHeight="1">
      <c r="B639" s="666"/>
      <c r="C639" s="643"/>
      <c r="D639" s="643"/>
      <c r="E639" s="532"/>
      <c r="F639" s="533"/>
      <c r="G639" s="722"/>
      <c r="H639" s="534"/>
      <c r="I639" s="645"/>
      <c r="J639" s="344"/>
      <c r="K639" s="229"/>
    </row>
    <row r="640" spans="2:11" ht="28.5" customHeight="1">
      <c r="B640" s="223" t="s">
        <v>7931</v>
      </c>
      <c r="C640" s="223"/>
      <c r="D640" s="223"/>
      <c r="E640" s="186" t="s">
        <v>7932</v>
      </c>
      <c r="F640" s="96" t="s">
        <v>24</v>
      </c>
      <c r="G640" s="301">
        <v>1</v>
      </c>
      <c r="H640" s="378"/>
      <c r="I640" s="396">
        <f>TRUNC(SUM(I641:I642),2)</f>
        <v>693.54</v>
      </c>
      <c r="J640" s="344"/>
      <c r="K640" s="229"/>
    </row>
    <row r="641" spans="2:11" ht="28.5" customHeight="1">
      <c r="B641" s="329" t="s">
        <v>4563</v>
      </c>
      <c r="C641" s="329" t="s">
        <v>6</v>
      </c>
      <c r="D641" s="93">
        <v>88316</v>
      </c>
      <c r="E641" s="172" t="str">
        <f>IF($D641&lt;&gt;"",VLOOKUP($D641,'SINAPI FEVEREIRO 2022'!$1:$1048576,2,FALSE),"")</f>
        <v>SERVENTE COM ENCARGOS COMPLEMENTARES</v>
      </c>
      <c r="F641" s="173" t="str">
        <f>IF($D641&lt;&gt;"",VLOOKUP($D641,'SINAPI FEVEREIRO 2022'!$1:$1048576,3,FALSE),"")</f>
        <v>H</v>
      </c>
      <c r="G641" s="410">
        <v>1</v>
      </c>
      <c r="H641" s="379">
        <f>IF($D641&lt;&gt;"",VLOOKUP($D641,'SINAPI FEVEREIRO 2022'!$1:$1048576,4,FALSE),"")</f>
        <v>15.16</v>
      </c>
      <c r="I641" s="398">
        <f t="shared" ref="I641" si="89">TRUNC(H641*G641,2)</f>
        <v>15.16</v>
      </c>
      <c r="J641" s="344"/>
      <c r="K641" s="229"/>
    </row>
    <row r="642" spans="2:11" ht="28.5" customHeight="1">
      <c r="B642" s="329" t="s">
        <v>546</v>
      </c>
      <c r="C642" s="329" t="s">
        <v>6</v>
      </c>
      <c r="D642" s="647">
        <v>10848</v>
      </c>
      <c r="E642" s="172" t="str">
        <f>IF($D642&lt;&gt;"",VLOOKUP($D642,'SINAPI FEVEREIRO 2022'!$1:$1048576,2,FALSE),"")</f>
        <v>PLACA DE INAUGURACAO METALICA, *40* CM X *60* CM</v>
      </c>
      <c r="F642" s="173" t="str">
        <f>IF($D642&lt;&gt;"",VLOOKUP($D642,'SINAPI FEVEREIRO 2022'!$1:$1048576,3,FALSE),"")</f>
        <v xml:space="preserve">UN    </v>
      </c>
      <c r="G642" s="410">
        <v>1</v>
      </c>
      <c r="H642" s="379">
        <f>IF($D642&lt;&gt;"",VLOOKUP($D642,'SINAPI FEVEREIRO 2022'!$1:$1048576,4,FALSE),"")</f>
        <v>678.38</v>
      </c>
      <c r="I642" s="398">
        <f t="shared" ref="I642" si="90">TRUNC(H642*G642,2)</f>
        <v>678.38</v>
      </c>
      <c r="J642" s="344"/>
      <c r="K642" s="229"/>
    </row>
    <row r="643" spans="2:11" ht="13.5" customHeight="1">
      <c r="B643" s="704"/>
      <c r="C643" s="643"/>
      <c r="D643" s="643"/>
      <c r="E643" s="532"/>
      <c r="F643" s="533"/>
      <c r="G643" s="644"/>
      <c r="H643" s="534"/>
      <c r="I643" s="645"/>
      <c r="J643" s="344"/>
      <c r="K643" s="229"/>
    </row>
    <row r="644" spans="2:11">
      <c r="B644" s="977" t="s">
        <v>625</v>
      </c>
      <c r="C644" s="978"/>
      <c r="D644" s="978"/>
      <c r="E644" s="978"/>
      <c r="F644" s="978"/>
      <c r="G644" s="978"/>
      <c r="H644" s="978"/>
      <c r="I644" s="979"/>
      <c r="J644" s="344"/>
      <c r="K644" s="229"/>
    </row>
    <row r="645" spans="2:11">
      <c r="B645" s="94"/>
      <c r="C645" s="335"/>
      <c r="D645" s="335"/>
      <c r="E645" s="233"/>
      <c r="F645" s="335"/>
      <c r="G645" s="315"/>
      <c r="H645" s="392"/>
      <c r="I645" s="406"/>
      <c r="J645" s="344"/>
      <c r="K645" s="229"/>
    </row>
    <row r="646" spans="2:11">
      <c r="B646" s="235" t="s">
        <v>4119</v>
      </c>
      <c r="C646" s="234"/>
      <c r="D646" s="235"/>
      <c r="E646" s="155" t="s">
        <v>73</v>
      </c>
      <c r="F646" s="156" t="s">
        <v>32</v>
      </c>
      <c r="G646" s="316">
        <v>1</v>
      </c>
      <c r="H646" s="378"/>
      <c r="I646" s="396">
        <f>TRUNC(SUM(I647:I647),2)</f>
        <v>2.12</v>
      </c>
      <c r="J646" s="344"/>
      <c r="K646" s="229"/>
    </row>
    <row r="647" spans="2:11">
      <c r="B647" s="157" t="s">
        <v>546</v>
      </c>
      <c r="C647" s="157" t="s">
        <v>6</v>
      </c>
      <c r="D647" s="157">
        <v>88316</v>
      </c>
      <c r="E647" s="172" t="str">
        <f>IF($D647&lt;&gt;"",VLOOKUP($D647,'SINAPI FEVEREIRO 2022'!$1:$1048576,2,FALSE),"")</f>
        <v>SERVENTE COM ENCARGOS COMPLEMENTARES</v>
      </c>
      <c r="F647" s="173" t="str">
        <f>IF($D647&lt;&gt;"",VLOOKUP($D647,'SINAPI FEVEREIRO 2022'!$1:$1048576,3,FALSE),"")</f>
        <v>H</v>
      </c>
      <c r="G647" s="317">
        <v>0.14000000000000001</v>
      </c>
      <c r="H647" s="379">
        <f>IF($D647&lt;&gt;"",VLOOKUP($D647,'SINAPI FEVEREIRO 2022'!$1:$1048576,4,FALSE),"")</f>
        <v>15.16</v>
      </c>
      <c r="I647" s="398">
        <f>TRUNC(H647*G647,2)</f>
        <v>2.12</v>
      </c>
    </row>
    <row r="648" spans="2:11">
      <c r="B648" s="157"/>
      <c r="C648" s="157"/>
      <c r="D648" s="157"/>
      <c r="E648" s="172"/>
      <c r="F648" s="173"/>
      <c r="G648" s="317"/>
      <c r="H648" s="379"/>
      <c r="I648" s="398"/>
      <c r="J648" s="344"/>
      <c r="K648" s="229"/>
    </row>
    <row r="649" spans="2:11">
      <c r="B649" s="562"/>
      <c r="C649" s="562"/>
      <c r="D649" s="562"/>
      <c r="E649" s="563"/>
      <c r="F649" s="564"/>
      <c r="G649" s="565"/>
      <c r="H649" s="566"/>
      <c r="I649" s="567"/>
      <c r="J649" s="344"/>
      <c r="K649" s="229"/>
    </row>
    <row r="650" spans="2:11">
      <c r="B650" s="562"/>
      <c r="C650" s="562"/>
      <c r="D650" s="562"/>
      <c r="E650" s="563"/>
      <c r="F650" s="564"/>
      <c r="G650" s="565"/>
      <c r="H650" s="566"/>
      <c r="I650" s="567"/>
      <c r="J650" s="344"/>
      <c r="K650" s="229"/>
    </row>
    <row r="651" spans="2:11" ht="15.75">
      <c r="B651" s="562"/>
      <c r="C651" s="562"/>
      <c r="D651" s="562"/>
      <c r="E651" s="211"/>
      <c r="F651" s="564"/>
      <c r="G651" s="565"/>
      <c r="H651" s="566"/>
      <c r="I651" s="567"/>
      <c r="J651" s="344"/>
      <c r="K651" s="229"/>
    </row>
    <row r="652" spans="2:11" ht="15.75">
      <c r="B652" s="562"/>
      <c r="C652" s="562"/>
      <c r="D652" s="562"/>
      <c r="E652" s="284" t="s">
        <v>8141</v>
      </c>
      <c r="F652" s="564"/>
      <c r="G652" s="565"/>
      <c r="H652" s="566"/>
      <c r="I652" s="567"/>
      <c r="J652" s="344"/>
      <c r="K652" s="229"/>
    </row>
    <row r="653" spans="2:11" ht="15.75">
      <c r="B653" s="562"/>
      <c r="C653" s="562"/>
      <c r="D653" s="562"/>
      <c r="E653" s="363" t="s">
        <v>8142</v>
      </c>
      <c r="F653" s="564"/>
      <c r="G653" s="565"/>
      <c r="H653" s="566"/>
      <c r="I653" s="567"/>
      <c r="J653" s="344"/>
      <c r="K653" s="229"/>
    </row>
    <row r="654" spans="2:11">
      <c r="B654" s="562"/>
      <c r="C654" s="562"/>
      <c r="D654" s="562"/>
      <c r="E654" s="563"/>
      <c r="F654" s="564"/>
      <c r="G654" s="565"/>
      <c r="H654" s="566"/>
      <c r="I654" s="567"/>
      <c r="J654" s="344"/>
      <c r="K654" s="229"/>
    </row>
  </sheetData>
  <protectedRanges>
    <protectedRange password="C715" sqref="D524 D526:D528" name="Intervalo3_4_1_1_2_2_1" securityDescriptor="O:WDG:WDD:(A;;CC;;;S-1-5-21-331323738-3957049979-2397494211-500)"/>
    <protectedRange password="C715" sqref="D522:D523" name="Intervalo3_5_1_2_2_2_1" securityDescriptor="O:WDG:WDD:(A;;CC;;;S-1-5-21-331323738-3957049979-2397494211-500)"/>
    <protectedRange password="C715" sqref="D532" name="Intervalo3_7_1_2_2_2_1" securityDescriptor="O:WDG:WDD:(A;;CC;;;S-1-5-21-331323738-3957049979-2397494211-500)"/>
    <protectedRange password="C715" sqref="D538" name="Intervalo3_4_1_1_2_2_2" securityDescriptor="O:WDG:WDD:(A;;CC;;;S-1-5-21-331323738-3957049979-2397494211-500)"/>
  </protectedRanges>
  <mergeCells count="26">
    <mergeCell ref="B1:I1"/>
    <mergeCell ref="B644:I644"/>
    <mergeCell ref="B357:I357"/>
    <mergeCell ref="B518:I518"/>
    <mergeCell ref="B512:I512"/>
    <mergeCell ref="B466:I466"/>
    <mergeCell ref="B2:I2"/>
    <mergeCell ref="B3:I3"/>
    <mergeCell ref="B4:I4"/>
    <mergeCell ref="B5:I5"/>
    <mergeCell ref="B6:I6"/>
    <mergeCell ref="B7:I7"/>
    <mergeCell ref="B8:I8"/>
    <mergeCell ref="B192:I192"/>
    <mergeCell ref="B95:I95"/>
    <mergeCell ref="B171:I171"/>
    <mergeCell ref="B566:I566"/>
    <mergeCell ref="B33:I33"/>
    <mergeCell ref="B10:I10"/>
    <mergeCell ref="B181:I181"/>
    <mergeCell ref="B161:I161"/>
    <mergeCell ref="B116:I116"/>
    <mergeCell ref="B105:I105"/>
    <mergeCell ref="B559:I559"/>
    <mergeCell ref="B79:I79"/>
    <mergeCell ref="B434:I434"/>
  </mergeCells>
  <conditionalFormatting sqref="D46:D47 D135:D139">
    <cfRule type="expression" dxfId="7" priority="9" stopIfTrue="1">
      <formula>AND($A46&lt;&gt;"COMPOSICAO",$A46&lt;&gt;"INSUMO",$A46&lt;&gt;"")</formula>
    </cfRule>
    <cfRule type="expression" dxfId="6" priority="10" stopIfTrue="1">
      <formula>AND(OR($A46="COMPOSICAO",$A46="INSUMO",$A46&lt;&gt;""),$A46&lt;&gt;"")</formula>
    </cfRule>
  </conditionalFormatting>
  <conditionalFormatting sqref="D133:D134">
    <cfRule type="expression" dxfId="5" priority="7" stopIfTrue="1">
      <formula>AND($A133&lt;&gt;"COMPOSICAO",$A133&lt;&gt;"INSUMO",$A133&lt;&gt;"")</formula>
    </cfRule>
    <cfRule type="expression" dxfId="4" priority="8" stopIfTrue="1">
      <formula>AND(OR($A133="COMPOSICAO",$A133="INSUMO",$A133&lt;&gt;""),$A133&lt;&gt;"")</formula>
    </cfRule>
  </conditionalFormatting>
  <conditionalFormatting sqref="D141:D142">
    <cfRule type="expression" dxfId="3" priority="3" stopIfTrue="1">
      <formula>AND($A141&lt;&gt;"COMPOSICAO",$A141&lt;&gt;"INSUMO",$A141&lt;&gt;"")</formula>
    </cfRule>
    <cfRule type="expression" dxfId="2" priority="4" stopIfTrue="1">
      <formula>AND(OR($A141="COMPOSICAO",$A141="INSUMO",$A141&lt;&gt;""),$A141&lt;&gt;"")</formula>
    </cfRule>
  </conditionalFormatting>
  <conditionalFormatting sqref="D143:D145">
    <cfRule type="expression" dxfId="1" priority="1" stopIfTrue="1">
      <formula>AND($A143&lt;&gt;"COMPOSICAO",$A143&lt;&gt;"INSUMO",$A143&lt;&gt;"")</formula>
    </cfRule>
    <cfRule type="expression" dxfId="0" priority="2" stopIfTrue="1">
      <formula>AND(OR($A143="COMPOSICAO",$A143="INSUMO",$A143&lt;&gt;""),$A143&lt;&gt;"")</formula>
    </cfRule>
  </conditionalFormatting>
  <pageMargins left="0.51181102362204722" right="0.51181102362204722" top="0.78740157480314965" bottom="0.78740157480314965" header="0.31496062992125984" footer="0.31496062992125984"/>
  <pageSetup paperSize="9" scale="51" orientation="landscape" r:id="rId1"/>
  <rowBreaks count="1" manualBreakCount="1">
    <brk id="355" min="1" max="8" man="1"/>
  </rowBreaks>
  <ignoredErrors>
    <ignoredError sqref="I368"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50"/>
  <sheetViews>
    <sheetView view="pageBreakPreview" topLeftCell="A13" zoomScale="85" zoomScaleNormal="100" zoomScaleSheetLayoutView="85" workbookViewId="0">
      <selection activeCell="V18" sqref="V18"/>
    </sheetView>
  </sheetViews>
  <sheetFormatPr defaultRowHeight="12.75"/>
  <cols>
    <col min="2" max="2" width="10.42578125" bestFit="1" customWidth="1"/>
    <col min="3" max="3" width="41.7109375" customWidth="1"/>
    <col min="4" max="4" width="11.42578125" customWidth="1"/>
    <col min="5" max="5" width="16.28515625" bestFit="1" customWidth="1"/>
    <col min="6" max="6" width="11.7109375" customWidth="1"/>
    <col min="7" max="7" width="15.7109375" customWidth="1"/>
  </cols>
  <sheetData>
    <row r="1" spans="2:7" s="337" customFormat="1" ht="13.5" thickBot="1"/>
    <row r="2" spans="2:7" ht="16.5" thickBot="1">
      <c r="B2" s="991" t="s">
        <v>13363</v>
      </c>
      <c r="C2" s="992"/>
      <c r="D2" s="992"/>
      <c r="E2" s="992"/>
      <c r="F2" s="992"/>
      <c r="G2" s="993"/>
    </row>
    <row r="3" spans="2:7" ht="16.5" thickBot="1">
      <c r="B3" s="983" t="s">
        <v>13364</v>
      </c>
      <c r="C3" s="994"/>
      <c r="D3" s="994"/>
      <c r="E3" s="994"/>
      <c r="F3" s="994"/>
      <c r="G3" s="995"/>
    </row>
    <row r="4" spans="2:7" ht="16.5" thickBot="1">
      <c r="B4" s="996" t="s">
        <v>2</v>
      </c>
      <c r="C4" s="999" t="s">
        <v>18</v>
      </c>
      <c r="D4" s="1002" t="s">
        <v>13365</v>
      </c>
      <c r="E4" s="1003"/>
      <c r="F4" s="1002" t="s">
        <v>13366</v>
      </c>
      <c r="G4" s="1004"/>
    </row>
    <row r="5" spans="2:7" ht="31.5">
      <c r="B5" s="997"/>
      <c r="C5" s="1000"/>
      <c r="D5" s="771" t="s">
        <v>13367</v>
      </c>
      <c r="E5" s="771" t="s">
        <v>13368</v>
      </c>
      <c r="F5" s="771" t="s">
        <v>13367</v>
      </c>
      <c r="G5" s="772" t="s">
        <v>13368</v>
      </c>
    </row>
    <row r="6" spans="2:7" ht="16.5" thickBot="1">
      <c r="B6" s="998"/>
      <c r="C6" s="1001"/>
      <c r="D6" s="773" t="s">
        <v>565</v>
      </c>
      <c r="E6" s="773" t="s">
        <v>565</v>
      </c>
      <c r="F6" s="773" t="s">
        <v>565</v>
      </c>
      <c r="G6" s="774" t="s">
        <v>565</v>
      </c>
    </row>
    <row r="7" spans="2:7" ht="16.5" thickBot="1">
      <c r="B7" s="1005" t="s">
        <v>566</v>
      </c>
      <c r="C7" s="1006"/>
      <c r="D7" s="1006"/>
      <c r="E7" s="1006"/>
      <c r="F7" s="1006"/>
      <c r="G7" s="1007"/>
    </row>
    <row r="8" spans="2:7" ht="15.75" thickBot="1">
      <c r="B8" s="775" t="s">
        <v>567</v>
      </c>
      <c r="C8" s="776" t="s">
        <v>13369</v>
      </c>
      <c r="D8" s="777">
        <v>0</v>
      </c>
      <c r="E8" s="777">
        <v>0</v>
      </c>
      <c r="F8" s="777">
        <v>0.2</v>
      </c>
      <c r="G8" s="778">
        <v>0.2</v>
      </c>
    </row>
    <row r="9" spans="2:7" ht="15.75" thickBot="1">
      <c r="B9" s="779" t="s">
        <v>13370</v>
      </c>
      <c r="C9" s="780" t="s">
        <v>13371</v>
      </c>
      <c r="D9" s="781">
        <v>1.4999999999999999E-2</v>
      </c>
      <c r="E9" s="781">
        <v>1.4999999999999999E-2</v>
      </c>
      <c r="F9" s="781">
        <v>1.4999999999999999E-2</v>
      </c>
      <c r="G9" s="782">
        <v>1.4999999999999999E-2</v>
      </c>
    </row>
    <row r="10" spans="2:7" ht="15.75" thickBot="1">
      <c r="B10" s="775" t="s">
        <v>13372</v>
      </c>
      <c r="C10" s="776" t="s">
        <v>13373</v>
      </c>
      <c r="D10" s="777">
        <v>0.01</v>
      </c>
      <c r="E10" s="777">
        <v>0.01</v>
      </c>
      <c r="F10" s="777">
        <v>0.01</v>
      </c>
      <c r="G10" s="778">
        <v>0.01</v>
      </c>
    </row>
    <row r="11" spans="2:7" ht="15.75" thickBot="1">
      <c r="B11" s="779" t="s">
        <v>13374</v>
      </c>
      <c r="C11" s="780" t="s">
        <v>13375</v>
      </c>
      <c r="D11" s="781">
        <v>2E-3</v>
      </c>
      <c r="E11" s="781">
        <v>2E-3</v>
      </c>
      <c r="F11" s="781">
        <v>2E-3</v>
      </c>
      <c r="G11" s="782">
        <v>2E-3</v>
      </c>
    </row>
    <row r="12" spans="2:7" ht="15.75" thickBot="1">
      <c r="B12" s="775" t="s">
        <v>13376</v>
      </c>
      <c r="C12" s="776" t="s">
        <v>13377</v>
      </c>
      <c r="D12" s="777">
        <v>6.0000000000000001E-3</v>
      </c>
      <c r="E12" s="777">
        <v>6.0000000000000001E-3</v>
      </c>
      <c r="F12" s="777">
        <v>6.0000000000000001E-3</v>
      </c>
      <c r="G12" s="778">
        <v>6.0000000000000001E-3</v>
      </c>
    </row>
    <row r="13" spans="2:7" ht="15.75" thickBot="1">
      <c r="B13" s="779" t="s">
        <v>13378</v>
      </c>
      <c r="C13" s="780" t="s">
        <v>13379</v>
      </c>
      <c r="D13" s="781">
        <v>2.5000000000000001E-2</v>
      </c>
      <c r="E13" s="781">
        <v>2.5000000000000001E-2</v>
      </c>
      <c r="F13" s="781">
        <v>2.5000000000000001E-2</v>
      </c>
      <c r="G13" s="782">
        <v>2.5000000000000001E-2</v>
      </c>
    </row>
    <row r="14" spans="2:7" ht="15.75" thickBot="1">
      <c r="B14" s="775" t="s">
        <v>13380</v>
      </c>
      <c r="C14" s="776" t="s">
        <v>13381</v>
      </c>
      <c r="D14" s="777">
        <v>0.03</v>
      </c>
      <c r="E14" s="777">
        <v>0.03</v>
      </c>
      <c r="F14" s="777">
        <v>0.03</v>
      </c>
      <c r="G14" s="778">
        <v>0.03</v>
      </c>
    </row>
    <row r="15" spans="2:7" ht="15.75" thickBot="1">
      <c r="B15" s="779" t="s">
        <v>13382</v>
      </c>
      <c r="C15" s="780" t="s">
        <v>13383</v>
      </c>
      <c r="D15" s="781">
        <v>0.08</v>
      </c>
      <c r="E15" s="781">
        <v>0.08</v>
      </c>
      <c r="F15" s="781">
        <v>0.08</v>
      </c>
      <c r="G15" s="782">
        <v>0.08</v>
      </c>
    </row>
    <row r="16" spans="2:7" ht="15.75" thickBot="1">
      <c r="B16" s="775" t="s">
        <v>13384</v>
      </c>
      <c r="C16" s="776" t="s">
        <v>13385</v>
      </c>
      <c r="D16" s="777">
        <v>0</v>
      </c>
      <c r="E16" s="777">
        <v>0</v>
      </c>
      <c r="F16" s="777">
        <v>0</v>
      </c>
      <c r="G16" s="778">
        <v>0</v>
      </c>
    </row>
    <row r="17" spans="2:7" ht="16.5" thickBot="1">
      <c r="B17" s="783" t="s">
        <v>13386</v>
      </c>
      <c r="C17" s="784" t="s">
        <v>4867</v>
      </c>
      <c r="D17" s="785">
        <f>SUM(D8:D16)</f>
        <v>0.16799999999999998</v>
      </c>
      <c r="E17" s="785">
        <f t="shared" ref="E17:G17" si="0">SUM(E8:E16)</f>
        <v>0.16799999999999998</v>
      </c>
      <c r="F17" s="785">
        <f t="shared" si="0"/>
        <v>0.36800000000000005</v>
      </c>
      <c r="G17" s="785">
        <f t="shared" si="0"/>
        <v>0.36800000000000005</v>
      </c>
    </row>
    <row r="18" spans="2:7" ht="16.5" thickBot="1">
      <c r="B18" s="1005" t="s">
        <v>570</v>
      </c>
      <c r="C18" s="1006"/>
      <c r="D18" s="1006"/>
      <c r="E18" s="1006"/>
      <c r="F18" s="1006"/>
      <c r="G18" s="1007"/>
    </row>
    <row r="19" spans="2:7" ht="15.75" thickBot="1">
      <c r="B19" s="775" t="s">
        <v>571</v>
      </c>
      <c r="C19" s="776" t="s">
        <v>13387</v>
      </c>
      <c r="D19" s="777">
        <v>0.1777</v>
      </c>
      <c r="E19" s="776" t="s">
        <v>13388</v>
      </c>
      <c r="F19" s="777">
        <v>0.1777</v>
      </c>
      <c r="G19" s="786" t="s">
        <v>13388</v>
      </c>
    </row>
    <row r="20" spans="2:7" ht="15.75" thickBot="1">
      <c r="B20" s="779" t="s">
        <v>573</v>
      </c>
      <c r="C20" s="780" t="s">
        <v>13389</v>
      </c>
      <c r="D20" s="781">
        <v>3.6700000000000003E-2</v>
      </c>
      <c r="E20" s="780" t="s">
        <v>13388</v>
      </c>
      <c r="F20" s="781">
        <v>3.6700000000000003E-2</v>
      </c>
      <c r="G20" s="787" t="s">
        <v>13388</v>
      </c>
    </row>
    <row r="21" spans="2:7" ht="15.75" thickBot="1">
      <c r="B21" s="775" t="s">
        <v>576</v>
      </c>
      <c r="C21" s="776" t="s">
        <v>13390</v>
      </c>
      <c r="D21" s="777">
        <v>8.6999999999999994E-3</v>
      </c>
      <c r="E21" s="777">
        <v>6.6E-3</v>
      </c>
      <c r="F21" s="777">
        <v>8.6999999999999994E-3</v>
      </c>
      <c r="G21" s="778">
        <v>6.6E-3</v>
      </c>
    </row>
    <row r="22" spans="2:7" ht="15.75" thickBot="1">
      <c r="B22" s="779" t="s">
        <v>578</v>
      </c>
      <c r="C22" s="780" t="s">
        <v>13391</v>
      </c>
      <c r="D22" s="781">
        <v>0.11</v>
      </c>
      <c r="E22" s="781">
        <v>8.3299999999999999E-2</v>
      </c>
      <c r="F22" s="781">
        <v>0.11</v>
      </c>
      <c r="G22" s="782">
        <v>8.3299999999999999E-2</v>
      </c>
    </row>
    <row r="23" spans="2:7" ht="15.75" thickBot="1">
      <c r="B23" s="775" t="s">
        <v>13392</v>
      </c>
      <c r="C23" s="776" t="s">
        <v>13393</v>
      </c>
      <c r="D23" s="777">
        <v>6.9999999999999999E-4</v>
      </c>
      <c r="E23" s="777">
        <v>5.9999999999999995E-4</v>
      </c>
      <c r="F23" s="777">
        <v>6.9999999999999999E-4</v>
      </c>
      <c r="G23" s="778">
        <v>5.9999999999999995E-4</v>
      </c>
    </row>
    <row r="24" spans="2:7" ht="15.75" thickBot="1">
      <c r="B24" s="779" t="s">
        <v>13394</v>
      </c>
      <c r="C24" s="780" t="s">
        <v>13395</v>
      </c>
      <c r="D24" s="781">
        <v>7.3000000000000001E-3</v>
      </c>
      <c r="E24" s="781">
        <v>5.5999999999999999E-3</v>
      </c>
      <c r="F24" s="781">
        <v>7.3000000000000001E-3</v>
      </c>
      <c r="G24" s="782">
        <v>5.5999999999999999E-3</v>
      </c>
    </row>
    <row r="25" spans="2:7" ht="15.75" thickBot="1">
      <c r="B25" s="775" t="s">
        <v>13396</v>
      </c>
      <c r="C25" s="776" t="s">
        <v>13397</v>
      </c>
      <c r="D25" s="777">
        <v>1.17E-2</v>
      </c>
      <c r="E25" s="776" t="s">
        <v>13388</v>
      </c>
      <c r="F25" s="777">
        <v>1.17E-2</v>
      </c>
      <c r="G25" s="786" t="s">
        <v>13388</v>
      </c>
    </row>
    <row r="26" spans="2:7" ht="15.75" thickBot="1">
      <c r="B26" s="779" t="s">
        <v>13398</v>
      </c>
      <c r="C26" s="780" t="s">
        <v>13399</v>
      </c>
      <c r="D26" s="781">
        <v>1.1000000000000001E-3</v>
      </c>
      <c r="E26" s="781">
        <v>8.0000000000000004E-4</v>
      </c>
      <c r="F26" s="781">
        <v>1.1000000000000001E-3</v>
      </c>
      <c r="G26" s="782">
        <v>8.0000000000000004E-4</v>
      </c>
    </row>
    <row r="27" spans="2:7" ht="15.75" thickBot="1">
      <c r="B27" s="775" t="s">
        <v>13400</v>
      </c>
      <c r="C27" s="776" t="s">
        <v>13401</v>
      </c>
      <c r="D27" s="777">
        <v>0.12670000000000001</v>
      </c>
      <c r="E27" s="777">
        <v>9.6000000000000002E-2</v>
      </c>
      <c r="F27" s="777">
        <v>0.12670000000000001</v>
      </c>
      <c r="G27" s="778">
        <v>9.6000000000000002E-2</v>
      </c>
    </row>
    <row r="28" spans="2:7" ht="15.75" thickBot="1">
      <c r="B28" s="779" t="s">
        <v>13402</v>
      </c>
      <c r="C28" s="780" t="s">
        <v>13403</v>
      </c>
      <c r="D28" s="781">
        <v>2.9999999999999997E-4</v>
      </c>
      <c r="E28" s="781">
        <v>2.0000000000000001E-4</v>
      </c>
      <c r="F28" s="781">
        <v>2.9999999999999997E-4</v>
      </c>
      <c r="G28" s="782">
        <v>2.0000000000000001E-4</v>
      </c>
    </row>
    <row r="29" spans="2:7" ht="16.5" thickBot="1">
      <c r="B29" s="788" t="s">
        <v>13404</v>
      </c>
      <c r="C29" s="773" t="s">
        <v>4867</v>
      </c>
      <c r="D29" s="789">
        <f>SUM(D19:D28)</f>
        <v>0.48089999999999994</v>
      </c>
      <c r="E29" s="789">
        <f>SUM(E19:E28)</f>
        <v>0.19309999999999999</v>
      </c>
      <c r="F29" s="789">
        <f>SUM(F19:F28)</f>
        <v>0.48089999999999994</v>
      </c>
      <c r="G29" s="789">
        <f>SUM(G19:G28)</f>
        <v>0.19309999999999999</v>
      </c>
    </row>
    <row r="30" spans="2:7" ht="16.5" thickBot="1">
      <c r="B30" s="1005" t="s">
        <v>581</v>
      </c>
      <c r="C30" s="1006"/>
      <c r="D30" s="1006"/>
      <c r="E30" s="1006"/>
      <c r="F30" s="1006"/>
      <c r="G30" s="1007"/>
    </row>
    <row r="31" spans="2:7" ht="15.75" thickBot="1">
      <c r="B31" s="775" t="s">
        <v>582</v>
      </c>
      <c r="C31" s="776" t="s">
        <v>13405</v>
      </c>
      <c r="D31" s="777">
        <v>0.06</v>
      </c>
      <c r="E31" s="777">
        <v>4.5499999999999999E-2</v>
      </c>
      <c r="F31" s="777">
        <v>0.06</v>
      </c>
      <c r="G31" s="778">
        <v>4.5499999999999999E-2</v>
      </c>
    </row>
    <row r="32" spans="2:7" ht="15.75" thickBot="1">
      <c r="B32" s="779" t="s">
        <v>583</v>
      </c>
      <c r="C32" s="780" t="s">
        <v>13406</v>
      </c>
      <c r="D32" s="781">
        <v>1.4E-3</v>
      </c>
      <c r="E32" s="781">
        <v>1.1000000000000001E-3</v>
      </c>
      <c r="F32" s="781">
        <v>1.4E-3</v>
      </c>
      <c r="G32" s="782">
        <v>1.1000000000000001E-3</v>
      </c>
    </row>
    <row r="33" spans="2:7" ht="15.75" thickBot="1">
      <c r="B33" s="775" t="s">
        <v>585</v>
      </c>
      <c r="C33" s="776" t="s">
        <v>13407</v>
      </c>
      <c r="D33" s="777">
        <v>1.6500000000000001E-2</v>
      </c>
      <c r="E33" s="777">
        <v>1.2500000000000001E-2</v>
      </c>
      <c r="F33" s="777">
        <v>1.6500000000000001E-2</v>
      </c>
      <c r="G33" s="778">
        <v>1.2500000000000001E-2</v>
      </c>
    </row>
    <row r="34" spans="2:7" ht="15.75" thickBot="1">
      <c r="B34" s="779" t="s">
        <v>587</v>
      </c>
      <c r="C34" s="780" t="s">
        <v>13408</v>
      </c>
      <c r="D34" s="781">
        <v>3.0300000000000001E-2</v>
      </c>
      <c r="E34" s="781">
        <v>2.3E-2</v>
      </c>
      <c r="F34" s="781">
        <v>3.0300000000000001E-2</v>
      </c>
      <c r="G34" s="782">
        <v>2.3E-2</v>
      </c>
    </row>
    <row r="35" spans="2:7" ht="15.75" thickBot="1">
      <c r="B35" s="775" t="s">
        <v>589</v>
      </c>
      <c r="C35" s="776" t="s">
        <v>13409</v>
      </c>
      <c r="D35" s="777">
        <v>5.1000000000000004E-3</v>
      </c>
      <c r="E35" s="777">
        <v>3.8E-3</v>
      </c>
      <c r="F35" s="777">
        <v>5.1000000000000004E-3</v>
      </c>
      <c r="G35" s="778">
        <v>3.8E-3</v>
      </c>
    </row>
    <row r="36" spans="2:7" ht="16.5" thickBot="1">
      <c r="B36" s="783" t="s">
        <v>13410</v>
      </c>
      <c r="C36" s="784" t="s">
        <v>4867</v>
      </c>
      <c r="D36" s="785">
        <f>SUM(D31:D35)</f>
        <v>0.11329999999999998</v>
      </c>
      <c r="E36" s="785">
        <f t="shared" ref="E36:F36" si="1">SUM(E31:E35)</f>
        <v>8.5900000000000004E-2</v>
      </c>
      <c r="F36" s="785">
        <f t="shared" si="1"/>
        <v>0.11329999999999998</v>
      </c>
      <c r="G36" s="790">
        <f>SUM(G31:G35)</f>
        <v>8.5900000000000004E-2</v>
      </c>
    </row>
    <row r="37" spans="2:7" ht="16.5" thickBot="1">
      <c r="B37" s="1005" t="s">
        <v>13411</v>
      </c>
      <c r="C37" s="1006"/>
      <c r="D37" s="1006"/>
      <c r="E37" s="1006"/>
      <c r="F37" s="1006"/>
      <c r="G37" s="1007"/>
    </row>
    <row r="38" spans="2:7" ht="30.75" thickBot="1">
      <c r="B38" s="775" t="s">
        <v>13412</v>
      </c>
      <c r="C38" s="776" t="s">
        <v>13413</v>
      </c>
      <c r="D38" s="777">
        <v>8.0799999999999997E-2</v>
      </c>
      <c r="E38" s="777">
        <v>3.2399999999999998E-2</v>
      </c>
      <c r="F38" s="777">
        <v>0.17699999999999999</v>
      </c>
      <c r="G38" s="778">
        <v>7.1099999999999997E-2</v>
      </c>
    </row>
    <row r="39" spans="2:7" ht="30">
      <c r="B39" s="791"/>
      <c r="C39" s="792" t="s">
        <v>13414</v>
      </c>
      <c r="D39" s="1008">
        <v>5.0000000000000001E-3</v>
      </c>
      <c r="E39" s="1008">
        <v>3.8E-3</v>
      </c>
      <c r="F39" s="1008">
        <v>5.3E-3</v>
      </c>
      <c r="G39" s="1010">
        <v>4.0000000000000001E-3</v>
      </c>
    </row>
    <row r="40" spans="2:7" ht="30.75" thickBot="1">
      <c r="B40" s="779" t="s">
        <v>13415</v>
      </c>
      <c r="C40" s="780" t="s">
        <v>13416</v>
      </c>
      <c r="D40" s="1009"/>
      <c r="E40" s="1009"/>
      <c r="F40" s="1009"/>
      <c r="G40" s="1011"/>
    </row>
    <row r="41" spans="2:7" ht="16.5" thickBot="1">
      <c r="B41" s="793" t="s">
        <v>13417</v>
      </c>
      <c r="C41" s="771" t="s">
        <v>4867</v>
      </c>
      <c r="D41" s="794">
        <f>SUM(D38:D40)</f>
        <v>8.5800000000000001E-2</v>
      </c>
      <c r="E41" s="794">
        <f t="shared" ref="E41:F41" si="2">SUM(E38:E40)</f>
        <v>3.6199999999999996E-2</v>
      </c>
      <c r="F41" s="794">
        <f t="shared" si="2"/>
        <v>0.18229999999999999</v>
      </c>
      <c r="G41" s="795">
        <f>SUM(G38:G40)</f>
        <v>7.51E-2</v>
      </c>
    </row>
    <row r="42" spans="2:7" ht="16.5" thickBot="1">
      <c r="B42" s="983" t="s">
        <v>13418</v>
      </c>
      <c r="C42" s="984"/>
      <c r="D42" s="796">
        <f>SUM(D41+D36+D29+D17)</f>
        <v>0.84799999999999986</v>
      </c>
      <c r="E42" s="796">
        <f t="shared" ref="E42:G42" si="3">SUM(E41+E36+E29+E17)</f>
        <v>0.48319999999999996</v>
      </c>
      <c r="F42" s="796">
        <f t="shared" si="3"/>
        <v>1.1445000000000001</v>
      </c>
      <c r="G42" s="797">
        <f t="shared" si="3"/>
        <v>0.72209999999999996</v>
      </c>
    </row>
    <row r="43" spans="2:7" ht="15.75" thickBot="1">
      <c r="B43" s="985"/>
      <c r="C43" s="986"/>
      <c r="D43" s="986"/>
      <c r="E43" s="986"/>
      <c r="F43" s="986"/>
      <c r="G43" s="987"/>
    </row>
    <row r="46" spans="2:7">
      <c r="E46" s="337"/>
    </row>
    <row r="47" spans="2:7">
      <c r="D47" s="726"/>
      <c r="E47" s="337"/>
    </row>
    <row r="48" spans="2:7" ht="13.5" thickBot="1">
      <c r="D48" s="990"/>
      <c r="E48" s="990"/>
      <c r="F48" s="990"/>
    </row>
    <row r="49" spans="4:6" ht="12.75" customHeight="1">
      <c r="D49" s="988" t="str">
        <f>'2-ORÇAMENTO'!E491</f>
        <v>ANA PAULA SILVA BOTELHO</v>
      </c>
      <c r="E49" s="988"/>
      <c r="F49" s="988"/>
    </row>
    <row r="50" spans="4:6" ht="12.75" customHeight="1">
      <c r="D50" s="989" t="str">
        <f>'2-ORÇAMENTO'!E492</f>
        <v xml:space="preserve"> ENGENHEIRA CIVIL CREA MT: 50821</v>
      </c>
      <c r="E50" s="989"/>
      <c r="F50" s="989"/>
    </row>
  </sheetData>
  <mergeCells count="19">
    <mergeCell ref="B7:G7"/>
    <mergeCell ref="B18:G18"/>
    <mergeCell ref="B30:G30"/>
    <mergeCell ref="B37:G37"/>
    <mergeCell ref="D39:D40"/>
    <mergeCell ref="E39:E40"/>
    <mergeCell ref="F39:F40"/>
    <mergeCell ref="G39:G40"/>
    <mergeCell ref="B2:G2"/>
    <mergeCell ref="B3:G3"/>
    <mergeCell ref="B4:B6"/>
    <mergeCell ref="C4:C6"/>
    <mergeCell ref="D4:E4"/>
    <mergeCell ref="F4:G4"/>
    <mergeCell ref="B42:C42"/>
    <mergeCell ref="B43:G43"/>
    <mergeCell ref="D49:F49"/>
    <mergeCell ref="D50:F50"/>
    <mergeCell ref="D48:F48"/>
  </mergeCells>
  <printOptions horizontalCentered="1"/>
  <pageMargins left="0.59055118110236227" right="0.19685039370078741" top="0.39370078740157483" bottom="0.39370078740157483" header="0.31496062992125984" footer="0.31496062992125984"/>
  <pageSetup paperSize="9" scale="8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160"/>
  <sheetViews>
    <sheetView tabSelected="1" showOutlineSymbols="0" showWhiteSpace="0" view="pageBreakPreview" zoomScale="85" zoomScaleNormal="85" zoomScaleSheetLayoutView="85" workbookViewId="0">
      <selection activeCell="N17" sqref="N17"/>
    </sheetView>
  </sheetViews>
  <sheetFormatPr defaultRowHeight="12.75"/>
  <cols>
    <col min="1" max="1" width="11.42578125" style="807" bestFit="1" customWidth="1"/>
    <col min="2" max="2" width="13.7109375" style="807" bestFit="1" customWidth="1"/>
    <col min="3" max="3" width="11.42578125" style="807" bestFit="1" customWidth="1"/>
    <col min="4" max="4" width="68.5703125" style="807" bestFit="1" customWidth="1"/>
    <col min="5" max="5" width="17.140625" style="807" bestFit="1" customWidth="1"/>
    <col min="6" max="9" width="13.7109375" style="807" bestFit="1" customWidth="1"/>
    <col min="10" max="10" width="16" style="807" bestFit="1" customWidth="1"/>
    <col min="11" max="16384" width="9.140625" style="337"/>
  </cols>
  <sheetData>
    <row r="1" spans="1:10" ht="15" customHeight="1">
      <c r="A1" s="805"/>
      <c r="B1" s="805"/>
      <c r="C1" s="1023" t="s">
        <v>13474</v>
      </c>
      <c r="D1" s="1023"/>
      <c r="E1" s="1023" t="s">
        <v>13475</v>
      </c>
      <c r="F1" s="1023"/>
      <c r="G1" s="1023" t="s">
        <v>13476</v>
      </c>
      <c r="H1" s="1023"/>
      <c r="I1" s="1023" t="s">
        <v>13477</v>
      </c>
      <c r="J1" s="1023"/>
    </row>
    <row r="2" spans="1:10" ht="72.75" customHeight="1">
      <c r="A2" s="806"/>
      <c r="B2" s="806"/>
      <c r="C2" s="1013" t="s">
        <v>14754</v>
      </c>
      <c r="D2" s="1013"/>
      <c r="E2" s="1013" t="s">
        <v>13478</v>
      </c>
      <c r="F2" s="1013"/>
      <c r="G2" s="1013" t="s">
        <v>14755</v>
      </c>
      <c r="H2" s="1013"/>
      <c r="I2" s="1013" t="s">
        <v>14756</v>
      </c>
      <c r="J2" s="1013"/>
    </row>
    <row r="3" spans="1:10" s="353" customFormat="1" ht="18" customHeight="1">
      <c r="A3" s="1022" t="s">
        <v>13474</v>
      </c>
      <c r="B3" s="1016"/>
      <c r="C3" s="1016"/>
      <c r="D3" s="1016"/>
      <c r="E3" s="1016"/>
      <c r="F3" s="1016"/>
      <c r="G3" s="1016"/>
      <c r="H3" s="1016"/>
      <c r="I3" s="1016"/>
      <c r="J3" s="1016"/>
    </row>
    <row r="4" spans="1:10" s="353" customFormat="1" ht="18.75" customHeight="1">
      <c r="A4" s="1022" t="s">
        <v>13479</v>
      </c>
      <c r="B4" s="1016"/>
      <c r="C4" s="1016"/>
      <c r="D4" s="1016"/>
      <c r="E4" s="1016"/>
      <c r="F4" s="1016"/>
      <c r="G4" s="1016"/>
      <c r="H4" s="1016"/>
      <c r="I4" s="1016"/>
      <c r="J4" s="1016"/>
    </row>
    <row r="5" spans="1:10" ht="15">
      <c r="A5" s="809" t="s">
        <v>13480</v>
      </c>
      <c r="B5" s="808" t="s">
        <v>13481</v>
      </c>
      <c r="C5" s="809" t="s">
        <v>13482</v>
      </c>
      <c r="D5" s="809" t="s">
        <v>13483</v>
      </c>
      <c r="E5" s="1019" t="s">
        <v>13484</v>
      </c>
      <c r="F5" s="1019"/>
      <c r="G5" s="810" t="s">
        <v>13485</v>
      </c>
      <c r="H5" s="808" t="s">
        <v>13486</v>
      </c>
      <c r="I5" s="808" t="s">
        <v>13487</v>
      </c>
      <c r="J5" s="808" t="s">
        <v>4867</v>
      </c>
    </row>
    <row r="6" spans="1:10" ht="25.5" customHeight="1">
      <c r="A6" s="812" t="s">
        <v>13488</v>
      </c>
      <c r="B6" s="811" t="s">
        <v>13489</v>
      </c>
      <c r="C6" s="812" t="s">
        <v>6</v>
      </c>
      <c r="D6" s="812" t="s">
        <v>366</v>
      </c>
      <c r="E6" s="1020" t="s">
        <v>13490</v>
      </c>
      <c r="F6" s="1020"/>
      <c r="G6" s="813" t="s">
        <v>19</v>
      </c>
      <c r="H6" s="814">
        <v>1</v>
      </c>
      <c r="I6" s="815">
        <v>81.02</v>
      </c>
      <c r="J6" s="815">
        <v>81.02</v>
      </c>
    </row>
    <row r="7" spans="1:10" ht="38.25" customHeight="1">
      <c r="A7" s="817" t="s">
        <v>13491</v>
      </c>
      <c r="B7" s="816" t="s">
        <v>13492</v>
      </c>
      <c r="C7" s="817" t="s">
        <v>6</v>
      </c>
      <c r="D7" s="817" t="s">
        <v>2587</v>
      </c>
      <c r="E7" s="1021" t="s">
        <v>13490</v>
      </c>
      <c r="F7" s="1021"/>
      <c r="G7" s="818" t="s">
        <v>19</v>
      </c>
      <c r="H7" s="819">
        <v>1</v>
      </c>
      <c r="I7" s="820">
        <v>0.94</v>
      </c>
      <c r="J7" s="820">
        <v>0.94</v>
      </c>
    </row>
    <row r="8" spans="1:10">
      <c r="A8" s="822" t="s">
        <v>13493</v>
      </c>
      <c r="B8" s="821" t="s">
        <v>13494</v>
      </c>
      <c r="C8" s="822" t="s">
        <v>6</v>
      </c>
      <c r="D8" s="822" t="s">
        <v>4649</v>
      </c>
      <c r="E8" s="1017" t="s">
        <v>13495</v>
      </c>
      <c r="F8" s="1017"/>
      <c r="G8" s="823" t="s">
        <v>19</v>
      </c>
      <c r="H8" s="824">
        <v>1</v>
      </c>
      <c r="I8" s="825">
        <v>78.540000000000006</v>
      </c>
      <c r="J8" s="825">
        <v>78.540000000000006</v>
      </c>
    </row>
    <row r="9" spans="1:10" ht="25.5">
      <c r="A9" s="822" t="s">
        <v>13493</v>
      </c>
      <c r="B9" s="821" t="s">
        <v>13496</v>
      </c>
      <c r="C9" s="822" t="s">
        <v>6</v>
      </c>
      <c r="D9" s="822" t="s">
        <v>4655</v>
      </c>
      <c r="E9" s="1017" t="s">
        <v>13497</v>
      </c>
      <c r="F9" s="1017"/>
      <c r="G9" s="823" t="s">
        <v>19</v>
      </c>
      <c r="H9" s="824">
        <v>1</v>
      </c>
      <c r="I9" s="825">
        <v>0.66</v>
      </c>
      <c r="J9" s="825">
        <v>0.66</v>
      </c>
    </row>
    <row r="10" spans="1:10">
      <c r="A10" s="822" t="s">
        <v>13493</v>
      </c>
      <c r="B10" s="821" t="s">
        <v>13498</v>
      </c>
      <c r="C10" s="822" t="s">
        <v>6</v>
      </c>
      <c r="D10" s="822" t="s">
        <v>4665</v>
      </c>
      <c r="E10" s="1017" t="s">
        <v>13499</v>
      </c>
      <c r="F10" s="1017"/>
      <c r="G10" s="823" t="s">
        <v>19</v>
      </c>
      <c r="H10" s="824">
        <v>1</v>
      </c>
      <c r="I10" s="825">
        <v>0.81</v>
      </c>
      <c r="J10" s="825">
        <v>0.81</v>
      </c>
    </row>
    <row r="11" spans="1:10" ht="25.5">
      <c r="A11" s="822" t="s">
        <v>13493</v>
      </c>
      <c r="B11" s="821" t="s">
        <v>13500</v>
      </c>
      <c r="C11" s="822" t="s">
        <v>6</v>
      </c>
      <c r="D11" s="822" t="s">
        <v>4671</v>
      </c>
      <c r="E11" s="1017" t="s">
        <v>13497</v>
      </c>
      <c r="F11" s="1017"/>
      <c r="G11" s="823" t="s">
        <v>19</v>
      </c>
      <c r="H11" s="824">
        <v>1</v>
      </c>
      <c r="I11" s="825">
        <v>0.01</v>
      </c>
      <c r="J11" s="825">
        <v>0.01</v>
      </c>
    </row>
    <row r="12" spans="1:10">
      <c r="A12" s="822" t="s">
        <v>13493</v>
      </c>
      <c r="B12" s="821" t="s">
        <v>13501</v>
      </c>
      <c r="C12" s="822" t="s">
        <v>6</v>
      </c>
      <c r="D12" s="822" t="s">
        <v>4779</v>
      </c>
      <c r="E12" s="1017" t="s">
        <v>13502</v>
      </c>
      <c r="F12" s="1017"/>
      <c r="G12" s="823" t="s">
        <v>19</v>
      </c>
      <c r="H12" s="824">
        <v>1</v>
      </c>
      <c r="I12" s="825">
        <v>0.06</v>
      </c>
      <c r="J12" s="825">
        <v>0.06</v>
      </c>
    </row>
    <row r="13" spans="1:10" ht="25.5">
      <c r="A13" s="827"/>
      <c r="B13" s="827"/>
      <c r="C13" s="827"/>
      <c r="D13" s="827"/>
      <c r="E13" s="827" t="s">
        <v>13503</v>
      </c>
      <c r="F13" s="826">
        <v>79.48</v>
      </c>
      <c r="G13" s="827" t="s">
        <v>13504</v>
      </c>
      <c r="H13" s="826">
        <v>0</v>
      </c>
      <c r="I13" s="827" t="s">
        <v>13505</v>
      </c>
      <c r="J13" s="826">
        <v>79.48</v>
      </c>
    </row>
    <row r="14" spans="1:10" ht="13.5" customHeight="1" thickBot="1">
      <c r="A14" s="827"/>
      <c r="B14" s="827"/>
      <c r="C14" s="827"/>
      <c r="D14" s="827"/>
      <c r="E14" s="827" t="s">
        <v>13506</v>
      </c>
      <c r="F14" s="826">
        <v>22.88</v>
      </c>
      <c r="G14" s="827"/>
      <c r="H14" s="1018" t="s">
        <v>13507</v>
      </c>
      <c r="I14" s="1018"/>
      <c r="J14" s="826">
        <v>103.9</v>
      </c>
    </row>
    <row r="15" spans="1:10" ht="13.5" thickTop="1">
      <c r="A15" s="828"/>
      <c r="B15" s="828"/>
      <c r="C15" s="828"/>
      <c r="D15" s="828"/>
      <c r="E15" s="828"/>
      <c r="F15" s="828"/>
      <c r="G15" s="828"/>
      <c r="H15" s="828"/>
      <c r="I15" s="828"/>
      <c r="J15" s="828"/>
    </row>
    <row r="16" spans="1:10" ht="15">
      <c r="A16" s="809" t="s">
        <v>13508</v>
      </c>
      <c r="B16" s="808" t="s">
        <v>13481</v>
      </c>
      <c r="C16" s="809" t="s">
        <v>13482</v>
      </c>
      <c r="D16" s="809" t="s">
        <v>13483</v>
      </c>
      <c r="E16" s="1019" t="s">
        <v>13484</v>
      </c>
      <c r="F16" s="1019"/>
      <c r="G16" s="810" t="s">
        <v>13485</v>
      </c>
      <c r="H16" s="808" t="s">
        <v>13486</v>
      </c>
      <c r="I16" s="808" t="s">
        <v>13487</v>
      </c>
      <c r="J16" s="808" t="s">
        <v>4867</v>
      </c>
    </row>
    <row r="17" spans="1:10" ht="12.75" customHeight="1">
      <c r="A17" s="812" t="s">
        <v>13488</v>
      </c>
      <c r="B17" s="811" t="s">
        <v>13509</v>
      </c>
      <c r="C17" s="812" t="s">
        <v>6</v>
      </c>
      <c r="D17" s="812" t="s">
        <v>492</v>
      </c>
      <c r="E17" s="1020" t="s">
        <v>13490</v>
      </c>
      <c r="F17" s="1020"/>
      <c r="G17" s="813" t="s">
        <v>74</v>
      </c>
      <c r="H17" s="814">
        <v>1</v>
      </c>
      <c r="I17" s="815">
        <v>3671.61</v>
      </c>
      <c r="J17" s="815">
        <v>3671.61</v>
      </c>
    </row>
    <row r="18" spans="1:10" ht="38.25" customHeight="1">
      <c r="A18" s="817" t="s">
        <v>13491</v>
      </c>
      <c r="B18" s="816" t="s">
        <v>13510</v>
      </c>
      <c r="C18" s="817" t="s">
        <v>6</v>
      </c>
      <c r="D18" s="817" t="s">
        <v>2607</v>
      </c>
      <c r="E18" s="1021" t="s">
        <v>13490</v>
      </c>
      <c r="F18" s="1021"/>
      <c r="G18" s="818" t="s">
        <v>74</v>
      </c>
      <c r="H18" s="819">
        <v>1</v>
      </c>
      <c r="I18" s="820">
        <v>42.48</v>
      </c>
      <c r="J18" s="820">
        <v>42.48</v>
      </c>
    </row>
    <row r="19" spans="1:10">
      <c r="A19" s="822" t="s">
        <v>13493</v>
      </c>
      <c r="B19" s="821" t="s">
        <v>13511</v>
      </c>
      <c r="C19" s="822" t="s">
        <v>6</v>
      </c>
      <c r="D19" s="822" t="s">
        <v>10266</v>
      </c>
      <c r="E19" s="1017" t="s">
        <v>13495</v>
      </c>
      <c r="F19" s="1017"/>
      <c r="G19" s="823" t="s">
        <v>74</v>
      </c>
      <c r="H19" s="824">
        <v>1</v>
      </c>
      <c r="I19" s="825">
        <v>3243.46</v>
      </c>
      <c r="J19" s="825">
        <v>3243.46</v>
      </c>
    </row>
    <row r="20" spans="1:10" ht="25.5">
      <c r="A20" s="822" t="s">
        <v>13493</v>
      </c>
      <c r="B20" s="821" t="s">
        <v>13512</v>
      </c>
      <c r="C20" s="822" t="s">
        <v>6</v>
      </c>
      <c r="D20" s="822" t="s">
        <v>10292</v>
      </c>
      <c r="E20" s="1017" t="s">
        <v>13497</v>
      </c>
      <c r="F20" s="1017"/>
      <c r="G20" s="823" t="s">
        <v>74</v>
      </c>
      <c r="H20" s="824">
        <v>1</v>
      </c>
      <c r="I20" s="825">
        <v>202.94</v>
      </c>
      <c r="J20" s="825">
        <v>202.94</v>
      </c>
    </row>
    <row r="21" spans="1:10">
      <c r="A21" s="822" t="s">
        <v>13493</v>
      </c>
      <c r="B21" s="821" t="s">
        <v>13513</v>
      </c>
      <c r="C21" s="822" t="s">
        <v>6</v>
      </c>
      <c r="D21" s="822" t="s">
        <v>10362</v>
      </c>
      <c r="E21" s="1017" t="s">
        <v>13514</v>
      </c>
      <c r="F21" s="1017"/>
      <c r="G21" s="823" t="s">
        <v>74</v>
      </c>
      <c r="H21" s="824">
        <v>1</v>
      </c>
      <c r="I21" s="825">
        <v>152.35</v>
      </c>
      <c r="J21" s="825">
        <v>152.35</v>
      </c>
    </row>
    <row r="22" spans="1:10" ht="25.5">
      <c r="A22" s="822" t="s">
        <v>13493</v>
      </c>
      <c r="B22" s="821" t="s">
        <v>13515</v>
      </c>
      <c r="C22" s="822" t="s">
        <v>6</v>
      </c>
      <c r="D22" s="822" t="s">
        <v>10417</v>
      </c>
      <c r="E22" s="1017" t="s">
        <v>13497</v>
      </c>
      <c r="F22" s="1017"/>
      <c r="G22" s="823" t="s">
        <v>74</v>
      </c>
      <c r="H22" s="824">
        <v>1</v>
      </c>
      <c r="I22" s="825">
        <v>18.579999999999998</v>
      </c>
      <c r="J22" s="825">
        <v>18.579999999999998</v>
      </c>
    </row>
    <row r="23" spans="1:10">
      <c r="A23" s="822" t="s">
        <v>13493</v>
      </c>
      <c r="B23" s="821" t="s">
        <v>13516</v>
      </c>
      <c r="C23" s="822" t="s">
        <v>6</v>
      </c>
      <c r="D23" s="822" t="s">
        <v>12200</v>
      </c>
      <c r="E23" s="1017" t="s">
        <v>13514</v>
      </c>
      <c r="F23" s="1017"/>
      <c r="G23" s="823" t="s">
        <v>74</v>
      </c>
      <c r="H23" s="824">
        <v>1</v>
      </c>
      <c r="I23" s="825">
        <v>11.8</v>
      </c>
      <c r="J23" s="825">
        <v>11.8</v>
      </c>
    </row>
    <row r="24" spans="1:10" ht="25.5">
      <c r="A24" s="827"/>
      <c r="B24" s="827"/>
      <c r="C24" s="827"/>
      <c r="D24" s="827"/>
      <c r="E24" s="827" t="s">
        <v>13503</v>
      </c>
      <c r="F24" s="826">
        <v>3285.94</v>
      </c>
      <c r="G24" s="827" t="s">
        <v>13504</v>
      </c>
      <c r="H24" s="826">
        <v>0</v>
      </c>
      <c r="I24" s="827" t="s">
        <v>13505</v>
      </c>
      <c r="J24" s="826">
        <v>3285.94</v>
      </c>
    </row>
    <row r="25" spans="1:10" ht="13.5" customHeight="1" thickBot="1">
      <c r="A25" s="827"/>
      <c r="B25" s="827"/>
      <c r="C25" s="827"/>
      <c r="D25" s="827"/>
      <c r="E25" s="827" t="s">
        <v>13506</v>
      </c>
      <c r="F25" s="826">
        <v>1036.8599999999999</v>
      </c>
      <c r="G25" s="827"/>
      <c r="H25" s="1018" t="s">
        <v>13507</v>
      </c>
      <c r="I25" s="1018"/>
      <c r="J25" s="826">
        <v>4708.47</v>
      </c>
    </row>
    <row r="26" spans="1:10" ht="13.5" thickTop="1">
      <c r="A26" s="828"/>
      <c r="B26" s="828"/>
      <c r="C26" s="828"/>
      <c r="D26" s="828"/>
      <c r="E26" s="828"/>
      <c r="F26" s="828"/>
      <c r="G26" s="828"/>
      <c r="H26" s="828"/>
      <c r="I26" s="828"/>
      <c r="J26" s="828"/>
    </row>
    <row r="27" spans="1:10" ht="15">
      <c r="A27" s="809" t="s">
        <v>13517</v>
      </c>
      <c r="B27" s="808" t="s">
        <v>13481</v>
      </c>
      <c r="C27" s="809" t="s">
        <v>13482</v>
      </c>
      <c r="D27" s="809" t="s">
        <v>13483</v>
      </c>
      <c r="E27" s="1019" t="s">
        <v>13484</v>
      </c>
      <c r="F27" s="1019"/>
      <c r="G27" s="810" t="s">
        <v>13485</v>
      </c>
      <c r="H27" s="808" t="s">
        <v>13486</v>
      </c>
      <c r="I27" s="808" t="s">
        <v>13487</v>
      </c>
      <c r="J27" s="808" t="s">
        <v>4867</v>
      </c>
    </row>
    <row r="28" spans="1:10" ht="12.75" customHeight="1">
      <c r="A28" s="812" t="s">
        <v>13488</v>
      </c>
      <c r="B28" s="811" t="s">
        <v>13518</v>
      </c>
      <c r="C28" s="812" t="s">
        <v>6</v>
      </c>
      <c r="D28" s="812" t="s">
        <v>4086</v>
      </c>
      <c r="E28" s="1020" t="s">
        <v>13490</v>
      </c>
      <c r="F28" s="1020"/>
      <c r="G28" s="813" t="s">
        <v>74</v>
      </c>
      <c r="H28" s="814">
        <v>1</v>
      </c>
      <c r="I28" s="815">
        <v>2711.65</v>
      </c>
      <c r="J28" s="815">
        <v>2711.65</v>
      </c>
    </row>
    <row r="29" spans="1:10" ht="38.25" customHeight="1">
      <c r="A29" s="817" t="s">
        <v>13491</v>
      </c>
      <c r="B29" s="816" t="s">
        <v>13519</v>
      </c>
      <c r="C29" s="817" t="s">
        <v>6</v>
      </c>
      <c r="D29" s="817" t="s">
        <v>5121</v>
      </c>
      <c r="E29" s="1021" t="s">
        <v>13490</v>
      </c>
      <c r="F29" s="1021"/>
      <c r="G29" s="818" t="s">
        <v>74</v>
      </c>
      <c r="H29" s="819">
        <v>1</v>
      </c>
      <c r="I29" s="820">
        <v>5.59</v>
      </c>
      <c r="J29" s="820">
        <v>5.59</v>
      </c>
    </row>
    <row r="30" spans="1:10">
      <c r="A30" s="822" t="s">
        <v>13493</v>
      </c>
      <c r="B30" s="821" t="s">
        <v>13520</v>
      </c>
      <c r="C30" s="822" t="s">
        <v>6</v>
      </c>
      <c r="D30" s="822" t="s">
        <v>8557</v>
      </c>
      <c r="E30" s="1017" t="s">
        <v>13514</v>
      </c>
      <c r="F30" s="1017"/>
      <c r="G30" s="823" t="s">
        <v>74</v>
      </c>
      <c r="H30" s="824">
        <v>1</v>
      </c>
      <c r="I30" s="825">
        <v>286.18</v>
      </c>
      <c r="J30" s="825">
        <v>286.18</v>
      </c>
    </row>
    <row r="31" spans="1:10" ht="25.5">
      <c r="A31" s="822" t="s">
        <v>13493</v>
      </c>
      <c r="B31" s="821" t="s">
        <v>13521</v>
      </c>
      <c r="C31" s="822" t="s">
        <v>6</v>
      </c>
      <c r="D31" s="822" t="s">
        <v>10297</v>
      </c>
      <c r="E31" s="1017" t="s">
        <v>13497</v>
      </c>
      <c r="F31" s="1017"/>
      <c r="G31" s="823" t="s">
        <v>74</v>
      </c>
      <c r="H31" s="824">
        <v>1</v>
      </c>
      <c r="I31" s="825">
        <v>216.6</v>
      </c>
      <c r="J31" s="825">
        <v>216.6</v>
      </c>
    </row>
    <row r="32" spans="1:10" ht="25.5">
      <c r="A32" s="822" t="s">
        <v>13493</v>
      </c>
      <c r="B32" s="821" t="s">
        <v>13522</v>
      </c>
      <c r="C32" s="822" t="s">
        <v>6</v>
      </c>
      <c r="D32" s="822" t="s">
        <v>10422</v>
      </c>
      <c r="E32" s="1017" t="s">
        <v>13497</v>
      </c>
      <c r="F32" s="1017"/>
      <c r="G32" s="823" t="s">
        <v>74</v>
      </c>
      <c r="H32" s="824">
        <v>1</v>
      </c>
      <c r="I32" s="825">
        <v>106.33</v>
      </c>
      <c r="J32" s="825">
        <v>106.33</v>
      </c>
    </row>
    <row r="33" spans="1:10">
      <c r="A33" s="822" t="s">
        <v>13493</v>
      </c>
      <c r="B33" s="821" t="s">
        <v>13513</v>
      </c>
      <c r="C33" s="822" t="s">
        <v>6</v>
      </c>
      <c r="D33" s="822" t="s">
        <v>10362</v>
      </c>
      <c r="E33" s="1017" t="s">
        <v>13514</v>
      </c>
      <c r="F33" s="1017"/>
      <c r="G33" s="823" t="s">
        <v>74</v>
      </c>
      <c r="H33" s="824">
        <v>1</v>
      </c>
      <c r="I33" s="825">
        <v>152.35</v>
      </c>
      <c r="J33" s="825">
        <v>152.35</v>
      </c>
    </row>
    <row r="34" spans="1:10">
      <c r="A34" s="822" t="s">
        <v>13493</v>
      </c>
      <c r="B34" s="821" t="s">
        <v>13516</v>
      </c>
      <c r="C34" s="822" t="s">
        <v>6</v>
      </c>
      <c r="D34" s="822" t="s">
        <v>12200</v>
      </c>
      <c r="E34" s="1017" t="s">
        <v>13514</v>
      </c>
      <c r="F34" s="1017"/>
      <c r="G34" s="823" t="s">
        <v>74</v>
      </c>
      <c r="H34" s="824">
        <v>1</v>
      </c>
      <c r="I34" s="825">
        <v>11.8</v>
      </c>
      <c r="J34" s="825">
        <v>11.8</v>
      </c>
    </row>
    <row r="35" spans="1:10">
      <c r="A35" s="822" t="s">
        <v>13493</v>
      </c>
      <c r="B35" s="821" t="s">
        <v>13523</v>
      </c>
      <c r="C35" s="822" t="s">
        <v>6</v>
      </c>
      <c r="D35" s="822" t="s">
        <v>12765</v>
      </c>
      <c r="E35" s="1017" t="s">
        <v>13514</v>
      </c>
      <c r="F35" s="1017"/>
      <c r="G35" s="823" t="s">
        <v>74</v>
      </c>
      <c r="H35" s="824">
        <v>1</v>
      </c>
      <c r="I35" s="825">
        <v>128.34</v>
      </c>
      <c r="J35" s="825">
        <v>128.34</v>
      </c>
    </row>
    <row r="36" spans="1:10">
      <c r="A36" s="822" t="s">
        <v>13493</v>
      </c>
      <c r="B36" s="821" t="s">
        <v>13524</v>
      </c>
      <c r="C36" s="822" t="s">
        <v>6</v>
      </c>
      <c r="D36" s="822" t="s">
        <v>13287</v>
      </c>
      <c r="E36" s="1017" t="s">
        <v>13495</v>
      </c>
      <c r="F36" s="1017"/>
      <c r="G36" s="823" t="s">
        <v>74</v>
      </c>
      <c r="H36" s="824">
        <v>1</v>
      </c>
      <c r="I36" s="825">
        <v>1804.46</v>
      </c>
      <c r="J36" s="825">
        <v>1804.46</v>
      </c>
    </row>
    <row r="37" spans="1:10" ht="25.5">
      <c r="A37" s="827"/>
      <c r="B37" s="827"/>
      <c r="C37" s="827"/>
      <c r="D37" s="827"/>
      <c r="E37" s="827" t="s">
        <v>13503</v>
      </c>
      <c r="F37" s="826">
        <v>1810.05</v>
      </c>
      <c r="G37" s="827" t="s">
        <v>13504</v>
      </c>
      <c r="H37" s="826">
        <v>0</v>
      </c>
      <c r="I37" s="827" t="s">
        <v>13505</v>
      </c>
      <c r="J37" s="826">
        <v>1810.05</v>
      </c>
    </row>
    <row r="38" spans="1:10" ht="13.5" customHeight="1" thickBot="1">
      <c r="A38" s="827"/>
      <c r="B38" s="827"/>
      <c r="C38" s="827"/>
      <c r="D38" s="827"/>
      <c r="E38" s="827" t="s">
        <v>13506</v>
      </c>
      <c r="F38" s="826">
        <v>765.76</v>
      </c>
      <c r="G38" s="827"/>
      <c r="H38" s="1018" t="s">
        <v>13507</v>
      </c>
      <c r="I38" s="1018"/>
      <c r="J38" s="826">
        <v>3477.41</v>
      </c>
    </row>
    <row r="39" spans="1:10" ht="13.5" thickTop="1">
      <c r="A39" s="828"/>
      <c r="B39" s="828"/>
      <c r="C39" s="828"/>
      <c r="D39" s="828"/>
      <c r="E39" s="828"/>
      <c r="F39" s="828"/>
      <c r="G39" s="828"/>
      <c r="H39" s="828"/>
      <c r="I39" s="828"/>
      <c r="J39" s="828"/>
    </row>
    <row r="40" spans="1:10" ht="15">
      <c r="A40" s="809" t="s">
        <v>13525</v>
      </c>
      <c r="B40" s="808" t="s">
        <v>13481</v>
      </c>
      <c r="C40" s="809" t="s">
        <v>13482</v>
      </c>
      <c r="D40" s="809" t="s">
        <v>13483</v>
      </c>
      <c r="E40" s="1019" t="s">
        <v>13484</v>
      </c>
      <c r="F40" s="1019"/>
      <c r="G40" s="810" t="s">
        <v>13485</v>
      </c>
      <c r="H40" s="808" t="s">
        <v>13486</v>
      </c>
      <c r="I40" s="808" t="s">
        <v>13487</v>
      </c>
      <c r="J40" s="808" t="s">
        <v>4867</v>
      </c>
    </row>
    <row r="41" spans="1:10" ht="12.75" customHeight="1">
      <c r="A41" s="812" t="s">
        <v>13488</v>
      </c>
      <c r="B41" s="811" t="s">
        <v>13526</v>
      </c>
      <c r="C41" s="812" t="s">
        <v>6</v>
      </c>
      <c r="D41" s="812" t="s">
        <v>168</v>
      </c>
      <c r="E41" s="1020" t="s">
        <v>13490</v>
      </c>
      <c r="F41" s="1020"/>
      <c r="G41" s="813" t="s">
        <v>19</v>
      </c>
      <c r="H41" s="814">
        <v>1</v>
      </c>
      <c r="I41" s="815">
        <v>18.829999999999998</v>
      </c>
      <c r="J41" s="815">
        <v>18.829999999999998</v>
      </c>
    </row>
    <row r="42" spans="1:10" ht="25.5" customHeight="1">
      <c r="A42" s="817" t="s">
        <v>13491</v>
      </c>
      <c r="B42" s="816" t="s">
        <v>13527</v>
      </c>
      <c r="C42" s="817" t="s">
        <v>6</v>
      </c>
      <c r="D42" s="817" t="s">
        <v>2573</v>
      </c>
      <c r="E42" s="1021" t="s">
        <v>13490</v>
      </c>
      <c r="F42" s="1021"/>
      <c r="G42" s="818" t="s">
        <v>19</v>
      </c>
      <c r="H42" s="819">
        <v>1</v>
      </c>
      <c r="I42" s="820">
        <v>0.05</v>
      </c>
      <c r="J42" s="820">
        <v>0.05</v>
      </c>
    </row>
    <row r="43" spans="1:10" ht="25.5" customHeight="1">
      <c r="A43" s="822" t="s">
        <v>13493</v>
      </c>
      <c r="B43" s="821" t="s">
        <v>13528</v>
      </c>
      <c r="C43" s="822" t="s">
        <v>6</v>
      </c>
      <c r="D43" s="822" t="s">
        <v>4581</v>
      </c>
      <c r="E43" s="1017" t="s">
        <v>13499</v>
      </c>
      <c r="F43" s="1017"/>
      <c r="G43" s="823" t="s">
        <v>19</v>
      </c>
      <c r="H43" s="824">
        <v>1</v>
      </c>
      <c r="I43" s="825">
        <v>1.52</v>
      </c>
      <c r="J43" s="825">
        <v>1.52</v>
      </c>
    </row>
    <row r="44" spans="1:10" ht="25.5" customHeight="1">
      <c r="A44" s="822" t="s">
        <v>13493</v>
      </c>
      <c r="B44" s="821" t="s">
        <v>13529</v>
      </c>
      <c r="C44" s="822" t="s">
        <v>6</v>
      </c>
      <c r="D44" s="822" t="s">
        <v>4659</v>
      </c>
      <c r="E44" s="1017" t="s">
        <v>13497</v>
      </c>
      <c r="F44" s="1017"/>
      <c r="G44" s="823" t="s">
        <v>19</v>
      </c>
      <c r="H44" s="824">
        <v>1</v>
      </c>
      <c r="I44" s="825">
        <v>1.1499999999999999</v>
      </c>
      <c r="J44" s="825">
        <v>1.1499999999999999</v>
      </c>
    </row>
    <row r="45" spans="1:10">
      <c r="A45" s="822" t="s">
        <v>13493</v>
      </c>
      <c r="B45" s="821" t="s">
        <v>13498</v>
      </c>
      <c r="C45" s="822" t="s">
        <v>6</v>
      </c>
      <c r="D45" s="822" t="s">
        <v>4665</v>
      </c>
      <c r="E45" s="1017" t="s">
        <v>13499</v>
      </c>
      <c r="F45" s="1017"/>
      <c r="G45" s="823" t="s">
        <v>19</v>
      </c>
      <c r="H45" s="824">
        <v>1</v>
      </c>
      <c r="I45" s="825">
        <v>0.81</v>
      </c>
      <c r="J45" s="825">
        <v>0.81</v>
      </c>
    </row>
    <row r="46" spans="1:10" ht="25.5">
      <c r="A46" s="822" t="s">
        <v>13493</v>
      </c>
      <c r="B46" s="821" t="s">
        <v>13530</v>
      </c>
      <c r="C46" s="822" t="s">
        <v>6</v>
      </c>
      <c r="D46" s="822" t="s">
        <v>4675</v>
      </c>
      <c r="E46" s="1017" t="s">
        <v>13497</v>
      </c>
      <c r="F46" s="1017"/>
      <c r="G46" s="823" t="s">
        <v>19</v>
      </c>
      <c r="H46" s="824">
        <v>1</v>
      </c>
      <c r="I46" s="825">
        <v>0.56000000000000005</v>
      </c>
      <c r="J46" s="825">
        <v>0.56000000000000005</v>
      </c>
    </row>
    <row r="47" spans="1:10">
      <c r="A47" s="822" t="s">
        <v>13493</v>
      </c>
      <c r="B47" s="821" t="s">
        <v>13501</v>
      </c>
      <c r="C47" s="822" t="s">
        <v>6</v>
      </c>
      <c r="D47" s="822" t="s">
        <v>4779</v>
      </c>
      <c r="E47" s="1017" t="s">
        <v>13502</v>
      </c>
      <c r="F47" s="1017"/>
      <c r="G47" s="823" t="s">
        <v>19</v>
      </c>
      <c r="H47" s="824">
        <v>1</v>
      </c>
      <c r="I47" s="825">
        <v>0.06</v>
      </c>
      <c r="J47" s="825">
        <v>0.06</v>
      </c>
    </row>
    <row r="48" spans="1:10">
      <c r="A48" s="822" t="s">
        <v>13493</v>
      </c>
      <c r="B48" s="821" t="s">
        <v>13531</v>
      </c>
      <c r="C48" s="822" t="s">
        <v>6</v>
      </c>
      <c r="D48" s="822" t="s">
        <v>4808</v>
      </c>
      <c r="E48" s="1017" t="s">
        <v>13532</v>
      </c>
      <c r="F48" s="1017"/>
      <c r="G48" s="823" t="s">
        <v>19</v>
      </c>
      <c r="H48" s="824">
        <v>1</v>
      </c>
      <c r="I48" s="825">
        <v>0.68</v>
      </c>
      <c r="J48" s="825">
        <v>0.68</v>
      </c>
    </row>
    <row r="49" spans="1:10" ht="25.5">
      <c r="A49" s="822" t="s">
        <v>13493</v>
      </c>
      <c r="B49" s="821" t="s">
        <v>13533</v>
      </c>
      <c r="C49" s="822" t="s">
        <v>6</v>
      </c>
      <c r="D49" s="822" t="s">
        <v>4821</v>
      </c>
      <c r="E49" s="1017" t="s">
        <v>13495</v>
      </c>
      <c r="F49" s="1017"/>
      <c r="G49" s="823" t="s">
        <v>19</v>
      </c>
      <c r="H49" s="824">
        <v>1</v>
      </c>
      <c r="I49" s="825">
        <v>14</v>
      </c>
      <c r="J49" s="825">
        <v>14</v>
      </c>
    </row>
    <row r="50" spans="1:10" ht="25.5">
      <c r="A50" s="827"/>
      <c r="B50" s="827"/>
      <c r="C50" s="827"/>
      <c r="D50" s="827"/>
      <c r="E50" s="827" t="s">
        <v>13503</v>
      </c>
      <c r="F50" s="826">
        <v>14.05</v>
      </c>
      <c r="G50" s="827" t="s">
        <v>13504</v>
      </c>
      <c r="H50" s="826">
        <v>0</v>
      </c>
      <c r="I50" s="827" t="s">
        <v>13505</v>
      </c>
      <c r="J50" s="826">
        <v>14.05</v>
      </c>
    </row>
    <row r="51" spans="1:10" ht="13.5" customHeight="1" thickBot="1">
      <c r="A51" s="827"/>
      <c r="B51" s="827"/>
      <c r="C51" s="827"/>
      <c r="D51" s="827"/>
      <c r="E51" s="827" t="s">
        <v>13506</v>
      </c>
      <c r="F51" s="826">
        <v>5.31</v>
      </c>
      <c r="G51" s="827"/>
      <c r="H51" s="1018" t="s">
        <v>13507</v>
      </c>
      <c r="I51" s="1018"/>
      <c r="J51" s="826">
        <v>24.14</v>
      </c>
    </row>
    <row r="52" spans="1:10" ht="13.5" customHeight="1" thickTop="1">
      <c r="A52" s="828"/>
      <c r="B52" s="828"/>
      <c r="C52" s="828"/>
      <c r="D52" s="828"/>
      <c r="E52" s="828"/>
      <c r="F52" s="828"/>
      <c r="G52" s="828"/>
      <c r="H52" s="828"/>
      <c r="I52" s="828"/>
      <c r="J52" s="828"/>
    </row>
    <row r="53" spans="1:10" ht="15">
      <c r="A53" s="809" t="s">
        <v>13534</v>
      </c>
      <c r="B53" s="808" t="s">
        <v>13481</v>
      </c>
      <c r="C53" s="809" t="s">
        <v>13482</v>
      </c>
      <c r="D53" s="809" t="s">
        <v>13483</v>
      </c>
      <c r="E53" s="1019" t="s">
        <v>13484</v>
      </c>
      <c r="F53" s="1019"/>
      <c r="G53" s="810" t="s">
        <v>13485</v>
      </c>
      <c r="H53" s="808" t="s">
        <v>13486</v>
      </c>
      <c r="I53" s="808" t="s">
        <v>13487</v>
      </c>
      <c r="J53" s="808" t="s">
        <v>4867</v>
      </c>
    </row>
    <row r="54" spans="1:10" ht="25.5" customHeight="1">
      <c r="A54" s="812" t="s">
        <v>13488</v>
      </c>
      <c r="B54" s="811" t="s">
        <v>13535</v>
      </c>
      <c r="C54" s="812" t="s">
        <v>6</v>
      </c>
      <c r="D54" s="812" t="s">
        <v>3274</v>
      </c>
      <c r="E54" s="1020" t="s">
        <v>13536</v>
      </c>
      <c r="F54" s="1020"/>
      <c r="G54" s="813" t="s">
        <v>13537</v>
      </c>
      <c r="H54" s="814">
        <v>1</v>
      </c>
      <c r="I54" s="815">
        <v>95.95</v>
      </c>
      <c r="J54" s="815">
        <v>95.95</v>
      </c>
    </row>
    <row r="55" spans="1:10" ht="25.5" customHeight="1">
      <c r="A55" s="817" t="s">
        <v>13491</v>
      </c>
      <c r="B55" s="816" t="s">
        <v>13538</v>
      </c>
      <c r="C55" s="817" t="s">
        <v>6</v>
      </c>
      <c r="D55" s="817" t="s">
        <v>1793</v>
      </c>
      <c r="E55" s="1021" t="s">
        <v>13539</v>
      </c>
      <c r="F55" s="1021"/>
      <c r="G55" s="818" t="s">
        <v>28</v>
      </c>
      <c r="H55" s="819">
        <v>4.4000000000000003E-3</v>
      </c>
      <c r="I55" s="820">
        <v>15.82</v>
      </c>
      <c r="J55" s="820">
        <v>0.06</v>
      </c>
    </row>
    <row r="56" spans="1:10" ht="38.25" customHeight="1">
      <c r="A56" s="817" t="s">
        <v>13491</v>
      </c>
      <c r="B56" s="816" t="s">
        <v>13540</v>
      </c>
      <c r="C56" s="817" t="s">
        <v>6</v>
      </c>
      <c r="D56" s="817" t="s">
        <v>1794</v>
      </c>
      <c r="E56" s="1021" t="s">
        <v>13539</v>
      </c>
      <c r="F56" s="1021"/>
      <c r="G56" s="818" t="s">
        <v>42</v>
      </c>
      <c r="H56" s="819">
        <v>1.9099999999999999E-2</v>
      </c>
      <c r="I56" s="820">
        <v>14.51</v>
      </c>
      <c r="J56" s="820">
        <v>0.27</v>
      </c>
    </row>
    <row r="57" spans="1:10" ht="38.25" customHeight="1">
      <c r="A57" s="817" t="s">
        <v>13491</v>
      </c>
      <c r="B57" s="816" t="s">
        <v>13541</v>
      </c>
      <c r="C57" s="817" t="s">
        <v>6</v>
      </c>
      <c r="D57" s="817" t="s">
        <v>6586</v>
      </c>
      <c r="E57" s="1021" t="s">
        <v>13542</v>
      </c>
      <c r="F57" s="1021"/>
      <c r="G57" s="818" t="s">
        <v>13543</v>
      </c>
      <c r="H57" s="819">
        <v>1.1999999999999999E-3</v>
      </c>
      <c r="I57" s="820">
        <v>374.59</v>
      </c>
      <c r="J57" s="820">
        <v>0.44</v>
      </c>
    </row>
    <row r="58" spans="1:10" ht="38.25" customHeight="1">
      <c r="A58" s="817" t="s">
        <v>13491</v>
      </c>
      <c r="B58" s="816" t="s">
        <v>13544</v>
      </c>
      <c r="C58" s="817" t="s">
        <v>6</v>
      </c>
      <c r="D58" s="817" t="s">
        <v>29</v>
      </c>
      <c r="E58" s="1021" t="s">
        <v>13490</v>
      </c>
      <c r="F58" s="1021"/>
      <c r="G58" s="818" t="s">
        <v>19</v>
      </c>
      <c r="H58" s="819">
        <v>0.18970000000000001</v>
      </c>
      <c r="I58" s="820">
        <v>15.96</v>
      </c>
      <c r="J58" s="820">
        <v>3.02</v>
      </c>
    </row>
    <row r="59" spans="1:10" ht="13.5" customHeight="1">
      <c r="A59" s="817" t="s">
        <v>13491</v>
      </c>
      <c r="B59" s="816" t="s">
        <v>13545</v>
      </c>
      <c r="C59" s="817" t="s">
        <v>6</v>
      </c>
      <c r="D59" s="817" t="s">
        <v>30</v>
      </c>
      <c r="E59" s="1021" t="s">
        <v>13490</v>
      </c>
      <c r="F59" s="1021"/>
      <c r="G59" s="818" t="s">
        <v>19</v>
      </c>
      <c r="H59" s="819">
        <v>0.56910000000000005</v>
      </c>
      <c r="I59" s="820">
        <v>18.63</v>
      </c>
      <c r="J59" s="820">
        <v>10.6</v>
      </c>
    </row>
    <row r="60" spans="1:10" ht="25.5">
      <c r="A60" s="822" t="s">
        <v>13493</v>
      </c>
      <c r="B60" s="821" t="s">
        <v>13546</v>
      </c>
      <c r="C60" s="822" t="s">
        <v>6</v>
      </c>
      <c r="D60" s="822" t="s">
        <v>9217</v>
      </c>
      <c r="E60" s="1017" t="s">
        <v>13514</v>
      </c>
      <c r="F60" s="1017"/>
      <c r="G60" s="823" t="s">
        <v>14</v>
      </c>
      <c r="H60" s="824">
        <v>1.2273000000000001</v>
      </c>
      <c r="I60" s="825">
        <v>20.329999999999998</v>
      </c>
      <c r="J60" s="825">
        <v>24.95</v>
      </c>
    </row>
    <row r="61" spans="1:10">
      <c r="A61" s="822" t="s">
        <v>13493</v>
      </c>
      <c r="B61" s="821" t="s">
        <v>13547</v>
      </c>
      <c r="C61" s="822" t="s">
        <v>6</v>
      </c>
      <c r="D61" s="822" t="s">
        <v>4764</v>
      </c>
      <c r="E61" s="1017" t="s">
        <v>13514</v>
      </c>
      <c r="F61" s="1017"/>
      <c r="G61" s="823" t="s">
        <v>16</v>
      </c>
      <c r="H61" s="824">
        <v>4.2799999999999998E-2</v>
      </c>
      <c r="I61" s="825">
        <v>23.36</v>
      </c>
      <c r="J61" s="825">
        <v>0.99</v>
      </c>
    </row>
    <row r="62" spans="1:10" ht="25.5" customHeight="1">
      <c r="A62" s="822" t="s">
        <v>13493</v>
      </c>
      <c r="B62" s="821" t="s">
        <v>13548</v>
      </c>
      <c r="C62" s="822" t="s">
        <v>6</v>
      </c>
      <c r="D62" s="822" t="s">
        <v>12280</v>
      </c>
      <c r="E62" s="1017" t="s">
        <v>13514</v>
      </c>
      <c r="F62" s="1017"/>
      <c r="G62" s="823" t="s">
        <v>14</v>
      </c>
      <c r="H62" s="824">
        <v>1</v>
      </c>
      <c r="I62" s="825">
        <v>24.13</v>
      </c>
      <c r="J62" s="825">
        <v>24.13</v>
      </c>
    </row>
    <row r="63" spans="1:10" ht="38.25">
      <c r="A63" s="822" t="s">
        <v>13493</v>
      </c>
      <c r="B63" s="821" t="s">
        <v>13549</v>
      </c>
      <c r="C63" s="822" t="s">
        <v>6</v>
      </c>
      <c r="D63" s="822" t="s">
        <v>4801</v>
      </c>
      <c r="E63" s="1017" t="s">
        <v>13514</v>
      </c>
      <c r="F63" s="1017"/>
      <c r="G63" s="823" t="s">
        <v>13537</v>
      </c>
      <c r="H63" s="824">
        <v>0.58530000000000004</v>
      </c>
      <c r="I63" s="825">
        <v>53.81</v>
      </c>
      <c r="J63" s="825">
        <v>31.49</v>
      </c>
    </row>
    <row r="64" spans="1:10" ht="25.5">
      <c r="A64" s="827"/>
      <c r="B64" s="827"/>
      <c r="C64" s="827"/>
      <c r="D64" s="827"/>
      <c r="E64" s="827" t="s">
        <v>13503</v>
      </c>
      <c r="F64" s="826">
        <v>10.31</v>
      </c>
      <c r="G64" s="827" t="s">
        <v>13504</v>
      </c>
      <c r="H64" s="826">
        <v>0</v>
      </c>
      <c r="I64" s="827" t="s">
        <v>13505</v>
      </c>
      <c r="J64" s="826">
        <v>10.31</v>
      </c>
    </row>
    <row r="65" spans="1:10" ht="13.5" customHeight="1" thickBot="1">
      <c r="A65" s="827"/>
      <c r="B65" s="827"/>
      <c r="C65" s="827"/>
      <c r="D65" s="827"/>
      <c r="E65" s="827" t="s">
        <v>13506</v>
      </c>
      <c r="F65" s="826">
        <v>27.09</v>
      </c>
      <c r="G65" s="827"/>
      <c r="H65" s="1018" t="s">
        <v>13507</v>
      </c>
      <c r="I65" s="1018"/>
      <c r="J65" s="826">
        <v>123.04</v>
      </c>
    </row>
    <row r="66" spans="1:10" ht="13.5" customHeight="1" thickTop="1">
      <c r="A66" s="828"/>
      <c r="B66" s="828"/>
      <c r="C66" s="828"/>
      <c r="D66" s="828"/>
      <c r="E66" s="828"/>
      <c r="F66" s="828"/>
      <c r="G66" s="828"/>
      <c r="H66" s="828"/>
      <c r="I66" s="828"/>
      <c r="J66" s="828"/>
    </row>
    <row r="67" spans="1:10" ht="15">
      <c r="A67" s="809" t="s">
        <v>13550</v>
      </c>
      <c r="B67" s="808" t="s">
        <v>13481</v>
      </c>
      <c r="C67" s="809" t="s">
        <v>13482</v>
      </c>
      <c r="D67" s="809" t="s">
        <v>13483</v>
      </c>
      <c r="E67" s="1019" t="s">
        <v>13484</v>
      </c>
      <c r="F67" s="1019"/>
      <c r="G67" s="810" t="s">
        <v>13485</v>
      </c>
      <c r="H67" s="808" t="s">
        <v>13486</v>
      </c>
      <c r="I67" s="808" t="s">
        <v>13487</v>
      </c>
      <c r="J67" s="808" t="s">
        <v>4867</v>
      </c>
    </row>
    <row r="68" spans="1:10" ht="25.5" customHeight="1">
      <c r="A68" s="812" t="s">
        <v>13488</v>
      </c>
      <c r="B68" s="811" t="s">
        <v>13551</v>
      </c>
      <c r="C68" s="812" t="s">
        <v>6</v>
      </c>
      <c r="D68" s="812" t="s">
        <v>3229</v>
      </c>
      <c r="E68" s="1020" t="s">
        <v>13552</v>
      </c>
      <c r="F68" s="1020"/>
      <c r="G68" s="813" t="s">
        <v>13537</v>
      </c>
      <c r="H68" s="814">
        <v>1</v>
      </c>
      <c r="I68" s="815">
        <v>2.38</v>
      </c>
      <c r="J68" s="815">
        <v>2.38</v>
      </c>
    </row>
    <row r="69" spans="1:10" ht="25.5" customHeight="1">
      <c r="A69" s="817" t="s">
        <v>13491</v>
      </c>
      <c r="B69" s="816" t="s">
        <v>13553</v>
      </c>
      <c r="C69" s="817" t="s">
        <v>6</v>
      </c>
      <c r="D69" s="817" t="s">
        <v>21</v>
      </c>
      <c r="E69" s="1021" t="s">
        <v>13490</v>
      </c>
      <c r="F69" s="1021"/>
      <c r="G69" s="818" t="s">
        <v>19</v>
      </c>
      <c r="H69" s="819">
        <v>9.7100000000000006E-2</v>
      </c>
      <c r="I69" s="820">
        <v>15.16</v>
      </c>
      <c r="J69" s="820">
        <v>1.47</v>
      </c>
    </row>
    <row r="70" spans="1:10" ht="38.25" customHeight="1">
      <c r="A70" s="817" t="s">
        <v>13491</v>
      </c>
      <c r="B70" s="816" t="s">
        <v>13554</v>
      </c>
      <c r="C70" s="817" t="s">
        <v>6</v>
      </c>
      <c r="D70" s="817" t="s">
        <v>165</v>
      </c>
      <c r="E70" s="1021" t="s">
        <v>13490</v>
      </c>
      <c r="F70" s="1021"/>
      <c r="G70" s="818" t="s">
        <v>19</v>
      </c>
      <c r="H70" s="819">
        <v>4.9399999999999999E-2</v>
      </c>
      <c r="I70" s="820">
        <v>18.46</v>
      </c>
      <c r="J70" s="820">
        <v>0.91</v>
      </c>
    </row>
    <row r="71" spans="1:10" ht="25.5">
      <c r="A71" s="827"/>
      <c r="B71" s="827"/>
      <c r="C71" s="827"/>
      <c r="D71" s="827"/>
      <c r="E71" s="827" t="s">
        <v>13503</v>
      </c>
      <c r="F71" s="826">
        <v>1.67</v>
      </c>
      <c r="G71" s="827" t="s">
        <v>13504</v>
      </c>
      <c r="H71" s="826">
        <v>0</v>
      </c>
      <c r="I71" s="827" t="s">
        <v>13505</v>
      </c>
      <c r="J71" s="826">
        <v>1.67</v>
      </c>
    </row>
    <row r="72" spans="1:10" ht="13.5" customHeight="1" thickBot="1">
      <c r="A72" s="827"/>
      <c r="B72" s="827"/>
      <c r="C72" s="827"/>
      <c r="D72" s="827"/>
      <c r="E72" s="827" t="s">
        <v>13506</v>
      </c>
      <c r="F72" s="826">
        <v>0.67</v>
      </c>
      <c r="G72" s="827"/>
      <c r="H72" s="1018" t="s">
        <v>13507</v>
      </c>
      <c r="I72" s="1018"/>
      <c r="J72" s="826">
        <v>3.05</v>
      </c>
    </row>
    <row r="73" spans="1:10" ht="13.5" customHeight="1" thickTop="1">
      <c r="A73" s="828"/>
      <c r="B73" s="828"/>
      <c r="C73" s="828"/>
      <c r="D73" s="828"/>
      <c r="E73" s="828"/>
      <c r="F73" s="828"/>
      <c r="G73" s="828"/>
      <c r="H73" s="828"/>
      <c r="I73" s="828"/>
      <c r="J73" s="828"/>
    </row>
    <row r="74" spans="1:10" ht="15">
      <c r="A74" s="809" t="s">
        <v>13555</v>
      </c>
      <c r="B74" s="808" t="s">
        <v>13481</v>
      </c>
      <c r="C74" s="809" t="s">
        <v>13482</v>
      </c>
      <c r="D74" s="809" t="s">
        <v>13483</v>
      </c>
      <c r="E74" s="1019" t="s">
        <v>13484</v>
      </c>
      <c r="F74" s="1019"/>
      <c r="G74" s="810" t="s">
        <v>13485</v>
      </c>
      <c r="H74" s="808" t="s">
        <v>13486</v>
      </c>
      <c r="I74" s="808" t="s">
        <v>13487</v>
      </c>
      <c r="J74" s="808" t="s">
        <v>4867</v>
      </c>
    </row>
    <row r="75" spans="1:10" ht="25.5" customHeight="1">
      <c r="A75" s="812" t="s">
        <v>13488</v>
      </c>
      <c r="B75" s="811" t="s">
        <v>13556</v>
      </c>
      <c r="C75" s="812" t="s">
        <v>6</v>
      </c>
      <c r="D75" s="812" t="s">
        <v>3234</v>
      </c>
      <c r="E75" s="1020" t="s">
        <v>13552</v>
      </c>
      <c r="F75" s="1020"/>
      <c r="G75" s="813" t="s">
        <v>24</v>
      </c>
      <c r="H75" s="814">
        <v>1</v>
      </c>
      <c r="I75" s="815">
        <v>128.41999999999999</v>
      </c>
      <c r="J75" s="815">
        <v>128.41999999999999</v>
      </c>
    </row>
    <row r="76" spans="1:10" ht="25.5" customHeight="1">
      <c r="A76" s="817" t="s">
        <v>13491</v>
      </c>
      <c r="B76" s="816" t="s">
        <v>13553</v>
      </c>
      <c r="C76" s="817" t="s">
        <v>6</v>
      </c>
      <c r="D76" s="817" t="s">
        <v>21</v>
      </c>
      <c r="E76" s="1021" t="s">
        <v>13490</v>
      </c>
      <c r="F76" s="1021"/>
      <c r="G76" s="818" t="s">
        <v>19</v>
      </c>
      <c r="H76" s="819">
        <v>5.2293000000000003</v>
      </c>
      <c r="I76" s="820">
        <v>15.16</v>
      </c>
      <c r="J76" s="820">
        <v>79.27</v>
      </c>
    </row>
    <row r="77" spans="1:10" ht="38.25" customHeight="1">
      <c r="A77" s="817" t="s">
        <v>13491</v>
      </c>
      <c r="B77" s="816" t="s">
        <v>13554</v>
      </c>
      <c r="C77" s="817" t="s">
        <v>6</v>
      </c>
      <c r="D77" s="817" t="s">
        <v>165</v>
      </c>
      <c r="E77" s="1021" t="s">
        <v>13490</v>
      </c>
      <c r="F77" s="1021"/>
      <c r="G77" s="818" t="s">
        <v>19</v>
      </c>
      <c r="H77" s="819">
        <v>2.6625999999999999</v>
      </c>
      <c r="I77" s="820">
        <v>18.46</v>
      </c>
      <c r="J77" s="820">
        <v>49.15</v>
      </c>
    </row>
    <row r="78" spans="1:10" ht="25.5">
      <c r="A78" s="827"/>
      <c r="B78" s="827"/>
      <c r="C78" s="827"/>
      <c r="D78" s="827"/>
      <c r="E78" s="827" t="s">
        <v>13503</v>
      </c>
      <c r="F78" s="826">
        <v>90.7</v>
      </c>
      <c r="G78" s="827" t="s">
        <v>13504</v>
      </c>
      <c r="H78" s="826">
        <v>0</v>
      </c>
      <c r="I78" s="827" t="s">
        <v>13505</v>
      </c>
      <c r="J78" s="826">
        <v>90.7</v>
      </c>
    </row>
    <row r="79" spans="1:10" ht="13.5" customHeight="1" thickBot="1">
      <c r="A79" s="827"/>
      <c r="B79" s="827"/>
      <c r="C79" s="827"/>
      <c r="D79" s="827"/>
      <c r="E79" s="827" t="s">
        <v>13506</v>
      </c>
      <c r="F79" s="826">
        <v>36.26</v>
      </c>
      <c r="G79" s="827"/>
      <c r="H79" s="1018" t="s">
        <v>13507</v>
      </c>
      <c r="I79" s="1018"/>
      <c r="J79" s="826">
        <v>164.68</v>
      </c>
    </row>
    <row r="80" spans="1:10" ht="13.5" customHeight="1" thickTop="1">
      <c r="A80" s="828"/>
      <c r="B80" s="828"/>
      <c r="C80" s="828"/>
      <c r="D80" s="828"/>
      <c r="E80" s="828"/>
      <c r="F80" s="828"/>
      <c r="G80" s="828"/>
      <c r="H80" s="828"/>
      <c r="I80" s="828"/>
      <c r="J80" s="828"/>
    </row>
    <row r="81" spans="1:10" ht="15">
      <c r="A81" s="809" t="s">
        <v>13557</v>
      </c>
      <c r="B81" s="808" t="s">
        <v>13481</v>
      </c>
      <c r="C81" s="809" t="s">
        <v>13482</v>
      </c>
      <c r="D81" s="809" t="s">
        <v>13483</v>
      </c>
      <c r="E81" s="1019" t="s">
        <v>13484</v>
      </c>
      <c r="F81" s="1019"/>
      <c r="G81" s="810" t="s">
        <v>13485</v>
      </c>
      <c r="H81" s="808" t="s">
        <v>13486</v>
      </c>
      <c r="I81" s="808" t="s">
        <v>13487</v>
      </c>
      <c r="J81" s="808" t="s">
        <v>4867</v>
      </c>
    </row>
    <row r="82" spans="1:10" ht="25.5" customHeight="1">
      <c r="A82" s="812" t="s">
        <v>13488</v>
      </c>
      <c r="B82" s="811" t="s">
        <v>13558</v>
      </c>
      <c r="C82" s="812" t="s">
        <v>6</v>
      </c>
      <c r="D82" s="812" t="s">
        <v>3232</v>
      </c>
      <c r="E82" s="1020" t="s">
        <v>13552</v>
      </c>
      <c r="F82" s="1020"/>
      <c r="G82" s="813" t="s">
        <v>13537</v>
      </c>
      <c r="H82" s="814">
        <v>1</v>
      </c>
      <c r="I82" s="815">
        <v>5.12</v>
      </c>
      <c r="J82" s="815">
        <v>5.12</v>
      </c>
    </row>
    <row r="83" spans="1:10" ht="25.5" customHeight="1">
      <c r="A83" s="817" t="s">
        <v>13491</v>
      </c>
      <c r="B83" s="816" t="s">
        <v>13553</v>
      </c>
      <c r="C83" s="817" t="s">
        <v>6</v>
      </c>
      <c r="D83" s="817" t="s">
        <v>21</v>
      </c>
      <c r="E83" s="1021" t="s">
        <v>13490</v>
      </c>
      <c r="F83" s="1021"/>
      <c r="G83" s="818" t="s">
        <v>19</v>
      </c>
      <c r="H83" s="819">
        <v>0.20860000000000001</v>
      </c>
      <c r="I83" s="820">
        <v>15.16</v>
      </c>
      <c r="J83" s="820">
        <v>3.16</v>
      </c>
    </row>
    <row r="84" spans="1:10" ht="38.25" customHeight="1">
      <c r="A84" s="817" t="s">
        <v>13491</v>
      </c>
      <c r="B84" s="816" t="s">
        <v>13554</v>
      </c>
      <c r="C84" s="817" t="s">
        <v>6</v>
      </c>
      <c r="D84" s="817" t="s">
        <v>165</v>
      </c>
      <c r="E84" s="1021" t="s">
        <v>13490</v>
      </c>
      <c r="F84" s="1021"/>
      <c r="G84" s="818" t="s">
        <v>19</v>
      </c>
      <c r="H84" s="819">
        <v>0.1062</v>
      </c>
      <c r="I84" s="820">
        <v>18.46</v>
      </c>
      <c r="J84" s="820">
        <v>1.96</v>
      </c>
    </row>
    <row r="85" spans="1:10" ht="25.5">
      <c r="A85" s="827"/>
      <c r="B85" s="827"/>
      <c r="C85" s="827"/>
      <c r="D85" s="827"/>
      <c r="E85" s="827" t="s">
        <v>13503</v>
      </c>
      <c r="F85" s="826">
        <v>3.61</v>
      </c>
      <c r="G85" s="827" t="s">
        <v>13504</v>
      </c>
      <c r="H85" s="826">
        <v>0</v>
      </c>
      <c r="I85" s="827" t="s">
        <v>13505</v>
      </c>
      <c r="J85" s="826">
        <v>3.61</v>
      </c>
    </row>
    <row r="86" spans="1:10" ht="13.5" customHeight="1" thickBot="1">
      <c r="A86" s="827"/>
      <c r="B86" s="827"/>
      <c r="C86" s="827"/>
      <c r="D86" s="827"/>
      <c r="E86" s="827" t="s">
        <v>13506</v>
      </c>
      <c r="F86" s="826">
        <v>1.44</v>
      </c>
      <c r="G86" s="827"/>
      <c r="H86" s="1018" t="s">
        <v>13507</v>
      </c>
      <c r="I86" s="1018"/>
      <c r="J86" s="826">
        <v>6.56</v>
      </c>
    </row>
    <row r="87" spans="1:10" ht="13.5" customHeight="1" thickTop="1">
      <c r="A87" s="828"/>
      <c r="B87" s="828"/>
      <c r="C87" s="828"/>
      <c r="D87" s="828"/>
      <c r="E87" s="828"/>
      <c r="F87" s="828"/>
      <c r="G87" s="828"/>
      <c r="H87" s="828"/>
      <c r="I87" s="828"/>
      <c r="J87" s="828"/>
    </row>
    <row r="88" spans="1:10" ht="15">
      <c r="A88" s="809" t="s">
        <v>13559</v>
      </c>
      <c r="B88" s="808" t="s">
        <v>13481</v>
      </c>
      <c r="C88" s="809" t="s">
        <v>13482</v>
      </c>
      <c r="D88" s="809" t="s">
        <v>13483</v>
      </c>
      <c r="E88" s="1019" t="s">
        <v>13484</v>
      </c>
      <c r="F88" s="1019"/>
      <c r="G88" s="810" t="s">
        <v>13485</v>
      </c>
      <c r="H88" s="808" t="s">
        <v>13486</v>
      </c>
      <c r="I88" s="808" t="s">
        <v>13487</v>
      </c>
      <c r="J88" s="808" t="s">
        <v>4867</v>
      </c>
    </row>
    <row r="89" spans="1:10" ht="25.5" customHeight="1">
      <c r="A89" s="812" t="s">
        <v>13488</v>
      </c>
      <c r="B89" s="811" t="s">
        <v>13560</v>
      </c>
      <c r="C89" s="812" t="s">
        <v>6</v>
      </c>
      <c r="D89" s="812" t="s">
        <v>3223</v>
      </c>
      <c r="E89" s="1020" t="s">
        <v>13552</v>
      </c>
      <c r="F89" s="1020"/>
      <c r="G89" s="813" t="s">
        <v>13537</v>
      </c>
      <c r="H89" s="814">
        <v>1</v>
      </c>
      <c r="I89" s="815">
        <v>1.1100000000000001</v>
      </c>
      <c r="J89" s="815">
        <v>1.1100000000000001</v>
      </c>
    </row>
    <row r="90" spans="1:10" ht="25.5" customHeight="1">
      <c r="A90" s="817" t="s">
        <v>13491</v>
      </c>
      <c r="B90" s="816" t="s">
        <v>13553</v>
      </c>
      <c r="C90" s="817" t="s">
        <v>6</v>
      </c>
      <c r="D90" s="817" t="s">
        <v>21</v>
      </c>
      <c r="E90" s="1021" t="s">
        <v>13490</v>
      </c>
      <c r="F90" s="1021"/>
      <c r="G90" s="818" t="s">
        <v>19</v>
      </c>
      <c r="H90" s="819">
        <v>5.0700000000000002E-2</v>
      </c>
      <c r="I90" s="820">
        <v>15.16</v>
      </c>
      <c r="J90" s="820">
        <v>0.76</v>
      </c>
    </row>
    <row r="91" spans="1:10" ht="38.25" customHeight="1">
      <c r="A91" s="817" t="s">
        <v>13491</v>
      </c>
      <c r="B91" s="816" t="s">
        <v>13561</v>
      </c>
      <c r="C91" s="817" t="s">
        <v>6</v>
      </c>
      <c r="D91" s="817" t="s">
        <v>131</v>
      </c>
      <c r="E91" s="1021" t="s">
        <v>13490</v>
      </c>
      <c r="F91" s="1021"/>
      <c r="G91" s="818" t="s">
        <v>19</v>
      </c>
      <c r="H91" s="819">
        <v>2.58E-2</v>
      </c>
      <c r="I91" s="820">
        <v>13.65</v>
      </c>
      <c r="J91" s="820">
        <v>0.35</v>
      </c>
    </row>
    <row r="92" spans="1:10" ht="25.5">
      <c r="A92" s="827"/>
      <c r="B92" s="827"/>
      <c r="C92" s="827"/>
      <c r="D92" s="827"/>
      <c r="E92" s="827" t="s">
        <v>13503</v>
      </c>
      <c r="F92" s="826">
        <v>0.77</v>
      </c>
      <c r="G92" s="827" t="s">
        <v>13504</v>
      </c>
      <c r="H92" s="826">
        <v>0</v>
      </c>
      <c r="I92" s="827" t="s">
        <v>13505</v>
      </c>
      <c r="J92" s="826">
        <v>0.77</v>
      </c>
    </row>
    <row r="93" spans="1:10" ht="13.5" customHeight="1" thickBot="1">
      <c r="A93" s="827"/>
      <c r="B93" s="827"/>
      <c r="C93" s="827"/>
      <c r="D93" s="827"/>
      <c r="E93" s="827" t="s">
        <v>13506</v>
      </c>
      <c r="F93" s="826">
        <v>0.31</v>
      </c>
      <c r="G93" s="827"/>
      <c r="H93" s="1018" t="s">
        <v>13507</v>
      </c>
      <c r="I93" s="1018"/>
      <c r="J93" s="826">
        <v>1.42</v>
      </c>
    </row>
    <row r="94" spans="1:10" ht="13.5" customHeight="1" thickTop="1">
      <c r="A94" s="828"/>
      <c r="B94" s="828"/>
      <c r="C94" s="828"/>
      <c r="D94" s="828"/>
      <c r="E94" s="828"/>
      <c r="F94" s="828"/>
      <c r="G94" s="828"/>
      <c r="H94" s="828"/>
      <c r="I94" s="828"/>
      <c r="J94" s="828"/>
    </row>
    <row r="95" spans="1:10" ht="15">
      <c r="A95" s="809" t="s">
        <v>13562</v>
      </c>
      <c r="B95" s="808" t="s">
        <v>13481</v>
      </c>
      <c r="C95" s="809" t="s">
        <v>13482</v>
      </c>
      <c r="D95" s="809" t="s">
        <v>13483</v>
      </c>
      <c r="E95" s="1019" t="s">
        <v>13484</v>
      </c>
      <c r="F95" s="1019"/>
      <c r="G95" s="810" t="s">
        <v>13485</v>
      </c>
      <c r="H95" s="808" t="s">
        <v>13486</v>
      </c>
      <c r="I95" s="808" t="s">
        <v>13487</v>
      </c>
      <c r="J95" s="808" t="s">
        <v>4867</v>
      </c>
    </row>
    <row r="96" spans="1:10" ht="25.5" customHeight="1">
      <c r="A96" s="812" t="s">
        <v>13488</v>
      </c>
      <c r="B96" s="811" t="s">
        <v>13563</v>
      </c>
      <c r="C96" s="812" t="s">
        <v>6</v>
      </c>
      <c r="D96" s="812" t="s">
        <v>3224</v>
      </c>
      <c r="E96" s="1020" t="s">
        <v>13552</v>
      </c>
      <c r="F96" s="1020"/>
      <c r="G96" s="813" t="s">
        <v>13537</v>
      </c>
      <c r="H96" s="814">
        <v>1</v>
      </c>
      <c r="I96" s="815">
        <v>3.41</v>
      </c>
      <c r="J96" s="815">
        <v>3.41</v>
      </c>
    </row>
    <row r="97" spans="1:10" ht="25.5" customHeight="1">
      <c r="A97" s="817" t="s">
        <v>13491</v>
      </c>
      <c r="B97" s="816" t="s">
        <v>13564</v>
      </c>
      <c r="C97" s="817" t="s">
        <v>6</v>
      </c>
      <c r="D97" s="817" t="s">
        <v>124</v>
      </c>
      <c r="E97" s="1021" t="s">
        <v>13490</v>
      </c>
      <c r="F97" s="1021"/>
      <c r="G97" s="818" t="s">
        <v>19</v>
      </c>
      <c r="H97" s="819">
        <v>7.1300000000000002E-2</v>
      </c>
      <c r="I97" s="820">
        <v>18.14</v>
      </c>
      <c r="J97" s="820">
        <v>1.29</v>
      </c>
    </row>
    <row r="98" spans="1:10" ht="38.25" customHeight="1">
      <c r="A98" s="817" t="s">
        <v>13491</v>
      </c>
      <c r="B98" s="816" t="s">
        <v>13553</v>
      </c>
      <c r="C98" s="817" t="s">
        <v>6</v>
      </c>
      <c r="D98" s="817" t="s">
        <v>21</v>
      </c>
      <c r="E98" s="1021" t="s">
        <v>13490</v>
      </c>
      <c r="F98" s="1021"/>
      <c r="G98" s="818" t="s">
        <v>19</v>
      </c>
      <c r="H98" s="819">
        <v>0.1401</v>
      </c>
      <c r="I98" s="820">
        <v>15.16</v>
      </c>
      <c r="J98" s="820">
        <v>2.12</v>
      </c>
    </row>
    <row r="99" spans="1:10" ht="25.5">
      <c r="A99" s="827"/>
      <c r="B99" s="827"/>
      <c r="C99" s="827"/>
      <c r="D99" s="827"/>
      <c r="E99" s="827" t="s">
        <v>13503</v>
      </c>
      <c r="F99" s="826">
        <v>2.3899999999999997</v>
      </c>
      <c r="G99" s="827" t="s">
        <v>13504</v>
      </c>
      <c r="H99" s="826">
        <v>0</v>
      </c>
      <c r="I99" s="827" t="s">
        <v>13505</v>
      </c>
      <c r="J99" s="826">
        <v>2.3899999999999997</v>
      </c>
    </row>
    <row r="100" spans="1:10" ht="13.5" customHeight="1" thickBot="1">
      <c r="A100" s="827"/>
      <c r="B100" s="827"/>
      <c r="C100" s="827"/>
      <c r="D100" s="827"/>
      <c r="E100" s="827" t="s">
        <v>13506</v>
      </c>
      <c r="F100" s="826">
        <v>0.96</v>
      </c>
      <c r="G100" s="827"/>
      <c r="H100" s="1018" t="s">
        <v>13507</v>
      </c>
      <c r="I100" s="1018"/>
      <c r="J100" s="826">
        <v>4.37</v>
      </c>
    </row>
    <row r="101" spans="1:10" ht="13.5" customHeight="1" thickTop="1">
      <c r="A101" s="828"/>
      <c r="B101" s="828"/>
      <c r="C101" s="828"/>
      <c r="D101" s="828"/>
      <c r="E101" s="828"/>
      <c r="F101" s="828"/>
      <c r="G101" s="828"/>
      <c r="H101" s="828"/>
      <c r="I101" s="828"/>
      <c r="J101" s="828"/>
    </row>
    <row r="102" spans="1:10" ht="15">
      <c r="A102" s="809" t="s">
        <v>13565</v>
      </c>
      <c r="B102" s="808" t="s">
        <v>13481</v>
      </c>
      <c r="C102" s="809" t="s">
        <v>13482</v>
      </c>
      <c r="D102" s="809" t="s">
        <v>13483</v>
      </c>
      <c r="E102" s="1019" t="s">
        <v>13484</v>
      </c>
      <c r="F102" s="1019"/>
      <c r="G102" s="810" t="s">
        <v>13485</v>
      </c>
      <c r="H102" s="808" t="s">
        <v>13486</v>
      </c>
      <c r="I102" s="808" t="s">
        <v>13487</v>
      </c>
      <c r="J102" s="808" t="s">
        <v>4867</v>
      </c>
    </row>
    <row r="103" spans="1:10" ht="25.5" customHeight="1">
      <c r="A103" s="812" t="s">
        <v>13488</v>
      </c>
      <c r="B103" s="811" t="s">
        <v>13566</v>
      </c>
      <c r="C103" s="812" t="s">
        <v>6</v>
      </c>
      <c r="D103" s="812" t="s">
        <v>3243</v>
      </c>
      <c r="E103" s="1020" t="s">
        <v>13552</v>
      </c>
      <c r="F103" s="1020"/>
      <c r="G103" s="813" t="s">
        <v>14</v>
      </c>
      <c r="H103" s="814">
        <v>1</v>
      </c>
      <c r="I103" s="815">
        <v>0.46</v>
      </c>
      <c r="J103" s="815">
        <v>0.46</v>
      </c>
    </row>
    <row r="104" spans="1:10" ht="25.5" customHeight="1">
      <c r="A104" s="817" t="s">
        <v>13491</v>
      </c>
      <c r="B104" s="816" t="s">
        <v>13553</v>
      </c>
      <c r="C104" s="817" t="s">
        <v>6</v>
      </c>
      <c r="D104" s="817" t="s">
        <v>21</v>
      </c>
      <c r="E104" s="1021" t="s">
        <v>13490</v>
      </c>
      <c r="F104" s="1021"/>
      <c r="G104" s="818" t="s">
        <v>19</v>
      </c>
      <c r="H104" s="819">
        <v>1.8800000000000001E-2</v>
      </c>
      <c r="I104" s="820">
        <v>15.16</v>
      </c>
      <c r="J104" s="820">
        <v>0.28000000000000003</v>
      </c>
    </row>
    <row r="105" spans="1:10" ht="38.25" customHeight="1">
      <c r="A105" s="817" t="s">
        <v>13491</v>
      </c>
      <c r="B105" s="816" t="s">
        <v>13567</v>
      </c>
      <c r="C105" s="817" t="s">
        <v>6</v>
      </c>
      <c r="D105" s="817" t="s">
        <v>35</v>
      </c>
      <c r="E105" s="1021" t="s">
        <v>13490</v>
      </c>
      <c r="F105" s="1021"/>
      <c r="G105" s="818" t="s">
        <v>19</v>
      </c>
      <c r="H105" s="819">
        <v>9.5999999999999992E-3</v>
      </c>
      <c r="I105" s="820">
        <v>19.53</v>
      </c>
      <c r="J105" s="820">
        <v>0.18</v>
      </c>
    </row>
    <row r="106" spans="1:10" ht="25.5">
      <c r="A106" s="827"/>
      <c r="B106" s="827"/>
      <c r="C106" s="827"/>
      <c r="D106" s="827"/>
      <c r="E106" s="827" t="s">
        <v>13503</v>
      </c>
      <c r="F106" s="826">
        <v>0.33</v>
      </c>
      <c r="G106" s="827" t="s">
        <v>13504</v>
      </c>
      <c r="H106" s="826">
        <v>0</v>
      </c>
      <c r="I106" s="827" t="s">
        <v>13505</v>
      </c>
      <c r="J106" s="826">
        <v>0.33</v>
      </c>
    </row>
    <row r="107" spans="1:10" ht="13.5" customHeight="1" thickBot="1">
      <c r="A107" s="827"/>
      <c r="B107" s="827"/>
      <c r="C107" s="827"/>
      <c r="D107" s="827"/>
      <c r="E107" s="827" t="s">
        <v>13506</v>
      </c>
      <c r="F107" s="826">
        <v>0.12</v>
      </c>
      <c r="G107" s="827"/>
      <c r="H107" s="1018" t="s">
        <v>13507</v>
      </c>
      <c r="I107" s="1018"/>
      <c r="J107" s="826">
        <v>0.57999999999999996</v>
      </c>
    </row>
    <row r="108" spans="1:10" ht="13.5" customHeight="1" thickTop="1">
      <c r="A108" s="828"/>
      <c r="B108" s="828"/>
      <c r="C108" s="828"/>
      <c r="D108" s="828"/>
      <c r="E108" s="828"/>
      <c r="F108" s="828"/>
      <c r="G108" s="828"/>
      <c r="H108" s="828"/>
      <c r="I108" s="828"/>
      <c r="J108" s="828"/>
    </row>
    <row r="109" spans="1:10" ht="15">
      <c r="A109" s="809" t="s">
        <v>13568</v>
      </c>
      <c r="B109" s="808" t="s">
        <v>13481</v>
      </c>
      <c r="C109" s="809" t="s">
        <v>13482</v>
      </c>
      <c r="D109" s="809" t="s">
        <v>13483</v>
      </c>
      <c r="E109" s="1019" t="s">
        <v>13484</v>
      </c>
      <c r="F109" s="1019"/>
      <c r="G109" s="810" t="s">
        <v>13485</v>
      </c>
      <c r="H109" s="808" t="s">
        <v>13486</v>
      </c>
      <c r="I109" s="808" t="s">
        <v>13487</v>
      </c>
      <c r="J109" s="808" t="s">
        <v>4867</v>
      </c>
    </row>
    <row r="110" spans="1:10" ht="25.5" customHeight="1">
      <c r="A110" s="812" t="s">
        <v>13488</v>
      </c>
      <c r="B110" s="811" t="s">
        <v>13569</v>
      </c>
      <c r="C110" s="812" t="s">
        <v>6</v>
      </c>
      <c r="D110" s="812" t="s">
        <v>3247</v>
      </c>
      <c r="E110" s="1020" t="s">
        <v>13552</v>
      </c>
      <c r="F110" s="1020"/>
      <c r="G110" s="813" t="s">
        <v>24</v>
      </c>
      <c r="H110" s="814">
        <v>1</v>
      </c>
      <c r="I110" s="815">
        <v>0.89</v>
      </c>
      <c r="J110" s="815">
        <v>0.89</v>
      </c>
    </row>
    <row r="111" spans="1:10" ht="25.5" customHeight="1">
      <c r="A111" s="817" t="s">
        <v>13491</v>
      </c>
      <c r="B111" s="816" t="s">
        <v>13567</v>
      </c>
      <c r="C111" s="817" t="s">
        <v>6</v>
      </c>
      <c r="D111" s="817" t="s">
        <v>35</v>
      </c>
      <c r="E111" s="1021" t="s">
        <v>13490</v>
      </c>
      <c r="F111" s="1021"/>
      <c r="G111" s="818" t="s">
        <v>19</v>
      </c>
      <c r="H111" s="819">
        <v>1.83E-2</v>
      </c>
      <c r="I111" s="820">
        <v>19.53</v>
      </c>
      <c r="J111" s="820">
        <v>0.35</v>
      </c>
    </row>
    <row r="112" spans="1:10" ht="38.25" customHeight="1">
      <c r="A112" s="817" t="s">
        <v>13491</v>
      </c>
      <c r="B112" s="816" t="s">
        <v>13553</v>
      </c>
      <c r="C112" s="817" t="s">
        <v>6</v>
      </c>
      <c r="D112" s="817" t="s">
        <v>21</v>
      </c>
      <c r="E112" s="1021" t="s">
        <v>13490</v>
      </c>
      <c r="F112" s="1021"/>
      <c r="G112" s="818" t="s">
        <v>19</v>
      </c>
      <c r="H112" s="819">
        <v>3.5900000000000001E-2</v>
      </c>
      <c r="I112" s="820">
        <v>15.16</v>
      </c>
      <c r="J112" s="820">
        <v>0.54</v>
      </c>
    </row>
    <row r="113" spans="1:10" ht="25.5">
      <c r="A113" s="827"/>
      <c r="B113" s="827"/>
      <c r="C113" s="827"/>
      <c r="D113" s="827"/>
      <c r="E113" s="827" t="s">
        <v>13503</v>
      </c>
      <c r="F113" s="826">
        <v>0.63</v>
      </c>
      <c r="G113" s="827" t="s">
        <v>13504</v>
      </c>
      <c r="H113" s="826">
        <v>0</v>
      </c>
      <c r="I113" s="827" t="s">
        <v>13505</v>
      </c>
      <c r="J113" s="826">
        <v>0.63</v>
      </c>
    </row>
    <row r="114" spans="1:10" ht="13.5" customHeight="1" thickBot="1">
      <c r="A114" s="827"/>
      <c r="B114" s="827"/>
      <c r="C114" s="827"/>
      <c r="D114" s="827"/>
      <c r="E114" s="827" t="s">
        <v>13506</v>
      </c>
      <c r="F114" s="826">
        <v>0.25</v>
      </c>
      <c r="G114" s="827"/>
      <c r="H114" s="1018" t="s">
        <v>13507</v>
      </c>
      <c r="I114" s="1018"/>
      <c r="J114" s="826">
        <v>1.1399999999999999</v>
      </c>
    </row>
    <row r="115" spans="1:10" ht="13.5" customHeight="1" thickTop="1">
      <c r="A115" s="828"/>
      <c r="B115" s="828"/>
      <c r="C115" s="828"/>
      <c r="D115" s="828"/>
      <c r="E115" s="828"/>
      <c r="F115" s="828"/>
      <c r="G115" s="828"/>
      <c r="H115" s="828"/>
      <c r="I115" s="828"/>
      <c r="J115" s="828"/>
    </row>
    <row r="116" spans="1:10" ht="15">
      <c r="A116" s="809" t="s">
        <v>13570</v>
      </c>
      <c r="B116" s="808" t="s">
        <v>13481</v>
      </c>
      <c r="C116" s="809" t="s">
        <v>13482</v>
      </c>
      <c r="D116" s="809" t="s">
        <v>13483</v>
      </c>
      <c r="E116" s="1019" t="s">
        <v>13484</v>
      </c>
      <c r="F116" s="1019"/>
      <c r="G116" s="810" t="s">
        <v>13485</v>
      </c>
      <c r="H116" s="808" t="s">
        <v>13486</v>
      </c>
      <c r="I116" s="808" t="s">
        <v>13487</v>
      </c>
      <c r="J116" s="808" t="s">
        <v>4867</v>
      </c>
    </row>
    <row r="117" spans="1:10" ht="25.5" customHeight="1">
      <c r="A117" s="812" t="s">
        <v>13488</v>
      </c>
      <c r="B117" s="811" t="s">
        <v>13571</v>
      </c>
      <c r="C117" s="812" t="s">
        <v>6</v>
      </c>
      <c r="D117" s="812" t="s">
        <v>3242</v>
      </c>
      <c r="E117" s="1020" t="s">
        <v>13552</v>
      </c>
      <c r="F117" s="1020"/>
      <c r="G117" s="813" t="s">
        <v>24</v>
      </c>
      <c r="H117" s="814">
        <v>1</v>
      </c>
      <c r="I117" s="815">
        <v>0.46</v>
      </c>
      <c r="J117" s="815">
        <v>0.46</v>
      </c>
    </row>
    <row r="118" spans="1:10" ht="25.5" customHeight="1">
      <c r="A118" s="817" t="s">
        <v>13491</v>
      </c>
      <c r="B118" s="816" t="s">
        <v>13553</v>
      </c>
      <c r="C118" s="817" t="s">
        <v>6</v>
      </c>
      <c r="D118" s="817" t="s">
        <v>21</v>
      </c>
      <c r="E118" s="1021" t="s">
        <v>13490</v>
      </c>
      <c r="F118" s="1021"/>
      <c r="G118" s="818" t="s">
        <v>19</v>
      </c>
      <c r="H118" s="819">
        <v>1.8700000000000001E-2</v>
      </c>
      <c r="I118" s="820">
        <v>15.16</v>
      </c>
      <c r="J118" s="820">
        <v>0.28000000000000003</v>
      </c>
    </row>
    <row r="119" spans="1:10" ht="38.25" customHeight="1">
      <c r="A119" s="817" t="s">
        <v>13491</v>
      </c>
      <c r="B119" s="816" t="s">
        <v>13567</v>
      </c>
      <c r="C119" s="817" t="s">
        <v>6</v>
      </c>
      <c r="D119" s="817" t="s">
        <v>35</v>
      </c>
      <c r="E119" s="1021" t="s">
        <v>13490</v>
      </c>
      <c r="F119" s="1021"/>
      <c r="G119" s="818" t="s">
        <v>19</v>
      </c>
      <c r="H119" s="819">
        <v>9.4999999999999998E-3</v>
      </c>
      <c r="I119" s="820">
        <v>19.53</v>
      </c>
      <c r="J119" s="820">
        <v>0.18</v>
      </c>
    </row>
    <row r="120" spans="1:10" ht="25.5">
      <c r="A120" s="827"/>
      <c r="B120" s="827"/>
      <c r="C120" s="827"/>
      <c r="D120" s="827"/>
      <c r="E120" s="827" t="s">
        <v>13503</v>
      </c>
      <c r="F120" s="826">
        <v>0.32</v>
      </c>
      <c r="G120" s="827" t="s">
        <v>13504</v>
      </c>
      <c r="H120" s="826">
        <v>0</v>
      </c>
      <c r="I120" s="827" t="s">
        <v>13505</v>
      </c>
      <c r="J120" s="826">
        <v>0.32</v>
      </c>
    </row>
    <row r="121" spans="1:10" ht="13.5" customHeight="1" thickBot="1">
      <c r="A121" s="827"/>
      <c r="B121" s="827"/>
      <c r="C121" s="827"/>
      <c r="D121" s="827"/>
      <c r="E121" s="827" t="s">
        <v>13506</v>
      </c>
      <c r="F121" s="826">
        <v>0.12</v>
      </c>
      <c r="G121" s="827"/>
      <c r="H121" s="1018" t="s">
        <v>13507</v>
      </c>
      <c r="I121" s="1018"/>
      <c r="J121" s="826">
        <v>0.57999999999999996</v>
      </c>
    </row>
    <row r="122" spans="1:10" ht="13.5" thickTop="1">
      <c r="A122" s="828"/>
      <c r="B122" s="828"/>
      <c r="C122" s="828"/>
      <c r="D122" s="828"/>
      <c r="E122" s="828"/>
      <c r="F122" s="828"/>
      <c r="G122" s="828"/>
      <c r="H122" s="828"/>
      <c r="I122" s="828"/>
      <c r="J122" s="828"/>
    </row>
    <row r="123" spans="1:10" ht="13.5" customHeight="1">
      <c r="A123" s="809" t="s">
        <v>13572</v>
      </c>
      <c r="B123" s="808" t="s">
        <v>13481</v>
      </c>
      <c r="C123" s="809" t="s">
        <v>13482</v>
      </c>
      <c r="D123" s="809" t="s">
        <v>13483</v>
      </c>
      <c r="E123" s="1019" t="s">
        <v>13484</v>
      </c>
      <c r="F123" s="1019"/>
      <c r="G123" s="810" t="s">
        <v>13485</v>
      </c>
      <c r="H123" s="808" t="s">
        <v>13486</v>
      </c>
      <c r="I123" s="808" t="s">
        <v>13487</v>
      </c>
      <c r="J123" s="808" t="s">
        <v>4867</v>
      </c>
    </row>
    <row r="124" spans="1:10" ht="25.5" customHeight="1">
      <c r="A124" s="812" t="s">
        <v>13488</v>
      </c>
      <c r="B124" s="811" t="s">
        <v>13573</v>
      </c>
      <c r="C124" s="812" t="s">
        <v>6</v>
      </c>
      <c r="D124" s="812" t="s">
        <v>3244</v>
      </c>
      <c r="E124" s="1020" t="s">
        <v>13552</v>
      </c>
      <c r="F124" s="1020"/>
      <c r="G124" s="813" t="s">
        <v>14</v>
      </c>
      <c r="H124" s="814">
        <v>1</v>
      </c>
      <c r="I124" s="815">
        <v>0.34</v>
      </c>
      <c r="J124" s="815">
        <v>0.34</v>
      </c>
    </row>
    <row r="125" spans="1:10" ht="38.25" customHeight="1">
      <c r="A125" s="817" t="s">
        <v>13491</v>
      </c>
      <c r="B125" s="816" t="s">
        <v>13574</v>
      </c>
      <c r="C125" s="817" t="s">
        <v>6</v>
      </c>
      <c r="D125" s="817" t="s">
        <v>34</v>
      </c>
      <c r="E125" s="1021" t="s">
        <v>13490</v>
      </c>
      <c r="F125" s="1021"/>
      <c r="G125" s="818" t="s">
        <v>19</v>
      </c>
      <c r="H125" s="819">
        <v>7.1000000000000004E-3</v>
      </c>
      <c r="I125" s="820">
        <v>18.72</v>
      </c>
      <c r="J125" s="820">
        <v>0.13</v>
      </c>
    </row>
    <row r="126" spans="1:10" ht="25.5" customHeight="1">
      <c r="A126" s="817" t="s">
        <v>13491</v>
      </c>
      <c r="B126" s="816" t="s">
        <v>13553</v>
      </c>
      <c r="C126" s="817" t="s">
        <v>6</v>
      </c>
      <c r="D126" s="817" t="s">
        <v>21</v>
      </c>
      <c r="E126" s="1021" t="s">
        <v>13490</v>
      </c>
      <c r="F126" s="1021"/>
      <c r="G126" s="818" t="s">
        <v>19</v>
      </c>
      <c r="H126" s="819">
        <v>1.4E-2</v>
      </c>
      <c r="I126" s="820">
        <v>15.16</v>
      </c>
      <c r="J126" s="820">
        <v>0.21</v>
      </c>
    </row>
    <row r="127" spans="1:10" ht="25.5">
      <c r="A127" s="827"/>
      <c r="B127" s="827"/>
      <c r="C127" s="827"/>
      <c r="D127" s="827"/>
      <c r="E127" s="827" t="s">
        <v>13503</v>
      </c>
      <c r="F127" s="826">
        <v>0.24</v>
      </c>
      <c r="G127" s="827" t="s">
        <v>13504</v>
      </c>
      <c r="H127" s="826">
        <v>0</v>
      </c>
      <c r="I127" s="827" t="s">
        <v>13505</v>
      </c>
      <c r="J127" s="826">
        <v>0.24</v>
      </c>
    </row>
    <row r="128" spans="1:10" ht="13.5" customHeight="1" thickBot="1">
      <c r="A128" s="827"/>
      <c r="B128" s="827"/>
      <c r="C128" s="827"/>
      <c r="D128" s="827"/>
      <c r="E128" s="827" t="s">
        <v>13506</v>
      </c>
      <c r="F128" s="826">
        <v>0.09</v>
      </c>
      <c r="G128" s="827"/>
      <c r="H128" s="1018" t="s">
        <v>13507</v>
      </c>
      <c r="I128" s="1018"/>
      <c r="J128" s="826">
        <v>0.43</v>
      </c>
    </row>
    <row r="129" spans="1:10" ht="13.5" thickTop="1">
      <c r="A129" s="828"/>
      <c r="B129" s="828"/>
      <c r="C129" s="828"/>
      <c r="D129" s="828"/>
      <c r="E129" s="828"/>
      <c r="F129" s="828"/>
      <c r="G129" s="828"/>
      <c r="H129" s="828"/>
      <c r="I129" s="828"/>
      <c r="J129" s="828"/>
    </row>
    <row r="130" spans="1:10" ht="13.5" customHeight="1">
      <c r="A130" s="809" t="s">
        <v>13575</v>
      </c>
      <c r="B130" s="808" t="s">
        <v>13481</v>
      </c>
      <c r="C130" s="809" t="s">
        <v>13482</v>
      </c>
      <c r="D130" s="809" t="s">
        <v>13483</v>
      </c>
      <c r="E130" s="1019" t="s">
        <v>13484</v>
      </c>
      <c r="F130" s="1019"/>
      <c r="G130" s="810" t="s">
        <v>13485</v>
      </c>
      <c r="H130" s="808" t="s">
        <v>13486</v>
      </c>
      <c r="I130" s="808" t="s">
        <v>13487</v>
      </c>
      <c r="J130" s="808" t="s">
        <v>4867</v>
      </c>
    </row>
    <row r="131" spans="1:10" ht="25.5" customHeight="1">
      <c r="A131" s="812" t="s">
        <v>13488</v>
      </c>
      <c r="B131" s="811" t="s">
        <v>13576</v>
      </c>
      <c r="C131" s="812" t="s">
        <v>6</v>
      </c>
      <c r="D131" s="812" t="s">
        <v>3228</v>
      </c>
      <c r="E131" s="1020" t="s">
        <v>13552</v>
      </c>
      <c r="F131" s="1020"/>
      <c r="G131" s="813" t="s">
        <v>13537</v>
      </c>
      <c r="H131" s="814">
        <v>1</v>
      </c>
      <c r="I131" s="815">
        <v>23.93</v>
      </c>
      <c r="J131" s="815">
        <v>23.93</v>
      </c>
    </row>
    <row r="132" spans="1:10" ht="38.25" customHeight="1">
      <c r="A132" s="817" t="s">
        <v>13491</v>
      </c>
      <c r="B132" s="816" t="s">
        <v>13553</v>
      </c>
      <c r="C132" s="817" t="s">
        <v>6</v>
      </c>
      <c r="D132" s="817" t="s">
        <v>21</v>
      </c>
      <c r="E132" s="1021" t="s">
        <v>13490</v>
      </c>
      <c r="F132" s="1021"/>
      <c r="G132" s="818" t="s">
        <v>19</v>
      </c>
      <c r="H132" s="819">
        <v>0.71560000000000001</v>
      </c>
      <c r="I132" s="820">
        <v>15.16</v>
      </c>
      <c r="J132" s="820">
        <v>10.84</v>
      </c>
    </row>
    <row r="133" spans="1:10" ht="25.5" customHeight="1">
      <c r="A133" s="817" t="s">
        <v>13491</v>
      </c>
      <c r="B133" s="816" t="s">
        <v>13577</v>
      </c>
      <c r="C133" s="817" t="s">
        <v>6</v>
      </c>
      <c r="D133" s="817" t="s">
        <v>31</v>
      </c>
      <c r="E133" s="1021" t="s">
        <v>13490</v>
      </c>
      <c r="F133" s="1021"/>
      <c r="G133" s="818" t="s">
        <v>19</v>
      </c>
      <c r="H133" s="819">
        <v>0.36430000000000001</v>
      </c>
      <c r="I133" s="820">
        <v>18.86</v>
      </c>
      <c r="J133" s="820">
        <v>6.87</v>
      </c>
    </row>
    <row r="134" spans="1:10" ht="25.5">
      <c r="A134" s="822" t="s">
        <v>13493</v>
      </c>
      <c r="B134" s="821" t="s">
        <v>13578</v>
      </c>
      <c r="C134" s="822" t="s">
        <v>6</v>
      </c>
      <c r="D134" s="822" t="s">
        <v>4602</v>
      </c>
      <c r="E134" s="1017" t="s">
        <v>13514</v>
      </c>
      <c r="F134" s="1017"/>
      <c r="G134" s="823" t="s">
        <v>16</v>
      </c>
      <c r="H134" s="824">
        <v>9.8400000000000001E-2</v>
      </c>
      <c r="I134" s="825">
        <v>63.27</v>
      </c>
      <c r="J134" s="825">
        <v>6.22</v>
      </c>
    </row>
    <row r="135" spans="1:10" ht="25.5">
      <c r="A135" s="827"/>
      <c r="B135" s="827"/>
      <c r="C135" s="827"/>
      <c r="D135" s="827"/>
      <c r="E135" s="827" t="s">
        <v>13503</v>
      </c>
      <c r="F135" s="826">
        <v>12.5</v>
      </c>
      <c r="G135" s="827" t="s">
        <v>13504</v>
      </c>
      <c r="H135" s="826">
        <v>0</v>
      </c>
      <c r="I135" s="827" t="s">
        <v>13505</v>
      </c>
      <c r="J135" s="826">
        <v>12.5</v>
      </c>
    </row>
    <row r="136" spans="1:10" ht="13.5" customHeight="1" thickBot="1">
      <c r="A136" s="827"/>
      <c r="B136" s="827"/>
      <c r="C136" s="827"/>
      <c r="D136" s="827"/>
      <c r="E136" s="827" t="s">
        <v>13506</v>
      </c>
      <c r="F136" s="826">
        <v>6.75</v>
      </c>
      <c r="G136" s="827"/>
      <c r="H136" s="1018" t="s">
        <v>13507</v>
      </c>
      <c r="I136" s="1018"/>
      <c r="J136" s="826">
        <v>30.68</v>
      </c>
    </row>
    <row r="137" spans="1:10" ht="13.5" customHeight="1" thickTop="1">
      <c r="A137" s="828"/>
      <c r="B137" s="828"/>
      <c r="C137" s="828"/>
      <c r="D137" s="828"/>
      <c r="E137" s="828"/>
      <c r="F137" s="828"/>
      <c r="G137" s="828"/>
      <c r="H137" s="828"/>
      <c r="I137" s="828"/>
      <c r="J137" s="828"/>
    </row>
    <row r="138" spans="1:10" ht="15">
      <c r="A138" s="809" t="s">
        <v>13579</v>
      </c>
      <c r="B138" s="808" t="s">
        <v>13481</v>
      </c>
      <c r="C138" s="809" t="s">
        <v>13482</v>
      </c>
      <c r="D138" s="809" t="s">
        <v>13483</v>
      </c>
      <c r="E138" s="1019" t="s">
        <v>13484</v>
      </c>
      <c r="F138" s="1019"/>
      <c r="G138" s="810" t="s">
        <v>13485</v>
      </c>
      <c r="H138" s="808" t="s">
        <v>13486</v>
      </c>
      <c r="I138" s="808" t="s">
        <v>13487</v>
      </c>
      <c r="J138" s="808" t="s">
        <v>4867</v>
      </c>
    </row>
    <row r="139" spans="1:10" ht="25.5" customHeight="1">
      <c r="A139" s="812" t="s">
        <v>13488</v>
      </c>
      <c r="B139" s="811" t="s">
        <v>13580</v>
      </c>
      <c r="C139" s="812" t="s">
        <v>6</v>
      </c>
      <c r="D139" s="812" t="s">
        <v>3245</v>
      </c>
      <c r="E139" s="1020" t="s">
        <v>13552</v>
      </c>
      <c r="F139" s="1020"/>
      <c r="G139" s="813" t="s">
        <v>24</v>
      </c>
      <c r="H139" s="814">
        <v>1</v>
      </c>
      <c r="I139" s="815">
        <v>8.5</v>
      </c>
      <c r="J139" s="815">
        <v>8.5</v>
      </c>
    </row>
    <row r="140" spans="1:10" ht="38.25" customHeight="1">
      <c r="A140" s="817" t="s">
        <v>13491</v>
      </c>
      <c r="B140" s="816" t="s">
        <v>13574</v>
      </c>
      <c r="C140" s="817" t="s">
        <v>6</v>
      </c>
      <c r="D140" s="817" t="s">
        <v>34</v>
      </c>
      <c r="E140" s="1021" t="s">
        <v>13490</v>
      </c>
      <c r="F140" s="1021"/>
      <c r="G140" s="818" t="s">
        <v>19</v>
      </c>
      <c r="H140" s="819">
        <v>0.17549999999999999</v>
      </c>
      <c r="I140" s="820">
        <v>18.72</v>
      </c>
      <c r="J140" s="820">
        <v>3.28</v>
      </c>
    </row>
    <row r="141" spans="1:10" ht="38.25" customHeight="1">
      <c r="A141" s="817" t="s">
        <v>13491</v>
      </c>
      <c r="B141" s="816" t="s">
        <v>13553</v>
      </c>
      <c r="C141" s="817" t="s">
        <v>6</v>
      </c>
      <c r="D141" s="817" t="s">
        <v>21</v>
      </c>
      <c r="E141" s="1021" t="s">
        <v>13490</v>
      </c>
      <c r="F141" s="1021"/>
      <c r="G141" s="818" t="s">
        <v>19</v>
      </c>
      <c r="H141" s="819">
        <v>0.3448</v>
      </c>
      <c r="I141" s="820">
        <v>15.16</v>
      </c>
      <c r="J141" s="820">
        <v>5.22</v>
      </c>
    </row>
    <row r="142" spans="1:10" ht="25.5">
      <c r="A142" s="827"/>
      <c r="B142" s="827"/>
      <c r="C142" s="827"/>
      <c r="D142" s="827"/>
      <c r="E142" s="827" t="s">
        <v>13503</v>
      </c>
      <c r="F142" s="826">
        <v>6.09</v>
      </c>
      <c r="G142" s="827" t="s">
        <v>13504</v>
      </c>
      <c r="H142" s="826">
        <v>0</v>
      </c>
      <c r="I142" s="827" t="s">
        <v>13505</v>
      </c>
      <c r="J142" s="826">
        <v>6.09</v>
      </c>
    </row>
    <row r="143" spans="1:10" ht="13.5" customHeight="1" thickBot="1">
      <c r="A143" s="827"/>
      <c r="B143" s="827"/>
      <c r="C143" s="827"/>
      <c r="D143" s="827"/>
      <c r="E143" s="827" t="s">
        <v>13506</v>
      </c>
      <c r="F143" s="826">
        <v>2.4</v>
      </c>
      <c r="G143" s="827"/>
      <c r="H143" s="1018" t="s">
        <v>13507</v>
      </c>
      <c r="I143" s="1018"/>
      <c r="J143" s="826">
        <v>10.9</v>
      </c>
    </row>
    <row r="144" spans="1:10" ht="13.5" thickTop="1">
      <c r="A144" s="828"/>
      <c r="B144" s="828"/>
      <c r="C144" s="828"/>
      <c r="D144" s="828"/>
      <c r="E144" s="828"/>
      <c r="F144" s="828"/>
      <c r="G144" s="828"/>
      <c r="H144" s="828"/>
      <c r="I144" s="828"/>
      <c r="J144" s="828"/>
    </row>
    <row r="145" spans="1:10" ht="15">
      <c r="A145" s="809" t="s">
        <v>13581</v>
      </c>
      <c r="B145" s="808" t="s">
        <v>13481</v>
      </c>
      <c r="C145" s="809" t="s">
        <v>13482</v>
      </c>
      <c r="D145" s="809" t="s">
        <v>13483</v>
      </c>
      <c r="E145" s="1019" t="s">
        <v>13484</v>
      </c>
      <c r="F145" s="1019"/>
      <c r="G145" s="810" t="s">
        <v>13485</v>
      </c>
      <c r="H145" s="808" t="s">
        <v>13486</v>
      </c>
      <c r="I145" s="808" t="s">
        <v>13487</v>
      </c>
      <c r="J145" s="808" t="s">
        <v>4867</v>
      </c>
    </row>
    <row r="146" spans="1:10" ht="13.5" customHeight="1">
      <c r="A146" s="812" t="s">
        <v>13488</v>
      </c>
      <c r="B146" s="811" t="s">
        <v>13582</v>
      </c>
      <c r="C146" s="812" t="s">
        <v>6</v>
      </c>
      <c r="D146" s="812" t="s">
        <v>3246</v>
      </c>
      <c r="E146" s="1020" t="s">
        <v>13552</v>
      </c>
      <c r="F146" s="1020"/>
      <c r="G146" s="813" t="s">
        <v>24</v>
      </c>
      <c r="H146" s="814">
        <v>1</v>
      </c>
      <c r="I146" s="815">
        <v>1.05</v>
      </c>
      <c r="J146" s="815">
        <v>1.05</v>
      </c>
    </row>
    <row r="147" spans="1:10" ht="38.25" customHeight="1">
      <c r="A147" s="817" t="s">
        <v>13491</v>
      </c>
      <c r="B147" s="816" t="s">
        <v>13553</v>
      </c>
      <c r="C147" s="817" t="s">
        <v>6</v>
      </c>
      <c r="D147" s="817" t="s">
        <v>21</v>
      </c>
      <c r="E147" s="1021" t="s">
        <v>13490</v>
      </c>
      <c r="F147" s="1021"/>
      <c r="G147" s="818" t="s">
        <v>19</v>
      </c>
      <c r="H147" s="819">
        <v>4.3099999999999999E-2</v>
      </c>
      <c r="I147" s="820">
        <v>15.16</v>
      </c>
      <c r="J147" s="820">
        <v>0.65</v>
      </c>
    </row>
    <row r="148" spans="1:10" ht="38.25" customHeight="1">
      <c r="A148" s="817" t="s">
        <v>13491</v>
      </c>
      <c r="B148" s="816" t="s">
        <v>13574</v>
      </c>
      <c r="C148" s="817" t="s">
        <v>6</v>
      </c>
      <c r="D148" s="817" t="s">
        <v>34</v>
      </c>
      <c r="E148" s="1021" t="s">
        <v>13490</v>
      </c>
      <c r="F148" s="1021"/>
      <c r="G148" s="818" t="s">
        <v>19</v>
      </c>
      <c r="H148" s="819">
        <v>2.1899999999999999E-2</v>
      </c>
      <c r="I148" s="820">
        <v>18.72</v>
      </c>
      <c r="J148" s="820">
        <v>0.4</v>
      </c>
    </row>
    <row r="149" spans="1:10" ht="25.5" customHeight="1">
      <c r="A149" s="827"/>
      <c r="B149" s="827"/>
      <c r="C149" s="827"/>
      <c r="D149" s="827"/>
      <c r="E149" s="827" t="s">
        <v>13503</v>
      </c>
      <c r="F149" s="826">
        <v>0.75</v>
      </c>
      <c r="G149" s="827" t="s">
        <v>13504</v>
      </c>
      <c r="H149" s="826">
        <v>0</v>
      </c>
      <c r="I149" s="827" t="s">
        <v>13505</v>
      </c>
      <c r="J149" s="826">
        <v>0.75</v>
      </c>
    </row>
    <row r="150" spans="1:10" ht="38.25" customHeight="1" thickBot="1">
      <c r="A150" s="827"/>
      <c r="B150" s="827"/>
      <c r="C150" s="827"/>
      <c r="D150" s="827"/>
      <c r="E150" s="827" t="s">
        <v>13506</v>
      </c>
      <c r="F150" s="826">
        <v>0.28999999999999998</v>
      </c>
      <c r="G150" s="827"/>
      <c r="H150" s="1018" t="s">
        <v>13507</v>
      </c>
      <c r="I150" s="1018"/>
      <c r="J150" s="826">
        <v>1.34</v>
      </c>
    </row>
    <row r="151" spans="1:10" ht="38.25" customHeight="1" thickTop="1">
      <c r="A151" s="828"/>
      <c r="B151" s="828"/>
      <c r="C151" s="828"/>
      <c r="D151" s="828"/>
      <c r="E151" s="828"/>
      <c r="F151" s="828"/>
      <c r="G151" s="828"/>
      <c r="H151" s="828"/>
      <c r="I151" s="828"/>
      <c r="J151" s="828"/>
    </row>
    <row r="152" spans="1:10" ht="15">
      <c r="A152" s="809" t="s">
        <v>13583</v>
      </c>
      <c r="B152" s="808" t="s">
        <v>13481</v>
      </c>
      <c r="C152" s="809" t="s">
        <v>13482</v>
      </c>
      <c r="D152" s="809" t="s">
        <v>13483</v>
      </c>
      <c r="E152" s="1019" t="s">
        <v>13484</v>
      </c>
      <c r="F152" s="1019"/>
      <c r="G152" s="810" t="s">
        <v>13485</v>
      </c>
      <c r="H152" s="808" t="s">
        <v>13486</v>
      </c>
      <c r="I152" s="808" t="s">
        <v>13487</v>
      </c>
      <c r="J152" s="808" t="s">
        <v>4867</v>
      </c>
    </row>
    <row r="153" spans="1:10" ht="13.5" customHeight="1">
      <c r="A153" s="812" t="s">
        <v>13488</v>
      </c>
      <c r="B153" s="811" t="s">
        <v>13584</v>
      </c>
      <c r="C153" s="812" t="s">
        <v>6</v>
      </c>
      <c r="D153" s="812" t="s">
        <v>3227</v>
      </c>
      <c r="E153" s="1020" t="s">
        <v>13552</v>
      </c>
      <c r="F153" s="1020"/>
      <c r="G153" s="813" t="s">
        <v>13537</v>
      </c>
      <c r="H153" s="814">
        <v>1</v>
      </c>
      <c r="I153" s="815">
        <v>6.39</v>
      </c>
      <c r="J153" s="815">
        <v>6.39</v>
      </c>
    </row>
    <row r="154" spans="1:10" ht="38.25" customHeight="1">
      <c r="A154" s="817" t="s">
        <v>13491</v>
      </c>
      <c r="B154" s="816" t="s">
        <v>13553</v>
      </c>
      <c r="C154" s="817" t="s">
        <v>6</v>
      </c>
      <c r="D154" s="817" t="s">
        <v>21</v>
      </c>
      <c r="E154" s="1021" t="s">
        <v>13490</v>
      </c>
      <c r="F154" s="1021"/>
      <c r="G154" s="818" t="s">
        <v>19</v>
      </c>
      <c r="H154" s="819">
        <v>0.25819999999999999</v>
      </c>
      <c r="I154" s="820">
        <v>15.16</v>
      </c>
      <c r="J154" s="820">
        <v>3.91</v>
      </c>
    </row>
    <row r="155" spans="1:10" ht="38.25" customHeight="1">
      <c r="A155" s="817" t="s">
        <v>13491</v>
      </c>
      <c r="B155" s="816" t="s">
        <v>13577</v>
      </c>
      <c r="C155" s="817" t="s">
        <v>6</v>
      </c>
      <c r="D155" s="817" t="s">
        <v>31</v>
      </c>
      <c r="E155" s="1021" t="s">
        <v>13490</v>
      </c>
      <c r="F155" s="1021"/>
      <c r="G155" s="818" t="s">
        <v>19</v>
      </c>
      <c r="H155" s="819">
        <v>0.13150000000000001</v>
      </c>
      <c r="I155" s="820">
        <v>18.86</v>
      </c>
      <c r="J155" s="820">
        <v>2.48</v>
      </c>
    </row>
    <row r="156" spans="1:10" ht="25.5" customHeight="1">
      <c r="A156" s="827"/>
      <c r="B156" s="827"/>
      <c r="C156" s="827"/>
      <c r="D156" s="827"/>
      <c r="E156" s="827" t="s">
        <v>13503</v>
      </c>
      <c r="F156" s="826">
        <v>4.51</v>
      </c>
      <c r="G156" s="827" t="s">
        <v>13504</v>
      </c>
      <c r="H156" s="826">
        <v>0</v>
      </c>
      <c r="I156" s="827" t="s">
        <v>13505</v>
      </c>
      <c r="J156" s="826">
        <v>4.51</v>
      </c>
    </row>
    <row r="157" spans="1:10" ht="25.5" customHeight="1" thickBot="1">
      <c r="A157" s="827"/>
      <c r="B157" s="827"/>
      <c r="C157" s="827"/>
      <c r="D157" s="827"/>
      <c r="E157" s="827" t="s">
        <v>13506</v>
      </c>
      <c r="F157" s="826">
        <v>1.8</v>
      </c>
      <c r="G157" s="827"/>
      <c r="H157" s="1018" t="s">
        <v>13507</v>
      </c>
      <c r="I157" s="1018"/>
      <c r="J157" s="826">
        <v>8.19</v>
      </c>
    </row>
    <row r="158" spans="1:10" ht="25.5" customHeight="1" thickTop="1">
      <c r="A158" s="828"/>
      <c r="B158" s="828"/>
      <c r="C158" s="828"/>
      <c r="D158" s="828"/>
      <c r="E158" s="828"/>
      <c r="F158" s="828"/>
      <c r="G158" s="828"/>
      <c r="H158" s="828"/>
      <c r="I158" s="828"/>
      <c r="J158" s="828"/>
    </row>
    <row r="159" spans="1:10" ht="15">
      <c r="A159" s="809" t="s">
        <v>13585</v>
      </c>
      <c r="B159" s="808" t="s">
        <v>13481</v>
      </c>
      <c r="C159" s="809" t="s">
        <v>13482</v>
      </c>
      <c r="D159" s="809" t="s">
        <v>13483</v>
      </c>
      <c r="E159" s="1019" t="s">
        <v>13484</v>
      </c>
      <c r="F159" s="1019"/>
      <c r="G159" s="810" t="s">
        <v>13485</v>
      </c>
      <c r="H159" s="808" t="s">
        <v>13486</v>
      </c>
      <c r="I159" s="808" t="s">
        <v>13487</v>
      </c>
      <c r="J159" s="808" t="s">
        <v>4867</v>
      </c>
    </row>
    <row r="160" spans="1:10" ht="25.5" customHeight="1">
      <c r="A160" s="812" t="s">
        <v>13488</v>
      </c>
      <c r="B160" s="811" t="s">
        <v>13586</v>
      </c>
      <c r="C160" s="812" t="s">
        <v>6</v>
      </c>
      <c r="D160" s="812" t="s">
        <v>3209</v>
      </c>
      <c r="E160" s="1020" t="s">
        <v>13552</v>
      </c>
      <c r="F160" s="1020"/>
      <c r="G160" s="813" t="s">
        <v>13543</v>
      </c>
      <c r="H160" s="814">
        <v>1</v>
      </c>
      <c r="I160" s="815">
        <v>44.55</v>
      </c>
      <c r="J160" s="815">
        <v>44.55</v>
      </c>
    </row>
    <row r="161" spans="1:10" ht="38.25" customHeight="1">
      <c r="A161" s="817" t="s">
        <v>13491</v>
      </c>
      <c r="B161" s="816" t="s">
        <v>13587</v>
      </c>
      <c r="C161" s="817" t="s">
        <v>6</v>
      </c>
      <c r="D161" s="817" t="s">
        <v>739</v>
      </c>
      <c r="E161" s="1021" t="s">
        <v>13539</v>
      </c>
      <c r="F161" s="1021"/>
      <c r="G161" s="818" t="s">
        <v>42</v>
      </c>
      <c r="H161" s="819">
        <v>0.1394</v>
      </c>
      <c r="I161" s="820">
        <v>52.21</v>
      </c>
      <c r="J161" s="820">
        <v>7.27</v>
      </c>
    </row>
    <row r="162" spans="1:10" ht="38.25" customHeight="1">
      <c r="A162" s="817" t="s">
        <v>13491</v>
      </c>
      <c r="B162" s="816" t="s">
        <v>13588</v>
      </c>
      <c r="C162" s="817" t="s">
        <v>6</v>
      </c>
      <c r="D162" s="817" t="s">
        <v>738</v>
      </c>
      <c r="E162" s="1021" t="s">
        <v>13539</v>
      </c>
      <c r="F162" s="1021"/>
      <c r="G162" s="818" t="s">
        <v>28</v>
      </c>
      <c r="H162" s="819">
        <v>0.24</v>
      </c>
      <c r="I162" s="820">
        <v>155.36000000000001</v>
      </c>
      <c r="J162" s="820">
        <v>37.28</v>
      </c>
    </row>
    <row r="163" spans="1:10" ht="13.5" customHeight="1">
      <c r="A163" s="827"/>
      <c r="B163" s="827"/>
      <c r="C163" s="827"/>
      <c r="D163" s="827"/>
      <c r="E163" s="827" t="s">
        <v>13503</v>
      </c>
      <c r="F163" s="826">
        <v>4.3499999999999996</v>
      </c>
      <c r="G163" s="827" t="s">
        <v>13504</v>
      </c>
      <c r="H163" s="826">
        <v>0</v>
      </c>
      <c r="I163" s="827" t="s">
        <v>13505</v>
      </c>
      <c r="J163" s="826">
        <v>4.3499999999999996</v>
      </c>
    </row>
    <row r="164" spans="1:10" ht="13.5" customHeight="1" thickBot="1">
      <c r="A164" s="827"/>
      <c r="B164" s="827"/>
      <c r="C164" s="827"/>
      <c r="D164" s="827"/>
      <c r="E164" s="827" t="s">
        <v>13506</v>
      </c>
      <c r="F164" s="826">
        <v>12.58</v>
      </c>
      <c r="G164" s="827"/>
      <c r="H164" s="1018" t="s">
        <v>13507</v>
      </c>
      <c r="I164" s="1018"/>
      <c r="J164" s="826">
        <v>57.13</v>
      </c>
    </row>
    <row r="165" spans="1:10" ht="13.5" thickTop="1">
      <c r="A165" s="828"/>
      <c r="B165" s="828"/>
      <c r="C165" s="828"/>
      <c r="D165" s="828"/>
      <c r="E165" s="828"/>
      <c r="F165" s="828"/>
      <c r="G165" s="828"/>
      <c r="H165" s="828"/>
      <c r="I165" s="828"/>
      <c r="J165" s="828"/>
    </row>
    <row r="166" spans="1:10" ht="25.5" customHeight="1">
      <c r="A166" s="809" t="s">
        <v>13589</v>
      </c>
      <c r="B166" s="808" t="s">
        <v>13481</v>
      </c>
      <c r="C166" s="809" t="s">
        <v>13482</v>
      </c>
      <c r="D166" s="809" t="s">
        <v>13483</v>
      </c>
      <c r="E166" s="1019" t="s">
        <v>13484</v>
      </c>
      <c r="F166" s="1019"/>
      <c r="G166" s="810" t="s">
        <v>13485</v>
      </c>
      <c r="H166" s="808" t="s">
        <v>13486</v>
      </c>
      <c r="I166" s="808" t="s">
        <v>13487</v>
      </c>
      <c r="J166" s="808" t="s">
        <v>4867</v>
      </c>
    </row>
    <row r="167" spans="1:10" ht="25.5" customHeight="1">
      <c r="A167" s="812" t="s">
        <v>13488</v>
      </c>
      <c r="B167" s="811" t="s">
        <v>13590</v>
      </c>
      <c r="C167" s="812" t="s">
        <v>6</v>
      </c>
      <c r="D167" s="812" t="s">
        <v>3211</v>
      </c>
      <c r="E167" s="1020" t="s">
        <v>13552</v>
      </c>
      <c r="F167" s="1020"/>
      <c r="G167" s="813" t="s">
        <v>13543</v>
      </c>
      <c r="H167" s="814">
        <v>1</v>
      </c>
      <c r="I167" s="815">
        <v>194.25</v>
      </c>
      <c r="J167" s="815">
        <v>194.25</v>
      </c>
    </row>
    <row r="168" spans="1:10" ht="38.25" customHeight="1">
      <c r="A168" s="817" t="s">
        <v>13491</v>
      </c>
      <c r="B168" s="816" t="s">
        <v>13591</v>
      </c>
      <c r="C168" s="817" t="s">
        <v>6</v>
      </c>
      <c r="D168" s="817" t="s">
        <v>52</v>
      </c>
      <c r="E168" s="1021" t="s">
        <v>13539</v>
      </c>
      <c r="F168" s="1021"/>
      <c r="G168" s="818" t="s">
        <v>28</v>
      </c>
      <c r="H168" s="819">
        <v>3.2467999999999999</v>
      </c>
      <c r="I168" s="820">
        <v>15.95</v>
      </c>
      <c r="J168" s="820">
        <v>51.78</v>
      </c>
    </row>
    <row r="169" spans="1:10" ht="38.25" customHeight="1">
      <c r="A169" s="817" t="s">
        <v>13491</v>
      </c>
      <c r="B169" s="816" t="s">
        <v>13592</v>
      </c>
      <c r="C169" s="817" t="s">
        <v>6</v>
      </c>
      <c r="D169" s="817" t="s">
        <v>66</v>
      </c>
      <c r="E169" s="1021" t="s">
        <v>13539</v>
      </c>
      <c r="F169" s="1021"/>
      <c r="G169" s="818" t="s">
        <v>42</v>
      </c>
      <c r="H169" s="819">
        <v>0.92020000000000002</v>
      </c>
      <c r="I169" s="820">
        <v>13.93</v>
      </c>
      <c r="J169" s="820">
        <v>12.81</v>
      </c>
    </row>
    <row r="170" spans="1:10" ht="13.5" customHeight="1">
      <c r="A170" s="817" t="s">
        <v>13491</v>
      </c>
      <c r="B170" s="816" t="s">
        <v>13577</v>
      </c>
      <c r="C170" s="817" t="s">
        <v>6</v>
      </c>
      <c r="D170" s="817" t="s">
        <v>31</v>
      </c>
      <c r="E170" s="1021" t="s">
        <v>13490</v>
      </c>
      <c r="F170" s="1021"/>
      <c r="G170" s="818" t="s">
        <v>19</v>
      </c>
      <c r="H170" s="819">
        <v>0.63660000000000005</v>
      </c>
      <c r="I170" s="820">
        <v>18.86</v>
      </c>
      <c r="J170" s="820">
        <v>12</v>
      </c>
    </row>
    <row r="171" spans="1:10" ht="38.25" customHeight="1">
      <c r="A171" s="817" t="s">
        <v>13491</v>
      </c>
      <c r="B171" s="816" t="s">
        <v>13553</v>
      </c>
      <c r="C171" s="817" t="s">
        <v>6</v>
      </c>
      <c r="D171" s="817" t="s">
        <v>21</v>
      </c>
      <c r="E171" s="1021" t="s">
        <v>13490</v>
      </c>
      <c r="F171" s="1021"/>
      <c r="G171" s="818" t="s">
        <v>19</v>
      </c>
      <c r="H171" s="819">
        <v>6.5785</v>
      </c>
      <c r="I171" s="820">
        <v>15.16</v>
      </c>
      <c r="J171" s="820">
        <v>99.73</v>
      </c>
    </row>
    <row r="172" spans="1:10" ht="25.5">
      <c r="A172" s="822" t="s">
        <v>13493</v>
      </c>
      <c r="B172" s="821" t="s">
        <v>13578</v>
      </c>
      <c r="C172" s="822" t="s">
        <v>6</v>
      </c>
      <c r="D172" s="822" t="s">
        <v>4602</v>
      </c>
      <c r="E172" s="1017" t="s">
        <v>13514</v>
      </c>
      <c r="F172" s="1017"/>
      <c r="G172" s="823" t="s">
        <v>16</v>
      </c>
      <c r="H172" s="824">
        <v>0.28349999999999997</v>
      </c>
      <c r="I172" s="825">
        <v>63.27</v>
      </c>
      <c r="J172" s="825">
        <v>17.93</v>
      </c>
    </row>
    <row r="173" spans="1:10" ht="25.5">
      <c r="A173" s="827"/>
      <c r="B173" s="827"/>
      <c r="C173" s="827"/>
      <c r="D173" s="827"/>
      <c r="E173" s="827" t="s">
        <v>13503</v>
      </c>
      <c r="F173" s="826">
        <v>111.69</v>
      </c>
      <c r="G173" s="827" t="s">
        <v>13504</v>
      </c>
      <c r="H173" s="826">
        <v>0</v>
      </c>
      <c r="I173" s="827" t="s">
        <v>13505</v>
      </c>
      <c r="J173" s="826">
        <v>111.69</v>
      </c>
    </row>
    <row r="174" spans="1:10" ht="38.25" customHeight="1" thickBot="1">
      <c r="A174" s="827"/>
      <c r="B174" s="827"/>
      <c r="C174" s="827"/>
      <c r="D174" s="827"/>
      <c r="E174" s="827" t="s">
        <v>13506</v>
      </c>
      <c r="F174" s="826">
        <v>54.85</v>
      </c>
      <c r="G174" s="827"/>
      <c r="H174" s="1018" t="s">
        <v>13507</v>
      </c>
      <c r="I174" s="1018"/>
      <c r="J174" s="826">
        <v>249.1</v>
      </c>
    </row>
    <row r="175" spans="1:10" ht="13.5" thickTop="1">
      <c r="A175" s="828"/>
      <c r="B175" s="828"/>
      <c r="C175" s="828"/>
      <c r="D175" s="828"/>
      <c r="E175" s="828"/>
      <c r="F175" s="828"/>
      <c r="G175" s="828"/>
      <c r="H175" s="828"/>
      <c r="I175" s="828"/>
      <c r="J175" s="828"/>
    </row>
    <row r="176" spans="1:10" ht="15">
      <c r="A176" s="809" t="s">
        <v>13593</v>
      </c>
      <c r="B176" s="808" t="s">
        <v>13481</v>
      </c>
      <c r="C176" s="809" t="s">
        <v>13482</v>
      </c>
      <c r="D176" s="809" t="s">
        <v>13483</v>
      </c>
      <c r="E176" s="1019" t="s">
        <v>13484</v>
      </c>
      <c r="F176" s="1019"/>
      <c r="G176" s="810" t="s">
        <v>13485</v>
      </c>
      <c r="H176" s="808" t="s">
        <v>13486</v>
      </c>
      <c r="I176" s="808" t="s">
        <v>13487</v>
      </c>
      <c r="J176" s="808" t="s">
        <v>4867</v>
      </c>
    </row>
    <row r="177" spans="1:10" ht="38.25" customHeight="1">
      <c r="A177" s="812" t="s">
        <v>13488</v>
      </c>
      <c r="B177" s="811" t="s">
        <v>13594</v>
      </c>
      <c r="C177" s="812" t="s">
        <v>6</v>
      </c>
      <c r="D177" s="812" t="s">
        <v>3217</v>
      </c>
      <c r="E177" s="1020" t="s">
        <v>13552</v>
      </c>
      <c r="F177" s="1020"/>
      <c r="G177" s="813" t="s">
        <v>13537</v>
      </c>
      <c r="H177" s="814">
        <v>1</v>
      </c>
      <c r="I177" s="815">
        <v>8.26</v>
      </c>
      <c r="J177" s="815">
        <v>8.26</v>
      </c>
    </row>
    <row r="178" spans="1:10" ht="38.25" customHeight="1">
      <c r="A178" s="817" t="s">
        <v>13491</v>
      </c>
      <c r="B178" s="816" t="s">
        <v>13591</v>
      </c>
      <c r="C178" s="817" t="s">
        <v>6</v>
      </c>
      <c r="D178" s="817" t="s">
        <v>52</v>
      </c>
      <c r="E178" s="1021" t="s">
        <v>13539</v>
      </c>
      <c r="F178" s="1021"/>
      <c r="G178" s="818" t="s">
        <v>28</v>
      </c>
      <c r="H178" s="819">
        <v>6.9900000000000004E-2</v>
      </c>
      <c r="I178" s="820">
        <v>15.95</v>
      </c>
      <c r="J178" s="820">
        <v>1.1100000000000001</v>
      </c>
    </row>
    <row r="179" spans="1:10" ht="13.5" customHeight="1">
      <c r="A179" s="817" t="s">
        <v>13491</v>
      </c>
      <c r="B179" s="816" t="s">
        <v>13592</v>
      </c>
      <c r="C179" s="817" t="s">
        <v>6</v>
      </c>
      <c r="D179" s="817" t="s">
        <v>66</v>
      </c>
      <c r="E179" s="1021" t="s">
        <v>13539</v>
      </c>
      <c r="F179" s="1021"/>
      <c r="G179" s="818" t="s">
        <v>42</v>
      </c>
      <c r="H179" s="819">
        <v>4.82E-2</v>
      </c>
      <c r="I179" s="820">
        <v>13.93</v>
      </c>
      <c r="J179" s="820">
        <v>0.67</v>
      </c>
    </row>
    <row r="180" spans="1:10" ht="38.25" customHeight="1">
      <c r="A180" s="817" t="s">
        <v>13491</v>
      </c>
      <c r="B180" s="816" t="s">
        <v>13553</v>
      </c>
      <c r="C180" s="817" t="s">
        <v>6</v>
      </c>
      <c r="D180" s="817" t="s">
        <v>21</v>
      </c>
      <c r="E180" s="1021" t="s">
        <v>13490</v>
      </c>
      <c r="F180" s="1021"/>
      <c r="G180" s="818" t="s">
        <v>19</v>
      </c>
      <c r="H180" s="819">
        <v>0.29720000000000002</v>
      </c>
      <c r="I180" s="820">
        <v>15.16</v>
      </c>
      <c r="J180" s="820">
        <v>4.5</v>
      </c>
    </row>
    <row r="181" spans="1:10" ht="38.25" customHeight="1">
      <c r="A181" s="817" t="s">
        <v>13491</v>
      </c>
      <c r="B181" s="816" t="s">
        <v>13595</v>
      </c>
      <c r="C181" s="817" t="s">
        <v>6</v>
      </c>
      <c r="D181" s="817" t="s">
        <v>20</v>
      </c>
      <c r="E181" s="1021" t="s">
        <v>13490</v>
      </c>
      <c r="F181" s="1021"/>
      <c r="G181" s="818" t="s">
        <v>19</v>
      </c>
      <c r="H181" s="819">
        <v>0.1055</v>
      </c>
      <c r="I181" s="820">
        <v>18.79</v>
      </c>
      <c r="J181" s="820">
        <v>1.98</v>
      </c>
    </row>
    <row r="182" spans="1:10" ht="25.5" customHeight="1">
      <c r="A182" s="827"/>
      <c r="B182" s="827"/>
      <c r="C182" s="827"/>
      <c r="D182" s="827"/>
      <c r="E182" s="827" t="s">
        <v>13503</v>
      </c>
      <c r="F182" s="826">
        <v>5.5</v>
      </c>
      <c r="G182" s="827" t="s">
        <v>13504</v>
      </c>
      <c r="H182" s="826">
        <v>0</v>
      </c>
      <c r="I182" s="827" t="s">
        <v>13505</v>
      </c>
      <c r="J182" s="826">
        <v>5.5</v>
      </c>
    </row>
    <row r="183" spans="1:10" ht="13.5" customHeight="1" thickBot="1">
      <c r="A183" s="827"/>
      <c r="B183" s="827"/>
      <c r="C183" s="827"/>
      <c r="D183" s="827"/>
      <c r="E183" s="827" t="s">
        <v>13506</v>
      </c>
      <c r="F183" s="826">
        <v>2.33</v>
      </c>
      <c r="G183" s="827"/>
      <c r="H183" s="1018" t="s">
        <v>13507</v>
      </c>
      <c r="I183" s="1018"/>
      <c r="J183" s="826">
        <v>10.59</v>
      </c>
    </row>
    <row r="184" spans="1:10" ht="13.5" thickTop="1">
      <c r="A184" s="828"/>
      <c r="B184" s="828"/>
      <c r="C184" s="828"/>
      <c r="D184" s="828"/>
      <c r="E184" s="828"/>
      <c r="F184" s="828"/>
      <c r="G184" s="828"/>
      <c r="H184" s="828"/>
      <c r="I184" s="828"/>
      <c r="J184" s="828"/>
    </row>
    <row r="185" spans="1:10" ht="15">
      <c r="A185" s="809" t="s">
        <v>13596</v>
      </c>
      <c r="B185" s="808" t="s">
        <v>13481</v>
      </c>
      <c r="C185" s="809" t="s">
        <v>13482</v>
      </c>
      <c r="D185" s="809" t="s">
        <v>13483</v>
      </c>
      <c r="E185" s="1019" t="s">
        <v>13484</v>
      </c>
      <c r="F185" s="1019"/>
      <c r="G185" s="810" t="s">
        <v>13485</v>
      </c>
      <c r="H185" s="808" t="s">
        <v>13486</v>
      </c>
      <c r="I185" s="808" t="s">
        <v>13487</v>
      </c>
      <c r="J185" s="808" t="s">
        <v>4867</v>
      </c>
    </row>
    <row r="186" spans="1:10" ht="13.5" customHeight="1">
      <c r="A186" s="812" t="s">
        <v>13488</v>
      </c>
      <c r="B186" s="811" t="s">
        <v>13597</v>
      </c>
      <c r="C186" s="812" t="s">
        <v>6</v>
      </c>
      <c r="D186" s="812" t="s">
        <v>3214</v>
      </c>
      <c r="E186" s="1020" t="s">
        <v>13552</v>
      </c>
      <c r="F186" s="1020"/>
      <c r="G186" s="813" t="s">
        <v>13537</v>
      </c>
      <c r="H186" s="814">
        <v>1</v>
      </c>
      <c r="I186" s="815">
        <v>2.29</v>
      </c>
      <c r="J186" s="815">
        <v>2.29</v>
      </c>
    </row>
    <row r="187" spans="1:10" ht="38.25" customHeight="1">
      <c r="A187" s="817" t="s">
        <v>13491</v>
      </c>
      <c r="B187" s="816" t="s">
        <v>13577</v>
      </c>
      <c r="C187" s="817" t="s">
        <v>6</v>
      </c>
      <c r="D187" s="817" t="s">
        <v>31</v>
      </c>
      <c r="E187" s="1021" t="s">
        <v>13490</v>
      </c>
      <c r="F187" s="1021"/>
      <c r="G187" s="818" t="s">
        <v>19</v>
      </c>
      <c r="H187" s="819">
        <v>3.7400000000000003E-2</v>
      </c>
      <c r="I187" s="820">
        <v>18.86</v>
      </c>
      <c r="J187" s="820">
        <v>0.7</v>
      </c>
    </row>
    <row r="188" spans="1:10" ht="38.25" customHeight="1">
      <c r="A188" s="817" t="s">
        <v>13491</v>
      </c>
      <c r="B188" s="816" t="s">
        <v>13553</v>
      </c>
      <c r="C188" s="817" t="s">
        <v>6</v>
      </c>
      <c r="D188" s="817" t="s">
        <v>21</v>
      </c>
      <c r="E188" s="1021" t="s">
        <v>13490</v>
      </c>
      <c r="F188" s="1021"/>
      <c r="G188" s="818" t="s">
        <v>19</v>
      </c>
      <c r="H188" s="819">
        <v>0.1053</v>
      </c>
      <c r="I188" s="820">
        <v>15.16</v>
      </c>
      <c r="J188" s="820">
        <v>1.59</v>
      </c>
    </row>
    <row r="189" spans="1:10" ht="25.5">
      <c r="A189" s="827"/>
      <c r="B189" s="827"/>
      <c r="C189" s="827"/>
      <c r="D189" s="827"/>
      <c r="E189" s="827" t="s">
        <v>13503</v>
      </c>
      <c r="F189" s="826">
        <v>1.61</v>
      </c>
      <c r="G189" s="827" t="s">
        <v>13504</v>
      </c>
      <c r="H189" s="826">
        <v>0</v>
      </c>
      <c r="I189" s="827" t="s">
        <v>13505</v>
      </c>
      <c r="J189" s="826">
        <v>1.61</v>
      </c>
    </row>
    <row r="190" spans="1:10" ht="25.5" customHeight="1" thickBot="1">
      <c r="A190" s="827"/>
      <c r="B190" s="827"/>
      <c r="C190" s="827"/>
      <c r="D190" s="827"/>
      <c r="E190" s="827" t="s">
        <v>13506</v>
      </c>
      <c r="F190" s="826">
        <v>0.64</v>
      </c>
      <c r="G190" s="827"/>
      <c r="H190" s="1018" t="s">
        <v>13507</v>
      </c>
      <c r="I190" s="1018"/>
      <c r="J190" s="826">
        <v>2.93</v>
      </c>
    </row>
    <row r="191" spans="1:10" ht="25.5" customHeight="1" thickTop="1">
      <c r="A191" s="828"/>
      <c r="B191" s="828"/>
      <c r="C191" s="828"/>
      <c r="D191" s="828"/>
      <c r="E191" s="828"/>
      <c r="F191" s="828"/>
      <c r="G191" s="828"/>
      <c r="H191" s="828"/>
      <c r="I191" s="828"/>
      <c r="J191" s="828"/>
    </row>
    <row r="192" spans="1:10" ht="15">
      <c r="A192" s="809" t="s">
        <v>13598</v>
      </c>
      <c r="B192" s="808" t="s">
        <v>13481</v>
      </c>
      <c r="C192" s="809" t="s">
        <v>13482</v>
      </c>
      <c r="D192" s="809" t="s">
        <v>13483</v>
      </c>
      <c r="E192" s="1019" t="s">
        <v>13484</v>
      </c>
      <c r="F192" s="1019"/>
      <c r="G192" s="810" t="s">
        <v>13485</v>
      </c>
      <c r="H192" s="808" t="s">
        <v>13486</v>
      </c>
      <c r="I192" s="808" t="s">
        <v>13487</v>
      </c>
      <c r="J192" s="808" t="s">
        <v>4867</v>
      </c>
    </row>
    <row r="193" spans="1:10" ht="25.5" customHeight="1">
      <c r="A193" s="812" t="s">
        <v>13488</v>
      </c>
      <c r="B193" s="811" t="s">
        <v>13599</v>
      </c>
      <c r="C193" s="812" t="s">
        <v>6</v>
      </c>
      <c r="D193" s="812" t="s">
        <v>3380</v>
      </c>
      <c r="E193" s="1020" t="s">
        <v>13600</v>
      </c>
      <c r="F193" s="1020"/>
      <c r="G193" s="813" t="s">
        <v>24</v>
      </c>
      <c r="H193" s="814">
        <v>1</v>
      </c>
      <c r="I193" s="815">
        <v>957.51</v>
      </c>
      <c r="J193" s="815">
        <v>957.51</v>
      </c>
    </row>
    <row r="194" spans="1:10" ht="38.25" customHeight="1">
      <c r="A194" s="817" t="s">
        <v>13491</v>
      </c>
      <c r="B194" s="816" t="s">
        <v>13601</v>
      </c>
      <c r="C194" s="817" t="s">
        <v>6</v>
      </c>
      <c r="D194" s="817" t="s">
        <v>736</v>
      </c>
      <c r="E194" s="1021" t="s">
        <v>13539</v>
      </c>
      <c r="F194" s="1021"/>
      <c r="G194" s="818" t="s">
        <v>28</v>
      </c>
      <c r="H194" s="819">
        <v>1.6384000000000001</v>
      </c>
      <c r="I194" s="820">
        <v>229.82</v>
      </c>
      <c r="J194" s="820">
        <v>376.53</v>
      </c>
    </row>
    <row r="195" spans="1:10" ht="13.5" customHeight="1">
      <c r="A195" s="817" t="s">
        <v>13491</v>
      </c>
      <c r="B195" s="816" t="s">
        <v>13602</v>
      </c>
      <c r="C195" s="817" t="s">
        <v>6</v>
      </c>
      <c r="D195" s="817" t="s">
        <v>737</v>
      </c>
      <c r="E195" s="1021" t="s">
        <v>13539</v>
      </c>
      <c r="F195" s="1021"/>
      <c r="G195" s="818" t="s">
        <v>42</v>
      </c>
      <c r="H195" s="819">
        <v>7.1581000000000001</v>
      </c>
      <c r="I195" s="820">
        <v>42.37</v>
      </c>
      <c r="J195" s="820">
        <v>303.27999999999997</v>
      </c>
    </row>
    <row r="196" spans="1:10" ht="38.25" customHeight="1">
      <c r="A196" s="817" t="s">
        <v>13491</v>
      </c>
      <c r="B196" s="816" t="s">
        <v>13553</v>
      </c>
      <c r="C196" s="817" t="s">
        <v>6</v>
      </c>
      <c r="D196" s="817" t="s">
        <v>21</v>
      </c>
      <c r="E196" s="1021" t="s">
        <v>13490</v>
      </c>
      <c r="F196" s="1021"/>
      <c r="G196" s="818" t="s">
        <v>19</v>
      </c>
      <c r="H196" s="819">
        <v>8.7965</v>
      </c>
      <c r="I196" s="820">
        <v>15.16</v>
      </c>
      <c r="J196" s="820">
        <v>133.35</v>
      </c>
    </row>
    <row r="197" spans="1:10" ht="38.25" customHeight="1">
      <c r="A197" s="817" t="s">
        <v>13491</v>
      </c>
      <c r="B197" s="816" t="s">
        <v>13603</v>
      </c>
      <c r="C197" s="817" t="s">
        <v>6</v>
      </c>
      <c r="D197" s="817" t="s">
        <v>179</v>
      </c>
      <c r="E197" s="1021" t="s">
        <v>13490</v>
      </c>
      <c r="F197" s="1021"/>
      <c r="G197" s="818" t="s">
        <v>19</v>
      </c>
      <c r="H197" s="819">
        <v>8.7965</v>
      </c>
      <c r="I197" s="820">
        <v>16.41</v>
      </c>
      <c r="J197" s="820">
        <v>144.35</v>
      </c>
    </row>
    <row r="198" spans="1:10" ht="12.75" customHeight="1">
      <c r="A198" s="827"/>
      <c r="B198" s="827"/>
      <c r="C198" s="827"/>
      <c r="D198" s="827"/>
      <c r="E198" s="827" t="s">
        <v>13503</v>
      </c>
      <c r="F198" s="826">
        <v>310.23</v>
      </c>
      <c r="G198" s="827" t="s">
        <v>13504</v>
      </c>
      <c r="H198" s="826">
        <v>0</v>
      </c>
      <c r="I198" s="827" t="s">
        <v>13505</v>
      </c>
      <c r="J198" s="826">
        <v>310.23</v>
      </c>
    </row>
    <row r="199" spans="1:10" ht="13.5" customHeight="1" thickBot="1">
      <c r="A199" s="827"/>
      <c r="B199" s="827"/>
      <c r="C199" s="827"/>
      <c r="D199" s="827"/>
      <c r="E199" s="827" t="s">
        <v>13506</v>
      </c>
      <c r="F199" s="826">
        <v>270.39999999999998</v>
      </c>
      <c r="G199" s="827"/>
      <c r="H199" s="1018" t="s">
        <v>13507</v>
      </c>
      <c r="I199" s="1018"/>
      <c r="J199" s="826">
        <v>1227.9100000000001</v>
      </c>
    </row>
    <row r="200" spans="1:10" ht="13.5" thickTop="1">
      <c r="A200" s="828"/>
      <c r="B200" s="828"/>
      <c r="C200" s="828"/>
      <c r="D200" s="828"/>
      <c r="E200" s="828"/>
      <c r="F200" s="828"/>
      <c r="G200" s="828"/>
      <c r="H200" s="828"/>
      <c r="I200" s="828"/>
      <c r="J200" s="828"/>
    </row>
    <row r="201" spans="1:10" ht="15">
      <c r="A201" s="809" t="s">
        <v>13604</v>
      </c>
      <c r="B201" s="808" t="s">
        <v>13481</v>
      </c>
      <c r="C201" s="809" t="s">
        <v>13482</v>
      </c>
      <c r="D201" s="809" t="s">
        <v>13483</v>
      </c>
      <c r="E201" s="1019" t="s">
        <v>13484</v>
      </c>
      <c r="F201" s="1019"/>
      <c r="G201" s="810" t="s">
        <v>13485</v>
      </c>
      <c r="H201" s="808" t="s">
        <v>13486</v>
      </c>
      <c r="I201" s="808" t="s">
        <v>13487</v>
      </c>
      <c r="J201" s="808" t="s">
        <v>4867</v>
      </c>
    </row>
    <row r="202" spans="1:10" ht="13.5" customHeight="1">
      <c r="A202" s="812" t="s">
        <v>13488</v>
      </c>
      <c r="B202" s="811" t="s">
        <v>13605</v>
      </c>
      <c r="C202" s="812" t="s">
        <v>6</v>
      </c>
      <c r="D202" s="812" t="s">
        <v>3376</v>
      </c>
      <c r="E202" s="1020" t="s">
        <v>13600</v>
      </c>
      <c r="F202" s="1020"/>
      <c r="G202" s="813" t="s">
        <v>24</v>
      </c>
      <c r="H202" s="814">
        <v>1</v>
      </c>
      <c r="I202" s="815">
        <v>208.51</v>
      </c>
      <c r="J202" s="815">
        <v>208.51</v>
      </c>
    </row>
    <row r="203" spans="1:10" ht="38.25" customHeight="1">
      <c r="A203" s="817" t="s">
        <v>13491</v>
      </c>
      <c r="B203" s="816" t="s">
        <v>13606</v>
      </c>
      <c r="C203" s="817" t="s">
        <v>6</v>
      </c>
      <c r="D203" s="817" t="s">
        <v>1134</v>
      </c>
      <c r="E203" s="1021" t="s">
        <v>13539</v>
      </c>
      <c r="F203" s="1021"/>
      <c r="G203" s="818" t="s">
        <v>42</v>
      </c>
      <c r="H203" s="819">
        <v>0.78810000000000002</v>
      </c>
      <c r="I203" s="820">
        <v>74.17</v>
      </c>
      <c r="J203" s="820">
        <v>58.45</v>
      </c>
    </row>
    <row r="204" spans="1:10" ht="38.25" customHeight="1">
      <c r="A204" s="817" t="s">
        <v>13491</v>
      </c>
      <c r="B204" s="816" t="s">
        <v>13607</v>
      </c>
      <c r="C204" s="817" t="s">
        <v>6</v>
      </c>
      <c r="D204" s="817" t="s">
        <v>1133</v>
      </c>
      <c r="E204" s="1021" t="s">
        <v>13539</v>
      </c>
      <c r="F204" s="1021"/>
      <c r="G204" s="818" t="s">
        <v>28</v>
      </c>
      <c r="H204" s="819">
        <v>0.19289999999999999</v>
      </c>
      <c r="I204" s="820">
        <v>176.12</v>
      </c>
      <c r="J204" s="820">
        <v>33.97</v>
      </c>
    </row>
    <row r="205" spans="1:10" ht="38.25" customHeight="1">
      <c r="A205" s="817" t="s">
        <v>13491</v>
      </c>
      <c r="B205" s="816" t="s">
        <v>13553</v>
      </c>
      <c r="C205" s="817" t="s">
        <v>6</v>
      </c>
      <c r="D205" s="817" t="s">
        <v>21</v>
      </c>
      <c r="E205" s="1021" t="s">
        <v>13490</v>
      </c>
      <c r="F205" s="1021"/>
      <c r="G205" s="818" t="s">
        <v>19</v>
      </c>
      <c r="H205" s="819">
        <v>3.6775000000000002</v>
      </c>
      <c r="I205" s="820">
        <v>15.16</v>
      </c>
      <c r="J205" s="820">
        <v>55.75</v>
      </c>
    </row>
    <row r="206" spans="1:10" ht="38.25" customHeight="1">
      <c r="A206" s="817" t="s">
        <v>13491</v>
      </c>
      <c r="B206" s="816" t="s">
        <v>13603</v>
      </c>
      <c r="C206" s="817" t="s">
        <v>6</v>
      </c>
      <c r="D206" s="817" t="s">
        <v>179</v>
      </c>
      <c r="E206" s="1021" t="s">
        <v>13490</v>
      </c>
      <c r="F206" s="1021"/>
      <c r="G206" s="818" t="s">
        <v>19</v>
      </c>
      <c r="H206" s="819">
        <v>3.6775000000000002</v>
      </c>
      <c r="I206" s="820">
        <v>16.41</v>
      </c>
      <c r="J206" s="820">
        <v>60.34</v>
      </c>
    </row>
    <row r="207" spans="1:10" ht="38.25" customHeight="1">
      <c r="A207" s="827"/>
      <c r="B207" s="827"/>
      <c r="C207" s="827"/>
      <c r="D207" s="827"/>
      <c r="E207" s="827" t="s">
        <v>13503</v>
      </c>
      <c r="F207" s="826">
        <v>90.34</v>
      </c>
      <c r="G207" s="827" t="s">
        <v>13504</v>
      </c>
      <c r="H207" s="826">
        <v>0</v>
      </c>
      <c r="I207" s="827" t="s">
        <v>13505</v>
      </c>
      <c r="J207" s="826">
        <v>90.34</v>
      </c>
    </row>
    <row r="208" spans="1:10" ht="38.25" customHeight="1" thickBot="1">
      <c r="A208" s="827"/>
      <c r="B208" s="827"/>
      <c r="C208" s="827"/>
      <c r="D208" s="827"/>
      <c r="E208" s="827" t="s">
        <v>13506</v>
      </c>
      <c r="F208" s="826">
        <v>58.88</v>
      </c>
      <c r="G208" s="827"/>
      <c r="H208" s="1018" t="s">
        <v>13507</v>
      </c>
      <c r="I208" s="1018"/>
      <c r="J208" s="826">
        <v>267.39</v>
      </c>
    </row>
    <row r="209" spans="1:10" ht="13.5" thickTop="1">
      <c r="A209" s="828"/>
      <c r="B209" s="828"/>
      <c r="C209" s="828"/>
      <c r="D209" s="828"/>
      <c r="E209" s="828"/>
      <c r="F209" s="828"/>
      <c r="G209" s="828"/>
      <c r="H209" s="828"/>
      <c r="I209" s="828"/>
      <c r="J209" s="828"/>
    </row>
    <row r="210" spans="1:10" ht="38.25" customHeight="1">
      <c r="A210" s="809" t="s">
        <v>13608</v>
      </c>
      <c r="B210" s="808" t="s">
        <v>13481</v>
      </c>
      <c r="C210" s="809" t="s">
        <v>13482</v>
      </c>
      <c r="D210" s="809" t="s">
        <v>13483</v>
      </c>
      <c r="E210" s="1019" t="s">
        <v>13484</v>
      </c>
      <c r="F210" s="1019"/>
      <c r="G210" s="810" t="s">
        <v>13485</v>
      </c>
      <c r="H210" s="808" t="s">
        <v>13486</v>
      </c>
      <c r="I210" s="808" t="s">
        <v>13487</v>
      </c>
      <c r="J210" s="808" t="s">
        <v>4867</v>
      </c>
    </row>
    <row r="211" spans="1:10" ht="38.25" customHeight="1">
      <c r="A211" s="812" t="s">
        <v>13488</v>
      </c>
      <c r="B211" s="811" t="s">
        <v>13609</v>
      </c>
      <c r="C211" s="812" t="s">
        <v>6</v>
      </c>
      <c r="D211" s="812" t="s">
        <v>3373</v>
      </c>
      <c r="E211" s="1020" t="s">
        <v>13600</v>
      </c>
      <c r="F211" s="1020"/>
      <c r="G211" s="813" t="s">
        <v>24</v>
      </c>
      <c r="H211" s="814">
        <v>1</v>
      </c>
      <c r="I211" s="815">
        <v>184.55</v>
      </c>
      <c r="J211" s="815">
        <v>184.55</v>
      </c>
    </row>
    <row r="212" spans="1:10" ht="38.25" customHeight="1">
      <c r="A212" s="817" t="s">
        <v>13491</v>
      </c>
      <c r="B212" s="816" t="s">
        <v>13610</v>
      </c>
      <c r="C212" s="817" t="s">
        <v>6</v>
      </c>
      <c r="D212" s="817" t="s">
        <v>677</v>
      </c>
      <c r="E212" s="1021" t="s">
        <v>13539</v>
      </c>
      <c r="F212" s="1021"/>
      <c r="G212" s="818" t="s">
        <v>28</v>
      </c>
      <c r="H212" s="819">
        <v>0.41970000000000002</v>
      </c>
      <c r="I212" s="820">
        <v>115.29</v>
      </c>
      <c r="J212" s="820">
        <v>48.38</v>
      </c>
    </row>
    <row r="213" spans="1:10" ht="38.25" customHeight="1">
      <c r="A213" s="817" t="s">
        <v>13491</v>
      </c>
      <c r="B213" s="816" t="s">
        <v>13611</v>
      </c>
      <c r="C213" s="817" t="s">
        <v>6</v>
      </c>
      <c r="D213" s="817" t="s">
        <v>678</v>
      </c>
      <c r="E213" s="1021" t="s">
        <v>13539</v>
      </c>
      <c r="F213" s="1021"/>
      <c r="G213" s="818" t="s">
        <v>42</v>
      </c>
      <c r="H213" s="819">
        <v>1.7141999999999999</v>
      </c>
      <c r="I213" s="820">
        <v>40.15</v>
      </c>
      <c r="J213" s="820">
        <v>68.819999999999993</v>
      </c>
    </row>
    <row r="214" spans="1:10" ht="13.5" customHeight="1">
      <c r="A214" s="817" t="s">
        <v>13491</v>
      </c>
      <c r="B214" s="816" t="s">
        <v>13553</v>
      </c>
      <c r="C214" s="817" t="s">
        <v>6</v>
      </c>
      <c r="D214" s="817" t="s">
        <v>21</v>
      </c>
      <c r="E214" s="1021" t="s">
        <v>13490</v>
      </c>
      <c r="F214" s="1021"/>
      <c r="G214" s="818" t="s">
        <v>19</v>
      </c>
      <c r="H214" s="819">
        <v>2.1339000000000001</v>
      </c>
      <c r="I214" s="820">
        <v>15.16</v>
      </c>
      <c r="J214" s="820">
        <v>32.340000000000003</v>
      </c>
    </row>
    <row r="215" spans="1:10" ht="38.25" customHeight="1">
      <c r="A215" s="817" t="s">
        <v>13491</v>
      </c>
      <c r="B215" s="816" t="s">
        <v>13603</v>
      </c>
      <c r="C215" s="817" t="s">
        <v>6</v>
      </c>
      <c r="D215" s="817" t="s">
        <v>179</v>
      </c>
      <c r="E215" s="1021" t="s">
        <v>13490</v>
      </c>
      <c r="F215" s="1021"/>
      <c r="G215" s="818" t="s">
        <v>19</v>
      </c>
      <c r="H215" s="819">
        <v>2.1339000000000001</v>
      </c>
      <c r="I215" s="820">
        <v>16.41</v>
      </c>
      <c r="J215" s="820">
        <v>35.01</v>
      </c>
    </row>
    <row r="216" spans="1:10" ht="25.5">
      <c r="A216" s="827"/>
      <c r="B216" s="827"/>
      <c r="C216" s="827"/>
      <c r="D216" s="827"/>
      <c r="E216" s="827" t="s">
        <v>13503</v>
      </c>
      <c r="F216" s="826">
        <v>76.25</v>
      </c>
      <c r="G216" s="827" t="s">
        <v>13504</v>
      </c>
      <c r="H216" s="826">
        <v>0</v>
      </c>
      <c r="I216" s="827" t="s">
        <v>13505</v>
      </c>
      <c r="J216" s="826">
        <v>76.25</v>
      </c>
    </row>
    <row r="217" spans="1:10" ht="13.5" customHeight="1" thickBot="1">
      <c r="A217" s="827"/>
      <c r="B217" s="827"/>
      <c r="C217" s="827"/>
      <c r="D217" s="827"/>
      <c r="E217" s="827" t="s">
        <v>13506</v>
      </c>
      <c r="F217" s="826">
        <v>52.11</v>
      </c>
      <c r="G217" s="827"/>
      <c r="H217" s="1018" t="s">
        <v>13507</v>
      </c>
      <c r="I217" s="1018"/>
      <c r="J217" s="826">
        <v>236.66</v>
      </c>
    </row>
    <row r="218" spans="1:10" ht="38.25" customHeight="1" thickTop="1">
      <c r="A218" s="828"/>
      <c r="B218" s="828"/>
      <c r="C218" s="828"/>
      <c r="D218" s="828"/>
      <c r="E218" s="828"/>
      <c r="F218" s="828"/>
      <c r="G218" s="828"/>
      <c r="H218" s="828"/>
      <c r="I218" s="828"/>
      <c r="J218" s="828"/>
    </row>
    <row r="219" spans="1:10" ht="15">
      <c r="A219" s="809" t="s">
        <v>13612</v>
      </c>
      <c r="B219" s="808" t="s">
        <v>13481</v>
      </c>
      <c r="C219" s="809" t="s">
        <v>13482</v>
      </c>
      <c r="D219" s="809" t="s">
        <v>13483</v>
      </c>
      <c r="E219" s="1019" t="s">
        <v>13484</v>
      </c>
      <c r="F219" s="1019"/>
      <c r="G219" s="810" t="s">
        <v>13485</v>
      </c>
      <c r="H219" s="808" t="s">
        <v>13486</v>
      </c>
      <c r="I219" s="808" t="s">
        <v>13487</v>
      </c>
      <c r="J219" s="808" t="s">
        <v>4867</v>
      </c>
    </row>
    <row r="220" spans="1:10" ht="25.5" customHeight="1">
      <c r="A220" s="812" t="s">
        <v>13488</v>
      </c>
      <c r="B220" s="811" t="s">
        <v>13613</v>
      </c>
      <c r="C220" s="812" t="s">
        <v>6</v>
      </c>
      <c r="D220" s="812" t="s">
        <v>5334</v>
      </c>
      <c r="E220" s="1020" t="s">
        <v>13614</v>
      </c>
      <c r="F220" s="1020"/>
      <c r="G220" s="813" t="s">
        <v>13543</v>
      </c>
      <c r="H220" s="814">
        <v>1</v>
      </c>
      <c r="I220" s="815">
        <v>7.48</v>
      </c>
      <c r="J220" s="815">
        <v>7.48</v>
      </c>
    </row>
    <row r="221" spans="1:10" ht="25.5" customHeight="1">
      <c r="A221" s="817" t="s">
        <v>13491</v>
      </c>
      <c r="B221" s="816" t="s">
        <v>13615</v>
      </c>
      <c r="C221" s="817" t="s">
        <v>6</v>
      </c>
      <c r="D221" s="817" t="s">
        <v>670</v>
      </c>
      <c r="E221" s="1021" t="s">
        <v>13539</v>
      </c>
      <c r="F221" s="1021"/>
      <c r="G221" s="818" t="s">
        <v>28</v>
      </c>
      <c r="H221" s="819">
        <v>8.3000000000000001E-3</v>
      </c>
      <c r="I221" s="820">
        <v>188.22</v>
      </c>
      <c r="J221" s="820">
        <v>1.56</v>
      </c>
    </row>
    <row r="222" spans="1:10" ht="38.25" customHeight="1">
      <c r="A222" s="817" t="s">
        <v>13491</v>
      </c>
      <c r="B222" s="816" t="s">
        <v>13617</v>
      </c>
      <c r="C222" s="817" t="s">
        <v>6</v>
      </c>
      <c r="D222" s="817" t="s">
        <v>797</v>
      </c>
      <c r="E222" s="1021" t="s">
        <v>13539</v>
      </c>
      <c r="F222" s="1021"/>
      <c r="G222" s="818" t="s">
        <v>28</v>
      </c>
      <c r="H222" s="819">
        <v>2.6700000000000002E-2</v>
      </c>
      <c r="I222" s="820">
        <v>153.28</v>
      </c>
      <c r="J222" s="820">
        <v>4.09</v>
      </c>
    </row>
    <row r="223" spans="1:10" ht="38.25" customHeight="1">
      <c r="A223" s="817" t="s">
        <v>13491</v>
      </c>
      <c r="B223" s="816" t="s">
        <v>13618</v>
      </c>
      <c r="C223" s="817" t="s">
        <v>6</v>
      </c>
      <c r="D223" s="817" t="s">
        <v>798</v>
      </c>
      <c r="E223" s="1021" t="s">
        <v>13539</v>
      </c>
      <c r="F223" s="1021"/>
      <c r="G223" s="818" t="s">
        <v>42</v>
      </c>
      <c r="H223" s="819">
        <v>2.0299999999999999E-2</v>
      </c>
      <c r="I223" s="820">
        <v>39.53</v>
      </c>
      <c r="J223" s="820">
        <v>0.8</v>
      </c>
    </row>
    <row r="224" spans="1:10" ht="38.25" customHeight="1">
      <c r="A224" s="817" t="s">
        <v>13491</v>
      </c>
      <c r="B224" s="816" t="s">
        <v>13616</v>
      </c>
      <c r="C224" s="817" t="s">
        <v>6</v>
      </c>
      <c r="D224" s="817" t="s">
        <v>671</v>
      </c>
      <c r="E224" s="1021" t="s">
        <v>13539</v>
      </c>
      <c r="F224" s="1021"/>
      <c r="G224" s="818" t="s">
        <v>42</v>
      </c>
      <c r="H224" s="819">
        <v>1.5100000000000001E-2</v>
      </c>
      <c r="I224" s="820">
        <v>68.569999999999993</v>
      </c>
      <c r="J224" s="820">
        <v>1.03</v>
      </c>
    </row>
    <row r="225" spans="1:10" ht="25.5">
      <c r="A225" s="827"/>
      <c r="B225" s="827"/>
      <c r="C225" s="827"/>
      <c r="D225" s="827"/>
      <c r="E225" s="827" t="s">
        <v>13503</v>
      </c>
      <c r="F225" s="826">
        <v>0.8</v>
      </c>
      <c r="G225" s="827" t="s">
        <v>13504</v>
      </c>
      <c r="H225" s="826">
        <v>0</v>
      </c>
      <c r="I225" s="827" t="s">
        <v>13505</v>
      </c>
      <c r="J225" s="826">
        <v>0.8</v>
      </c>
    </row>
    <row r="226" spans="1:10" ht="13.5" customHeight="1" thickBot="1">
      <c r="A226" s="827"/>
      <c r="B226" s="827"/>
      <c r="C226" s="827"/>
      <c r="D226" s="827"/>
      <c r="E226" s="827" t="s">
        <v>13506</v>
      </c>
      <c r="F226" s="826">
        <v>2.11</v>
      </c>
      <c r="G226" s="827"/>
      <c r="H226" s="1018" t="s">
        <v>13507</v>
      </c>
      <c r="I226" s="1018"/>
      <c r="J226" s="826">
        <v>9.59</v>
      </c>
    </row>
    <row r="227" spans="1:10" ht="13.5" customHeight="1" thickTop="1">
      <c r="A227" s="828"/>
      <c r="B227" s="828"/>
      <c r="C227" s="828"/>
      <c r="D227" s="828"/>
      <c r="E227" s="828"/>
      <c r="F227" s="828"/>
      <c r="G227" s="828"/>
      <c r="H227" s="828"/>
      <c r="I227" s="828"/>
      <c r="J227" s="828"/>
    </row>
    <row r="228" spans="1:10" ht="15">
      <c r="A228" s="809" t="s">
        <v>13619</v>
      </c>
      <c r="B228" s="808" t="s">
        <v>13481</v>
      </c>
      <c r="C228" s="809" t="s">
        <v>13482</v>
      </c>
      <c r="D228" s="809" t="s">
        <v>13483</v>
      </c>
      <c r="E228" s="1019" t="s">
        <v>13484</v>
      </c>
      <c r="F228" s="1019"/>
      <c r="G228" s="810" t="s">
        <v>13485</v>
      </c>
      <c r="H228" s="808" t="s">
        <v>13486</v>
      </c>
      <c r="I228" s="808" t="s">
        <v>13487</v>
      </c>
      <c r="J228" s="808" t="s">
        <v>4867</v>
      </c>
    </row>
    <row r="229" spans="1:10" ht="25.5" customHeight="1">
      <c r="A229" s="812" t="s">
        <v>13488</v>
      </c>
      <c r="B229" s="811" t="s">
        <v>13620</v>
      </c>
      <c r="C229" s="812" t="s">
        <v>6</v>
      </c>
      <c r="D229" s="812" t="s">
        <v>5286</v>
      </c>
      <c r="E229" s="1020" t="s">
        <v>13614</v>
      </c>
      <c r="F229" s="1020"/>
      <c r="G229" s="813" t="s">
        <v>80</v>
      </c>
      <c r="H229" s="814">
        <v>1</v>
      </c>
      <c r="I229" s="815">
        <v>2.36</v>
      </c>
      <c r="J229" s="815">
        <v>2.36</v>
      </c>
    </row>
    <row r="230" spans="1:10" ht="38.25" customHeight="1">
      <c r="A230" s="817" t="s">
        <v>13491</v>
      </c>
      <c r="B230" s="816" t="s">
        <v>13617</v>
      </c>
      <c r="C230" s="817" t="s">
        <v>6</v>
      </c>
      <c r="D230" s="817" t="s">
        <v>797</v>
      </c>
      <c r="E230" s="1021" t="s">
        <v>13539</v>
      </c>
      <c r="F230" s="1021"/>
      <c r="G230" s="818" t="s">
        <v>28</v>
      </c>
      <c r="H230" s="819">
        <v>1.3899999999999999E-2</v>
      </c>
      <c r="I230" s="820">
        <v>153.28</v>
      </c>
      <c r="J230" s="820">
        <v>2.13</v>
      </c>
    </row>
    <row r="231" spans="1:10" ht="38.25" customHeight="1">
      <c r="A231" s="817" t="s">
        <v>13491</v>
      </c>
      <c r="B231" s="816" t="s">
        <v>13618</v>
      </c>
      <c r="C231" s="817" t="s">
        <v>6</v>
      </c>
      <c r="D231" s="817" t="s">
        <v>798</v>
      </c>
      <c r="E231" s="1021" t="s">
        <v>13539</v>
      </c>
      <c r="F231" s="1021"/>
      <c r="G231" s="818" t="s">
        <v>42</v>
      </c>
      <c r="H231" s="819">
        <v>6.0000000000000001E-3</v>
      </c>
      <c r="I231" s="820">
        <v>39.53</v>
      </c>
      <c r="J231" s="820">
        <v>0.23</v>
      </c>
    </row>
    <row r="232" spans="1:10" ht="25.5">
      <c r="A232" s="827"/>
      <c r="B232" s="827"/>
      <c r="C232" s="827"/>
      <c r="D232" s="827"/>
      <c r="E232" s="827" t="s">
        <v>13503</v>
      </c>
      <c r="F232" s="826">
        <v>0.2</v>
      </c>
      <c r="G232" s="827" t="s">
        <v>13504</v>
      </c>
      <c r="H232" s="826">
        <v>0</v>
      </c>
      <c r="I232" s="827" t="s">
        <v>13505</v>
      </c>
      <c r="J232" s="826">
        <v>0.2</v>
      </c>
    </row>
    <row r="233" spans="1:10" ht="38.25" customHeight="1" thickBot="1">
      <c r="A233" s="827"/>
      <c r="B233" s="827"/>
      <c r="C233" s="827"/>
      <c r="D233" s="827"/>
      <c r="E233" s="827" t="s">
        <v>13506</v>
      </c>
      <c r="F233" s="826">
        <v>0.66</v>
      </c>
      <c r="G233" s="827"/>
      <c r="H233" s="1018" t="s">
        <v>13507</v>
      </c>
      <c r="I233" s="1018"/>
      <c r="J233" s="826">
        <v>3.02</v>
      </c>
    </row>
    <row r="234" spans="1:10" ht="13.5" thickTop="1">
      <c r="A234" s="828"/>
      <c r="B234" s="828"/>
      <c r="C234" s="828"/>
      <c r="D234" s="828"/>
      <c r="E234" s="828"/>
      <c r="F234" s="828"/>
      <c r="G234" s="828"/>
      <c r="H234" s="828"/>
      <c r="I234" s="828"/>
      <c r="J234" s="828"/>
    </row>
    <row r="235" spans="1:10" ht="15">
      <c r="A235" s="809" t="s">
        <v>13621</v>
      </c>
      <c r="B235" s="808" t="s">
        <v>13481</v>
      </c>
      <c r="C235" s="809" t="s">
        <v>13482</v>
      </c>
      <c r="D235" s="809" t="s">
        <v>13483</v>
      </c>
      <c r="E235" s="1019" t="s">
        <v>13484</v>
      </c>
      <c r="F235" s="1019"/>
      <c r="G235" s="810" t="s">
        <v>13485</v>
      </c>
      <c r="H235" s="808" t="s">
        <v>13486</v>
      </c>
      <c r="I235" s="808" t="s">
        <v>13487</v>
      </c>
      <c r="J235" s="808" t="s">
        <v>4867</v>
      </c>
    </row>
    <row r="236" spans="1:10" ht="13.5" customHeight="1">
      <c r="A236" s="812" t="s">
        <v>13488</v>
      </c>
      <c r="B236" s="811" t="s">
        <v>13622</v>
      </c>
      <c r="C236" s="812" t="s">
        <v>6</v>
      </c>
      <c r="D236" s="812" t="s">
        <v>2304</v>
      </c>
      <c r="E236" s="1020" t="s">
        <v>13623</v>
      </c>
      <c r="F236" s="1020"/>
      <c r="G236" s="813" t="s">
        <v>13543</v>
      </c>
      <c r="H236" s="814">
        <v>1</v>
      </c>
      <c r="I236" s="815">
        <v>68.45</v>
      </c>
      <c r="J236" s="815">
        <v>68.45</v>
      </c>
    </row>
    <row r="237" spans="1:10" ht="38.25" customHeight="1">
      <c r="A237" s="817" t="s">
        <v>13491</v>
      </c>
      <c r="B237" s="816" t="s">
        <v>13624</v>
      </c>
      <c r="C237" s="817" t="s">
        <v>6</v>
      </c>
      <c r="D237" s="817" t="s">
        <v>732</v>
      </c>
      <c r="E237" s="1021" t="s">
        <v>13539</v>
      </c>
      <c r="F237" s="1021"/>
      <c r="G237" s="818" t="s">
        <v>28</v>
      </c>
      <c r="H237" s="819">
        <v>6.0000000000000001E-3</v>
      </c>
      <c r="I237" s="820">
        <v>274.42</v>
      </c>
      <c r="J237" s="820">
        <v>1.64</v>
      </c>
    </row>
    <row r="238" spans="1:10" ht="38.25" customHeight="1">
      <c r="A238" s="817" t="s">
        <v>13491</v>
      </c>
      <c r="B238" s="816" t="s">
        <v>13625</v>
      </c>
      <c r="C238" s="817" t="s">
        <v>6</v>
      </c>
      <c r="D238" s="817" t="s">
        <v>1773</v>
      </c>
      <c r="E238" s="1021" t="s">
        <v>13539</v>
      </c>
      <c r="F238" s="1021"/>
      <c r="G238" s="818" t="s">
        <v>28</v>
      </c>
      <c r="H238" s="819">
        <v>0.27400000000000002</v>
      </c>
      <c r="I238" s="820">
        <v>22.75</v>
      </c>
      <c r="J238" s="820">
        <v>6.23</v>
      </c>
    </row>
    <row r="239" spans="1:10" ht="38.25" customHeight="1">
      <c r="A239" s="817" t="s">
        <v>13491</v>
      </c>
      <c r="B239" s="816" t="s">
        <v>13626</v>
      </c>
      <c r="C239" s="817" t="s">
        <v>6</v>
      </c>
      <c r="D239" s="817" t="s">
        <v>733</v>
      </c>
      <c r="E239" s="1021" t="s">
        <v>13539</v>
      </c>
      <c r="F239" s="1021"/>
      <c r="G239" s="818" t="s">
        <v>42</v>
      </c>
      <c r="H239" s="819">
        <v>3.0000000000000001E-3</v>
      </c>
      <c r="I239" s="820">
        <v>45.3</v>
      </c>
      <c r="J239" s="820">
        <v>0.13</v>
      </c>
    </row>
    <row r="240" spans="1:10" ht="38.25" customHeight="1">
      <c r="A240" s="817" t="s">
        <v>13491</v>
      </c>
      <c r="B240" s="816" t="s">
        <v>13627</v>
      </c>
      <c r="C240" s="817" t="s">
        <v>6</v>
      </c>
      <c r="D240" s="817" t="s">
        <v>1774</v>
      </c>
      <c r="E240" s="1021" t="s">
        <v>13539</v>
      </c>
      <c r="F240" s="1021"/>
      <c r="G240" s="818" t="s">
        <v>42</v>
      </c>
      <c r="H240" s="819">
        <v>0.254</v>
      </c>
      <c r="I240" s="820">
        <v>15.22</v>
      </c>
      <c r="J240" s="820">
        <v>3.86</v>
      </c>
    </row>
    <row r="241" spans="1:10" ht="38.25" customHeight="1">
      <c r="A241" s="817" t="s">
        <v>13491</v>
      </c>
      <c r="B241" s="816" t="s">
        <v>13553</v>
      </c>
      <c r="C241" s="817" t="s">
        <v>6</v>
      </c>
      <c r="D241" s="817" t="s">
        <v>21</v>
      </c>
      <c r="E241" s="1021" t="s">
        <v>13490</v>
      </c>
      <c r="F241" s="1021"/>
      <c r="G241" s="818" t="s">
        <v>19</v>
      </c>
      <c r="H241" s="819">
        <v>0.65900000000000003</v>
      </c>
      <c r="I241" s="820">
        <v>15.16</v>
      </c>
      <c r="J241" s="820">
        <v>9.99</v>
      </c>
    </row>
    <row r="242" spans="1:10" ht="25.5">
      <c r="A242" s="822" t="s">
        <v>13493</v>
      </c>
      <c r="B242" s="821" t="s">
        <v>13628</v>
      </c>
      <c r="C242" s="822" t="s">
        <v>6</v>
      </c>
      <c r="D242" s="822" t="s">
        <v>4593</v>
      </c>
      <c r="E242" s="1017" t="s">
        <v>13514</v>
      </c>
      <c r="F242" s="1017"/>
      <c r="G242" s="823" t="s">
        <v>13543</v>
      </c>
      <c r="H242" s="824">
        <v>1.25</v>
      </c>
      <c r="I242" s="825">
        <v>37.28</v>
      </c>
      <c r="J242" s="825">
        <v>46.6</v>
      </c>
    </row>
    <row r="243" spans="1:10" ht="25.5">
      <c r="A243" s="827"/>
      <c r="B243" s="827"/>
      <c r="C243" s="827"/>
      <c r="D243" s="827"/>
      <c r="E243" s="827" t="s">
        <v>13503</v>
      </c>
      <c r="F243" s="826">
        <v>12.48</v>
      </c>
      <c r="G243" s="827" t="s">
        <v>13504</v>
      </c>
      <c r="H243" s="826">
        <v>0</v>
      </c>
      <c r="I243" s="827" t="s">
        <v>13505</v>
      </c>
      <c r="J243" s="826">
        <v>12.48</v>
      </c>
    </row>
    <row r="244" spans="1:10" ht="13.5" customHeight="1" thickBot="1">
      <c r="A244" s="827"/>
      <c r="B244" s="827"/>
      <c r="C244" s="827"/>
      <c r="D244" s="827"/>
      <c r="E244" s="827" t="s">
        <v>13506</v>
      </c>
      <c r="F244" s="826">
        <v>19.329999999999998</v>
      </c>
      <c r="G244" s="827"/>
      <c r="H244" s="1018" t="s">
        <v>13507</v>
      </c>
      <c r="I244" s="1018"/>
      <c r="J244" s="826">
        <v>87.78</v>
      </c>
    </row>
    <row r="245" spans="1:10" ht="13.5" customHeight="1" thickTop="1">
      <c r="A245" s="828"/>
      <c r="B245" s="828"/>
      <c r="C245" s="828"/>
      <c r="D245" s="828"/>
      <c r="E245" s="828"/>
      <c r="F245" s="828"/>
      <c r="G245" s="828"/>
      <c r="H245" s="828"/>
      <c r="I245" s="828"/>
      <c r="J245" s="828"/>
    </row>
    <row r="246" spans="1:10" ht="15">
      <c r="A246" s="809" t="s">
        <v>13629</v>
      </c>
      <c r="B246" s="808" t="s">
        <v>13481</v>
      </c>
      <c r="C246" s="809" t="s">
        <v>13482</v>
      </c>
      <c r="D246" s="809" t="s">
        <v>13483</v>
      </c>
      <c r="E246" s="1019" t="s">
        <v>13484</v>
      </c>
      <c r="F246" s="1019"/>
      <c r="G246" s="810" t="s">
        <v>13485</v>
      </c>
      <c r="H246" s="808" t="s">
        <v>13486</v>
      </c>
      <c r="I246" s="808" t="s">
        <v>13487</v>
      </c>
      <c r="J246" s="808" t="s">
        <v>4867</v>
      </c>
    </row>
    <row r="247" spans="1:10" ht="25.5" customHeight="1">
      <c r="A247" s="812" t="s">
        <v>13488</v>
      </c>
      <c r="B247" s="811" t="s">
        <v>13630</v>
      </c>
      <c r="C247" s="812" t="s">
        <v>6</v>
      </c>
      <c r="D247" s="812" t="s">
        <v>7658</v>
      </c>
      <c r="E247" s="1020" t="s">
        <v>13623</v>
      </c>
      <c r="F247" s="1020"/>
      <c r="G247" s="813" t="s">
        <v>13543</v>
      </c>
      <c r="H247" s="814">
        <v>1</v>
      </c>
      <c r="I247" s="815">
        <v>34.07</v>
      </c>
      <c r="J247" s="815">
        <v>34.07</v>
      </c>
    </row>
    <row r="248" spans="1:10" ht="25.5" customHeight="1">
      <c r="A248" s="817" t="s">
        <v>13491</v>
      </c>
      <c r="B248" s="816" t="s">
        <v>13610</v>
      </c>
      <c r="C248" s="817" t="s">
        <v>6</v>
      </c>
      <c r="D248" s="817" t="s">
        <v>677</v>
      </c>
      <c r="E248" s="1021" t="s">
        <v>13539</v>
      </c>
      <c r="F248" s="1021"/>
      <c r="G248" s="818" t="s">
        <v>28</v>
      </c>
      <c r="H248" s="819">
        <v>0.20799999999999999</v>
      </c>
      <c r="I248" s="820">
        <v>115.29</v>
      </c>
      <c r="J248" s="820">
        <v>23.98</v>
      </c>
    </row>
    <row r="249" spans="1:10" ht="25.5" customHeight="1">
      <c r="A249" s="817" t="s">
        <v>13491</v>
      </c>
      <c r="B249" s="816" t="s">
        <v>13611</v>
      </c>
      <c r="C249" s="817" t="s">
        <v>6</v>
      </c>
      <c r="D249" s="817" t="s">
        <v>678</v>
      </c>
      <c r="E249" s="1021" t="s">
        <v>13539</v>
      </c>
      <c r="F249" s="1021"/>
      <c r="G249" s="818" t="s">
        <v>42</v>
      </c>
      <c r="H249" s="819">
        <v>8.5000000000000006E-2</v>
      </c>
      <c r="I249" s="820">
        <v>40.15</v>
      </c>
      <c r="J249" s="820">
        <v>3.41</v>
      </c>
    </row>
    <row r="250" spans="1:10" ht="38.25" customHeight="1">
      <c r="A250" s="817" t="s">
        <v>13491</v>
      </c>
      <c r="B250" s="816" t="s">
        <v>13577</v>
      </c>
      <c r="C250" s="817" t="s">
        <v>6</v>
      </c>
      <c r="D250" s="817" t="s">
        <v>31</v>
      </c>
      <c r="E250" s="1021" t="s">
        <v>13490</v>
      </c>
      <c r="F250" s="1021"/>
      <c r="G250" s="818" t="s">
        <v>19</v>
      </c>
      <c r="H250" s="819">
        <v>0.22500000000000001</v>
      </c>
      <c r="I250" s="820">
        <v>18.86</v>
      </c>
      <c r="J250" s="820">
        <v>4.24</v>
      </c>
    </row>
    <row r="251" spans="1:10" ht="38.25" customHeight="1">
      <c r="A251" s="817" t="s">
        <v>13491</v>
      </c>
      <c r="B251" s="816" t="s">
        <v>13553</v>
      </c>
      <c r="C251" s="817" t="s">
        <v>6</v>
      </c>
      <c r="D251" s="817" t="s">
        <v>21</v>
      </c>
      <c r="E251" s="1021" t="s">
        <v>13490</v>
      </c>
      <c r="F251" s="1021"/>
      <c r="G251" s="818" t="s">
        <v>19</v>
      </c>
      <c r="H251" s="819">
        <v>0.161</v>
      </c>
      <c r="I251" s="820">
        <v>15.16</v>
      </c>
      <c r="J251" s="820">
        <v>2.44</v>
      </c>
    </row>
    <row r="252" spans="1:10" ht="25.5">
      <c r="A252" s="827"/>
      <c r="B252" s="827"/>
      <c r="C252" s="827"/>
      <c r="D252" s="827"/>
      <c r="E252" s="827" t="s">
        <v>13503</v>
      </c>
      <c r="F252" s="826">
        <v>8.86</v>
      </c>
      <c r="G252" s="827" t="s">
        <v>13504</v>
      </c>
      <c r="H252" s="826">
        <v>0</v>
      </c>
      <c r="I252" s="827" t="s">
        <v>13505</v>
      </c>
      <c r="J252" s="826">
        <v>8.86</v>
      </c>
    </row>
    <row r="253" spans="1:10" ht="13.5" customHeight="1" thickBot="1">
      <c r="A253" s="827"/>
      <c r="B253" s="827"/>
      <c r="C253" s="827"/>
      <c r="D253" s="827"/>
      <c r="E253" s="827" t="s">
        <v>13506</v>
      </c>
      <c r="F253" s="826">
        <v>9.6199999999999992</v>
      </c>
      <c r="G253" s="827"/>
      <c r="H253" s="1018" t="s">
        <v>13507</v>
      </c>
      <c r="I253" s="1018"/>
      <c r="J253" s="826">
        <v>43.69</v>
      </c>
    </row>
    <row r="254" spans="1:10" ht="13.5" thickTop="1">
      <c r="A254" s="828"/>
      <c r="B254" s="828"/>
      <c r="C254" s="828"/>
      <c r="D254" s="828"/>
      <c r="E254" s="828"/>
      <c r="F254" s="828"/>
      <c r="G254" s="828"/>
      <c r="H254" s="828"/>
      <c r="I254" s="828"/>
      <c r="J254" s="828"/>
    </row>
    <row r="255" spans="1:10" ht="13.5" customHeight="1">
      <c r="A255" s="809" t="s">
        <v>13631</v>
      </c>
      <c r="B255" s="808" t="s">
        <v>13481</v>
      </c>
      <c r="C255" s="809" t="s">
        <v>13482</v>
      </c>
      <c r="D255" s="809" t="s">
        <v>13483</v>
      </c>
      <c r="E255" s="1019" t="s">
        <v>13484</v>
      </c>
      <c r="F255" s="1019"/>
      <c r="G255" s="810" t="s">
        <v>13485</v>
      </c>
      <c r="H255" s="808" t="s">
        <v>13486</v>
      </c>
      <c r="I255" s="808" t="s">
        <v>13487</v>
      </c>
      <c r="J255" s="808" t="s">
        <v>4867</v>
      </c>
    </row>
    <row r="256" spans="1:10" ht="25.5" customHeight="1">
      <c r="A256" s="812" t="s">
        <v>13488</v>
      </c>
      <c r="B256" s="811" t="s">
        <v>13632</v>
      </c>
      <c r="C256" s="812" t="s">
        <v>6</v>
      </c>
      <c r="D256" s="812" t="s">
        <v>2842</v>
      </c>
      <c r="E256" s="1020" t="s">
        <v>13542</v>
      </c>
      <c r="F256" s="1020"/>
      <c r="G256" s="813" t="s">
        <v>13537</v>
      </c>
      <c r="H256" s="814">
        <v>1</v>
      </c>
      <c r="I256" s="815">
        <v>15.36</v>
      </c>
      <c r="J256" s="815">
        <v>15.36</v>
      </c>
    </row>
    <row r="257" spans="1:10" ht="38.25" customHeight="1">
      <c r="A257" s="817" t="s">
        <v>13491</v>
      </c>
      <c r="B257" s="816" t="s">
        <v>13633</v>
      </c>
      <c r="C257" s="817" t="s">
        <v>6</v>
      </c>
      <c r="D257" s="817" t="s">
        <v>6580</v>
      </c>
      <c r="E257" s="1021" t="s">
        <v>13542</v>
      </c>
      <c r="F257" s="1021"/>
      <c r="G257" s="818" t="s">
        <v>13543</v>
      </c>
      <c r="H257" s="819">
        <v>3.39E-2</v>
      </c>
      <c r="I257" s="820">
        <v>327.08999999999997</v>
      </c>
      <c r="J257" s="820">
        <v>11.08</v>
      </c>
    </row>
    <row r="258" spans="1:10" ht="25.5" customHeight="1">
      <c r="A258" s="817" t="s">
        <v>13491</v>
      </c>
      <c r="B258" s="816" t="s">
        <v>13577</v>
      </c>
      <c r="C258" s="817" t="s">
        <v>6</v>
      </c>
      <c r="D258" s="817" t="s">
        <v>31</v>
      </c>
      <c r="E258" s="1021" t="s">
        <v>13490</v>
      </c>
      <c r="F258" s="1021"/>
      <c r="G258" s="818" t="s">
        <v>19</v>
      </c>
      <c r="H258" s="819">
        <v>0.18629999999999999</v>
      </c>
      <c r="I258" s="820">
        <v>18.86</v>
      </c>
      <c r="J258" s="820">
        <v>3.51</v>
      </c>
    </row>
    <row r="259" spans="1:10" ht="25.5" customHeight="1">
      <c r="A259" s="817" t="s">
        <v>13491</v>
      </c>
      <c r="B259" s="816" t="s">
        <v>13553</v>
      </c>
      <c r="C259" s="817" t="s">
        <v>6</v>
      </c>
      <c r="D259" s="817" t="s">
        <v>21</v>
      </c>
      <c r="E259" s="1021" t="s">
        <v>13490</v>
      </c>
      <c r="F259" s="1021"/>
      <c r="G259" s="818" t="s">
        <v>19</v>
      </c>
      <c r="H259" s="819">
        <v>5.0799999999999998E-2</v>
      </c>
      <c r="I259" s="820">
        <v>15.16</v>
      </c>
      <c r="J259" s="820">
        <v>0.77</v>
      </c>
    </row>
    <row r="260" spans="1:10" ht="25.5" customHeight="1">
      <c r="A260" s="827"/>
      <c r="B260" s="827"/>
      <c r="C260" s="827"/>
      <c r="D260" s="827"/>
      <c r="E260" s="827" t="s">
        <v>13503</v>
      </c>
      <c r="F260" s="826">
        <v>4.3</v>
      </c>
      <c r="G260" s="827" t="s">
        <v>13504</v>
      </c>
      <c r="H260" s="826">
        <v>0</v>
      </c>
      <c r="I260" s="827" t="s">
        <v>13505</v>
      </c>
      <c r="J260" s="826">
        <v>4.3</v>
      </c>
    </row>
    <row r="261" spans="1:10" ht="13.5" customHeight="1" thickBot="1">
      <c r="A261" s="827"/>
      <c r="B261" s="827"/>
      <c r="C261" s="827"/>
      <c r="D261" s="827"/>
      <c r="E261" s="827" t="s">
        <v>13506</v>
      </c>
      <c r="F261" s="826">
        <v>4.33</v>
      </c>
      <c r="G261" s="827"/>
      <c r="H261" s="1018" t="s">
        <v>13507</v>
      </c>
      <c r="I261" s="1018"/>
      <c r="J261" s="826">
        <v>19.690000000000001</v>
      </c>
    </row>
    <row r="262" spans="1:10" ht="13.5" thickTop="1">
      <c r="A262" s="828"/>
      <c r="B262" s="828"/>
      <c r="C262" s="828"/>
      <c r="D262" s="828"/>
      <c r="E262" s="828"/>
      <c r="F262" s="828"/>
      <c r="G262" s="828"/>
      <c r="H262" s="828"/>
      <c r="I262" s="828"/>
      <c r="J262" s="828"/>
    </row>
    <row r="263" spans="1:10" ht="15">
      <c r="A263" s="809" t="s">
        <v>13634</v>
      </c>
      <c r="B263" s="808" t="s">
        <v>13481</v>
      </c>
      <c r="C263" s="809" t="s">
        <v>13482</v>
      </c>
      <c r="D263" s="809" t="s">
        <v>13483</v>
      </c>
      <c r="E263" s="1019" t="s">
        <v>13484</v>
      </c>
      <c r="F263" s="1019"/>
      <c r="G263" s="810" t="s">
        <v>13485</v>
      </c>
      <c r="H263" s="808" t="s">
        <v>13486</v>
      </c>
      <c r="I263" s="808" t="s">
        <v>13487</v>
      </c>
      <c r="J263" s="808" t="s">
        <v>4867</v>
      </c>
    </row>
    <row r="264" spans="1:10" ht="25.5" customHeight="1">
      <c r="A264" s="812" t="s">
        <v>13488</v>
      </c>
      <c r="B264" s="811" t="s">
        <v>13635</v>
      </c>
      <c r="C264" s="812" t="s">
        <v>6</v>
      </c>
      <c r="D264" s="812" t="s">
        <v>2832</v>
      </c>
      <c r="E264" s="1020" t="s">
        <v>13542</v>
      </c>
      <c r="F264" s="1020"/>
      <c r="G264" s="813" t="s">
        <v>16</v>
      </c>
      <c r="H264" s="814">
        <v>1</v>
      </c>
      <c r="I264" s="815">
        <v>14.57</v>
      </c>
      <c r="J264" s="815">
        <v>14.57</v>
      </c>
    </row>
    <row r="265" spans="1:10" ht="38.25" customHeight="1">
      <c r="A265" s="817" t="s">
        <v>13491</v>
      </c>
      <c r="B265" s="816" t="s">
        <v>13636</v>
      </c>
      <c r="C265" s="817" t="s">
        <v>6</v>
      </c>
      <c r="D265" s="817" t="s">
        <v>2047</v>
      </c>
      <c r="E265" s="1021" t="s">
        <v>13542</v>
      </c>
      <c r="F265" s="1021"/>
      <c r="G265" s="818" t="s">
        <v>16</v>
      </c>
      <c r="H265" s="819">
        <v>1</v>
      </c>
      <c r="I265" s="820">
        <v>11.87</v>
      </c>
      <c r="J265" s="820">
        <v>11.87</v>
      </c>
    </row>
    <row r="266" spans="1:10" ht="38.25" customHeight="1">
      <c r="A266" s="817" t="s">
        <v>13491</v>
      </c>
      <c r="B266" s="816" t="s">
        <v>13637</v>
      </c>
      <c r="C266" s="817" t="s">
        <v>6</v>
      </c>
      <c r="D266" s="817" t="s">
        <v>107</v>
      </c>
      <c r="E266" s="1021" t="s">
        <v>13490</v>
      </c>
      <c r="F266" s="1021"/>
      <c r="G266" s="818" t="s">
        <v>19</v>
      </c>
      <c r="H266" s="819">
        <v>2.9000000000000001E-2</v>
      </c>
      <c r="I266" s="820">
        <v>15.19</v>
      </c>
      <c r="J266" s="820">
        <v>0.44</v>
      </c>
    </row>
    <row r="267" spans="1:10" ht="38.25" customHeight="1">
      <c r="A267" s="817" t="s">
        <v>13491</v>
      </c>
      <c r="B267" s="816" t="s">
        <v>13638</v>
      </c>
      <c r="C267" s="817" t="s">
        <v>6</v>
      </c>
      <c r="D267" s="817" t="s">
        <v>112</v>
      </c>
      <c r="E267" s="1021" t="s">
        <v>13490</v>
      </c>
      <c r="F267" s="1021"/>
      <c r="G267" s="818" t="s">
        <v>19</v>
      </c>
      <c r="H267" s="819">
        <v>8.8999999999999996E-2</v>
      </c>
      <c r="I267" s="820">
        <v>18.75</v>
      </c>
      <c r="J267" s="820">
        <v>1.66</v>
      </c>
    </row>
    <row r="268" spans="1:10" ht="25.5">
      <c r="A268" s="822" t="s">
        <v>13493</v>
      </c>
      <c r="B268" s="821" t="s">
        <v>13639</v>
      </c>
      <c r="C268" s="822" t="s">
        <v>6</v>
      </c>
      <c r="D268" s="822" t="s">
        <v>5166</v>
      </c>
      <c r="E268" s="1017" t="s">
        <v>13514</v>
      </c>
      <c r="F268" s="1017"/>
      <c r="G268" s="823" t="s">
        <v>16</v>
      </c>
      <c r="H268" s="824">
        <v>2.5000000000000001E-2</v>
      </c>
      <c r="I268" s="825">
        <v>20</v>
      </c>
      <c r="J268" s="825">
        <v>0.5</v>
      </c>
    </row>
    <row r="269" spans="1:10" ht="25.5">
      <c r="A269" s="822" t="s">
        <v>13493</v>
      </c>
      <c r="B269" s="821" t="s">
        <v>13640</v>
      </c>
      <c r="C269" s="822" t="s">
        <v>6</v>
      </c>
      <c r="D269" s="822" t="s">
        <v>4663</v>
      </c>
      <c r="E269" s="1017" t="s">
        <v>13514</v>
      </c>
      <c r="F269" s="1017"/>
      <c r="G269" s="823" t="s">
        <v>24</v>
      </c>
      <c r="H269" s="824">
        <v>0.46550000000000002</v>
      </c>
      <c r="I269" s="825">
        <v>0.22</v>
      </c>
      <c r="J269" s="825">
        <v>0.1</v>
      </c>
    </row>
    <row r="270" spans="1:10" ht="13.5" customHeight="1">
      <c r="A270" s="827"/>
      <c r="B270" s="827"/>
      <c r="C270" s="827"/>
      <c r="D270" s="827"/>
      <c r="E270" s="827" t="s">
        <v>13503</v>
      </c>
      <c r="F270" s="826">
        <v>1.7</v>
      </c>
      <c r="G270" s="827" t="s">
        <v>13504</v>
      </c>
      <c r="H270" s="826">
        <v>0</v>
      </c>
      <c r="I270" s="827" t="s">
        <v>13505</v>
      </c>
      <c r="J270" s="826">
        <v>1.7</v>
      </c>
    </row>
    <row r="271" spans="1:10" ht="13.5" customHeight="1" thickBot="1">
      <c r="A271" s="827"/>
      <c r="B271" s="827"/>
      <c r="C271" s="827"/>
      <c r="D271" s="827"/>
      <c r="E271" s="827" t="s">
        <v>13506</v>
      </c>
      <c r="F271" s="826">
        <v>4.1100000000000003</v>
      </c>
      <c r="G271" s="827"/>
      <c r="H271" s="1018" t="s">
        <v>13507</v>
      </c>
      <c r="I271" s="1018"/>
      <c r="J271" s="826">
        <v>18.68</v>
      </c>
    </row>
    <row r="272" spans="1:10" ht="13.5" thickTop="1">
      <c r="A272" s="828"/>
      <c r="B272" s="828"/>
      <c r="C272" s="828"/>
      <c r="D272" s="828"/>
      <c r="E272" s="828"/>
      <c r="F272" s="828"/>
      <c r="G272" s="828"/>
      <c r="H272" s="828"/>
      <c r="I272" s="828"/>
      <c r="J272" s="828"/>
    </row>
    <row r="273" spans="1:10" ht="25.5" customHeight="1">
      <c r="A273" s="809" t="s">
        <v>13641</v>
      </c>
      <c r="B273" s="808" t="s">
        <v>13481</v>
      </c>
      <c r="C273" s="809" t="s">
        <v>13482</v>
      </c>
      <c r="D273" s="809" t="s">
        <v>13483</v>
      </c>
      <c r="E273" s="1019" t="s">
        <v>13484</v>
      </c>
      <c r="F273" s="1019"/>
      <c r="G273" s="810" t="s">
        <v>13485</v>
      </c>
      <c r="H273" s="808" t="s">
        <v>13486</v>
      </c>
      <c r="I273" s="808" t="s">
        <v>13487</v>
      </c>
      <c r="J273" s="808" t="s">
        <v>4867</v>
      </c>
    </row>
    <row r="274" spans="1:10" ht="25.5" customHeight="1">
      <c r="A274" s="812" t="s">
        <v>13488</v>
      </c>
      <c r="B274" s="811" t="s">
        <v>13642</v>
      </c>
      <c r="C274" s="812" t="s">
        <v>6</v>
      </c>
      <c r="D274" s="812" t="s">
        <v>2829</v>
      </c>
      <c r="E274" s="1020" t="s">
        <v>13542</v>
      </c>
      <c r="F274" s="1020"/>
      <c r="G274" s="813" t="s">
        <v>16</v>
      </c>
      <c r="H274" s="814">
        <v>1</v>
      </c>
      <c r="I274" s="815">
        <v>17.73</v>
      </c>
      <c r="J274" s="815">
        <v>17.73</v>
      </c>
    </row>
    <row r="275" spans="1:10" ht="38.25" customHeight="1">
      <c r="A275" s="817" t="s">
        <v>13491</v>
      </c>
      <c r="B275" s="816" t="s">
        <v>13643</v>
      </c>
      <c r="C275" s="817" t="s">
        <v>6</v>
      </c>
      <c r="D275" s="817" t="s">
        <v>2044</v>
      </c>
      <c r="E275" s="1021" t="s">
        <v>13542</v>
      </c>
      <c r="F275" s="1021"/>
      <c r="G275" s="818" t="s">
        <v>16</v>
      </c>
      <c r="H275" s="819">
        <v>1</v>
      </c>
      <c r="I275" s="820">
        <v>12.2</v>
      </c>
      <c r="J275" s="820">
        <v>12.2</v>
      </c>
    </row>
    <row r="276" spans="1:10" ht="38.25" customHeight="1">
      <c r="A276" s="817" t="s">
        <v>13491</v>
      </c>
      <c r="B276" s="816" t="s">
        <v>13637</v>
      </c>
      <c r="C276" s="817" t="s">
        <v>6</v>
      </c>
      <c r="D276" s="817" t="s">
        <v>107</v>
      </c>
      <c r="E276" s="1021" t="s">
        <v>13490</v>
      </c>
      <c r="F276" s="1021"/>
      <c r="G276" s="818" t="s">
        <v>19</v>
      </c>
      <c r="H276" s="819">
        <v>6.3500000000000001E-2</v>
      </c>
      <c r="I276" s="820">
        <v>15.19</v>
      </c>
      <c r="J276" s="820">
        <v>0.96</v>
      </c>
    </row>
    <row r="277" spans="1:10" ht="38.25" customHeight="1">
      <c r="A277" s="817" t="s">
        <v>13491</v>
      </c>
      <c r="B277" s="816" t="s">
        <v>13638</v>
      </c>
      <c r="C277" s="817" t="s">
        <v>6</v>
      </c>
      <c r="D277" s="817" t="s">
        <v>112</v>
      </c>
      <c r="E277" s="1021" t="s">
        <v>13490</v>
      </c>
      <c r="F277" s="1021"/>
      <c r="G277" s="818" t="s">
        <v>19</v>
      </c>
      <c r="H277" s="819">
        <v>0.19450000000000001</v>
      </c>
      <c r="I277" s="820">
        <v>18.75</v>
      </c>
      <c r="J277" s="820">
        <v>3.64</v>
      </c>
    </row>
    <row r="278" spans="1:10" ht="13.5" customHeight="1">
      <c r="A278" s="822" t="s">
        <v>13493</v>
      </c>
      <c r="B278" s="821" t="s">
        <v>13639</v>
      </c>
      <c r="C278" s="822" t="s">
        <v>6</v>
      </c>
      <c r="D278" s="822" t="s">
        <v>5166</v>
      </c>
      <c r="E278" s="1017" t="s">
        <v>13514</v>
      </c>
      <c r="F278" s="1017"/>
      <c r="G278" s="823" t="s">
        <v>16</v>
      </c>
      <c r="H278" s="824">
        <v>2.5000000000000001E-2</v>
      </c>
      <c r="I278" s="825">
        <v>20</v>
      </c>
      <c r="J278" s="825">
        <v>0.5</v>
      </c>
    </row>
    <row r="279" spans="1:10" ht="25.5">
      <c r="A279" s="822" t="s">
        <v>13493</v>
      </c>
      <c r="B279" s="821" t="s">
        <v>13640</v>
      </c>
      <c r="C279" s="822" t="s">
        <v>6</v>
      </c>
      <c r="D279" s="822" t="s">
        <v>4663</v>
      </c>
      <c r="E279" s="1017" t="s">
        <v>13514</v>
      </c>
      <c r="F279" s="1017"/>
      <c r="G279" s="823" t="s">
        <v>24</v>
      </c>
      <c r="H279" s="824">
        <v>1.9664999999999999</v>
      </c>
      <c r="I279" s="825">
        <v>0.22</v>
      </c>
      <c r="J279" s="825">
        <v>0.43</v>
      </c>
    </row>
    <row r="280" spans="1:10" ht="25.5">
      <c r="A280" s="827"/>
      <c r="B280" s="827"/>
      <c r="C280" s="827"/>
      <c r="D280" s="827"/>
      <c r="E280" s="827" t="s">
        <v>13503</v>
      </c>
      <c r="F280" s="826">
        <v>4.51</v>
      </c>
      <c r="G280" s="827" t="s">
        <v>13504</v>
      </c>
      <c r="H280" s="826">
        <v>0</v>
      </c>
      <c r="I280" s="827" t="s">
        <v>13505</v>
      </c>
      <c r="J280" s="826">
        <v>4.51</v>
      </c>
    </row>
    <row r="281" spans="1:10" ht="25.5" customHeight="1" thickBot="1">
      <c r="A281" s="827"/>
      <c r="B281" s="827"/>
      <c r="C281" s="827"/>
      <c r="D281" s="827"/>
      <c r="E281" s="827" t="s">
        <v>13506</v>
      </c>
      <c r="F281" s="826">
        <v>5</v>
      </c>
      <c r="G281" s="827"/>
      <c r="H281" s="1018" t="s">
        <v>13507</v>
      </c>
      <c r="I281" s="1018"/>
      <c r="J281" s="826">
        <v>22.73</v>
      </c>
    </row>
    <row r="282" spans="1:10" ht="25.5" customHeight="1" thickTop="1">
      <c r="A282" s="828"/>
      <c r="B282" s="828"/>
      <c r="C282" s="828"/>
      <c r="D282" s="828"/>
      <c r="E282" s="828"/>
      <c r="F282" s="828"/>
      <c r="G282" s="828"/>
      <c r="H282" s="828"/>
      <c r="I282" s="828"/>
      <c r="J282" s="828"/>
    </row>
    <row r="283" spans="1:10" ht="25.5" customHeight="1">
      <c r="A283" s="809" t="s">
        <v>13644</v>
      </c>
      <c r="B283" s="808" t="s">
        <v>13481</v>
      </c>
      <c r="C283" s="809" t="s">
        <v>13482</v>
      </c>
      <c r="D283" s="809" t="s">
        <v>13483</v>
      </c>
      <c r="E283" s="1019" t="s">
        <v>13484</v>
      </c>
      <c r="F283" s="1019"/>
      <c r="G283" s="810" t="s">
        <v>13485</v>
      </c>
      <c r="H283" s="808" t="s">
        <v>13486</v>
      </c>
      <c r="I283" s="808" t="s">
        <v>13487</v>
      </c>
      <c r="J283" s="808" t="s">
        <v>4867</v>
      </c>
    </row>
    <row r="284" spans="1:10" ht="25.5" customHeight="1">
      <c r="A284" s="812" t="s">
        <v>13488</v>
      </c>
      <c r="B284" s="811" t="s">
        <v>13645</v>
      </c>
      <c r="C284" s="812" t="s">
        <v>6</v>
      </c>
      <c r="D284" s="812" t="s">
        <v>2821</v>
      </c>
      <c r="E284" s="1020" t="s">
        <v>13542</v>
      </c>
      <c r="F284" s="1020"/>
      <c r="G284" s="813" t="s">
        <v>13537</v>
      </c>
      <c r="H284" s="814">
        <v>1</v>
      </c>
      <c r="I284" s="815">
        <v>114.52</v>
      </c>
      <c r="J284" s="815">
        <v>114.52</v>
      </c>
    </row>
    <row r="285" spans="1:10" ht="38.25" customHeight="1">
      <c r="A285" s="817" t="s">
        <v>13491</v>
      </c>
      <c r="B285" s="816" t="s">
        <v>13538</v>
      </c>
      <c r="C285" s="817" t="s">
        <v>6</v>
      </c>
      <c r="D285" s="817" t="s">
        <v>1793</v>
      </c>
      <c r="E285" s="1021" t="s">
        <v>13539</v>
      </c>
      <c r="F285" s="1021"/>
      <c r="G285" s="818" t="s">
        <v>28</v>
      </c>
      <c r="H285" s="819">
        <v>7.9000000000000001E-2</v>
      </c>
      <c r="I285" s="820">
        <v>15.82</v>
      </c>
      <c r="J285" s="820">
        <v>1.24</v>
      </c>
    </row>
    <row r="286" spans="1:10" ht="38.25" customHeight="1">
      <c r="A286" s="817" t="s">
        <v>13491</v>
      </c>
      <c r="B286" s="816" t="s">
        <v>13540</v>
      </c>
      <c r="C286" s="817" t="s">
        <v>6</v>
      </c>
      <c r="D286" s="817" t="s">
        <v>1794</v>
      </c>
      <c r="E286" s="1021" t="s">
        <v>13539</v>
      </c>
      <c r="F286" s="1021"/>
      <c r="G286" s="818" t="s">
        <v>42</v>
      </c>
      <c r="H286" s="819">
        <v>3.9E-2</v>
      </c>
      <c r="I286" s="820">
        <v>14.51</v>
      </c>
      <c r="J286" s="820">
        <v>0.56000000000000005</v>
      </c>
    </row>
    <row r="287" spans="1:10" ht="38.25" customHeight="1">
      <c r="A287" s="817" t="s">
        <v>13491</v>
      </c>
      <c r="B287" s="816" t="s">
        <v>13544</v>
      </c>
      <c r="C287" s="817" t="s">
        <v>6</v>
      </c>
      <c r="D287" s="817" t="s">
        <v>29</v>
      </c>
      <c r="E287" s="1021" t="s">
        <v>13490</v>
      </c>
      <c r="F287" s="1021"/>
      <c r="G287" s="818" t="s">
        <v>19</v>
      </c>
      <c r="H287" s="819">
        <v>1.0860000000000001</v>
      </c>
      <c r="I287" s="820">
        <v>15.96</v>
      </c>
      <c r="J287" s="820">
        <v>17.329999999999998</v>
      </c>
    </row>
    <row r="288" spans="1:10" ht="13.5" customHeight="1">
      <c r="A288" s="817" t="s">
        <v>13491</v>
      </c>
      <c r="B288" s="816" t="s">
        <v>13545</v>
      </c>
      <c r="C288" s="817" t="s">
        <v>6</v>
      </c>
      <c r="D288" s="817" t="s">
        <v>30</v>
      </c>
      <c r="E288" s="1021" t="s">
        <v>13490</v>
      </c>
      <c r="F288" s="1021"/>
      <c r="G288" s="818" t="s">
        <v>19</v>
      </c>
      <c r="H288" s="819">
        <v>2.7690000000000001</v>
      </c>
      <c r="I288" s="820">
        <v>18.63</v>
      </c>
      <c r="J288" s="820">
        <v>51.58</v>
      </c>
    </row>
    <row r="289" spans="1:10" ht="25.5">
      <c r="A289" s="822" t="s">
        <v>13493</v>
      </c>
      <c r="B289" s="821" t="s">
        <v>13646</v>
      </c>
      <c r="C289" s="822" t="s">
        <v>6</v>
      </c>
      <c r="D289" s="822" t="s">
        <v>4636</v>
      </c>
      <c r="E289" s="1017" t="s">
        <v>13514</v>
      </c>
      <c r="F289" s="1017"/>
      <c r="G289" s="823" t="s">
        <v>39</v>
      </c>
      <c r="H289" s="824">
        <v>1.7000000000000001E-2</v>
      </c>
      <c r="I289" s="825">
        <v>5.24</v>
      </c>
      <c r="J289" s="825">
        <v>0.08</v>
      </c>
    </row>
    <row r="290" spans="1:10">
      <c r="A290" s="822" t="s">
        <v>13493</v>
      </c>
      <c r="B290" s="821" t="s">
        <v>13648</v>
      </c>
      <c r="C290" s="822" t="s">
        <v>6</v>
      </c>
      <c r="D290" s="822" t="s">
        <v>4761</v>
      </c>
      <c r="E290" s="1017" t="s">
        <v>13514</v>
      </c>
      <c r="F290" s="1017"/>
      <c r="G290" s="823" t="s">
        <v>16</v>
      </c>
      <c r="H290" s="824">
        <v>1.6E-2</v>
      </c>
      <c r="I290" s="825">
        <v>26.62</v>
      </c>
      <c r="J290" s="825">
        <v>0.42</v>
      </c>
    </row>
    <row r="291" spans="1:10" ht="25.5" customHeight="1">
      <c r="A291" s="822" t="s">
        <v>13493</v>
      </c>
      <c r="B291" s="821" t="s">
        <v>13647</v>
      </c>
      <c r="C291" s="822" t="s">
        <v>6</v>
      </c>
      <c r="D291" s="822" t="s">
        <v>4759</v>
      </c>
      <c r="E291" s="1017" t="s">
        <v>13514</v>
      </c>
      <c r="F291" s="1017"/>
      <c r="G291" s="823" t="s">
        <v>16</v>
      </c>
      <c r="H291" s="824">
        <v>0.01</v>
      </c>
      <c r="I291" s="825">
        <v>29.33</v>
      </c>
      <c r="J291" s="825">
        <v>0.28999999999999998</v>
      </c>
    </row>
    <row r="292" spans="1:10">
      <c r="A292" s="822" t="s">
        <v>13493</v>
      </c>
      <c r="B292" s="821" t="s">
        <v>13649</v>
      </c>
      <c r="C292" s="822" t="s">
        <v>6</v>
      </c>
      <c r="D292" s="822" t="s">
        <v>4763</v>
      </c>
      <c r="E292" s="1017" t="s">
        <v>13514</v>
      </c>
      <c r="F292" s="1017"/>
      <c r="G292" s="823" t="s">
        <v>16</v>
      </c>
      <c r="H292" s="824">
        <v>4.7E-2</v>
      </c>
      <c r="I292" s="825">
        <v>24.22</v>
      </c>
      <c r="J292" s="825">
        <v>1.1299999999999999</v>
      </c>
    </row>
    <row r="293" spans="1:10" ht="25.5">
      <c r="A293" s="822" t="s">
        <v>13493</v>
      </c>
      <c r="B293" s="821" t="s">
        <v>13650</v>
      </c>
      <c r="C293" s="822" t="s">
        <v>6</v>
      </c>
      <c r="D293" s="822" t="s">
        <v>6139</v>
      </c>
      <c r="E293" s="1017" t="s">
        <v>13514</v>
      </c>
      <c r="F293" s="1017"/>
      <c r="G293" s="823" t="s">
        <v>14</v>
      </c>
      <c r="H293" s="824">
        <v>4.6120000000000001</v>
      </c>
      <c r="I293" s="825">
        <v>3.14</v>
      </c>
      <c r="J293" s="825">
        <v>14.48</v>
      </c>
    </row>
    <row r="294" spans="1:10" ht="25.5">
      <c r="A294" s="822" t="s">
        <v>13493</v>
      </c>
      <c r="B294" s="821" t="s">
        <v>13651</v>
      </c>
      <c r="C294" s="822" t="s">
        <v>6</v>
      </c>
      <c r="D294" s="822" t="s">
        <v>12285</v>
      </c>
      <c r="E294" s="1017" t="s">
        <v>13514</v>
      </c>
      <c r="F294" s="1017"/>
      <c r="G294" s="823" t="s">
        <v>14</v>
      </c>
      <c r="H294" s="824">
        <v>1.278</v>
      </c>
      <c r="I294" s="825">
        <v>21.45</v>
      </c>
      <c r="J294" s="825">
        <v>27.41</v>
      </c>
    </row>
    <row r="295" spans="1:10" ht="25.5">
      <c r="A295" s="827"/>
      <c r="B295" s="827"/>
      <c r="C295" s="827"/>
      <c r="D295" s="827"/>
      <c r="E295" s="827" t="s">
        <v>13503</v>
      </c>
      <c r="F295" s="826">
        <v>51.73</v>
      </c>
      <c r="G295" s="827" t="s">
        <v>13504</v>
      </c>
      <c r="H295" s="826">
        <v>0</v>
      </c>
      <c r="I295" s="827" t="s">
        <v>13505</v>
      </c>
      <c r="J295" s="826">
        <v>51.73</v>
      </c>
    </row>
    <row r="296" spans="1:10" ht="13.5" customHeight="1" thickBot="1">
      <c r="A296" s="827"/>
      <c r="B296" s="827"/>
      <c r="C296" s="827"/>
      <c r="D296" s="827"/>
      <c r="E296" s="827" t="s">
        <v>13506</v>
      </c>
      <c r="F296" s="826">
        <v>32.340000000000003</v>
      </c>
      <c r="G296" s="827"/>
      <c r="H296" s="1018" t="s">
        <v>13507</v>
      </c>
      <c r="I296" s="1018"/>
      <c r="J296" s="826">
        <v>146.86000000000001</v>
      </c>
    </row>
    <row r="297" spans="1:10" ht="13.5" thickTop="1">
      <c r="A297" s="828"/>
      <c r="B297" s="828"/>
      <c r="C297" s="828"/>
      <c r="D297" s="828"/>
      <c r="E297" s="828"/>
      <c r="F297" s="828"/>
      <c r="G297" s="828"/>
      <c r="H297" s="828"/>
      <c r="I297" s="828"/>
      <c r="J297" s="828"/>
    </row>
    <row r="298" spans="1:10" ht="15">
      <c r="A298" s="809" t="s">
        <v>13652</v>
      </c>
      <c r="B298" s="808" t="s">
        <v>13481</v>
      </c>
      <c r="C298" s="809" t="s">
        <v>13482</v>
      </c>
      <c r="D298" s="809" t="s">
        <v>13483</v>
      </c>
      <c r="E298" s="1019" t="s">
        <v>13484</v>
      </c>
      <c r="F298" s="1019"/>
      <c r="G298" s="810" t="s">
        <v>13485</v>
      </c>
      <c r="H298" s="808" t="s">
        <v>13486</v>
      </c>
      <c r="I298" s="808" t="s">
        <v>13487</v>
      </c>
      <c r="J298" s="808" t="s">
        <v>4867</v>
      </c>
    </row>
    <row r="299" spans="1:10" ht="25.5" customHeight="1">
      <c r="A299" s="812" t="s">
        <v>13488</v>
      </c>
      <c r="B299" s="811" t="s">
        <v>13653</v>
      </c>
      <c r="C299" s="812" t="s">
        <v>6</v>
      </c>
      <c r="D299" s="812" t="s">
        <v>6583</v>
      </c>
      <c r="E299" s="1020" t="s">
        <v>13542</v>
      </c>
      <c r="F299" s="1020"/>
      <c r="G299" s="813" t="s">
        <v>13543</v>
      </c>
      <c r="H299" s="814">
        <v>1</v>
      </c>
      <c r="I299" s="815">
        <v>425.35</v>
      </c>
      <c r="J299" s="815">
        <v>425.35</v>
      </c>
    </row>
    <row r="300" spans="1:10" ht="38.25" customHeight="1">
      <c r="A300" s="817" t="s">
        <v>13491</v>
      </c>
      <c r="B300" s="816" t="s">
        <v>13655</v>
      </c>
      <c r="C300" s="817" t="s">
        <v>6</v>
      </c>
      <c r="D300" s="817" t="s">
        <v>1102</v>
      </c>
      <c r="E300" s="1021" t="s">
        <v>13539</v>
      </c>
      <c r="F300" s="1021"/>
      <c r="G300" s="818" t="s">
        <v>28</v>
      </c>
      <c r="H300" s="819">
        <v>0.64339999999999997</v>
      </c>
      <c r="I300" s="820">
        <v>5.3</v>
      </c>
      <c r="J300" s="820">
        <v>3.41</v>
      </c>
    </row>
    <row r="301" spans="1:10" ht="25.5" customHeight="1">
      <c r="A301" s="817" t="s">
        <v>13491</v>
      </c>
      <c r="B301" s="816" t="s">
        <v>13654</v>
      </c>
      <c r="C301" s="817" t="s">
        <v>6</v>
      </c>
      <c r="D301" s="817" t="s">
        <v>1103</v>
      </c>
      <c r="E301" s="1021" t="s">
        <v>13539</v>
      </c>
      <c r="F301" s="1021"/>
      <c r="G301" s="818" t="s">
        <v>42</v>
      </c>
      <c r="H301" s="819">
        <v>0.60670000000000002</v>
      </c>
      <c r="I301" s="820">
        <v>1.53</v>
      </c>
      <c r="J301" s="820">
        <v>0.92</v>
      </c>
    </row>
    <row r="302" spans="1:10" ht="25.5" customHeight="1">
      <c r="A302" s="817" t="s">
        <v>13491</v>
      </c>
      <c r="B302" s="816" t="s">
        <v>13553</v>
      </c>
      <c r="C302" s="817" t="s">
        <v>6</v>
      </c>
      <c r="D302" s="817" t="s">
        <v>21</v>
      </c>
      <c r="E302" s="1021" t="s">
        <v>13490</v>
      </c>
      <c r="F302" s="1021"/>
      <c r="G302" s="818" t="s">
        <v>19</v>
      </c>
      <c r="H302" s="819">
        <v>1.9792000000000001</v>
      </c>
      <c r="I302" s="820">
        <v>15.16</v>
      </c>
      <c r="J302" s="820">
        <v>30</v>
      </c>
    </row>
    <row r="303" spans="1:10" ht="38.25" customHeight="1">
      <c r="A303" s="817" t="s">
        <v>13491</v>
      </c>
      <c r="B303" s="816" t="s">
        <v>13656</v>
      </c>
      <c r="C303" s="817" t="s">
        <v>6</v>
      </c>
      <c r="D303" s="817" t="s">
        <v>990</v>
      </c>
      <c r="E303" s="1021" t="s">
        <v>13490</v>
      </c>
      <c r="F303" s="1021"/>
      <c r="G303" s="818" t="s">
        <v>19</v>
      </c>
      <c r="H303" s="819">
        <v>1.2501</v>
      </c>
      <c r="I303" s="820">
        <v>13.71</v>
      </c>
      <c r="J303" s="820">
        <v>17.13</v>
      </c>
    </row>
    <row r="304" spans="1:10" ht="25.5" customHeight="1">
      <c r="A304" s="822" t="s">
        <v>13493</v>
      </c>
      <c r="B304" s="821" t="s">
        <v>13657</v>
      </c>
      <c r="C304" s="822" t="s">
        <v>6</v>
      </c>
      <c r="D304" s="822" t="s">
        <v>4588</v>
      </c>
      <c r="E304" s="1017" t="s">
        <v>13514</v>
      </c>
      <c r="F304" s="1017"/>
      <c r="G304" s="823" t="s">
        <v>13543</v>
      </c>
      <c r="H304" s="824">
        <v>0.72750000000000004</v>
      </c>
      <c r="I304" s="825">
        <v>83.5</v>
      </c>
      <c r="J304" s="825">
        <v>60.74</v>
      </c>
    </row>
    <row r="305" spans="1:10">
      <c r="A305" s="822" t="s">
        <v>13493</v>
      </c>
      <c r="B305" s="821" t="s">
        <v>13658</v>
      </c>
      <c r="C305" s="822" t="s">
        <v>6</v>
      </c>
      <c r="D305" s="822" t="s">
        <v>4622</v>
      </c>
      <c r="E305" s="1017" t="s">
        <v>13514</v>
      </c>
      <c r="F305" s="1017"/>
      <c r="G305" s="823" t="s">
        <v>16</v>
      </c>
      <c r="H305" s="824">
        <v>364.94330000000002</v>
      </c>
      <c r="I305" s="825">
        <v>0.72</v>
      </c>
      <c r="J305" s="825">
        <v>262.75</v>
      </c>
    </row>
    <row r="306" spans="1:10" ht="25.5">
      <c r="A306" s="822" t="s">
        <v>13493</v>
      </c>
      <c r="B306" s="821" t="s">
        <v>13659</v>
      </c>
      <c r="C306" s="822" t="s">
        <v>6</v>
      </c>
      <c r="D306" s="822" t="s">
        <v>4749</v>
      </c>
      <c r="E306" s="1017" t="s">
        <v>13514</v>
      </c>
      <c r="F306" s="1017"/>
      <c r="G306" s="823" t="s">
        <v>13543</v>
      </c>
      <c r="H306" s="824">
        <v>0.59719999999999995</v>
      </c>
      <c r="I306" s="825">
        <v>84.4</v>
      </c>
      <c r="J306" s="825">
        <v>50.4</v>
      </c>
    </row>
    <row r="307" spans="1:10" ht="13.5" customHeight="1">
      <c r="A307" s="827"/>
      <c r="B307" s="827"/>
      <c r="C307" s="827"/>
      <c r="D307" s="827"/>
      <c r="E307" s="827" t="s">
        <v>13503</v>
      </c>
      <c r="F307" s="826">
        <v>32.869999999999997</v>
      </c>
      <c r="G307" s="827" t="s">
        <v>13504</v>
      </c>
      <c r="H307" s="826">
        <v>0</v>
      </c>
      <c r="I307" s="827" t="s">
        <v>13505</v>
      </c>
      <c r="J307" s="826">
        <v>32.869999999999997</v>
      </c>
    </row>
    <row r="308" spans="1:10" ht="13.5" customHeight="1" thickBot="1">
      <c r="A308" s="827"/>
      <c r="B308" s="827"/>
      <c r="C308" s="827"/>
      <c r="D308" s="827"/>
      <c r="E308" s="827" t="s">
        <v>13506</v>
      </c>
      <c r="F308" s="826">
        <v>120.11</v>
      </c>
      <c r="G308" s="827"/>
      <c r="H308" s="1018" t="s">
        <v>13507</v>
      </c>
      <c r="I308" s="1018"/>
      <c r="J308" s="826">
        <v>545.46</v>
      </c>
    </row>
    <row r="309" spans="1:10" ht="13.5" thickTop="1">
      <c r="A309" s="828"/>
      <c r="B309" s="828"/>
      <c r="C309" s="828"/>
      <c r="D309" s="828"/>
      <c r="E309" s="828"/>
      <c r="F309" s="828"/>
      <c r="G309" s="828"/>
      <c r="H309" s="828"/>
      <c r="I309" s="828"/>
      <c r="J309" s="828"/>
    </row>
    <row r="310" spans="1:10" ht="25.5" customHeight="1">
      <c r="A310" s="809" t="s">
        <v>13660</v>
      </c>
      <c r="B310" s="808" t="s">
        <v>13481</v>
      </c>
      <c r="C310" s="809" t="s">
        <v>13482</v>
      </c>
      <c r="D310" s="809" t="s">
        <v>13483</v>
      </c>
      <c r="E310" s="1019" t="s">
        <v>13484</v>
      </c>
      <c r="F310" s="1019"/>
      <c r="G310" s="810" t="s">
        <v>13485</v>
      </c>
      <c r="H310" s="808" t="s">
        <v>13486</v>
      </c>
      <c r="I310" s="808" t="s">
        <v>13487</v>
      </c>
      <c r="J310" s="808" t="s">
        <v>4867</v>
      </c>
    </row>
    <row r="311" spans="1:10" ht="25.5" customHeight="1">
      <c r="A311" s="812" t="s">
        <v>13488</v>
      </c>
      <c r="B311" s="811" t="s">
        <v>13661</v>
      </c>
      <c r="C311" s="812" t="s">
        <v>6</v>
      </c>
      <c r="D311" s="812" t="s">
        <v>13422</v>
      </c>
      <c r="E311" s="1020" t="s">
        <v>13542</v>
      </c>
      <c r="F311" s="1020"/>
      <c r="G311" s="813" t="s">
        <v>13543</v>
      </c>
      <c r="H311" s="814">
        <v>1</v>
      </c>
      <c r="I311" s="815">
        <v>205.9</v>
      </c>
      <c r="J311" s="815">
        <v>205.9</v>
      </c>
    </row>
    <row r="312" spans="1:10" ht="38.25" customHeight="1">
      <c r="A312" s="817" t="s">
        <v>13491</v>
      </c>
      <c r="B312" s="816" t="s">
        <v>13662</v>
      </c>
      <c r="C312" s="817" t="s">
        <v>6</v>
      </c>
      <c r="D312" s="817" t="s">
        <v>1600</v>
      </c>
      <c r="E312" s="1021" t="s">
        <v>13539</v>
      </c>
      <c r="F312" s="1021"/>
      <c r="G312" s="818" t="s">
        <v>28</v>
      </c>
      <c r="H312" s="819">
        <v>1.042</v>
      </c>
      <c r="I312" s="820">
        <v>1.22</v>
      </c>
      <c r="J312" s="820">
        <v>1.27</v>
      </c>
    </row>
    <row r="313" spans="1:10" ht="38.25" customHeight="1">
      <c r="A313" s="817" t="s">
        <v>13491</v>
      </c>
      <c r="B313" s="816" t="s">
        <v>13663</v>
      </c>
      <c r="C313" s="817" t="s">
        <v>6</v>
      </c>
      <c r="D313" s="817" t="s">
        <v>1601</v>
      </c>
      <c r="E313" s="1021" t="s">
        <v>13539</v>
      </c>
      <c r="F313" s="1021"/>
      <c r="G313" s="818" t="s">
        <v>42</v>
      </c>
      <c r="H313" s="819">
        <v>1.417</v>
      </c>
      <c r="I313" s="820">
        <v>0.44</v>
      </c>
      <c r="J313" s="820">
        <v>0.62</v>
      </c>
    </row>
    <row r="314" spans="1:10" ht="13.5" customHeight="1">
      <c r="A314" s="817" t="s">
        <v>13491</v>
      </c>
      <c r="B314" s="816" t="s">
        <v>13553</v>
      </c>
      <c r="C314" s="817" t="s">
        <v>6</v>
      </c>
      <c r="D314" s="817" t="s">
        <v>21</v>
      </c>
      <c r="E314" s="1021" t="s">
        <v>13490</v>
      </c>
      <c r="F314" s="1021"/>
      <c r="G314" s="818" t="s">
        <v>19</v>
      </c>
      <c r="H314" s="819">
        <v>7.3769999999999998</v>
      </c>
      <c r="I314" s="820">
        <v>15.16</v>
      </c>
      <c r="J314" s="820">
        <v>111.83</v>
      </c>
    </row>
    <row r="315" spans="1:10" ht="38.25" customHeight="1">
      <c r="A315" s="817" t="s">
        <v>13491</v>
      </c>
      <c r="B315" s="816" t="s">
        <v>13577</v>
      </c>
      <c r="C315" s="817" t="s">
        <v>6</v>
      </c>
      <c r="D315" s="817" t="s">
        <v>31</v>
      </c>
      <c r="E315" s="1021" t="s">
        <v>13490</v>
      </c>
      <c r="F315" s="1021"/>
      <c r="G315" s="818" t="s">
        <v>19</v>
      </c>
      <c r="H315" s="819">
        <v>2.4590000000000001</v>
      </c>
      <c r="I315" s="820">
        <v>18.86</v>
      </c>
      <c r="J315" s="820">
        <v>46.37</v>
      </c>
    </row>
    <row r="316" spans="1:10" ht="38.25" customHeight="1">
      <c r="A316" s="817" t="s">
        <v>13491</v>
      </c>
      <c r="B316" s="816" t="s">
        <v>13545</v>
      </c>
      <c r="C316" s="817" t="s">
        <v>6</v>
      </c>
      <c r="D316" s="817" t="s">
        <v>30</v>
      </c>
      <c r="E316" s="1021" t="s">
        <v>13490</v>
      </c>
      <c r="F316" s="1021"/>
      <c r="G316" s="818" t="s">
        <v>19</v>
      </c>
      <c r="H316" s="819">
        <v>2.4590000000000001</v>
      </c>
      <c r="I316" s="820">
        <v>18.63</v>
      </c>
      <c r="J316" s="820">
        <v>45.81</v>
      </c>
    </row>
    <row r="317" spans="1:10" ht="25.5" customHeight="1">
      <c r="A317" s="827"/>
      <c r="B317" s="827"/>
      <c r="C317" s="827"/>
      <c r="D317" s="827"/>
      <c r="E317" s="827" t="s">
        <v>13503</v>
      </c>
      <c r="F317" s="826">
        <v>144.94</v>
      </c>
      <c r="G317" s="827" t="s">
        <v>13504</v>
      </c>
      <c r="H317" s="826">
        <v>0</v>
      </c>
      <c r="I317" s="827" t="s">
        <v>13505</v>
      </c>
      <c r="J317" s="826">
        <v>144.94</v>
      </c>
    </row>
    <row r="318" spans="1:10" ht="25.5" customHeight="1" thickBot="1">
      <c r="A318" s="827"/>
      <c r="B318" s="827"/>
      <c r="C318" s="827"/>
      <c r="D318" s="827"/>
      <c r="E318" s="827" t="s">
        <v>13506</v>
      </c>
      <c r="F318" s="826">
        <v>58.14</v>
      </c>
      <c r="G318" s="827"/>
      <c r="H318" s="1018" t="s">
        <v>13507</v>
      </c>
      <c r="I318" s="1018"/>
      <c r="J318" s="826">
        <v>264.04000000000002</v>
      </c>
    </row>
    <row r="319" spans="1:10" ht="25.5" customHeight="1" thickTop="1">
      <c r="A319" s="828"/>
      <c r="B319" s="828"/>
      <c r="C319" s="828"/>
      <c r="D319" s="828"/>
      <c r="E319" s="828"/>
      <c r="F319" s="828"/>
      <c r="G319" s="828"/>
      <c r="H319" s="828"/>
      <c r="I319" s="828"/>
      <c r="J319" s="828"/>
    </row>
    <row r="320" spans="1:10" ht="15">
      <c r="A320" s="809" t="s">
        <v>13664</v>
      </c>
      <c r="B320" s="808" t="s">
        <v>13481</v>
      </c>
      <c r="C320" s="809" t="s">
        <v>13482</v>
      </c>
      <c r="D320" s="809" t="s">
        <v>13483</v>
      </c>
      <c r="E320" s="1019" t="s">
        <v>13484</v>
      </c>
      <c r="F320" s="1019"/>
      <c r="G320" s="810" t="s">
        <v>13485</v>
      </c>
      <c r="H320" s="808" t="s">
        <v>13486</v>
      </c>
      <c r="I320" s="808" t="s">
        <v>13487</v>
      </c>
      <c r="J320" s="808" t="s">
        <v>4867</v>
      </c>
    </row>
    <row r="321" spans="1:10" ht="25.5" customHeight="1">
      <c r="A321" s="812" t="s">
        <v>13488</v>
      </c>
      <c r="B321" s="811" t="s">
        <v>13665</v>
      </c>
      <c r="C321" s="812" t="s">
        <v>6</v>
      </c>
      <c r="D321" s="812" t="s">
        <v>3336</v>
      </c>
      <c r="E321" s="1020" t="s">
        <v>13666</v>
      </c>
      <c r="F321" s="1020"/>
      <c r="G321" s="813" t="s">
        <v>13537</v>
      </c>
      <c r="H321" s="814">
        <v>1</v>
      </c>
      <c r="I321" s="815">
        <v>57.84</v>
      </c>
      <c r="J321" s="815">
        <v>57.84</v>
      </c>
    </row>
    <row r="322" spans="1:10" ht="38.25" customHeight="1">
      <c r="A322" s="817" t="s">
        <v>13491</v>
      </c>
      <c r="B322" s="816" t="s">
        <v>13667</v>
      </c>
      <c r="C322" s="817" t="s">
        <v>6</v>
      </c>
      <c r="D322" s="817" t="s">
        <v>111</v>
      </c>
      <c r="E322" s="1021" t="s">
        <v>13490</v>
      </c>
      <c r="F322" s="1021"/>
      <c r="G322" s="818" t="s">
        <v>19</v>
      </c>
      <c r="H322" s="819">
        <v>8.5000000000000006E-2</v>
      </c>
      <c r="I322" s="820">
        <v>15.93</v>
      </c>
      <c r="J322" s="820">
        <v>1.35</v>
      </c>
    </row>
    <row r="323" spans="1:10" ht="13.5" customHeight="1">
      <c r="A323" s="817" t="s">
        <v>13491</v>
      </c>
      <c r="B323" s="816" t="s">
        <v>13668</v>
      </c>
      <c r="C323" s="817" t="s">
        <v>6</v>
      </c>
      <c r="D323" s="817" t="s">
        <v>125</v>
      </c>
      <c r="E323" s="1021" t="s">
        <v>13490</v>
      </c>
      <c r="F323" s="1021"/>
      <c r="G323" s="818" t="s">
        <v>19</v>
      </c>
      <c r="H323" s="819">
        <v>0.42199999999999999</v>
      </c>
      <c r="I323" s="820">
        <v>17.14</v>
      </c>
      <c r="J323" s="820">
        <v>7.23</v>
      </c>
    </row>
    <row r="324" spans="1:10" ht="38.25">
      <c r="A324" s="822" t="s">
        <v>13493</v>
      </c>
      <c r="B324" s="821" t="s">
        <v>13669</v>
      </c>
      <c r="C324" s="822" t="s">
        <v>6</v>
      </c>
      <c r="D324" s="822" t="s">
        <v>4711</v>
      </c>
      <c r="E324" s="1017" t="s">
        <v>13514</v>
      </c>
      <c r="F324" s="1017"/>
      <c r="G324" s="823" t="s">
        <v>16</v>
      </c>
      <c r="H324" s="824">
        <v>1.5</v>
      </c>
      <c r="I324" s="825">
        <v>32.840000000000003</v>
      </c>
      <c r="J324" s="825">
        <v>49.26</v>
      </c>
    </row>
    <row r="325" spans="1:10" ht="25.5">
      <c r="A325" s="827"/>
      <c r="B325" s="827"/>
      <c r="C325" s="827"/>
      <c r="D325" s="827"/>
      <c r="E325" s="827" t="s">
        <v>13503</v>
      </c>
      <c r="F325" s="826">
        <v>6.1</v>
      </c>
      <c r="G325" s="827" t="s">
        <v>13504</v>
      </c>
      <c r="H325" s="826">
        <v>0</v>
      </c>
      <c r="I325" s="827" t="s">
        <v>13505</v>
      </c>
      <c r="J325" s="826">
        <v>6.1</v>
      </c>
    </row>
    <row r="326" spans="1:10" ht="25.5" customHeight="1" thickBot="1">
      <c r="A326" s="827"/>
      <c r="B326" s="827"/>
      <c r="C326" s="827"/>
      <c r="D326" s="827"/>
      <c r="E326" s="827" t="s">
        <v>13506</v>
      </c>
      <c r="F326" s="826">
        <v>16.329999999999998</v>
      </c>
      <c r="G326" s="827"/>
      <c r="H326" s="1018" t="s">
        <v>13507</v>
      </c>
      <c r="I326" s="1018"/>
      <c r="J326" s="826">
        <v>74.17</v>
      </c>
    </row>
    <row r="327" spans="1:10" ht="25.5" customHeight="1" thickTop="1">
      <c r="A327" s="828"/>
      <c r="B327" s="828"/>
      <c r="C327" s="828"/>
      <c r="D327" s="828"/>
      <c r="E327" s="828"/>
      <c r="F327" s="828"/>
      <c r="G327" s="828"/>
      <c r="H327" s="828"/>
      <c r="I327" s="828"/>
      <c r="J327" s="828"/>
    </row>
    <row r="328" spans="1:10" ht="15">
      <c r="A328" s="809" t="s">
        <v>13670</v>
      </c>
      <c r="B328" s="808" t="s">
        <v>13481</v>
      </c>
      <c r="C328" s="809" t="s">
        <v>13482</v>
      </c>
      <c r="D328" s="809" t="s">
        <v>13483</v>
      </c>
      <c r="E328" s="1019" t="s">
        <v>13484</v>
      </c>
      <c r="F328" s="1019"/>
      <c r="G328" s="810" t="s">
        <v>13485</v>
      </c>
      <c r="H328" s="808" t="s">
        <v>13486</v>
      </c>
      <c r="I328" s="808" t="s">
        <v>13487</v>
      </c>
      <c r="J328" s="808" t="s">
        <v>4867</v>
      </c>
    </row>
    <row r="329" spans="1:10" ht="38.25" customHeight="1">
      <c r="A329" s="812" t="s">
        <v>13488</v>
      </c>
      <c r="B329" s="811" t="s">
        <v>13671</v>
      </c>
      <c r="C329" s="812" t="s">
        <v>6</v>
      </c>
      <c r="D329" s="812" t="s">
        <v>3814</v>
      </c>
      <c r="E329" s="1020" t="s">
        <v>13623</v>
      </c>
      <c r="F329" s="1020"/>
      <c r="G329" s="813" t="s">
        <v>13543</v>
      </c>
      <c r="H329" s="814">
        <v>1</v>
      </c>
      <c r="I329" s="815">
        <v>13.86</v>
      </c>
      <c r="J329" s="815">
        <v>13.86</v>
      </c>
    </row>
    <row r="330" spans="1:10" ht="38.25" customHeight="1">
      <c r="A330" s="817" t="s">
        <v>13491</v>
      </c>
      <c r="B330" s="816" t="s">
        <v>13615</v>
      </c>
      <c r="C330" s="817" t="s">
        <v>6</v>
      </c>
      <c r="D330" s="817" t="s">
        <v>670</v>
      </c>
      <c r="E330" s="1021" t="s">
        <v>13539</v>
      </c>
      <c r="F330" s="1021"/>
      <c r="G330" s="818" t="s">
        <v>28</v>
      </c>
      <c r="H330" s="819">
        <v>3.3000000000000002E-2</v>
      </c>
      <c r="I330" s="820">
        <v>188.22</v>
      </c>
      <c r="J330" s="820">
        <v>6.21</v>
      </c>
    </row>
    <row r="331" spans="1:10" ht="38.25" customHeight="1">
      <c r="A331" s="817" t="s">
        <v>13491</v>
      </c>
      <c r="B331" s="816" t="s">
        <v>13625</v>
      </c>
      <c r="C331" s="817" t="s">
        <v>6</v>
      </c>
      <c r="D331" s="817" t="s">
        <v>1773</v>
      </c>
      <c r="E331" s="1021" t="s">
        <v>13539</v>
      </c>
      <c r="F331" s="1021"/>
      <c r="G331" s="818" t="s">
        <v>28</v>
      </c>
      <c r="H331" s="819">
        <v>6.0999999999999999E-2</v>
      </c>
      <c r="I331" s="820">
        <v>22.75</v>
      </c>
      <c r="J331" s="820">
        <v>1.38</v>
      </c>
    </row>
    <row r="332" spans="1:10" ht="38.25" customHeight="1">
      <c r="A332" s="817" t="s">
        <v>13491</v>
      </c>
      <c r="B332" s="816" t="s">
        <v>13616</v>
      </c>
      <c r="C332" s="817" t="s">
        <v>6</v>
      </c>
      <c r="D332" s="817" t="s">
        <v>671</v>
      </c>
      <c r="E332" s="1021" t="s">
        <v>13539</v>
      </c>
      <c r="F332" s="1021"/>
      <c r="G332" s="818" t="s">
        <v>42</v>
      </c>
      <c r="H332" s="819">
        <v>4.3999999999999997E-2</v>
      </c>
      <c r="I332" s="820">
        <v>68.569999999999993</v>
      </c>
      <c r="J332" s="820">
        <v>3.01</v>
      </c>
    </row>
    <row r="333" spans="1:10" ht="13.5" customHeight="1">
      <c r="A333" s="817" t="s">
        <v>13491</v>
      </c>
      <c r="B333" s="816" t="s">
        <v>13627</v>
      </c>
      <c r="C333" s="817" t="s">
        <v>6</v>
      </c>
      <c r="D333" s="817" t="s">
        <v>1774</v>
      </c>
      <c r="E333" s="1021" t="s">
        <v>13539</v>
      </c>
      <c r="F333" s="1021"/>
      <c r="G333" s="818" t="s">
        <v>42</v>
      </c>
      <c r="H333" s="819">
        <v>5.7000000000000002E-2</v>
      </c>
      <c r="I333" s="820">
        <v>15.22</v>
      </c>
      <c r="J333" s="820">
        <v>0.86</v>
      </c>
    </row>
    <row r="334" spans="1:10" ht="38.25" customHeight="1">
      <c r="A334" s="817" t="s">
        <v>13491</v>
      </c>
      <c r="B334" s="816" t="s">
        <v>13672</v>
      </c>
      <c r="C334" s="817" t="s">
        <v>6</v>
      </c>
      <c r="D334" s="817" t="s">
        <v>2620</v>
      </c>
      <c r="E334" s="1021" t="s">
        <v>13623</v>
      </c>
      <c r="F334" s="1021"/>
      <c r="G334" s="818" t="s">
        <v>13543</v>
      </c>
      <c r="H334" s="819">
        <v>1</v>
      </c>
      <c r="I334" s="820">
        <v>1.9</v>
      </c>
      <c r="J334" s="820">
        <v>1.9</v>
      </c>
    </row>
    <row r="335" spans="1:10" ht="38.25" customHeight="1">
      <c r="A335" s="817" t="s">
        <v>13491</v>
      </c>
      <c r="B335" s="816" t="s">
        <v>13553</v>
      </c>
      <c r="C335" s="817" t="s">
        <v>6</v>
      </c>
      <c r="D335" s="817" t="s">
        <v>21</v>
      </c>
      <c r="E335" s="1021" t="s">
        <v>13490</v>
      </c>
      <c r="F335" s="1021"/>
      <c r="G335" s="818" t="s">
        <v>19</v>
      </c>
      <c r="H335" s="819">
        <v>3.3000000000000002E-2</v>
      </c>
      <c r="I335" s="820">
        <v>15.16</v>
      </c>
      <c r="J335" s="820">
        <v>0.5</v>
      </c>
    </row>
    <row r="336" spans="1:10" ht="25.5" customHeight="1">
      <c r="A336" s="827"/>
      <c r="B336" s="827"/>
      <c r="C336" s="827"/>
      <c r="D336" s="827"/>
      <c r="E336" s="827" t="s">
        <v>13503</v>
      </c>
      <c r="F336" s="826">
        <v>2.81</v>
      </c>
      <c r="G336" s="827" t="s">
        <v>13504</v>
      </c>
      <c r="H336" s="826">
        <v>0</v>
      </c>
      <c r="I336" s="827" t="s">
        <v>13505</v>
      </c>
      <c r="J336" s="826">
        <v>2.81</v>
      </c>
    </row>
    <row r="337" spans="1:10" ht="25.5" customHeight="1" thickBot="1">
      <c r="A337" s="827"/>
      <c r="B337" s="827"/>
      <c r="C337" s="827"/>
      <c r="D337" s="827"/>
      <c r="E337" s="827" t="s">
        <v>13506</v>
      </c>
      <c r="F337" s="826">
        <v>3.91</v>
      </c>
      <c r="G337" s="827"/>
      <c r="H337" s="1018" t="s">
        <v>13507</v>
      </c>
      <c r="I337" s="1018"/>
      <c r="J337" s="826">
        <v>17.77</v>
      </c>
    </row>
    <row r="338" spans="1:10" ht="13.5" thickTop="1">
      <c r="A338" s="828"/>
      <c r="B338" s="828"/>
      <c r="C338" s="828"/>
      <c r="D338" s="828"/>
      <c r="E338" s="828"/>
      <c r="F338" s="828"/>
      <c r="G338" s="828"/>
      <c r="H338" s="828"/>
      <c r="I338" s="828"/>
      <c r="J338" s="828"/>
    </row>
    <row r="339" spans="1:10" ht="15">
      <c r="A339" s="809" t="s">
        <v>13673</v>
      </c>
      <c r="B339" s="808" t="s">
        <v>13481</v>
      </c>
      <c r="C339" s="809" t="s">
        <v>13482</v>
      </c>
      <c r="D339" s="809" t="s">
        <v>13483</v>
      </c>
      <c r="E339" s="1019" t="s">
        <v>13484</v>
      </c>
      <c r="F339" s="1019"/>
      <c r="G339" s="810" t="s">
        <v>13485</v>
      </c>
      <c r="H339" s="808" t="s">
        <v>13486</v>
      </c>
      <c r="I339" s="808" t="s">
        <v>13487</v>
      </c>
      <c r="J339" s="808" t="s">
        <v>4867</v>
      </c>
    </row>
    <row r="340" spans="1:10" ht="38.25" customHeight="1">
      <c r="A340" s="812" t="s">
        <v>13488</v>
      </c>
      <c r="B340" s="811" t="s">
        <v>13674</v>
      </c>
      <c r="C340" s="812" t="s">
        <v>6</v>
      </c>
      <c r="D340" s="812" t="s">
        <v>5316</v>
      </c>
      <c r="E340" s="1020" t="s">
        <v>13614</v>
      </c>
      <c r="F340" s="1020"/>
      <c r="G340" s="813" t="s">
        <v>13543</v>
      </c>
      <c r="H340" s="814">
        <v>1</v>
      </c>
      <c r="I340" s="815">
        <v>6.95</v>
      </c>
      <c r="J340" s="815">
        <v>6.95</v>
      </c>
    </row>
    <row r="341" spans="1:10" ht="38.25" customHeight="1">
      <c r="A341" s="817" t="s">
        <v>13491</v>
      </c>
      <c r="B341" s="816" t="s">
        <v>13617</v>
      </c>
      <c r="C341" s="817" t="s">
        <v>6</v>
      </c>
      <c r="D341" s="817" t="s">
        <v>797</v>
      </c>
      <c r="E341" s="1021" t="s">
        <v>13539</v>
      </c>
      <c r="F341" s="1021"/>
      <c r="G341" s="818" t="s">
        <v>28</v>
      </c>
      <c r="H341" s="819">
        <v>2.6700000000000002E-2</v>
      </c>
      <c r="I341" s="820">
        <v>153.28</v>
      </c>
      <c r="J341" s="820">
        <v>4.09</v>
      </c>
    </row>
    <row r="342" spans="1:10" ht="38.25" customHeight="1">
      <c r="A342" s="817" t="s">
        <v>13491</v>
      </c>
      <c r="B342" s="816" t="s">
        <v>13587</v>
      </c>
      <c r="C342" s="817" t="s">
        <v>6</v>
      </c>
      <c r="D342" s="817" t="s">
        <v>739</v>
      </c>
      <c r="E342" s="1021" t="s">
        <v>13539</v>
      </c>
      <c r="F342" s="1021"/>
      <c r="G342" s="818" t="s">
        <v>42</v>
      </c>
      <c r="H342" s="819">
        <v>1.5100000000000001E-2</v>
      </c>
      <c r="I342" s="820">
        <v>52.21</v>
      </c>
      <c r="J342" s="820">
        <v>0.78</v>
      </c>
    </row>
    <row r="343" spans="1:10" ht="13.5" customHeight="1">
      <c r="A343" s="817" t="s">
        <v>13491</v>
      </c>
      <c r="B343" s="816" t="s">
        <v>13618</v>
      </c>
      <c r="C343" s="817" t="s">
        <v>6</v>
      </c>
      <c r="D343" s="817" t="s">
        <v>798</v>
      </c>
      <c r="E343" s="1021" t="s">
        <v>13539</v>
      </c>
      <c r="F343" s="1021"/>
      <c r="G343" s="818" t="s">
        <v>42</v>
      </c>
      <c r="H343" s="819">
        <v>2.0299999999999999E-2</v>
      </c>
      <c r="I343" s="820">
        <v>39.53</v>
      </c>
      <c r="J343" s="820">
        <v>0.8</v>
      </c>
    </row>
    <row r="344" spans="1:10" ht="38.25" customHeight="1">
      <c r="A344" s="817" t="s">
        <v>13491</v>
      </c>
      <c r="B344" s="816" t="s">
        <v>13588</v>
      </c>
      <c r="C344" s="817" t="s">
        <v>6</v>
      </c>
      <c r="D344" s="817" t="s">
        <v>738</v>
      </c>
      <c r="E344" s="1021" t="s">
        <v>13539</v>
      </c>
      <c r="F344" s="1021"/>
      <c r="G344" s="818" t="s">
        <v>28</v>
      </c>
      <c r="H344" s="819">
        <v>8.3000000000000001E-3</v>
      </c>
      <c r="I344" s="820">
        <v>155.36000000000001</v>
      </c>
      <c r="J344" s="820">
        <v>1.28</v>
      </c>
    </row>
    <row r="345" spans="1:10" ht="25.5">
      <c r="A345" s="827"/>
      <c r="B345" s="827"/>
      <c r="C345" s="827"/>
      <c r="D345" s="827"/>
      <c r="E345" s="827" t="s">
        <v>13503</v>
      </c>
      <c r="F345" s="826">
        <v>0.75</v>
      </c>
      <c r="G345" s="827" t="s">
        <v>13504</v>
      </c>
      <c r="H345" s="826">
        <v>0</v>
      </c>
      <c r="I345" s="827" t="s">
        <v>13505</v>
      </c>
      <c r="J345" s="826">
        <v>0.75</v>
      </c>
    </row>
    <row r="346" spans="1:10" ht="13.5" customHeight="1" thickBot="1">
      <c r="A346" s="827"/>
      <c r="B346" s="827"/>
      <c r="C346" s="827"/>
      <c r="D346" s="827"/>
      <c r="E346" s="827" t="s">
        <v>13506</v>
      </c>
      <c r="F346" s="826">
        <v>1.96</v>
      </c>
      <c r="G346" s="827"/>
      <c r="H346" s="1018" t="s">
        <v>13507</v>
      </c>
      <c r="I346" s="1018"/>
      <c r="J346" s="826">
        <v>8.91</v>
      </c>
    </row>
    <row r="347" spans="1:10" ht="25.5" customHeight="1" thickTop="1">
      <c r="A347" s="828"/>
      <c r="B347" s="828"/>
      <c r="C347" s="828"/>
      <c r="D347" s="828"/>
      <c r="E347" s="828"/>
      <c r="F347" s="828"/>
      <c r="G347" s="828"/>
      <c r="H347" s="828"/>
      <c r="I347" s="828"/>
      <c r="J347" s="828"/>
    </row>
    <row r="348" spans="1:10" ht="25.5" customHeight="1">
      <c r="A348" s="809" t="s">
        <v>13675</v>
      </c>
      <c r="B348" s="808" t="s">
        <v>13481</v>
      </c>
      <c r="C348" s="809" t="s">
        <v>13482</v>
      </c>
      <c r="D348" s="809" t="s">
        <v>13483</v>
      </c>
      <c r="E348" s="1019" t="s">
        <v>13484</v>
      </c>
      <c r="F348" s="1019"/>
      <c r="G348" s="810" t="s">
        <v>13485</v>
      </c>
      <c r="H348" s="808" t="s">
        <v>13486</v>
      </c>
      <c r="I348" s="808" t="s">
        <v>13487</v>
      </c>
      <c r="J348" s="808" t="s">
        <v>4867</v>
      </c>
    </row>
    <row r="349" spans="1:10" ht="25.5" customHeight="1">
      <c r="A349" s="812" t="s">
        <v>13488</v>
      </c>
      <c r="B349" s="811" t="s">
        <v>13676</v>
      </c>
      <c r="C349" s="812" t="s">
        <v>6</v>
      </c>
      <c r="D349" s="812" t="s">
        <v>5288</v>
      </c>
      <c r="E349" s="1020" t="s">
        <v>13614</v>
      </c>
      <c r="F349" s="1020"/>
      <c r="G349" s="813" t="s">
        <v>80</v>
      </c>
      <c r="H349" s="814">
        <v>1</v>
      </c>
      <c r="I349" s="815">
        <v>7.09</v>
      </c>
      <c r="J349" s="815">
        <v>7.09</v>
      </c>
    </row>
    <row r="350" spans="1:10" ht="38.25" customHeight="1">
      <c r="A350" s="817" t="s">
        <v>13491</v>
      </c>
      <c r="B350" s="816" t="s">
        <v>13617</v>
      </c>
      <c r="C350" s="817" t="s">
        <v>6</v>
      </c>
      <c r="D350" s="817" t="s">
        <v>797</v>
      </c>
      <c r="E350" s="1021" t="s">
        <v>13539</v>
      </c>
      <c r="F350" s="1021"/>
      <c r="G350" s="818" t="s">
        <v>28</v>
      </c>
      <c r="H350" s="819">
        <v>4.1700000000000001E-2</v>
      </c>
      <c r="I350" s="820">
        <v>153.28</v>
      </c>
      <c r="J350" s="820">
        <v>6.39</v>
      </c>
    </row>
    <row r="351" spans="1:10" ht="38.25" customHeight="1">
      <c r="A351" s="817" t="s">
        <v>13491</v>
      </c>
      <c r="B351" s="816" t="s">
        <v>13618</v>
      </c>
      <c r="C351" s="817" t="s">
        <v>6</v>
      </c>
      <c r="D351" s="817" t="s">
        <v>798</v>
      </c>
      <c r="E351" s="1021" t="s">
        <v>13539</v>
      </c>
      <c r="F351" s="1021"/>
      <c r="G351" s="818" t="s">
        <v>42</v>
      </c>
      <c r="H351" s="819">
        <v>1.7899999999999999E-2</v>
      </c>
      <c r="I351" s="820">
        <v>39.53</v>
      </c>
      <c r="J351" s="820">
        <v>0.7</v>
      </c>
    </row>
    <row r="352" spans="1:10" ht="25.5">
      <c r="A352" s="827"/>
      <c r="B352" s="827"/>
      <c r="C352" s="827"/>
      <c r="D352" s="827"/>
      <c r="E352" s="827" t="s">
        <v>13503</v>
      </c>
      <c r="F352" s="826">
        <v>0.63</v>
      </c>
      <c r="G352" s="827" t="s">
        <v>13504</v>
      </c>
      <c r="H352" s="826">
        <v>0</v>
      </c>
      <c r="I352" s="827" t="s">
        <v>13505</v>
      </c>
      <c r="J352" s="826">
        <v>0.63</v>
      </c>
    </row>
    <row r="353" spans="1:10" ht="13.5" customHeight="1" thickBot="1">
      <c r="A353" s="827"/>
      <c r="B353" s="827"/>
      <c r="C353" s="827"/>
      <c r="D353" s="827"/>
      <c r="E353" s="827" t="s">
        <v>13506</v>
      </c>
      <c r="F353" s="826">
        <v>2</v>
      </c>
      <c r="G353" s="827"/>
      <c r="H353" s="1018" t="s">
        <v>13507</v>
      </c>
      <c r="I353" s="1018"/>
      <c r="J353" s="826">
        <v>9.09</v>
      </c>
    </row>
    <row r="354" spans="1:10" ht="13.5" thickTop="1">
      <c r="A354" s="828"/>
      <c r="B354" s="828"/>
      <c r="C354" s="828"/>
      <c r="D354" s="828"/>
      <c r="E354" s="828"/>
      <c r="F354" s="828"/>
      <c r="G354" s="828"/>
      <c r="H354" s="828"/>
      <c r="I354" s="828"/>
      <c r="J354" s="828"/>
    </row>
    <row r="355" spans="1:10" ht="15">
      <c r="A355" s="809" t="s">
        <v>13677</v>
      </c>
      <c r="B355" s="808" t="s">
        <v>13481</v>
      </c>
      <c r="C355" s="809" t="s">
        <v>13482</v>
      </c>
      <c r="D355" s="809" t="s">
        <v>13483</v>
      </c>
      <c r="E355" s="1019" t="s">
        <v>13484</v>
      </c>
      <c r="F355" s="1019"/>
      <c r="G355" s="810" t="s">
        <v>13485</v>
      </c>
      <c r="H355" s="808" t="s">
        <v>13486</v>
      </c>
      <c r="I355" s="808" t="s">
        <v>13487</v>
      </c>
      <c r="J355" s="808" t="s">
        <v>4867</v>
      </c>
    </row>
    <row r="356" spans="1:10" ht="25.5" customHeight="1">
      <c r="A356" s="812" t="s">
        <v>13488</v>
      </c>
      <c r="B356" s="811" t="s">
        <v>13678</v>
      </c>
      <c r="C356" s="812" t="s">
        <v>6</v>
      </c>
      <c r="D356" s="812" t="s">
        <v>7662</v>
      </c>
      <c r="E356" s="1020" t="s">
        <v>13623</v>
      </c>
      <c r="F356" s="1020"/>
      <c r="G356" s="813" t="s">
        <v>13543</v>
      </c>
      <c r="H356" s="814">
        <v>1</v>
      </c>
      <c r="I356" s="815">
        <v>29.87</v>
      </c>
      <c r="J356" s="815">
        <v>29.87</v>
      </c>
    </row>
    <row r="357" spans="1:10" ht="38.25" customHeight="1">
      <c r="A357" s="817" t="s">
        <v>13491</v>
      </c>
      <c r="B357" s="816" t="s">
        <v>13679</v>
      </c>
      <c r="C357" s="817" t="s">
        <v>6</v>
      </c>
      <c r="D357" s="817" t="s">
        <v>2782</v>
      </c>
      <c r="E357" s="1021" t="s">
        <v>13539</v>
      </c>
      <c r="F357" s="1021"/>
      <c r="G357" s="818" t="s">
        <v>28</v>
      </c>
      <c r="H357" s="819">
        <v>0.30399999999999999</v>
      </c>
      <c r="I357" s="820">
        <v>73.349999999999994</v>
      </c>
      <c r="J357" s="820">
        <v>22.29</v>
      </c>
    </row>
    <row r="358" spans="1:10" ht="13.5" customHeight="1">
      <c r="A358" s="817" t="s">
        <v>13491</v>
      </c>
      <c r="B358" s="816" t="s">
        <v>13680</v>
      </c>
      <c r="C358" s="817" t="s">
        <v>6</v>
      </c>
      <c r="D358" s="817" t="s">
        <v>2783</v>
      </c>
      <c r="E358" s="1021" t="s">
        <v>13539</v>
      </c>
      <c r="F358" s="1021"/>
      <c r="G358" s="818" t="s">
        <v>42</v>
      </c>
      <c r="H358" s="819">
        <v>0.125</v>
      </c>
      <c r="I358" s="820">
        <v>36</v>
      </c>
      <c r="J358" s="820">
        <v>4.5</v>
      </c>
    </row>
    <row r="359" spans="1:10" ht="38.25" customHeight="1">
      <c r="A359" s="817" t="s">
        <v>13491</v>
      </c>
      <c r="B359" s="816" t="s">
        <v>13553</v>
      </c>
      <c r="C359" s="817" t="s">
        <v>6</v>
      </c>
      <c r="D359" s="817" t="s">
        <v>21</v>
      </c>
      <c r="E359" s="1021" t="s">
        <v>13490</v>
      </c>
      <c r="F359" s="1021"/>
      <c r="G359" s="818" t="s">
        <v>19</v>
      </c>
      <c r="H359" s="819">
        <v>7.3999999999999996E-2</v>
      </c>
      <c r="I359" s="820">
        <v>15.16</v>
      </c>
      <c r="J359" s="820">
        <v>1.1200000000000001</v>
      </c>
    </row>
    <row r="360" spans="1:10" ht="38.25" customHeight="1">
      <c r="A360" s="817" t="s">
        <v>13491</v>
      </c>
      <c r="B360" s="816" t="s">
        <v>13577</v>
      </c>
      <c r="C360" s="817" t="s">
        <v>6</v>
      </c>
      <c r="D360" s="817" t="s">
        <v>31</v>
      </c>
      <c r="E360" s="1021" t="s">
        <v>13490</v>
      </c>
      <c r="F360" s="1021"/>
      <c r="G360" s="818" t="s">
        <v>19</v>
      </c>
      <c r="H360" s="819">
        <v>0.104</v>
      </c>
      <c r="I360" s="820">
        <v>18.86</v>
      </c>
      <c r="J360" s="820">
        <v>1.96</v>
      </c>
    </row>
    <row r="361" spans="1:10" ht="25.5">
      <c r="A361" s="827"/>
      <c r="B361" s="827"/>
      <c r="C361" s="827"/>
      <c r="D361" s="827"/>
      <c r="E361" s="827" t="s">
        <v>13503</v>
      </c>
      <c r="F361" s="826">
        <v>8.15</v>
      </c>
      <c r="G361" s="827" t="s">
        <v>13504</v>
      </c>
      <c r="H361" s="826">
        <v>0</v>
      </c>
      <c r="I361" s="827" t="s">
        <v>13505</v>
      </c>
      <c r="J361" s="826">
        <v>8.15</v>
      </c>
    </row>
    <row r="362" spans="1:10" ht="25.5" customHeight="1" thickBot="1">
      <c r="A362" s="827"/>
      <c r="B362" s="827"/>
      <c r="C362" s="827"/>
      <c r="D362" s="827"/>
      <c r="E362" s="827" t="s">
        <v>13506</v>
      </c>
      <c r="F362" s="826">
        <v>8.43</v>
      </c>
      <c r="G362" s="827"/>
      <c r="H362" s="1018" t="s">
        <v>13507</v>
      </c>
      <c r="I362" s="1018"/>
      <c r="J362" s="826">
        <v>38.299999999999997</v>
      </c>
    </row>
    <row r="363" spans="1:10" ht="25.5" customHeight="1" thickTop="1">
      <c r="A363" s="828"/>
      <c r="B363" s="828"/>
      <c r="C363" s="828"/>
      <c r="D363" s="828"/>
      <c r="E363" s="828"/>
      <c r="F363" s="828"/>
      <c r="G363" s="828"/>
      <c r="H363" s="828"/>
      <c r="I363" s="828"/>
      <c r="J363" s="828"/>
    </row>
    <row r="364" spans="1:10" ht="25.5" customHeight="1">
      <c r="A364" s="809" t="s">
        <v>13681</v>
      </c>
      <c r="B364" s="808" t="s">
        <v>13481</v>
      </c>
      <c r="C364" s="809" t="s">
        <v>13482</v>
      </c>
      <c r="D364" s="809" t="s">
        <v>13483</v>
      </c>
      <c r="E364" s="1019" t="s">
        <v>13484</v>
      </c>
      <c r="F364" s="1019"/>
      <c r="G364" s="810" t="s">
        <v>13485</v>
      </c>
      <c r="H364" s="808" t="s">
        <v>13486</v>
      </c>
      <c r="I364" s="808" t="s">
        <v>13487</v>
      </c>
      <c r="J364" s="808" t="s">
        <v>4867</v>
      </c>
    </row>
    <row r="365" spans="1:10" ht="25.5" customHeight="1">
      <c r="A365" s="812" t="s">
        <v>13488</v>
      </c>
      <c r="B365" s="811" t="s">
        <v>13682</v>
      </c>
      <c r="C365" s="812" t="s">
        <v>6</v>
      </c>
      <c r="D365" s="812" t="s">
        <v>2831</v>
      </c>
      <c r="E365" s="1020" t="s">
        <v>13542</v>
      </c>
      <c r="F365" s="1020"/>
      <c r="G365" s="813" t="s">
        <v>16</v>
      </c>
      <c r="H365" s="814">
        <v>1</v>
      </c>
      <c r="I365" s="815">
        <v>16.16</v>
      </c>
      <c r="J365" s="815">
        <v>16.16</v>
      </c>
    </row>
    <row r="366" spans="1:10" ht="38.25" customHeight="1">
      <c r="A366" s="817" t="s">
        <v>13491</v>
      </c>
      <c r="B366" s="816" t="s">
        <v>13683</v>
      </c>
      <c r="C366" s="817" t="s">
        <v>6</v>
      </c>
      <c r="D366" s="817" t="s">
        <v>2046</v>
      </c>
      <c r="E366" s="1021" t="s">
        <v>13542</v>
      </c>
      <c r="F366" s="1021"/>
      <c r="G366" s="818" t="s">
        <v>16</v>
      </c>
      <c r="H366" s="819">
        <v>1</v>
      </c>
      <c r="I366" s="820">
        <v>12.79</v>
      </c>
      <c r="J366" s="820">
        <v>12.79</v>
      </c>
    </row>
    <row r="367" spans="1:10" ht="38.25" customHeight="1">
      <c r="A367" s="817" t="s">
        <v>13491</v>
      </c>
      <c r="B367" s="816" t="s">
        <v>13637</v>
      </c>
      <c r="C367" s="817" t="s">
        <v>6</v>
      </c>
      <c r="D367" s="817" t="s">
        <v>107</v>
      </c>
      <c r="E367" s="1021" t="s">
        <v>13490</v>
      </c>
      <c r="F367" s="1021"/>
      <c r="G367" s="818" t="s">
        <v>19</v>
      </c>
      <c r="H367" s="819">
        <v>3.7499999999999999E-2</v>
      </c>
      <c r="I367" s="820">
        <v>15.19</v>
      </c>
      <c r="J367" s="820">
        <v>0.56000000000000005</v>
      </c>
    </row>
    <row r="368" spans="1:10" ht="13.5" customHeight="1">
      <c r="A368" s="817" t="s">
        <v>13491</v>
      </c>
      <c r="B368" s="816" t="s">
        <v>13638</v>
      </c>
      <c r="C368" s="817" t="s">
        <v>6</v>
      </c>
      <c r="D368" s="817" t="s">
        <v>112</v>
      </c>
      <c r="E368" s="1021" t="s">
        <v>13490</v>
      </c>
      <c r="F368" s="1021"/>
      <c r="G368" s="818" t="s">
        <v>19</v>
      </c>
      <c r="H368" s="819">
        <v>0.11550000000000001</v>
      </c>
      <c r="I368" s="820">
        <v>18.75</v>
      </c>
      <c r="J368" s="820">
        <v>2.16</v>
      </c>
    </row>
    <row r="369" spans="1:10" ht="25.5">
      <c r="A369" s="822" t="s">
        <v>13493</v>
      </c>
      <c r="B369" s="821" t="s">
        <v>13639</v>
      </c>
      <c r="C369" s="822" t="s">
        <v>6</v>
      </c>
      <c r="D369" s="822" t="s">
        <v>5166</v>
      </c>
      <c r="E369" s="1017" t="s">
        <v>13514</v>
      </c>
      <c r="F369" s="1017"/>
      <c r="G369" s="823" t="s">
        <v>16</v>
      </c>
      <c r="H369" s="824">
        <v>2.5000000000000001E-2</v>
      </c>
      <c r="I369" s="825">
        <v>20</v>
      </c>
      <c r="J369" s="825">
        <v>0.5</v>
      </c>
    </row>
    <row r="370" spans="1:10" ht="25.5">
      <c r="A370" s="822" t="s">
        <v>13493</v>
      </c>
      <c r="B370" s="821" t="s">
        <v>13640</v>
      </c>
      <c r="C370" s="822" t="s">
        <v>6</v>
      </c>
      <c r="D370" s="822" t="s">
        <v>4663</v>
      </c>
      <c r="E370" s="1017" t="s">
        <v>13514</v>
      </c>
      <c r="F370" s="1017"/>
      <c r="G370" s="823" t="s">
        <v>24</v>
      </c>
      <c r="H370" s="824">
        <v>0.72399999999999998</v>
      </c>
      <c r="I370" s="825">
        <v>0.22</v>
      </c>
      <c r="J370" s="825">
        <v>0.15</v>
      </c>
    </row>
    <row r="371" spans="1:10" ht="25.5" customHeight="1">
      <c r="A371" s="827"/>
      <c r="B371" s="827"/>
      <c r="C371" s="827"/>
      <c r="D371" s="827"/>
      <c r="E371" s="827" t="s">
        <v>13503</v>
      </c>
      <c r="F371" s="826">
        <v>2.31</v>
      </c>
      <c r="G371" s="827" t="s">
        <v>13504</v>
      </c>
      <c r="H371" s="826">
        <v>0</v>
      </c>
      <c r="I371" s="827" t="s">
        <v>13505</v>
      </c>
      <c r="J371" s="826">
        <v>2.31</v>
      </c>
    </row>
    <row r="372" spans="1:10" ht="25.5" customHeight="1" thickBot="1">
      <c r="A372" s="827"/>
      <c r="B372" s="827"/>
      <c r="C372" s="827"/>
      <c r="D372" s="827"/>
      <c r="E372" s="827" t="s">
        <v>13506</v>
      </c>
      <c r="F372" s="826">
        <v>4.5599999999999996</v>
      </c>
      <c r="G372" s="827"/>
      <c r="H372" s="1018" t="s">
        <v>13507</v>
      </c>
      <c r="I372" s="1018"/>
      <c r="J372" s="826">
        <v>20.72</v>
      </c>
    </row>
    <row r="373" spans="1:10" ht="25.5" customHeight="1" thickTop="1">
      <c r="A373" s="828"/>
      <c r="B373" s="828"/>
      <c r="C373" s="828"/>
      <c r="D373" s="828"/>
      <c r="E373" s="828"/>
      <c r="F373" s="828"/>
      <c r="G373" s="828"/>
      <c r="H373" s="828"/>
      <c r="I373" s="828"/>
      <c r="J373" s="828"/>
    </row>
    <row r="374" spans="1:10" ht="25.5" customHeight="1">
      <c r="A374" s="809" t="s">
        <v>13684</v>
      </c>
      <c r="B374" s="808" t="s">
        <v>13481</v>
      </c>
      <c r="C374" s="809" t="s">
        <v>13482</v>
      </c>
      <c r="D374" s="809" t="s">
        <v>13483</v>
      </c>
      <c r="E374" s="1019" t="s">
        <v>13484</v>
      </c>
      <c r="F374" s="1019"/>
      <c r="G374" s="810" t="s">
        <v>13485</v>
      </c>
      <c r="H374" s="808" t="s">
        <v>13486</v>
      </c>
      <c r="I374" s="808" t="s">
        <v>13487</v>
      </c>
      <c r="J374" s="808" t="s">
        <v>4867</v>
      </c>
    </row>
    <row r="375" spans="1:10" ht="25.5" customHeight="1">
      <c r="A375" s="812" t="s">
        <v>13488</v>
      </c>
      <c r="B375" s="811" t="s">
        <v>13685</v>
      </c>
      <c r="C375" s="812" t="s">
        <v>6</v>
      </c>
      <c r="D375" s="812" t="s">
        <v>2822</v>
      </c>
      <c r="E375" s="1020" t="s">
        <v>13542</v>
      </c>
      <c r="F375" s="1020"/>
      <c r="G375" s="813" t="s">
        <v>13537</v>
      </c>
      <c r="H375" s="814">
        <v>1</v>
      </c>
      <c r="I375" s="815">
        <v>59.82</v>
      </c>
      <c r="J375" s="815">
        <v>59.82</v>
      </c>
    </row>
    <row r="376" spans="1:10" ht="38.25" customHeight="1">
      <c r="A376" s="817" t="s">
        <v>13491</v>
      </c>
      <c r="B376" s="816" t="s">
        <v>13538</v>
      </c>
      <c r="C376" s="817" t="s">
        <v>6</v>
      </c>
      <c r="D376" s="817" t="s">
        <v>1793</v>
      </c>
      <c r="E376" s="1021" t="s">
        <v>13539</v>
      </c>
      <c r="F376" s="1021"/>
      <c r="G376" s="818" t="s">
        <v>28</v>
      </c>
      <c r="H376" s="819">
        <v>1.7000000000000001E-2</v>
      </c>
      <c r="I376" s="820">
        <v>15.82</v>
      </c>
      <c r="J376" s="820">
        <v>0.26</v>
      </c>
    </row>
    <row r="377" spans="1:10" ht="13.5" customHeight="1">
      <c r="A377" s="817" t="s">
        <v>13491</v>
      </c>
      <c r="B377" s="816" t="s">
        <v>13540</v>
      </c>
      <c r="C377" s="817" t="s">
        <v>6</v>
      </c>
      <c r="D377" s="817" t="s">
        <v>1794</v>
      </c>
      <c r="E377" s="1021" t="s">
        <v>13539</v>
      </c>
      <c r="F377" s="1021"/>
      <c r="G377" s="818" t="s">
        <v>42</v>
      </c>
      <c r="H377" s="819">
        <v>1.4E-2</v>
      </c>
      <c r="I377" s="820">
        <v>14.51</v>
      </c>
      <c r="J377" s="820">
        <v>0.2</v>
      </c>
    </row>
    <row r="378" spans="1:10" ht="38.25" customHeight="1">
      <c r="A378" s="817" t="s">
        <v>13491</v>
      </c>
      <c r="B378" s="816" t="s">
        <v>13544</v>
      </c>
      <c r="C378" s="817" t="s">
        <v>6</v>
      </c>
      <c r="D378" s="817" t="s">
        <v>29</v>
      </c>
      <c r="E378" s="1021" t="s">
        <v>13490</v>
      </c>
      <c r="F378" s="1021"/>
      <c r="G378" s="818" t="s">
        <v>19</v>
      </c>
      <c r="H378" s="819">
        <v>0.47099999999999997</v>
      </c>
      <c r="I378" s="820">
        <v>15.96</v>
      </c>
      <c r="J378" s="820">
        <v>7.51</v>
      </c>
    </row>
    <row r="379" spans="1:10" ht="38.25" customHeight="1">
      <c r="A379" s="817" t="s">
        <v>13491</v>
      </c>
      <c r="B379" s="816" t="s">
        <v>13545</v>
      </c>
      <c r="C379" s="817" t="s">
        <v>6</v>
      </c>
      <c r="D379" s="817" t="s">
        <v>30</v>
      </c>
      <c r="E379" s="1021" t="s">
        <v>13490</v>
      </c>
      <c r="F379" s="1021"/>
      <c r="G379" s="818" t="s">
        <v>19</v>
      </c>
      <c r="H379" s="819">
        <v>1.145</v>
      </c>
      <c r="I379" s="820">
        <v>18.63</v>
      </c>
      <c r="J379" s="820">
        <v>21.33</v>
      </c>
    </row>
    <row r="380" spans="1:10" ht="25.5">
      <c r="A380" s="822" t="s">
        <v>13493</v>
      </c>
      <c r="B380" s="821" t="s">
        <v>13646</v>
      </c>
      <c r="C380" s="822" t="s">
        <v>6</v>
      </c>
      <c r="D380" s="822" t="s">
        <v>4636</v>
      </c>
      <c r="E380" s="1017" t="s">
        <v>13514</v>
      </c>
      <c r="F380" s="1017"/>
      <c r="G380" s="823" t="s">
        <v>39</v>
      </c>
      <c r="H380" s="824">
        <v>1.7000000000000001E-2</v>
      </c>
      <c r="I380" s="825">
        <v>5.24</v>
      </c>
      <c r="J380" s="825">
        <v>0.08</v>
      </c>
    </row>
    <row r="381" spans="1:10" ht="25.5" customHeight="1">
      <c r="A381" s="822" t="s">
        <v>13493</v>
      </c>
      <c r="B381" s="821" t="s">
        <v>13686</v>
      </c>
      <c r="C381" s="822" t="s">
        <v>6</v>
      </c>
      <c r="D381" s="822" t="s">
        <v>6138</v>
      </c>
      <c r="E381" s="1017" t="s">
        <v>13514</v>
      </c>
      <c r="F381" s="1017"/>
      <c r="G381" s="823" t="s">
        <v>14</v>
      </c>
      <c r="H381" s="824">
        <v>0.60499999999999998</v>
      </c>
      <c r="I381" s="825">
        <v>8.98</v>
      </c>
      <c r="J381" s="825">
        <v>5.43</v>
      </c>
    </row>
    <row r="382" spans="1:10">
      <c r="A382" s="822" t="s">
        <v>13493</v>
      </c>
      <c r="B382" s="821" t="s">
        <v>13647</v>
      </c>
      <c r="C382" s="822" t="s">
        <v>6</v>
      </c>
      <c r="D382" s="822" t="s">
        <v>4759</v>
      </c>
      <c r="E382" s="1017" t="s">
        <v>13514</v>
      </c>
      <c r="F382" s="1017"/>
      <c r="G382" s="823" t="s">
        <v>16</v>
      </c>
      <c r="H382" s="824">
        <v>3.4000000000000002E-2</v>
      </c>
      <c r="I382" s="825">
        <v>29.33</v>
      </c>
      <c r="J382" s="825">
        <v>0.99</v>
      </c>
    </row>
    <row r="383" spans="1:10">
      <c r="A383" s="822" t="s">
        <v>13493</v>
      </c>
      <c r="B383" s="821" t="s">
        <v>13649</v>
      </c>
      <c r="C383" s="822" t="s">
        <v>6</v>
      </c>
      <c r="D383" s="822" t="s">
        <v>4763</v>
      </c>
      <c r="E383" s="1017" t="s">
        <v>13514</v>
      </c>
      <c r="F383" s="1017"/>
      <c r="G383" s="823" t="s">
        <v>16</v>
      </c>
      <c r="H383" s="824">
        <v>2.5999999999999999E-2</v>
      </c>
      <c r="I383" s="825">
        <v>24.22</v>
      </c>
      <c r="J383" s="825">
        <v>0.62</v>
      </c>
    </row>
    <row r="384" spans="1:10" ht="25.5">
      <c r="A384" s="822" t="s">
        <v>13493</v>
      </c>
      <c r="B384" s="821" t="s">
        <v>13650</v>
      </c>
      <c r="C384" s="822" t="s">
        <v>6</v>
      </c>
      <c r="D384" s="822" t="s">
        <v>6139</v>
      </c>
      <c r="E384" s="1017" t="s">
        <v>13514</v>
      </c>
      <c r="F384" s="1017"/>
      <c r="G384" s="823" t="s">
        <v>14</v>
      </c>
      <c r="H384" s="824">
        <v>0.56699999999999995</v>
      </c>
      <c r="I384" s="825">
        <v>3.14</v>
      </c>
      <c r="J384" s="825">
        <v>1.78</v>
      </c>
    </row>
    <row r="385" spans="1:10" ht="25.5">
      <c r="A385" s="822" t="s">
        <v>13493</v>
      </c>
      <c r="B385" s="821" t="s">
        <v>13651</v>
      </c>
      <c r="C385" s="822" t="s">
        <v>6</v>
      </c>
      <c r="D385" s="822" t="s">
        <v>12285</v>
      </c>
      <c r="E385" s="1017" t="s">
        <v>13514</v>
      </c>
      <c r="F385" s="1017"/>
      <c r="G385" s="823" t="s">
        <v>14</v>
      </c>
      <c r="H385" s="824">
        <v>1.008</v>
      </c>
      <c r="I385" s="825">
        <v>21.45</v>
      </c>
      <c r="J385" s="825">
        <v>21.62</v>
      </c>
    </row>
    <row r="386" spans="1:10" ht="25.5">
      <c r="A386" s="827"/>
      <c r="B386" s="827"/>
      <c r="C386" s="827"/>
      <c r="D386" s="827"/>
      <c r="E386" s="827" t="s">
        <v>13503</v>
      </c>
      <c r="F386" s="826">
        <v>21.42</v>
      </c>
      <c r="G386" s="827" t="s">
        <v>13504</v>
      </c>
      <c r="H386" s="826">
        <v>0</v>
      </c>
      <c r="I386" s="827" t="s">
        <v>13505</v>
      </c>
      <c r="J386" s="826">
        <v>21.42</v>
      </c>
    </row>
    <row r="387" spans="1:10" ht="13.5" customHeight="1" thickBot="1">
      <c r="A387" s="827"/>
      <c r="B387" s="827"/>
      <c r="C387" s="827"/>
      <c r="D387" s="827"/>
      <c r="E387" s="827" t="s">
        <v>13506</v>
      </c>
      <c r="F387" s="826">
        <v>16.89</v>
      </c>
      <c r="G387" s="827"/>
      <c r="H387" s="1018" t="s">
        <v>13507</v>
      </c>
      <c r="I387" s="1018"/>
      <c r="J387" s="826">
        <v>76.709999999999994</v>
      </c>
    </row>
    <row r="388" spans="1:10" ht="13.5" thickTop="1">
      <c r="A388" s="828"/>
      <c r="B388" s="828"/>
      <c r="C388" s="828"/>
      <c r="D388" s="828"/>
      <c r="E388" s="828"/>
      <c r="F388" s="828"/>
      <c r="G388" s="828"/>
      <c r="H388" s="828"/>
      <c r="I388" s="828"/>
      <c r="J388" s="828"/>
    </row>
    <row r="389" spans="1:10" ht="15">
      <c r="A389" s="809" t="s">
        <v>13687</v>
      </c>
      <c r="B389" s="808" t="s">
        <v>13481</v>
      </c>
      <c r="C389" s="809" t="s">
        <v>13482</v>
      </c>
      <c r="D389" s="809" t="s">
        <v>13483</v>
      </c>
      <c r="E389" s="1019" t="s">
        <v>13484</v>
      </c>
      <c r="F389" s="1019"/>
      <c r="G389" s="810" t="s">
        <v>13485</v>
      </c>
      <c r="H389" s="808" t="s">
        <v>13486</v>
      </c>
      <c r="I389" s="808" t="s">
        <v>13487</v>
      </c>
      <c r="J389" s="808" t="s">
        <v>4867</v>
      </c>
    </row>
    <row r="390" spans="1:10" ht="25.5" customHeight="1">
      <c r="A390" s="812" t="s">
        <v>13488</v>
      </c>
      <c r="B390" s="811" t="s">
        <v>13688</v>
      </c>
      <c r="C390" s="812" t="s">
        <v>6</v>
      </c>
      <c r="D390" s="812" t="s">
        <v>484</v>
      </c>
      <c r="E390" s="1020" t="s">
        <v>13623</v>
      </c>
      <c r="F390" s="1020"/>
      <c r="G390" s="813" t="s">
        <v>13543</v>
      </c>
      <c r="H390" s="814">
        <v>1</v>
      </c>
      <c r="I390" s="815">
        <v>21.84</v>
      </c>
      <c r="J390" s="815">
        <v>21.84</v>
      </c>
    </row>
    <row r="391" spans="1:10" ht="25.5" customHeight="1">
      <c r="A391" s="817" t="s">
        <v>13491</v>
      </c>
      <c r="B391" s="816" t="s">
        <v>13625</v>
      </c>
      <c r="C391" s="817" t="s">
        <v>6</v>
      </c>
      <c r="D391" s="817" t="s">
        <v>1773</v>
      </c>
      <c r="E391" s="1021" t="s">
        <v>13539</v>
      </c>
      <c r="F391" s="1021"/>
      <c r="G391" s="818" t="s">
        <v>28</v>
      </c>
      <c r="H391" s="819">
        <v>0.27400000000000002</v>
      </c>
      <c r="I391" s="820">
        <v>22.75</v>
      </c>
      <c r="J391" s="820">
        <v>6.23</v>
      </c>
    </row>
    <row r="392" spans="1:10" ht="38.25" customHeight="1">
      <c r="A392" s="817" t="s">
        <v>13491</v>
      </c>
      <c r="B392" s="816" t="s">
        <v>13627</v>
      </c>
      <c r="C392" s="817" t="s">
        <v>6</v>
      </c>
      <c r="D392" s="817" t="s">
        <v>1774</v>
      </c>
      <c r="E392" s="1021" t="s">
        <v>13539</v>
      </c>
      <c r="F392" s="1021"/>
      <c r="G392" s="818" t="s">
        <v>42</v>
      </c>
      <c r="H392" s="819">
        <v>0.254</v>
      </c>
      <c r="I392" s="820">
        <v>15.22</v>
      </c>
      <c r="J392" s="820">
        <v>3.86</v>
      </c>
    </row>
    <row r="393" spans="1:10" ht="38.25" customHeight="1">
      <c r="A393" s="817" t="s">
        <v>13491</v>
      </c>
      <c r="B393" s="816" t="s">
        <v>13672</v>
      </c>
      <c r="C393" s="817" t="s">
        <v>6</v>
      </c>
      <c r="D393" s="817" t="s">
        <v>2620</v>
      </c>
      <c r="E393" s="1021" t="s">
        <v>13623</v>
      </c>
      <c r="F393" s="1021"/>
      <c r="G393" s="818" t="s">
        <v>13543</v>
      </c>
      <c r="H393" s="819">
        <v>1</v>
      </c>
      <c r="I393" s="820">
        <v>1.9</v>
      </c>
      <c r="J393" s="820">
        <v>1.9</v>
      </c>
    </row>
    <row r="394" spans="1:10" ht="38.25" customHeight="1">
      <c r="A394" s="817" t="s">
        <v>13491</v>
      </c>
      <c r="B394" s="816" t="s">
        <v>13553</v>
      </c>
      <c r="C394" s="817" t="s">
        <v>6</v>
      </c>
      <c r="D394" s="817" t="s">
        <v>21</v>
      </c>
      <c r="E394" s="1021" t="s">
        <v>13490</v>
      </c>
      <c r="F394" s="1021"/>
      <c r="G394" s="818" t="s">
        <v>19</v>
      </c>
      <c r="H394" s="819">
        <v>0.65</v>
      </c>
      <c r="I394" s="820">
        <v>15.16</v>
      </c>
      <c r="J394" s="820">
        <v>9.85</v>
      </c>
    </row>
    <row r="395" spans="1:10" ht="25.5">
      <c r="A395" s="827"/>
      <c r="B395" s="827"/>
      <c r="C395" s="827"/>
      <c r="D395" s="827"/>
      <c r="E395" s="827" t="s">
        <v>13503</v>
      </c>
      <c r="F395" s="826">
        <v>12.47</v>
      </c>
      <c r="G395" s="827" t="s">
        <v>13504</v>
      </c>
      <c r="H395" s="826">
        <v>0</v>
      </c>
      <c r="I395" s="827" t="s">
        <v>13505</v>
      </c>
      <c r="J395" s="826">
        <v>12.47</v>
      </c>
    </row>
    <row r="396" spans="1:10" ht="13.5" customHeight="1" thickBot="1">
      <c r="A396" s="827"/>
      <c r="B396" s="827"/>
      <c r="C396" s="827"/>
      <c r="D396" s="827"/>
      <c r="E396" s="827" t="s">
        <v>13506</v>
      </c>
      <c r="F396" s="826">
        <v>6.16</v>
      </c>
      <c r="G396" s="827"/>
      <c r="H396" s="1018" t="s">
        <v>13507</v>
      </c>
      <c r="I396" s="1018"/>
      <c r="J396" s="826">
        <v>28</v>
      </c>
    </row>
    <row r="397" spans="1:10" ht="13.5" customHeight="1" thickTop="1">
      <c r="A397" s="828"/>
      <c r="B397" s="828"/>
      <c r="C397" s="828"/>
      <c r="D397" s="828"/>
      <c r="E397" s="828"/>
      <c r="F397" s="828"/>
      <c r="G397" s="828"/>
      <c r="H397" s="828"/>
      <c r="I397" s="828"/>
      <c r="J397" s="828"/>
    </row>
    <row r="398" spans="1:10" ht="15">
      <c r="A398" s="809" t="s">
        <v>13689</v>
      </c>
      <c r="B398" s="808" t="s">
        <v>13481</v>
      </c>
      <c r="C398" s="809" t="s">
        <v>13482</v>
      </c>
      <c r="D398" s="809" t="s">
        <v>13483</v>
      </c>
      <c r="E398" s="1019" t="s">
        <v>13484</v>
      </c>
      <c r="F398" s="1019"/>
      <c r="G398" s="810" t="s">
        <v>13485</v>
      </c>
      <c r="H398" s="808" t="s">
        <v>13486</v>
      </c>
      <c r="I398" s="808" t="s">
        <v>13487</v>
      </c>
      <c r="J398" s="808" t="s">
        <v>4867</v>
      </c>
    </row>
    <row r="399" spans="1:10" ht="38.25" customHeight="1">
      <c r="A399" s="812" t="s">
        <v>13488</v>
      </c>
      <c r="B399" s="811" t="s">
        <v>13690</v>
      </c>
      <c r="C399" s="812" t="s">
        <v>6</v>
      </c>
      <c r="D399" s="812" t="s">
        <v>2028</v>
      </c>
      <c r="E399" s="1020" t="s">
        <v>13542</v>
      </c>
      <c r="F399" s="1020"/>
      <c r="G399" s="813" t="s">
        <v>16</v>
      </c>
      <c r="H399" s="814">
        <v>1</v>
      </c>
      <c r="I399" s="815">
        <v>17.71</v>
      </c>
      <c r="J399" s="815">
        <v>17.71</v>
      </c>
    </row>
    <row r="400" spans="1:10" ht="25.5" customHeight="1">
      <c r="A400" s="817" t="s">
        <v>13491</v>
      </c>
      <c r="B400" s="816" t="s">
        <v>13643</v>
      </c>
      <c r="C400" s="817" t="s">
        <v>6</v>
      </c>
      <c r="D400" s="817" t="s">
        <v>2044</v>
      </c>
      <c r="E400" s="1021" t="s">
        <v>13542</v>
      </c>
      <c r="F400" s="1021"/>
      <c r="G400" s="818" t="s">
        <v>16</v>
      </c>
      <c r="H400" s="819">
        <v>1</v>
      </c>
      <c r="I400" s="820">
        <v>12.2</v>
      </c>
      <c r="J400" s="820">
        <v>12.2</v>
      </c>
    </row>
    <row r="401" spans="1:10" ht="25.5" customHeight="1">
      <c r="A401" s="817" t="s">
        <v>13491</v>
      </c>
      <c r="B401" s="816" t="s">
        <v>13637</v>
      </c>
      <c r="C401" s="817" t="s">
        <v>6</v>
      </c>
      <c r="D401" s="817" t="s">
        <v>107</v>
      </c>
      <c r="E401" s="1021" t="s">
        <v>13490</v>
      </c>
      <c r="F401" s="1021"/>
      <c r="G401" s="818" t="s">
        <v>19</v>
      </c>
      <c r="H401" s="819">
        <v>3.6700000000000003E-2</v>
      </c>
      <c r="I401" s="820">
        <v>15.19</v>
      </c>
      <c r="J401" s="820">
        <v>0.55000000000000004</v>
      </c>
    </row>
    <row r="402" spans="1:10" ht="25.5" customHeight="1">
      <c r="A402" s="817" t="s">
        <v>13491</v>
      </c>
      <c r="B402" s="816" t="s">
        <v>13638</v>
      </c>
      <c r="C402" s="817" t="s">
        <v>6</v>
      </c>
      <c r="D402" s="817" t="s">
        <v>112</v>
      </c>
      <c r="E402" s="1021" t="s">
        <v>13490</v>
      </c>
      <c r="F402" s="1021"/>
      <c r="G402" s="818" t="s">
        <v>19</v>
      </c>
      <c r="H402" s="819">
        <v>0.22450000000000001</v>
      </c>
      <c r="I402" s="820">
        <v>18.75</v>
      </c>
      <c r="J402" s="820">
        <v>4.2</v>
      </c>
    </row>
    <row r="403" spans="1:10" ht="25.5">
      <c r="A403" s="822" t="s">
        <v>13493</v>
      </c>
      <c r="B403" s="821" t="s">
        <v>13639</v>
      </c>
      <c r="C403" s="822" t="s">
        <v>6</v>
      </c>
      <c r="D403" s="822" t="s">
        <v>5166</v>
      </c>
      <c r="E403" s="1017" t="s">
        <v>13514</v>
      </c>
      <c r="F403" s="1017"/>
      <c r="G403" s="823" t="s">
        <v>16</v>
      </c>
      <c r="H403" s="824">
        <v>2.5000000000000001E-2</v>
      </c>
      <c r="I403" s="825">
        <v>20</v>
      </c>
      <c r="J403" s="825">
        <v>0.5</v>
      </c>
    </row>
    <row r="404" spans="1:10" ht="25.5">
      <c r="A404" s="822" t="s">
        <v>13493</v>
      </c>
      <c r="B404" s="821" t="s">
        <v>13640</v>
      </c>
      <c r="C404" s="822" t="s">
        <v>6</v>
      </c>
      <c r="D404" s="822" t="s">
        <v>4663</v>
      </c>
      <c r="E404" s="1017" t="s">
        <v>13514</v>
      </c>
      <c r="F404" s="1017"/>
      <c r="G404" s="823" t="s">
        <v>24</v>
      </c>
      <c r="H404" s="824">
        <v>1.19</v>
      </c>
      <c r="I404" s="825">
        <v>0.22</v>
      </c>
      <c r="J404" s="825">
        <v>0.26</v>
      </c>
    </row>
    <row r="405" spans="1:10" ht="25.5">
      <c r="A405" s="827"/>
      <c r="B405" s="827"/>
      <c r="C405" s="827"/>
      <c r="D405" s="827"/>
      <c r="E405" s="827" t="s">
        <v>13503</v>
      </c>
      <c r="F405" s="826">
        <v>4.6399999999999997</v>
      </c>
      <c r="G405" s="827" t="s">
        <v>13504</v>
      </c>
      <c r="H405" s="826">
        <v>0</v>
      </c>
      <c r="I405" s="827" t="s">
        <v>13505</v>
      </c>
      <c r="J405" s="826">
        <v>4.6399999999999997</v>
      </c>
    </row>
    <row r="406" spans="1:10" ht="13.5" customHeight="1" thickBot="1">
      <c r="A406" s="827"/>
      <c r="B406" s="827"/>
      <c r="C406" s="827"/>
      <c r="D406" s="827"/>
      <c r="E406" s="827" t="s">
        <v>13506</v>
      </c>
      <c r="F406" s="826">
        <v>5</v>
      </c>
      <c r="G406" s="827"/>
      <c r="H406" s="1018" t="s">
        <v>13507</v>
      </c>
      <c r="I406" s="1018"/>
      <c r="J406" s="826">
        <v>22.71</v>
      </c>
    </row>
    <row r="407" spans="1:10" ht="13.5" thickTop="1">
      <c r="A407" s="828"/>
      <c r="B407" s="828"/>
      <c r="C407" s="828"/>
      <c r="D407" s="828"/>
      <c r="E407" s="828"/>
      <c r="F407" s="828"/>
      <c r="G407" s="828"/>
      <c r="H407" s="828"/>
      <c r="I407" s="828"/>
      <c r="J407" s="828"/>
    </row>
    <row r="408" spans="1:10" ht="15">
      <c r="A408" s="809" t="s">
        <v>13691</v>
      </c>
      <c r="B408" s="808" t="s">
        <v>13481</v>
      </c>
      <c r="C408" s="809" t="s">
        <v>13482</v>
      </c>
      <c r="D408" s="809" t="s">
        <v>13483</v>
      </c>
      <c r="E408" s="1019" t="s">
        <v>13484</v>
      </c>
      <c r="F408" s="1019"/>
      <c r="G408" s="810" t="s">
        <v>13485</v>
      </c>
      <c r="H408" s="808" t="s">
        <v>13486</v>
      </c>
      <c r="I408" s="808" t="s">
        <v>13487</v>
      </c>
      <c r="J408" s="808" t="s">
        <v>4867</v>
      </c>
    </row>
    <row r="409" spans="1:10" ht="13.5" customHeight="1">
      <c r="A409" s="812" t="s">
        <v>13488</v>
      </c>
      <c r="B409" s="811" t="s">
        <v>13692</v>
      </c>
      <c r="C409" s="812" t="s">
        <v>6</v>
      </c>
      <c r="D409" s="812" t="s">
        <v>2031</v>
      </c>
      <c r="E409" s="1020" t="s">
        <v>13542</v>
      </c>
      <c r="F409" s="1020"/>
      <c r="G409" s="813" t="s">
        <v>16</v>
      </c>
      <c r="H409" s="814">
        <v>1</v>
      </c>
      <c r="I409" s="815">
        <v>14.5</v>
      </c>
      <c r="J409" s="815">
        <v>14.5</v>
      </c>
    </row>
    <row r="410" spans="1:10" ht="38.25" customHeight="1">
      <c r="A410" s="817" t="s">
        <v>13491</v>
      </c>
      <c r="B410" s="816" t="s">
        <v>13636</v>
      </c>
      <c r="C410" s="817" t="s">
        <v>6</v>
      </c>
      <c r="D410" s="817" t="s">
        <v>2047</v>
      </c>
      <c r="E410" s="1021" t="s">
        <v>13542</v>
      </c>
      <c r="F410" s="1021"/>
      <c r="G410" s="818" t="s">
        <v>16</v>
      </c>
      <c r="H410" s="819">
        <v>1</v>
      </c>
      <c r="I410" s="820">
        <v>11.87</v>
      </c>
      <c r="J410" s="820">
        <v>11.87</v>
      </c>
    </row>
    <row r="411" spans="1:10" ht="38.25" customHeight="1">
      <c r="A411" s="817" t="s">
        <v>13491</v>
      </c>
      <c r="B411" s="816" t="s">
        <v>13637</v>
      </c>
      <c r="C411" s="817" t="s">
        <v>6</v>
      </c>
      <c r="D411" s="817" t="s">
        <v>107</v>
      </c>
      <c r="E411" s="1021" t="s">
        <v>13490</v>
      </c>
      <c r="F411" s="1021"/>
      <c r="G411" s="818" t="s">
        <v>19</v>
      </c>
      <c r="H411" s="819">
        <v>1.5599999999999999E-2</v>
      </c>
      <c r="I411" s="820">
        <v>15.19</v>
      </c>
      <c r="J411" s="820">
        <v>0.23</v>
      </c>
    </row>
    <row r="412" spans="1:10" ht="38.25" customHeight="1">
      <c r="A412" s="817" t="s">
        <v>13491</v>
      </c>
      <c r="B412" s="816" t="s">
        <v>13638</v>
      </c>
      <c r="C412" s="817" t="s">
        <v>6</v>
      </c>
      <c r="D412" s="817" t="s">
        <v>112</v>
      </c>
      <c r="E412" s="1021" t="s">
        <v>13490</v>
      </c>
      <c r="F412" s="1021"/>
      <c r="G412" s="818" t="s">
        <v>19</v>
      </c>
      <c r="H412" s="819">
        <v>9.5600000000000004E-2</v>
      </c>
      <c r="I412" s="820">
        <v>18.75</v>
      </c>
      <c r="J412" s="820">
        <v>1.79</v>
      </c>
    </row>
    <row r="413" spans="1:10" ht="25.5" customHeight="1">
      <c r="A413" s="822" t="s">
        <v>13493</v>
      </c>
      <c r="B413" s="821" t="s">
        <v>13639</v>
      </c>
      <c r="C413" s="822" t="s">
        <v>6</v>
      </c>
      <c r="D413" s="822" t="s">
        <v>5166</v>
      </c>
      <c r="E413" s="1017" t="s">
        <v>13514</v>
      </c>
      <c r="F413" s="1017"/>
      <c r="G413" s="823" t="s">
        <v>16</v>
      </c>
      <c r="H413" s="824">
        <v>2.5000000000000001E-2</v>
      </c>
      <c r="I413" s="825">
        <v>20</v>
      </c>
      <c r="J413" s="825">
        <v>0.5</v>
      </c>
    </row>
    <row r="414" spans="1:10" ht="25.5">
      <c r="A414" s="822" t="s">
        <v>13493</v>
      </c>
      <c r="B414" s="821" t="s">
        <v>13640</v>
      </c>
      <c r="C414" s="822" t="s">
        <v>6</v>
      </c>
      <c r="D414" s="822" t="s">
        <v>4663</v>
      </c>
      <c r="E414" s="1017" t="s">
        <v>13514</v>
      </c>
      <c r="F414" s="1017"/>
      <c r="G414" s="823" t="s">
        <v>24</v>
      </c>
      <c r="H414" s="824">
        <v>0.54300000000000004</v>
      </c>
      <c r="I414" s="825">
        <v>0.22</v>
      </c>
      <c r="J414" s="825">
        <v>0.11</v>
      </c>
    </row>
    <row r="415" spans="1:10" ht="25.5">
      <c r="A415" s="827"/>
      <c r="B415" s="827"/>
      <c r="C415" s="827"/>
      <c r="D415" s="827"/>
      <c r="E415" s="827" t="s">
        <v>13503</v>
      </c>
      <c r="F415" s="826">
        <v>1.66</v>
      </c>
      <c r="G415" s="827" t="s">
        <v>13504</v>
      </c>
      <c r="H415" s="826">
        <v>0</v>
      </c>
      <c r="I415" s="827" t="s">
        <v>13505</v>
      </c>
      <c r="J415" s="826">
        <v>1.66</v>
      </c>
    </row>
    <row r="416" spans="1:10" ht="13.5" customHeight="1" thickBot="1">
      <c r="A416" s="827"/>
      <c r="B416" s="827"/>
      <c r="C416" s="827"/>
      <c r="D416" s="827"/>
      <c r="E416" s="827" t="s">
        <v>13506</v>
      </c>
      <c r="F416" s="826">
        <v>4.09</v>
      </c>
      <c r="G416" s="827"/>
      <c r="H416" s="1018" t="s">
        <v>13507</v>
      </c>
      <c r="I416" s="1018"/>
      <c r="J416" s="826">
        <v>18.59</v>
      </c>
    </row>
    <row r="417" spans="1:10" ht="13.5" thickTop="1">
      <c r="A417" s="828"/>
      <c r="B417" s="828"/>
      <c r="C417" s="828"/>
      <c r="D417" s="828"/>
      <c r="E417" s="828"/>
      <c r="F417" s="828"/>
      <c r="G417" s="828"/>
      <c r="H417" s="828"/>
      <c r="I417" s="828"/>
      <c r="J417" s="828"/>
    </row>
    <row r="418" spans="1:10" ht="15">
      <c r="A418" s="809" t="s">
        <v>13693</v>
      </c>
      <c r="B418" s="808" t="s">
        <v>13481</v>
      </c>
      <c r="C418" s="809" t="s">
        <v>13482</v>
      </c>
      <c r="D418" s="809" t="s">
        <v>13483</v>
      </c>
      <c r="E418" s="1019" t="s">
        <v>13484</v>
      </c>
      <c r="F418" s="1019"/>
      <c r="G418" s="810" t="s">
        <v>13485</v>
      </c>
      <c r="H418" s="808" t="s">
        <v>13486</v>
      </c>
      <c r="I418" s="808" t="s">
        <v>13487</v>
      </c>
      <c r="J418" s="808" t="s">
        <v>4867</v>
      </c>
    </row>
    <row r="419" spans="1:10" ht="13.5" customHeight="1">
      <c r="A419" s="812" t="s">
        <v>13488</v>
      </c>
      <c r="B419" s="811" t="s">
        <v>13694</v>
      </c>
      <c r="C419" s="812" t="s">
        <v>6</v>
      </c>
      <c r="D419" s="812" t="s">
        <v>5580</v>
      </c>
      <c r="E419" s="1020" t="s">
        <v>13542</v>
      </c>
      <c r="F419" s="1020"/>
      <c r="G419" s="813" t="s">
        <v>13537</v>
      </c>
      <c r="H419" s="814">
        <v>1</v>
      </c>
      <c r="I419" s="815">
        <v>92.86</v>
      </c>
      <c r="J419" s="815">
        <v>92.86</v>
      </c>
    </row>
    <row r="420" spans="1:10" ht="38.25" customHeight="1">
      <c r="A420" s="817" t="s">
        <v>13491</v>
      </c>
      <c r="B420" s="816" t="s">
        <v>13695</v>
      </c>
      <c r="C420" s="817" t="s">
        <v>6</v>
      </c>
      <c r="D420" s="817" t="s">
        <v>5573</v>
      </c>
      <c r="E420" s="1021" t="s">
        <v>13542</v>
      </c>
      <c r="F420" s="1021"/>
      <c r="G420" s="818" t="s">
        <v>13537</v>
      </c>
      <c r="H420" s="819">
        <v>0.27500000000000002</v>
      </c>
      <c r="I420" s="820">
        <v>173.74</v>
      </c>
      <c r="J420" s="820">
        <v>47.77</v>
      </c>
    </row>
    <row r="421" spans="1:10" ht="38.25" customHeight="1">
      <c r="A421" s="817" t="s">
        <v>13491</v>
      </c>
      <c r="B421" s="816" t="s">
        <v>13544</v>
      </c>
      <c r="C421" s="817" t="s">
        <v>6</v>
      </c>
      <c r="D421" s="817" t="s">
        <v>29</v>
      </c>
      <c r="E421" s="1021" t="s">
        <v>13490</v>
      </c>
      <c r="F421" s="1021"/>
      <c r="G421" s="818" t="s">
        <v>19</v>
      </c>
      <c r="H421" s="819">
        <v>0.376</v>
      </c>
      <c r="I421" s="820">
        <v>15.96</v>
      </c>
      <c r="J421" s="820">
        <v>6</v>
      </c>
    </row>
    <row r="422" spans="1:10" ht="38.25" customHeight="1">
      <c r="A422" s="817" t="s">
        <v>13491</v>
      </c>
      <c r="B422" s="816" t="s">
        <v>13545</v>
      </c>
      <c r="C422" s="817" t="s">
        <v>6</v>
      </c>
      <c r="D422" s="817" t="s">
        <v>30</v>
      </c>
      <c r="E422" s="1021" t="s">
        <v>13490</v>
      </c>
      <c r="F422" s="1021"/>
      <c r="G422" s="818" t="s">
        <v>19</v>
      </c>
      <c r="H422" s="819">
        <v>2.052</v>
      </c>
      <c r="I422" s="820">
        <v>18.63</v>
      </c>
      <c r="J422" s="820">
        <v>38.22</v>
      </c>
    </row>
    <row r="423" spans="1:10" ht="25.5" customHeight="1">
      <c r="A423" s="822" t="s">
        <v>13493</v>
      </c>
      <c r="B423" s="821" t="s">
        <v>13646</v>
      </c>
      <c r="C423" s="822" t="s">
        <v>6</v>
      </c>
      <c r="D423" s="822" t="s">
        <v>4636</v>
      </c>
      <c r="E423" s="1017" t="s">
        <v>13514</v>
      </c>
      <c r="F423" s="1017"/>
      <c r="G423" s="823" t="s">
        <v>39</v>
      </c>
      <c r="H423" s="824">
        <v>1.7000000000000001E-2</v>
      </c>
      <c r="I423" s="825">
        <v>5.24</v>
      </c>
      <c r="J423" s="825">
        <v>0.08</v>
      </c>
    </row>
    <row r="424" spans="1:10" ht="25.5" customHeight="1">
      <c r="A424" s="822" t="s">
        <v>13493</v>
      </c>
      <c r="B424" s="821" t="s">
        <v>13647</v>
      </c>
      <c r="C424" s="822" t="s">
        <v>6</v>
      </c>
      <c r="D424" s="822" t="s">
        <v>4759</v>
      </c>
      <c r="E424" s="1017" t="s">
        <v>13514</v>
      </c>
      <c r="F424" s="1017"/>
      <c r="G424" s="823" t="s">
        <v>16</v>
      </c>
      <c r="H424" s="824">
        <v>2.7E-2</v>
      </c>
      <c r="I424" s="825">
        <v>29.33</v>
      </c>
      <c r="J424" s="825">
        <v>0.79</v>
      </c>
    </row>
    <row r="425" spans="1:10" ht="25.5">
      <c r="A425" s="827"/>
      <c r="B425" s="827"/>
      <c r="C425" s="827"/>
      <c r="D425" s="827"/>
      <c r="E425" s="827" t="s">
        <v>13503</v>
      </c>
      <c r="F425" s="826">
        <v>36.19</v>
      </c>
      <c r="G425" s="827" t="s">
        <v>13504</v>
      </c>
      <c r="H425" s="826">
        <v>0</v>
      </c>
      <c r="I425" s="827" t="s">
        <v>13505</v>
      </c>
      <c r="J425" s="826">
        <v>36.19</v>
      </c>
    </row>
    <row r="426" spans="1:10" ht="13.5" customHeight="1" thickBot="1">
      <c r="A426" s="827"/>
      <c r="B426" s="827"/>
      <c r="C426" s="827"/>
      <c r="D426" s="827"/>
      <c r="E426" s="827" t="s">
        <v>13506</v>
      </c>
      <c r="F426" s="826">
        <v>26.22</v>
      </c>
      <c r="G426" s="827"/>
      <c r="H426" s="1018" t="s">
        <v>13507</v>
      </c>
      <c r="I426" s="1018"/>
      <c r="J426" s="826">
        <v>119.08</v>
      </c>
    </row>
    <row r="427" spans="1:10" ht="13.5" thickTop="1">
      <c r="A427" s="828"/>
      <c r="B427" s="828"/>
      <c r="C427" s="828"/>
      <c r="D427" s="828"/>
      <c r="E427" s="828"/>
      <c r="F427" s="828"/>
      <c r="G427" s="828"/>
      <c r="H427" s="828"/>
      <c r="I427" s="828"/>
      <c r="J427" s="828"/>
    </row>
    <row r="428" spans="1:10" ht="15">
      <c r="A428" s="809" t="s">
        <v>13696</v>
      </c>
      <c r="B428" s="808" t="s">
        <v>13481</v>
      </c>
      <c r="C428" s="809" t="s">
        <v>13482</v>
      </c>
      <c r="D428" s="809" t="s">
        <v>13483</v>
      </c>
      <c r="E428" s="1019" t="s">
        <v>13484</v>
      </c>
      <c r="F428" s="1019"/>
      <c r="G428" s="810" t="s">
        <v>13485</v>
      </c>
      <c r="H428" s="808" t="s">
        <v>13486</v>
      </c>
      <c r="I428" s="808" t="s">
        <v>13487</v>
      </c>
      <c r="J428" s="808" t="s">
        <v>4867</v>
      </c>
    </row>
    <row r="429" spans="1:10" ht="38.25" customHeight="1">
      <c r="A429" s="812" t="s">
        <v>13488</v>
      </c>
      <c r="B429" s="811" t="s">
        <v>13697</v>
      </c>
      <c r="C429" s="812" t="s">
        <v>6</v>
      </c>
      <c r="D429" s="812" t="s">
        <v>5585</v>
      </c>
      <c r="E429" s="1020" t="s">
        <v>13542</v>
      </c>
      <c r="F429" s="1020"/>
      <c r="G429" s="813" t="s">
        <v>13537</v>
      </c>
      <c r="H429" s="814">
        <v>1</v>
      </c>
      <c r="I429" s="815">
        <v>65.3</v>
      </c>
      <c r="J429" s="815">
        <v>65.3</v>
      </c>
    </row>
    <row r="430" spans="1:10" ht="13.5" customHeight="1">
      <c r="A430" s="817" t="s">
        <v>13491</v>
      </c>
      <c r="B430" s="816" t="s">
        <v>13698</v>
      </c>
      <c r="C430" s="817" t="s">
        <v>6</v>
      </c>
      <c r="D430" s="817" t="s">
        <v>5567</v>
      </c>
      <c r="E430" s="1021" t="s">
        <v>13542</v>
      </c>
      <c r="F430" s="1021"/>
      <c r="G430" s="818" t="s">
        <v>13537</v>
      </c>
      <c r="H430" s="819">
        <v>0.188</v>
      </c>
      <c r="I430" s="820">
        <v>172.32</v>
      </c>
      <c r="J430" s="820">
        <v>32.39</v>
      </c>
    </row>
    <row r="431" spans="1:10" ht="38.25" customHeight="1">
      <c r="A431" s="817" t="s">
        <v>13491</v>
      </c>
      <c r="B431" s="816" t="s">
        <v>13544</v>
      </c>
      <c r="C431" s="817" t="s">
        <v>6</v>
      </c>
      <c r="D431" s="817" t="s">
        <v>29</v>
      </c>
      <c r="E431" s="1021" t="s">
        <v>13490</v>
      </c>
      <c r="F431" s="1021"/>
      <c r="G431" s="818" t="s">
        <v>19</v>
      </c>
      <c r="H431" s="819">
        <v>0.13800000000000001</v>
      </c>
      <c r="I431" s="820">
        <v>15.96</v>
      </c>
      <c r="J431" s="820">
        <v>2.2000000000000002</v>
      </c>
    </row>
    <row r="432" spans="1:10" ht="38.25" customHeight="1">
      <c r="A432" s="817" t="s">
        <v>13491</v>
      </c>
      <c r="B432" s="816" t="s">
        <v>13545</v>
      </c>
      <c r="C432" s="817" t="s">
        <v>6</v>
      </c>
      <c r="D432" s="817" t="s">
        <v>30</v>
      </c>
      <c r="E432" s="1021" t="s">
        <v>13490</v>
      </c>
      <c r="F432" s="1021"/>
      <c r="G432" s="818" t="s">
        <v>19</v>
      </c>
      <c r="H432" s="819">
        <v>0.752</v>
      </c>
      <c r="I432" s="820">
        <v>18.63</v>
      </c>
      <c r="J432" s="820">
        <v>14</v>
      </c>
    </row>
    <row r="433" spans="1:10" ht="25.5" customHeight="1">
      <c r="A433" s="822" t="s">
        <v>13493</v>
      </c>
      <c r="B433" s="821" t="s">
        <v>13646</v>
      </c>
      <c r="C433" s="822" t="s">
        <v>6</v>
      </c>
      <c r="D433" s="822" t="s">
        <v>4636</v>
      </c>
      <c r="E433" s="1017" t="s">
        <v>13514</v>
      </c>
      <c r="F433" s="1017"/>
      <c r="G433" s="823" t="s">
        <v>39</v>
      </c>
      <c r="H433" s="824">
        <v>0.01</v>
      </c>
      <c r="I433" s="825">
        <v>5.24</v>
      </c>
      <c r="J433" s="825">
        <v>0.05</v>
      </c>
    </row>
    <row r="434" spans="1:10" ht="25.5" customHeight="1">
      <c r="A434" s="822" t="s">
        <v>13493</v>
      </c>
      <c r="B434" s="821" t="s">
        <v>13699</v>
      </c>
      <c r="C434" s="822" t="s">
        <v>6</v>
      </c>
      <c r="D434" s="822" t="s">
        <v>10995</v>
      </c>
      <c r="E434" s="1017" t="s">
        <v>13497</v>
      </c>
      <c r="F434" s="1017"/>
      <c r="G434" s="823" t="s">
        <v>74</v>
      </c>
      <c r="H434" s="824">
        <v>0.19600000000000001</v>
      </c>
      <c r="I434" s="825">
        <v>14.62</v>
      </c>
      <c r="J434" s="825">
        <v>2.86</v>
      </c>
    </row>
    <row r="435" spans="1:10" ht="25.5" customHeight="1">
      <c r="A435" s="822" t="s">
        <v>13493</v>
      </c>
      <c r="B435" s="821" t="s">
        <v>13700</v>
      </c>
      <c r="C435" s="822" t="s">
        <v>6</v>
      </c>
      <c r="D435" s="822" t="s">
        <v>10996</v>
      </c>
      <c r="E435" s="1017" t="s">
        <v>13497</v>
      </c>
      <c r="F435" s="1017"/>
      <c r="G435" s="823" t="s">
        <v>74</v>
      </c>
      <c r="H435" s="824">
        <v>0.78500000000000003</v>
      </c>
      <c r="I435" s="825">
        <v>5.62</v>
      </c>
      <c r="J435" s="825">
        <v>4.41</v>
      </c>
    </row>
    <row r="436" spans="1:10" ht="38.25">
      <c r="A436" s="822" t="s">
        <v>13493</v>
      </c>
      <c r="B436" s="821" t="s">
        <v>13701</v>
      </c>
      <c r="C436" s="822" t="s">
        <v>6</v>
      </c>
      <c r="D436" s="822" t="s">
        <v>11012</v>
      </c>
      <c r="E436" s="1017" t="s">
        <v>13497</v>
      </c>
      <c r="F436" s="1017"/>
      <c r="G436" s="823" t="s">
        <v>74</v>
      </c>
      <c r="H436" s="824">
        <v>0.39300000000000002</v>
      </c>
      <c r="I436" s="825">
        <v>22.5</v>
      </c>
      <c r="J436" s="825">
        <v>8.84</v>
      </c>
    </row>
    <row r="437" spans="1:10">
      <c r="A437" s="822" t="s">
        <v>13493</v>
      </c>
      <c r="B437" s="821" t="s">
        <v>13647</v>
      </c>
      <c r="C437" s="822" t="s">
        <v>6</v>
      </c>
      <c r="D437" s="822" t="s">
        <v>4759</v>
      </c>
      <c r="E437" s="1017" t="s">
        <v>13514</v>
      </c>
      <c r="F437" s="1017"/>
      <c r="G437" s="823" t="s">
        <v>16</v>
      </c>
      <c r="H437" s="824">
        <v>1.9E-2</v>
      </c>
      <c r="I437" s="825">
        <v>29.33</v>
      </c>
      <c r="J437" s="825">
        <v>0.55000000000000004</v>
      </c>
    </row>
    <row r="438" spans="1:10" ht="25.5">
      <c r="A438" s="827"/>
      <c r="B438" s="827"/>
      <c r="C438" s="827"/>
      <c r="D438" s="827"/>
      <c r="E438" s="827" t="s">
        <v>13503</v>
      </c>
      <c r="F438" s="826">
        <v>16.21</v>
      </c>
      <c r="G438" s="827" t="s">
        <v>13504</v>
      </c>
      <c r="H438" s="826">
        <v>0</v>
      </c>
      <c r="I438" s="827" t="s">
        <v>13505</v>
      </c>
      <c r="J438" s="826">
        <v>16.21</v>
      </c>
    </row>
    <row r="439" spans="1:10" ht="13.5" customHeight="1" thickBot="1">
      <c r="A439" s="827"/>
      <c r="B439" s="827"/>
      <c r="C439" s="827"/>
      <c r="D439" s="827"/>
      <c r="E439" s="827" t="s">
        <v>13506</v>
      </c>
      <c r="F439" s="826">
        <v>18.440000000000001</v>
      </c>
      <c r="G439" s="827"/>
      <c r="H439" s="1018" t="s">
        <v>13507</v>
      </c>
      <c r="I439" s="1018"/>
      <c r="J439" s="826">
        <v>83.74</v>
      </c>
    </row>
    <row r="440" spans="1:10" ht="13.5" thickTop="1">
      <c r="A440" s="828"/>
      <c r="B440" s="828"/>
      <c r="C440" s="828"/>
      <c r="D440" s="828"/>
      <c r="E440" s="828"/>
      <c r="F440" s="828"/>
      <c r="G440" s="828"/>
      <c r="H440" s="828"/>
      <c r="I440" s="828"/>
      <c r="J440" s="828"/>
    </row>
    <row r="441" spans="1:10" ht="15">
      <c r="A441" s="809" t="s">
        <v>13702</v>
      </c>
      <c r="B441" s="808" t="s">
        <v>13481</v>
      </c>
      <c r="C441" s="809" t="s">
        <v>13482</v>
      </c>
      <c r="D441" s="809" t="s">
        <v>13483</v>
      </c>
      <c r="E441" s="1019" t="s">
        <v>13484</v>
      </c>
      <c r="F441" s="1019"/>
      <c r="G441" s="810" t="s">
        <v>13485</v>
      </c>
      <c r="H441" s="808" t="s">
        <v>13486</v>
      </c>
      <c r="I441" s="808" t="s">
        <v>13487</v>
      </c>
      <c r="J441" s="808" t="s">
        <v>4867</v>
      </c>
    </row>
    <row r="442" spans="1:10" ht="13.5" customHeight="1">
      <c r="A442" s="812" t="s">
        <v>13488</v>
      </c>
      <c r="B442" s="811" t="s">
        <v>13703</v>
      </c>
      <c r="C442" s="812" t="s">
        <v>6</v>
      </c>
      <c r="D442" s="812" t="s">
        <v>2030</v>
      </c>
      <c r="E442" s="1020" t="s">
        <v>13542</v>
      </c>
      <c r="F442" s="1020"/>
      <c r="G442" s="813" t="s">
        <v>16</v>
      </c>
      <c r="H442" s="814">
        <v>1</v>
      </c>
      <c r="I442" s="815">
        <v>16.149999999999999</v>
      </c>
      <c r="J442" s="815">
        <v>16.149999999999999</v>
      </c>
    </row>
    <row r="443" spans="1:10" ht="38.25" customHeight="1">
      <c r="A443" s="817" t="s">
        <v>13491</v>
      </c>
      <c r="B443" s="816" t="s">
        <v>13683</v>
      </c>
      <c r="C443" s="817" t="s">
        <v>6</v>
      </c>
      <c r="D443" s="817" t="s">
        <v>2046</v>
      </c>
      <c r="E443" s="1021" t="s">
        <v>13542</v>
      </c>
      <c r="F443" s="1021"/>
      <c r="G443" s="818" t="s">
        <v>16</v>
      </c>
      <c r="H443" s="819">
        <v>1</v>
      </c>
      <c r="I443" s="820">
        <v>12.79</v>
      </c>
      <c r="J443" s="820">
        <v>12.79</v>
      </c>
    </row>
    <row r="444" spans="1:10" ht="38.25" customHeight="1">
      <c r="A444" s="817" t="s">
        <v>13491</v>
      </c>
      <c r="B444" s="816" t="s">
        <v>13637</v>
      </c>
      <c r="C444" s="817" t="s">
        <v>6</v>
      </c>
      <c r="D444" s="817" t="s">
        <v>107</v>
      </c>
      <c r="E444" s="1021" t="s">
        <v>13490</v>
      </c>
      <c r="F444" s="1021"/>
      <c r="G444" s="818" t="s">
        <v>19</v>
      </c>
      <c r="H444" s="819">
        <v>2.0899999999999998E-2</v>
      </c>
      <c r="I444" s="820">
        <v>15.19</v>
      </c>
      <c r="J444" s="820">
        <v>0.31</v>
      </c>
    </row>
    <row r="445" spans="1:10" ht="38.25" customHeight="1">
      <c r="A445" s="817" t="s">
        <v>13491</v>
      </c>
      <c r="B445" s="816" t="s">
        <v>13638</v>
      </c>
      <c r="C445" s="817" t="s">
        <v>6</v>
      </c>
      <c r="D445" s="817" t="s">
        <v>112</v>
      </c>
      <c r="E445" s="1021" t="s">
        <v>13490</v>
      </c>
      <c r="F445" s="1021"/>
      <c r="G445" s="818" t="s">
        <v>19</v>
      </c>
      <c r="H445" s="819">
        <v>0.1278</v>
      </c>
      <c r="I445" s="820">
        <v>18.75</v>
      </c>
      <c r="J445" s="820">
        <v>2.39</v>
      </c>
    </row>
    <row r="446" spans="1:10" ht="25.5" customHeight="1">
      <c r="A446" s="822" t="s">
        <v>13493</v>
      </c>
      <c r="B446" s="821" t="s">
        <v>13639</v>
      </c>
      <c r="C446" s="822" t="s">
        <v>6</v>
      </c>
      <c r="D446" s="822" t="s">
        <v>5166</v>
      </c>
      <c r="E446" s="1017" t="s">
        <v>13514</v>
      </c>
      <c r="F446" s="1017"/>
      <c r="G446" s="823" t="s">
        <v>16</v>
      </c>
      <c r="H446" s="824">
        <v>2.5000000000000001E-2</v>
      </c>
      <c r="I446" s="825">
        <v>20</v>
      </c>
      <c r="J446" s="825">
        <v>0.5</v>
      </c>
    </row>
    <row r="447" spans="1:10" ht="25.5" customHeight="1">
      <c r="A447" s="822" t="s">
        <v>13493</v>
      </c>
      <c r="B447" s="821" t="s">
        <v>13640</v>
      </c>
      <c r="C447" s="822" t="s">
        <v>6</v>
      </c>
      <c r="D447" s="822" t="s">
        <v>4663</v>
      </c>
      <c r="E447" s="1017" t="s">
        <v>13514</v>
      </c>
      <c r="F447" s="1017"/>
      <c r="G447" s="823" t="s">
        <v>24</v>
      </c>
      <c r="H447" s="824">
        <v>0.74299999999999999</v>
      </c>
      <c r="I447" s="825">
        <v>0.22</v>
      </c>
      <c r="J447" s="825">
        <v>0.16</v>
      </c>
    </row>
    <row r="448" spans="1:10" ht="25.5">
      <c r="A448" s="827"/>
      <c r="B448" s="827"/>
      <c r="C448" s="827"/>
      <c r="D448" s="827"/>
      <c r="E448" s="827" t="s">
        <v>13503</v>
      </c>
      <c r="F448" s="826">
        <v>2.3199999999999998</v>
      </c>
      <c r="G448" s="827" t="s">
        <v>13504</v>
      </c>
      <c r="H448" s="826">
        <v>0</v>
      </c>
      <c r="I448" s="827" t="s">
        <v>13505</v>
      </c>
      <c r="J448" s="826">
        <v>2.3199999999999998</v>
      </c>
    </row>
    <row r="449" spans="1:10" ht="13.5" customHeight="1" thickBot="1">
      <c r="A449" s="827"/>
      <c r="B449" s="827"/>
      <c r="C449" s="827"/>
      <c r="D449" s="827"/>
      <c r="E449" s="827" t="s">
        <v>13506</v>
      </c>
      <c r="F449" s="826">
        <v>4.5599999999999996</v>
      </c>
      <c r="G449" s="827"/>
      <c r="H449" s="1018" t="s">
        <v>13507</v>
      </c>
      <c r="I449" s="1018"/>
      <c r="J449" s="826">
        <v>20.71</v>
      </c>
    </row>
    <row r="450" spans="1:10" ht="13.5" thickTop="1">
      <c r="A450" s="828"/>
      <c r="B450" s="828"/>
      <c r="C450" s="828"/>
      <c r="D450" s="828"/>
      <c r="E450" s="828"/>
      <c r="F450" s="828"/>
      <c r="G450" s="828"/>
      <c r="H450" s="828"/>
      <c r="I450" s="828"/>
      <c r="J450" s="828"/>
    </row>
    <row r="451" spans="1:10" ht="15">
      <c r="A451" s="809" t="s">
        <v>13704</v>
      </c>
      <c r="B451" s="808" t="s">
        <v>13481</v>
      </c>
      <c r="C451" s="809" t="s">
        <v>13482</v>
      </c>
      <c r="D451" s="809" t="s">
        <v>13483</v>
      </c>
      <c r="E451" s="1019" t="s">
        <v>13484</v>
      </c>
      <c r="F451" s="1019"/>
      <c r="G451" s="810" t="s">
        <v>13485</v>
      </c>
      <c r="H451" s="808" t="s">
        <v>13486</v>
      </c>
      <c r="I451" s="808" t="s">
        <v>13487</v>
      </c>
      <c r="J451" s="808" t="s">
        <v>4867</v>
      </c>
    </row>
    <row r="452" spans="1:10" ht="25.5" customHeight="1">
      <c r="A452" s="812" t="s">
        <v>13488</v>
      </c>
      <c r="B452" s="811" t="s">
        <v>13705</v>
      </c>
      <c r="C452" s="812" t="s">
        <v>6</v>
      </c>
      <c r="D452" s="812" t="s">
        <v>2168</v>
      </c>
      <c r="E452" s="1020" t="s">
        <v>13542</v>
      </c>
      <c r="F452" s="1020"/>
      <c r="G452" s="813" t="s">
        <v>14</v>
      </c>
      <c r="H452" s="814">
        <v>1</v>
      </c>
      <c r="I452" s="815">
        <v>53.86</v>
      </c>
      <c r="J452" s="815">
        <v>53.86</v>
      </c>
    </row>
    <row r="453" spans="1:10" ht="38.25" customHeight="1">
      <c r="A453" s="817" t="s">
        <v>13491</v>
      </c>
      <c r="B453" s="816" t="s">
        <v>13706</v>
      </c>
      <c r="C453" s="817" t="s">
        <v>6</v>
      </c>
      <c r="D453" s="817" t="s">
        <v>5574</v>
      </c>
      <c r="E453" s="1021" t="s">
        <v>13542</v>
      </c>
      <c r="F453" s="1021"/>
      <c r="G453" s="818" t="s">
        <v>13537</v>
      </c>
      <c r="H453" s="819">
        <v>0.2</v>
      </c>
      <c r="I453" s="820">
        <v>133.85</v>
      </c>
      <c r="J453" s="820">
        <v>26.77</v>
      </c>
    </row>
    <row r="454" spans="1:10" ht="13.5" customHeight="1">
      <c r="A454" s="817" t="s">
        <v>13491</v>
      </c>
      <c r="B454" s="816" t="s">
        <v>13683</v>
      </c>
      <c r="C454" s="817" t="s">
        <v>6</v>
      </c>
      <c r="D454" s="817" t="s">
        <v>2046</v>
      </c>
      <c r="E454" s="1021" t="s">
        <v>13542</v>
      </c>
      <c r="F454" s="1021"/>
      <c r="G454" s="818" t="s">
        <v>16</v>
      </c>
      <c r="H454" s="819">
        <v>0.79</v>
      </c>
      <c r="I454" s="820">
        <v>12.79</v>
      </c>
      <c r="J454" s="820">
        <v>10.1</v>
      </c>
    </row>
    <row r="455" spans="1:10" ht="38.25" customHeight="1">
      <c r="A455" s="817" t="s">
        <v>13491</v>
      </c>
      <c r="B455" s="816" t="s">
        <v>13707</v>
      </c>
      <c r="C455" s="817" t="s">
        <v>6</v>
      </c>
      <c r="D455" s="817" t="s">
        <v>6582</v>
      </c>
      <c r="E455" s="1021" t="s">
        <v>13542</v>
      </c>
      <c r="F455" s="1021"/>
      <c r="G455" s="818" t="s">
        <v>13543</v>
      </c>
      <c r="H455" s="819">
        <v>1.54E-2</v>
      </c>
      <c r="I455" s="820">
        <v>400.17</v>
      </c>
      <c r="J455" s="820">
        <v>6.16</v>
      </c>
    </row>
    <row r="456" spans="1:10" ht="38.25" customHeight="1">
      <c r="A456" s="817" t="s">
        <v>13491</v>
      </c>
      <c r="B456" s="816" t="s">
        <v>13553</v>
      </c>
      <c r="C456" s="817" t="s">
        <v>6</v>
      </c>
      <c r="D456" s="817" t="s">
        <v>21</v>
      </c>
      <c r="E456" s="1021" t="s">
        <v>13490</v>
      </c>
      <c r="F456" s="1021"/>
      <c r="G456" s="818" t="s">
        <v>19</v>
      </c>
      <c r="H456" s="819">
        <v>0.18</v>
      </c>
      <c r="I456" s="820">
        <v>15.16</v>
      </c>
      <c r="J456" s="820">
        <v>2.72</v>
      </c>
    </row>
    <row r="457" spans="1:10" ht="38.25" customHeight="1">
      <c r="A457" s="817" t="s">
        <v>13491</v>
      </c>
      <c r="B457" s="816" t="s">
        <v>13577</v>
      </c>
      <c r="C457" s="817" t="s">
        <v>6</v>
      </c>
      <c r="D457" s="817" t="s">
        <v>31</v>
      </c>
      <c r="E457" s="1021" t="s">
        <v>13490</v>
      </c>
      <c r="F457" s="1021"/>
      <c r="G457" s="818" t="s">
        <v>19</v>
      </c>
      <c r="H457" s="819">
        <v>0.36</v>
      </c>
      <c r="I457" s="820">
        <v>18.86</v>
      </c>
      <c r="J457" s="820">
        <v>6.78</v>
      </c>
    </row>
    <row r="458" spans="1:10" ht="25.5" customHeight="1">
      <c r="A458" s="822" t="s">
        <v>13493</v>
      </c>
      <c r="B458" s="821" t="s">
        <v>13646</v>
      </c>
      <c r="C458" s="822" t="s">
        <v>6</v>
      </c>
      <c r="D458" s="822" t="s">
        <v>4636</v>
      </c>
      <c r="E458" s="1017" t="s">
        <v>13514</v>
      </c>
      <c r="F458" s="1017"/>
      <c r="G458" s="823" t="s">
        <v>39</v>
      </c>
      <c r="H458" s="824">
        <v>3.5000000000000001E-3</v>
      </c>
      <c r="I458" s="825">
        <v>5.24</v>
      </c>
      <c r="J458" s="825">
        <v>0.01</v>
      </c>
    </row>
    <row r="459" spans="1:10" ht="25.5" customHeight="1">
      <c r="A459" s="822" t="s">
        <v>13493</v>
      </c>
      <c r="B459" s="821" t="s">
        <v>13640</v>
      </c>
      <c r="C459" s="822" t="s">
        <v>6</v>
      </c>
      <c r="D459" s="822" t="s">
        <v>4663</v>
      </c>
      <c r="E459" s="1017" t="s">
        <v>13514</v>
      </c>
      <c r="F459" s="1017"/>
      <c r="G459" s="823" t="s">
        <v>24</v>
      </c>
      <c r="H459" s="824">
        <v>6</v>
      </c>
      <c r="I459" s="825">
        <v>0.22</v>
      </c>
      <c r="J459" s="825">
        <v>1.32</v>
      </c>
    </row>
    <row r="460" spans="1:10" ht="25.5">
      <c r="A460" s="827"/>
      <c r="B460" s="827"/>
      <c r="C460" s="827"/>
      <c r="D460" s="827"/>
      <c r="E460" s="827" t="s">
        <v>13503</v>
      </c>
      <c r="F460" s="826">
        <v>10.89</v>
      </c>
      <c r="G460" s="827" t="s">
        <v>13504</v>
      </c>
      <c r="H460" s="826">
        <v>0</v>
      </c>
      <c r="I460" s="827" t="s">
        <v>13505</v>
      </c>
      <c r="J460" s="826">
        <v>10.89</v>
      </c>
    </row>
    <row r="461" spans="1:10" ht="13.5" customHeight="1" thickBot="1">
      <c r="A461" s="827"/>
      <c r="B461" s="827"/>
      <c r="C461" s="827"/>
      <c r="D461" s="827"/>
      <c r="E461" s="827" t="s">
        <v>13506</v>
      </c>
      <c r="F461" s="826">
        <v>15.21</v>
      </c>
      <c r="G461" s="827"/>
      <c r="H461" s="1018" t="s">
        <v>13507</v>
      </c>
      <c r="I461" s="1018"/>
      <c r="J461" s="826">
        <v>69.069999999999993</v>
      </c>
    </row>
    <row r="462" spans="1:10" ht="13.5" thickTop="1">
      <c r="A462" s="828"/>
      <c r="B462" s="828"/>
      <c r="C462" s="828"/>
      <c r="D462" s="828"/>
      <c r="E462" s="828"/>
      <c r="F462" s="828"/>
      <c r="G462" s="828"/>
      <c r="H462" s="828"/>
      <c r="I462" s="828"/>
      <c r="J462" s="828"/>
    </row>
    <row r="463" spans="1:10" ht="15">
      <c r="A463" s="809" t="s">
        <v>13708</v>
      </c>
      <c r="B463" s="808" t="s">
        <v>13481</v>
      </c>
      <c r="C463" s="809" t="s">
        <v>13482</v>
      </c>
      <c r="D463" s="809" t="s">
        <v>13483</v>
      </c>
      <c r="E463" s="1019" t="s">
        <v>13484</v>
      </c>
      <c r="F463" s="1019"/>
      <c r="G463" s="810" t="s">
        <v>13485</v>
      </c>
      <c r="H463" s="808" t="s">
        <v>13486</v>
      </c>
      <c r="I463" s="808" t="s">
        <v>13487</v>
      </c>
      <c r="J463" s="808" t="s">
        <v>4867</v>
      </c>
    </row>
    <row r="464" spans="1:10" ht="25.5" customHeight="1">
      <c r="A464" s="812" t="s">
        <v>13488</v>
      </c>
      <c r="B464" s="811" t="s">
        <v>13709</v>
      </c>
      <c r="C464" s="812" t="s">
        <v>6</v>
      </c>
      <c r="D464" s="812" t="s">
        <v>2169</v>
      </c>
      <c r="E464" s="1020" t="s">
        <v>13542</v>
      </c>
      <c r="F464" s="1020"/>
      <c r="G464" s="813" t="s">
        <v>14</v>
      </c>
      <c r="H464" s="814">
        <v>1</v>
      </c>
      <c r="I464" s="815">
        <v>36.24</v>
      </c>
      <c r="J464" s="815">
        <v>36.24</v>
      </c>
    </row>
    <row r="465" spans="1:10" ht="13.5" customHeight="1">
      <c r="A465" s="817" t="s">
        <v>13491</v>
      </c>
      <c r="B465" s="816" t="s">
        <v>13683</v>
      </c>
      <c r="C465" s="817" t="s">
        <v>6</v>
      </c>
      <c r="D465" s="817" t="s">
        <v>2046</v>
      </c>
      <c r="E465" s="1021" t="s">
        <v>13542</v>
      </c>
      <c r="F465" s="1021"/>
      <c r="G465" s="818" t="s">
        <v>16</v>
      </c>
      <c r="H465" s="819">
        <v>0.79</v>
      </c>
      <c r="I465" s="820">
        <v>12.79</v>
      </c>
      <c r="J465" s="820">
        <v>10.1</v>
      </c>
    </row>
    <row r="466" spans="1:10" ht="38.25" customHeight="1">
      <c r="A466" s="817" t="s">
        <v>13491</v>
      </c>
      <c r="B466" s="816" t="s">
        <v>13710</v>
      </c>
      <c r="C466" s="817" t="s">
        <v>6</v>
      </c>
      <c r="D466" s="817" t="s">
        <v>7562</v>
      </c>
      <c r="E466" s="1021" t="s">
        <v>13542</v>
      </c>
      <c r="F466" s="1021"/>
      <c r="G466" s="818" t="s">
        <v>13543</v>
      </c>
      <c r="H466" s="819">
        <v>1.14E-2</v>
      </c>
      <c r="I466" s="820">
        <v>488.89</v>
      </c>
      <c r="J466" s="820">
        <v>5.57</v>
      </c>
    </row>
    <row r="467" spans="1:10" ht="38.25" customHeight="1">
      <c r="A467" s="817" t="s">
        <v>13491</v>
      </c>
      <c r="B467" s="816" t="s">
        <v>13711</v>
      </c>
      <c r="C467" s="817" t="s">
        <v>6</v>
      </c>
      <c r="D467" s="817" t="s">
        <v>3839</v>
      </c>
      <c r="E467" s="1021" t="s">
        <v>13490</v>
      </c>
      <c r="F467" s="1021"/>
      <c r="G467" s="818" t="s">
        <v>13543</v>
      </c>
      <c r="H467" s="819">
        <v>1.4E-3</v>
      </c>
      <c r="I467" s="820">
        <v>430.66</v>
      </c>
      <c r="J467" s="820">
        <v>0.6</v>
      </c>
    </row>
    <row r="468" spans="1:10" ht="38.25" customHeight="1">
      <c r="A468" s="817" t="s">
        <v>13491</v>
      </c>
      <c r="B468" s="816" t="s">
        <v>13577</v>
      </c>
      <c r="C468" s="817" t="s">
        <v>6</v>
      </c>
      <c r="D468" s="817" t="s">
        <v>31</v>
      </c>
      <c r="E468" s="1021" t="s">
        <v>13490</v>
      </c>
      <c r="F468" s="1021"/>
      <c r="G468" s="818" t="s">
        <v>19</v>
      </c>
      <c r="H468" s="819">
        <v>0.253</v>
      </c>
      <c r="I468" s="820">
        <v>18.86</v>
      </c>
      <c r="J468" s="820">
        <v>4.7699999999999996</v>
      </c>
    </row>
    <row r="469" spans="1:10" ht="38.25" customHeight="1">
      <c r="A469" s="817" t="s">
        <v>13491</v>
      </c>
      <c r="B469" s="816" t="s">
        <v>13553</v>
      </c>
      <c r="C469" s="817" t="s">
        <v>6</v>
      </c>
      <c r="D469" s="817" t="s">
        <v>21</v>
      </c>
      <c r="E469" s="1021" t="s">
        <v>13490</v>
      </c>
      <c r="F469" s="1021"/>
      <c r="G469" s="818" t="s">
        <v>19</v>
      </c>
      <c r="H469" s="819">
        <v>0.126</v>
      </c>
      <c r="I469" s="820">
        <v>15.16</v>
      </c>
      <c r="J469" s="820">
        <v>1.91</v>
      </c>
    </row>
    <row r="470" spans="1:10">
      <c r="A470" s="822" t="s">
        <v>13493</v>
      </c>
      <c r="B470" s="821" t="s">
        <v>13712</v>
      </c>
      <c r="C470" s="822" t="s">
        <v>6</v>
      </c>
      <c r="D470" s="822" t="s">
        <v>9354</v>
      </c>
      <c r="E470" s="1017" t="s">
        <v>13514</v>
      </c>
      <c r="F470" s="1017"/>
      <c r="G470" s="823" t="s">
        <v>24</v>
      </c>
      <c r="H470" s="824">
        <v>5.34</v>
      </c>
      <c r="I470" s="825">
        <v>2.4900000000000002</v>
      </c>
      <c r="J470" s="825">
        <v>13.29</v>
      </c>
    </row>
    <row r="471" spans="1:10" ht="25.5">
      <c r="A471" s="827"/>
      <c r="B471" s="827"/>
      <c r="C471" s="827"/>
      <c r="D471" s="827"/>
      <c r="E471" s="827" t="s">
        <v>13503</v>
      </c>
      <c r="F471" s="826">
        <v>5.63</v>
      </c>
      <c r="G471" s="827" t="s">
        <v>13504</v>
      </c>
      <c r="H471" s="826">
        <v>0</v>
      </c>
      <c r="I471" s="827" t="s">
        <v>13505</v>
      </c>
      <c r="J471" s="826">
        <v>5.63</v>
      </c>
    </row>
    <row r="472" spans="1:10" ht="13.5" customHeight="1" thickBot="1">
      <c r="A472" s="827"/>
      <c r="B472" s="827"/>
      <c r="C472" s="827"/>
      <c r="D472" s="827"/>
      <c r="E472" s="827" t="s">
        <v>13506</v>
      </c>
      <c r="F472" s="826">
        <v>10.23</v>
      </c>
      <c r="G472" s="827"/>
      <c r="H472" s="1018" t="s">
        <v>13507</v>
      </c>
      <c r="I472" s="1018"/>
      <c r="J472" s="826">
        <v>46.47</v>
      </c>
    </row>
    <row r="473" spans="1:10" ht="13.5" thickTop="1">
      <c r="A473" s="828"/>
      <c r="B473" s="828"/>
      <c r="C473" s="828"/>
      <c r="D473" s="828"/>
      <c r="E473" s="828"/>
      <c r="F473" s="828"/>
      <c r="G473" s="828"/>
      <c r="H473" s="828"/>
      <c r="I473" s="828"/>
      <c r="J473" s="828"/>
    </row>
    <row r="474" spans="1:10" ht="15">
      <c r="A474" s="809" t="s">
        <v>13713</v>
      </c>
      <c r="B474" s="808" t="s">
        <v>13481</v>
      </c>
      <c r="C474" s="809" t="s">
        <v>13482</v>
      </c>
      <c r="D474" s="809" t="s">
        <v>13483</v>
      </c>
      <c r="E474" s="1019" t="s">
        <v>13484</v>
      </c>
      <c r="F474" s="1019"/>
      <c r="G474" s="810" t="s">
        <v>13485</v>
      </c>
      <c r="H474" s="808" t="s">
        <v>13486</v>
      </c>
      <c r="I474" s="808" t="s">
        <v>13487</v>
      </c>
      <c r="J474" s="808" t="s">
        <v>4867</v>
      </c>
    </row>
    <row r="475" spans="1:10" ht="38.25" customHeight="1">
      <c r="A475" s="812" t="s">
        <v>13488</v>
      </c>
      <c r="B475" s="811" t="s">
        <v>13714</v>
      </c>
      <c r="C475" s="812" t="s">
        <v>6</v>
      </c>
      <c r="D475" s="812" t="s">
        <v>8254</v>
      </c>
      <c r="E475" s="1020" t="s">
        <v>13715</v>
      </c>
      <c r="F475" s="1020"/>
      <c r="G475" s="813" t="s">
        <v>13537</v>
      </c>
      <c r="H475" s="814">
        <v>1</v>
      </c>
      <c r="I475" s="815">
        <v>53.73</v>
      </c>
      <c r="J475" s="815">
        <v>53.73</v>
      </c>
    </row>
    <row r="476" spans="1:10" ht="13.5" customHeight="1">
      <c r="A476" s="817" t="s">
        <v>13491</v>
      </c>
      <c r="B476" s="816" t="s">
        <v>13716</v>
      </c>
      <c r="C476" s="817" t="s">
        <v>6</v>
      </c>
      <c r="D476" s="817" t="s">
        <v>3838</v>
      </c>
      <c r="E476" s="1021" t="s">
        <v>13490</v>
      </c>
      <c r="F476" s="1021"/>
      <c r="G476" s="818" t="s">
        <v>13543</v>
      </c>
      <c r="H476" s="819">
        <v>1.04E-2</v>
      </c>
      <c r="I476" s="820">
        <v>450.77</v>
      </c>
      <c r="J476" s="820">
        <v>4.68</v>
      </c>
    </row>
    <row r="477" spans="1:10" ht="38.25" customHeight="1">
      <c r="A477" s="817" t="s">
        <v>13491</v>
      </c>
      <c r="B477" s="816" t="s">
        <v>13553</v>
      </c>
      <c r="C477" s="817" t="s">
        <v>6</v>
      </c>
      <c r="D477" s="817" t="s">
        <v>21</v>
      </c>
      <c r="E477" s="1021" t="s">
        <v>13490</v>
      </c>
      <c r="F477" s="1021"/>
      <c r="G477" s="818" t="s">
        <v>19</v>
      </c>
      <c r="H477" s="819">
        <v>0.29499999999999998</v>
      </c>
      <c r="I477" s="820">
        <v>15.16</v>
      </c>
      <c r="J477" s="820">
        <v>4.47</v>
      </c>
    </row>
    <row r="478" spans="1:10" ht="38.25" customHeight="1">
      <c r="A478" s="817" t="s">
        <v>13491</v>
      </c>
      <c r="B478" s="816" t="s">
        <v>13577</v>
      </c>
      <c r="C478" s="817" t="s">
        <v>6</v>
      </c>
      <c r="D478" s="817" t="s">
        <v>31</v>
      </c>
      <c r="E478" s="1021" t="s">
        <v>13490</v>
      </c>
      <c r="F478" s="1021"/>
      <c r="G478" s="818" t="s">
        <v>19</v>
      </c>
      <c r="H478" s="819">
        <v>0.59</v>
      </c>
      <c r="I478" s="820">
        <v>18.86</v>
      </c>
      <c r="J478" s="820">
        <v>11.12</v>
      </c>
    </row>
    <row r="479" spans="1:10" ht="25.5">
      <c r="A479" s="822" t="s">
        <v>13493</v>
      </c>
      <c r="B479" s="821" t="s">
        <v>13717</v>
      </c>
      <c r="C479" s="822" t="s">
        <v>6</v>
      </c>
      <c r="D479" s="822" t="s">
        <v>8839</v>
      </c>
      <c r="E479" s="1017" t="s">
        <v>13514</v>
      </c>
      <c r="F479" s="1017"/>
      <c r="G479" s="823" t="s">
        <v>24</v>
      </c>
      <c r="H479" s="824">
        <v>13.6</v>
      </c>
      <c r="I479" s="825">
        <v>2.31</v>
      </c>
      <c r="J479" s="825">
        <v>31.41</v>
      </c>
    </row>
    <row r="480" spans="1:10">
      <c r="A480" s="822" t="s">
        <v>13493</v>
      </c>
      <c r="B480" s="821" t="s">
        <v>13718</v>
      </c>
      <c r="C480" s="822" t="s">
        <v>6</v>
      </c>
      <c r="D480" s="822" t="s">
        <v>4757</v>
      </c>
      <c r="E480" s="1017" t="s">
        <v>13514</v>
      </c>
      <c r="F480" s="1017"/>
      <c r="G480" s="823" t="s">
        <v>13719</v>
      </c>
      <c r="H480" s="824">
        <v>5.0000000000000001E-3</v>
      </c>
      <c r="I480" s="825">
        <v>40.89</v>
      </c>
      <c r="J480" s="825">
        <v>0.2</v>
      </c>
    </row>
    <row r="481" spans="1:10" ht="25.5">
      <c r="A481" s="822" t="s">
        <v>13493</v>
      </c>
      <c r="B481" s="821" t="s">
        <v>13720</v>
      </c>
      <c r="C481" s="822" t="s">
        <v>6</v>
      </c>
      <c r="D481" s="822" t="s">
        <v>4798</v>
      </c>
      <c r="E481" s="1017" t="s">
        <v>13514</v>
      </c>
      <c r="F481" s="1017"/>
      <c r="G481" s="823" t="s">
        <v>14</v>
      </c>
      <c r="H481" s="824">
        <v>0.42</v>
      </c>
      <c r="I481" s="825">
        <v>4.42</v>
      </c>
      <c r="J481" s="825">
        <v>1.85</v>
      </c>
    </row>
    <row r="482" spans="1:10" ht="25.5">
      <c r="A482" s="827"/>
      <c r="B482" s="827"/>
      <c r="C482" s="827"/>
      <c r="D482" s="827"/>
      <c r="E482" s="827" t="s">
        <v>13503</v>
      </c>
      <c r="F482" s="826">
        <v>11.75</v>
      </c>
      <c r="G482" s="827" t="s">
        <v>13504</v>
      </c>
      <c r="H482" s="826">
        <v>0</v>
      </c>
      <c r="I482" s="827" t="s">
        <v>13505</v>
      </c>
      <c r="J482" s="826">
        <v>11.75</v>
      </c>
    </row>
    <row r="483" spans="1:10" ht="13.5" customHeight="1" thickBot="1">
      <c r="A483" s="827"/>
      <c r="B483" s="827"/>
      <c r="C483" s="827"/>
      <c r="D483" s="827"/>
      <c r="E483" s="827" t="s">
        <v>13506</v>
      </c>
      <c r="F483" s="826">
        <v>15.17</v>
      </c>
      <c r="G483" s="827"/>
      <c r="H483" s="1018" t="s">
        <v>13507</v>
      </c>
      <c r="I483" s="1018"/>
      <c r="J483" s="826">
        <v>68.900000000000006</v>
      </c>
    </row>
    <row r="484" spans="1:10" ht="13.5" thickTop="1">
      <c r="A484" s="828"/>
      <c r="B484" s="828"/>
      <c r="C484" s="828"/>
      <c r="D484" s="828"/>
      <c r="E484" s="828"/>
      <c r="F484" s="828"/>
      <c r="G484" s="828"/>
      <c r="H484" s="828"/>
      <c r="I484" s="828"/>
      <c r="J484" s="828"/>
    </row>
    <row r="485" spans="1:10" ht="15">
      <c r="A485" s="809" t="s">
        <v>13721</v>
      </c>
      <c r="B485" s="808" t="s">
        <v>13481</v>
      </c>
      <c r="C485" s="809" t="s">
        <v>13482</v>
      </c>
      <c r="D485" s="809" t="s">
        <v>13483</v>
      </c>
      <c r="E485" s="1019" t="s">
        <v>13484</v>
      </c>
      <c r="F485" s="1019"/>
      <c r="G485" s="810" t="s">
        <v>13485</v>
      </c>
      <c r="H485" s="808" t="s">
        <v>13486</v>
      </c>
      <c r="I485" s="808" t="s">
        <v>13487</v>
      </c>
      <c r="J485" s="808" t="s">
        <v>4867</v>
      </c>
    </row>
    <row r="486" spans="1:10" ht="38.25" customHeight="1">
      <c r="A486" s="812" t="s">
        <v>13488</v>
      </c>
      <c r="B486" s="811" t="s">
        <v>13722</v>
      </c>
      <c r="C486" s="812" t="s">
        <v>6</v>
      </c>
      <c r="D486" s="812" t="s">
        <v>8262</v>
      </c>
      <c r="E486" s="1020" t="s">
        <v>13715</v>
      </c>
      <c r="F486" s="1020"/>
      <c r="G486" s="813" t="s">
        <v>13537</v>
      </c>
      <c r="H486" s="814">
        <v>1</v>
      </c>
      <c r="I486" s="815">
        <v>72.59</v>
      </c>
      <c r="J486" s="815">
        <v>72.59</v>
      </c>
    </row>
    <row r="487" spans="1:10" ht="13.5" customHeight="1">
      <c r="A487" s="817" t="s">
        <v>13491</v>
      </c>
      <c r="B487" s="816" t="s">
        <v>13716</v>
      </c>
      <c r="C487" s="817" t="s">
        <v>6</v>
      </c>
      <c r="D487" s="817" t="s">
        <v>3838</v>
      </c>
      <c r="E487" s="1021" t="s">
        <v>13490</v>
      </c>
      <c r="F487" s="1021"/>
      <c r="G487" s="818" t="s">
        <v>13543</v>
      </c>
      <c r="H487" s="819">
        <v>9.7999999999999997E-3</v>
      </c>
      <c r="I487" s="820">
        <v>450.77</v>
      </c>
      <c r="J487" s="820">
        <v>4.41</v>
      </c>
    </row>
    <row r="488" spans="1:10" ht="38.25" customHeight="1">
      <c r="A488" s="817" t="s">
        <v>13491</v>
      </c>
      <c r="B488" s="816" t="s">
        <v>13577</v>
      </c>
      <c r="C488" s="817" t="s">
        <v>6</v>
      </c>
      <c r="D488" s="817" t="s">
        <v>31</v>
      </c>
      <c r="E488" s="1021" t="s">
        <v>13490</v>
      </c>
      <c r="F488" s="1021"/>
      <c r="G488" s="818" t="s">
        <v>19</v>
      </c>
      <c r="H488" s="819">
        <v>1.2</v>
      </c>
      <c r="I488" s="820">
        <v>18.86</v>
      </c>
      <c r="J488" s="820">
        <v>22.63</v>
      </c>
    </row>
    <row r="489" spans="1:10" ht="38.25" customHeight="1">
      <c r="A489" s="817" t="s">
        <v>13491</v>
      </c>
      <c r="B489" s="816" t="s">
        <v>13553</v>
      </c>
      <c r="C489" s="817" t="s">
        <v>6</v>
      </c>
      <c r="D489" s="817" t="s">
        <v>21</v>
      </c>
      <c r="E489" s="1021" t="s">
        <v>13490</v>
      </c>
      <c r="F489" s="1021"/>
      <c r="G489" s="818" t="s">
        <v>19</v>
      </c>
      <c r="H489" s="819">
        <v>0.6</v>
      </c>
      <c r="I489" s="820">
        <v>15.16</v>
      </c>
      <c r="J489" s="820">
        <v>9.09</v>
      </c>
    </row>
    <row r="490" spans="1:10" ht="25.5">
      <c r="A490" s="822" t="s">
        <v>13493</v>
      </c>
      <c r="B490" s="821" t="s">
        <v>13723</v>
      </c>
      <c r="C490" s="822" t="s">
        <v>6</v>
      </c>
      <c r="D490" s="822" t="s">
        <v>8836</v>
      </c>
      <c r="E490" s="1017" t="s">
        <v>13514</v>
      </c>
      <c r="F490" s="1017"/>
      <c r="G490" s="823" t="s">
        <v>24</v>
      </c>
      <c r="H490" s="824">
        <v>28.31</v>
      </c>
      <c r="I490" s="825">
        <v>1.19</v>
      </c>
      <c r="J490" s="825">
        <v>33.68</v>
      </c>
    </row>
    <row r="491" spans="1:10">
      <c r="A491" s="822" t="s">
        <v>13493</v>
      </c>
      <c r="B491" s="821" t="s">
        <v>13718</v>
      </c>
      <c r="C491" s="822" t="s">
        <v>6</v>
      </c>
      <c r="D491" s="822" t="s">
        <v>4757</v>
      </c>
      <c r="E491" s="1017" t="s">
        <v>13514</v>
      </c>
      <c r="F491" s="1017"/>
      <c r="G491" s="823" t="s">
        <v>13719</v>
      </c>
      <c r="H491" s="824">
        <v>0.01</v>
      </c>
      <c r="I491" s="825">
        <v>40.89</v>
      </c>
      <c r="J491" s="825">
        <v>0.4</v>
      </c>
    </row>
    <row r="492" spans="1:10" ht="25.5">
      <c r="A492" s="822" t="s">
        <v>13493</v>
      </c>
      <c r="B492" s="821" t="s">
        <v>13724</v>
      </c>
      <c r="C492" s="822" t="s">
        <v>6</v>
      </c>
      <c r="D492" s="822" t="s">
        <v>12563</v>
      </c>
      <c r="E492" s="1017" t="s">
        <v>13514</v>
      </c>
      <c r="F492" s="1017"/>
      <c r="G492" s="823" t="s">
        <v>14</v>
      </c>
      <c r="H492" s="824">
        <v>0.42</v>
      </c>
      <c r="I492" s="825">
        <v>5.67</v>
      </c>
      <c r="J492" s="825">
        <v>2.38</v>
      </c>
    </row>
    <row r="493" spans="1:10" ht="25.5">
      <c r="A493" s="827"/>
      <c r="B493" s="827"/>
      <c r="C493" s="827"/>
      <c r="D493" s="827"/>
      <c r="E493" s="827" t="s">
        <v>13503</v>
      </c>
      <c r="F493" s="826">
        <v>23.4</v>
      </c>
      <c r="G493" s="827" t="s">
        <v>13504</v>
      </c>
      <c r="H493" s="826">
        <v>0</v>
      </c>
      <c r="I493" s="827" t="s">
        <v>13505</v>
      </c>
      <c r="J493" s="826">
        <v>23.4</v>
      </c>
    </row>
    <row r="494" spans="1:10" ht="13.5" customHeight="1" thickBot="1">
      <c r="A494" s="827"/>
      <c r="B494" s="827"/>
      <c r="C494" s="827"/>
      <c r="D494" s="827"/>
      <c r="E494" s="827" t="s">
        <v>13506</v>
      </c>
      <c r="F494" s="826">
        <v>20.49</v>
      </c>
      <c r="G494" s="827"/>
      <c r="H494" s="1018" t="s">
        <v>13507</v>
      </c>
      <c r="I494" s="1018"/>
      <c r="J494" s="826">
        <v>93.08</v>
      </c>
    </row>
    <row r="495" spans="1:10" ht="13.5" thickTop="1">
      <c r="A495" s="828"/>
      <c r="B495" s="828"/>
      <c r="C495" s="828"/>
      <c r="D495" s="828"/>
      <c r="E495" s="828"/>
      <c r="F495" s="828"/>
      <c r="G495" s="828"/>
      <c r="H495" s="828"/>
      <c r="I495" s="828"/>
      <c r="J495" s="828"/>
    </row>
    <row r="496" spans="1:10" ht="15">
      <c r="A496" s="809" t="s">
        <v>13725</v>
      </c>
      <c r="B496" s="808" t="s">
        <v>13481</v>
      </c>
      <c r="C496" s="809" t="s">
        <v>13482</v>
      </c>
      <c r="D496" s="809" t="s">
        <v>13483</v>
      </c>
      <c r="E496" s="1019" t="s">
        <v>13484</v>
      </c>
      <c r="F496" s="1019"/>
      <c r="G496" s="810" t="s">
        <v>13485</v>
      </c>
      <c r="H496" s="808" t="s">
        <v>13486</v>
      </c>
      <c r="I496" s="808" t="s">
        <v>13487</v>
      </c>
      <c r="J496" s="808" t="s">
        <v>4867</v>
      </c>
    </row>
    <row r="497" spans="1:10" ht="25.5" customHeight="1">
      <c r="A497" s="812" t="s">
        <v>13488</v>
      </c>
      <c r="B497" s="811" t="s">
        <v>13726</v>
      </c>
      <c r="C497" s="812" t="s">
        <v>6</v>
      </c>
      <c r="D497" s="812" t="s">
        <v>475</v>
      </c>
      <c r="E497" s="1020" t="s">
        <v>13542</v>
      </c>
      <c r="F497" s="1020"/>
      <c r="G497" s="813" t="s">
        <v>14</v>
      </c>
      <c r="H497" s="814">
        <v>1</v>
      </c>
      <c r="I497" s="815">
        <v>53.6</v>
      </c>
      <c r="J497" s="815">
        <v>53.6</v>
      </c>
    </row>
    <row r="498" spans="1:10" ht="38.25" customHeight="1">
      <c r="A498" s="817" t="s">
        <v>13491</v>
      </c>
      <c r="B498" s="816" t="s">
        <v>13706</v>
      </c>
      <c r="C498" s="817" t="s">
        <v>6</v>
      </c>
      <c r="D498" s="817" t="s">
        <v>5574</v>
      </c>
      <c r="E498" s="1021" t="s">
        <v>13542</v>
      </c>
      <c r="F498" s="1021"/>
      <c r="G498" s="818" t="s">
        <v>13537</v>
      </c>
      <c r="H498" s="819">
        <v>0.217</v>
      </c>
      <c r="I498" s="820">
        <v>133.85</v>
      </c>
      <c r="J498" s="820">
        <v>29.04</v>
      </c>
    </row>
    <row r="499" spans="1:10" ht="38.25" customHeight="1">
      <c r="A499" s="817" t="s">
        <v>13491</v>
      </c>
      <c r="B499" s="816" t="s">
        <v>13683</v>
      </c>
      <c r="C499" s="817" t="s">
        <v>6</v>
      </c>
      <c r="D499" s="817" t="s">
        <v>2046</v>
      </c>
      <c r="E499" s="1021" t="s">
        <v>13542</v>
      </c>
      <c r="F499" s="1021"/>
      <c r="G499" s="818" t="s">
        <v>16</v>
      </c>
      <c r="H499" s="819">
        <v>0.79</v>
      </c>
      <c r="I499" s="820">
        <v>12.79</v>
      </c>
      <c r="J499" s="820">
        <v>10.1</v>
      </c>
    </row>
    <row r="500" spans="1:10" ht="38.25" customHeight="1">
      <c r="A500" s="817" t="s">
        <v>13491</v>
      </c>
      <c r="B500" s="816" t="s">
        <v>13707</v>
      </c>
      <c r="C500" s="817" t="s">
        <v>6</v>
      </c>
      <c r="D500" s="817" t="s">
        <v>6582</v>
      </c>
      <c r="E500" s="1021" t="s">
        <v>13542</v>
      </c>
      <c r="F500" s="1021"/>
      <c r="G500" s="818" t="s">
        <v>13543</v>
      </c>
      <c r="H500" s="819">
        <v>2.4E-2</v>
      </c>
      <c r="I500" s="820">
        <v>400.17</v>
      </c>
      <c r="J500" s="820">
        <v>9.6</v>
      </c>
    </row>
    <row r="501" spans="1:10" ht="13.5" customHeight="1">
      <c r="A501" s="817" t="s">
        <v>13491</v>
      </c>
      <c r="B501" s="816" t="s">
        <v>13711</v>
      </c>
      <c r="C501" s="817" t="s">
        <v>6</v>
      </c>
      <c r="D501" s="817" t="s">
        <v>3839</v>
      </c>
      <c r="E501" s="1021" t="s">
        <v>13490</v>
      </c>
      <c r="F501" s="1021"/>
      <c r="G501" s="818" t="s">
        <v>13543</v>
      </c>
      <c r="H501" s="819">
        <v>1.9E-3</v>
      </c>
      <c r="I501" s="820">
        <v>430.66</v>
      </c>
      <c r="J501" s="820">
        <v>0.81</v>
      </c>
    </row>
    <row r="502" spans="1:10" ht="38.25" customHeight="1">
      <c r="A502" s="817" t="s">
        <v>13491</v>
      </c>
      <c r="B502" s="816" t="s">
        <v>13553</v>
      </c>
      <c r="C502" s="817" t="s">
        <v>6</v>
      </c>
      <c r="D502" s="817" t="s">
        <v>21</v>
      </c>
      <c r="E502" s="1021" t="s">
        <v>13490</v>
      </c>
      <c r="F502" s="1021"/>
      <c r="G502" s="818" t="s">
        <v>19</v>
      </c>
      <c r="H502" s="819">
        <v>9.4E-2</v>
      </c>
      <c r="I502" s="820">
        <v>15.16</v>
      </c>
      <c r="J502" s="820">
        <v>1.42</v>
      </c>
    </row>
    <row r="503" spans="1:10" ht="38.25" customHeight="1">
      <c r="A503" s="817" t="s">
        <v>13491</v>
      </c>
      <c r="B503" s="816" t="s">
        <v>13577</v>
      </c>
      <c r="C503" s="817" t="s">
        <v>6</v>
      </c>
      <c r="D503" s="817" t="s">
        <v>31</v>
      </c>
      <c r="E503" s="1021" t="s">
        <v>13490</v>
      </c>
      <c r="F503" s="1021"/>
      <c r="G503" s="818" t="s">
        <v>19</v>
      </c>
      <c r="H503" s="819">
        <v>6.8000000000000005E-2</v>
      </c>
      <c r="I503" s="820">
        <v>18.86</v>
      </c>
      <c r="J503" s="820">
        <v>1.28</v>
      </c>
    </row>
    <row r="504" spans="1:10" ht="25.5">
      <c r="A504" s="822" t="s">
        <v>13493</v>
      </c>
      <c r="B504" s="821" t="s">
        <v>13646</v>
      </c>
      <c r="C504" s="822" t="s">
        <v>6</v>
      </c>
      <c r="D504" s="822" t="s">
        <v>4636</v>
      </c>
      <c r="E504" s="1017" t="s">
        <v>13514</v>
      </c>
      <c r="F504" s="1017"/>
      <c r="G504" s="823" t="s">
        <v>39</v>
      </c>
      <c r="H504" s="824">
        <v>7.0000000000000001E-3</v>
      </c>
      <c r="I504" s="825">
        <v>5.24</v>
      </c>
      <c r="J504" s="825">
        <v>0.03</v>
      </c>
    </row>
    <row r="505" spans="1:10" ht="38.25" customHeight="1">
      <c r="A505" s="822" t="s">
        <v>13493</v>
      </c>
      <c r="B505" s="821" t="s">
        <v>13640</v>
      </c>
      <c r="C505" s="822" t="s">
        <v>6</v>
      </c>
      <c r="D505" s="822" t="s">
        <v>4663</v>
      </c>
      <c r="E505" s="1017" t="s">
        <v>13514</v>
      </c>
      <c r="F505" s="1017"/>
      <c r="G505" s="823" t="s">
        <v>24</v>
      </c>
      <c r="H505" s="824">
        <v>6</v>
      </c>
      <c r="I505" s="825">
        <v>0.22</v>
      </c>
      <c r="J505" s="825">
        <v>1.32</v>
      </c>
    </row>
    <row r="506" spans="1:10" ht="38.25" customHeight="1">
      <c r="A506" s="827"/>
      <c r="B506" s="827"/>
      <c r="C506" s="827"/>
      <c r="D506" s="827"/>
      <c r="E506" s="827" t="s">
        <v>13503</v>
      </c>
      <c r="F506" s="826">
        <v>6.57</v>
      </c>
      <c r="G506" s="827" t="s">
        <v>13504</v>
      </c>
      <c r="H506" s="826">
        <v>0</v>
      </c>
      <c r="I506" s="827" t="s">
        <v>13505</v>
      </c>
      <c r="J506" s="826">
        <v>6.57</v>
      </c>
    </row>
    <row r="507" spans="1:10" ht="13.5" customHeight="1" thickBot="1">
      <c r="A507" s="827"/>
      <c r="B507" s="827"/>
      <c r="C507" s="827"/>
      <c r="D507" s="827"/>
      <c r="E507" s="827" t="s">
        <v>13506</v>
      </c>
      <c r="F507" s="826">
        <v>15.13</v>
      </c>
      <c r="G507" s="827"/>
      <c r="H507" s="1018" t="s">
        <v>13507</v>
      </c>
      <c r="I507" s="1018"/>
      <c r="J507" s="826">
        <v>68.73</v>
      </c>
    </row>
    <row r="508" spans="1:10" ht="13.5" thickTop="1">
      <c r="A508" s="828"/>
      <c r="B508" s="828"/>
      <c r="C508" s="828"/>
      <c r="D508" s="828"/>
      <c r="E508" s="828"/>
      <c r="F508" s="828"/>
      <c r="G508" s="828"/>
      <c r="H508" s="828"/>
      <c r="I508" s="828"/>
      <c r="J508" s="828"/>
    </row>
    <row r="509" spans="1:10" ht="15">
      <c r="A509" s="809" t="s">
        <v>13727</v>
      </c>
      <c r="B509" s="808" t="s">
        <v>13481</v>
      </c>
      <c r="C509" s="809" t="s">
        <v>13482</v>
      </c>
      <c r="D509" s="809" t="s">
        <v>13483</v>
      </c>
      <c r="E509" s="1019" t="s">
        <v>13484</v>
      </c>
      <c r="F509" s="1019"/>
      <c r="G509" s="810" t="s">
        <v>13485</v>
      </c>
      <c r="H509" s="808" t="s">
        <v>13486</v>
      </c>
      <c r="I509" s="808" t="s">
        <v>13487</v>
      </c>
      <c r="J509" s="808" t="s">
        <v>4867</v>
      </c>
    </row>
    <row r="510" spans="1:10" ht="25.5" customHeight="1">
      <c r="A510" s="812" t="s">
        <v>13488</v>
      </c>
      <c r="B510" s="811" t="s">
        <v>13728</v>
      </c>
      <c r="C510" s="812" t="s">
        <v>6</v>
      </c>
      <c r="D510" s="812" t="s">
        <v>2163</v>
      </c>
      <c r="E510" s="1020" t="s">
        <v>13542</v>
      </c>
      <c r="F510" s="1020"/>
      <c r="G510" s="813" t="s">
        <v>14</v>
      </c>
      <c r="H510" s="814">
        <v>1</v>
      </c>
      <c r="I510" s="815">
        <v>49.18</v>
      </c>
      <c r="J510" s="815">
        <v>49.18</v>
      </c>
    </row>
    <row r="511" spans="1:10" ht="38.25" customHeight="1">
      <c r="A511" s="817" t="s">
        <v>13491</v>
      </c>
      <c r="B511" s="816" t="s">
        <v>13706</v>
      </c>
      <c r="C511" s="817" t="s">
        <v>6</v>
      </c>
      <c r="D511" s="817" t="s">
        <v>5574</v>
      </c>
      <c r="E511" s="1021" t="s">
        <v>13542</v>
      </c>
      <c r="F511" s="1021"/>
      <c r="G511" s="818" t="s">
        <v>13537</v>
      </c>
      <c r="H511" s="819">
        <v>0.21299999999999999</v>
      </c>
      <c r="I511" s="820">
        <v>133.85</v>
      </c>
      <c r="J511" s="820">
        <v>28.51</v>
      </c>
    </row>
    <row r="512" spans="1:10" ht="13.5" customHeight="1">
      <c r="A512" s="817" t="s">
        <v>13491</v>
      </c>
      <c r="B512" s="816" t="s">
        <v>13707</v>
      </c>
      <c r="C512" s="817" t="s">
        <v>6</v>
      </c>
      <c r="D512" s="817" t="s">
        <v>6582</v>
      </c>
      <c r="E512" s="1021" t="s">
        <v>13542</v>
      </c>
      <c r="F512" s="1021"/>
      <c r="G512" s="818" t="s">
        <v>13543</v>
      </c>
      <c r="H512" s="819">
        <v>2.4E-2</v>
      </c>
      <c r="I512" s="820">
        <v>400.17</v>
      </c>
      <c r="J512" s="820">
        <v>9.6</v>
      </c>
    </row>
    <row r="513" spans="1:10" ht="38.25" customHeight="1">
      <c r="A513" s="817" t="s">
        <v>13491</v>
      </c>
      <c r="B513" s="816" t="s">
        <v>13729</v>
      </c>
      <c r="C513" s="817" t="s">
        <v>6</v>
      </c>
      <c r="D513" s="817" t="s">
        <v>2045</v>
      </c>
      <c r="E513" s="1021" t="s">
        <v>13542</v>
      </c>
      <c r="F513" s="1021"/>
      <c r="G513" s="818" t="s">
        <v>16</v>
      </c>
      <c r="H513" s="819">
        <v>0.49</v>
      </c>
      <c r="I513" s="820">
        <v>12.68</v>
      </c>
      <c r="J513" s="820">
        <v>6.21</v>
      </c>
    </row>
    <row r="514" spans="1:10" ht="38.25" customHeight="1">
      <c r="A514" s="817" t="s">
        <v>13491</v>
      </c>
      <c r="B514" s="816" t="s">
        <v>13711</v>
      </c>
      <c r="C514" s="817" t="s">
        <v>6</v>
      </c>
      <c r="D514" s="817" t="s">
        <v>3839</v>
      </c>
      <c r="E514" s="1021" t="s">
        <v>13490</v>
      </c>
      <c r="F514" s="1021"/>
      <c r="G514" s="818" t="s">
        <v>13543</v>
      </c>
      <c r="H514" s="819">
        <v>1.9E-3</v>
      </c>
      <c r="I514" s="820">
        <v>430.66</v>
      </c>
      <c r="J514" s="820">
        <v>0.81</v>
      </c>
    </row>
    <row r="515" spans="1:10" ht="38.25" customHeight="1">
      <c r="A515" s="817" t="s">
        <v>13491</v>
      </c>
      <c r="B515" s="816" t="s">
        <v>13553</v>
      </c>
      <c r="C515" s="817" t="s">
        <v>6</v>
      </c>
      <c r="D515" s="817" t="s">
        <v>21</v>
      </c>
      <c r="E515" s="1021" t="s">
        <v>13490</v>
      </c>
      <c r="F515" s="1021"/>
      <c r="G515" s="818" t="s">
        <v>19</v>
      </c>
      <c r="H515" s="819">
        <v>9.4E-2</v>
      </c>
      <c r="I515" s="820">
        <v>15.16</v>
      </c>
      <c r="J515" s="820">
        <v>1.42</v>
      </c>
    </row>
    <row r="516" spans="1:10" ht="38.25" customHeight="1">
      <c r="A516" s="817" t="s">
        <v>13491</v>
      </c>
      <c r="B516" s="816" t="s">
        <v>13577</v>
      </c>
      <c r="C516" s="817" t="s">
        <v>6</v>
      </c>
      <c r="D516" s="817" t="s">
        <v>31</v>
      </c>
      <c r="E516" s="1021" t="s">
        <v>13490</v>
      </c>
      <c r="F516" s="1021"/>
      <c r="G516" s="818" t="s">
        <v>19</v>
      </c>
      <c r="H516" s="819">
        <v>6.8000000000000005E-2</v>
      </c>
      <c r="I516" s="820">
        <v>18.86</v>
      </c>
      <c r="J516" s="820">
        <v>1.28</v>
      </c>
    </row>
    <row r="517" spans="1:10" ht="25.5">
      <c r="A517" s="822" t="s">
        <v>13493</v>
      </c>
      <c r="B517" s="821" t="s">
        <v>13646</v>
      </c>
      <c r="C517" s="822" t="s">
        <v>6</v>
      </c>
      <c r="D517" s="822" t="s">
        <v>4636</v>
      </c>
      <c r="E517" s="1017" t="s">
        <v>13514</v>
      </c>
      <c r="F517" s="1017"/>
      <c r="G517" s="823" t="s">
        <v>39</v>
      </c>
      <c r="H517" s="824">
        <v>7.0000000000000001E-3</v>
      </c>
      <c r="I517" s="825">
        <v>5.24</v>
      </c>
      <c r="J517" s="825">
        <v>0.03</v>
      </c>
    </row>
    <row r="518" spans="1:10" ht="25.5">
      <c r="A518" s="822" t="s">
        <v>13493</v>
      </c>
      <c r="B518" s="821" t="s">
        <v>13640</v>
      </c>
      <c r="C518" s="822" t="s">
        <v>6</v>
      </c>
      <c r="D518" s="822" t="s">
        <v>4663</v>
      </c>
      <c r="E518" s="1017" t="s">
        <v>13514</v>
      </c>
      <c r="F518" s="1017"/>
      <c r="G518" s="823" t="s">
        <v>24</v>
      </c>
      <c r="H518" s="824">
        <v>6</v>
      </c>
      <c r="I518" s="825">
        <v>0.22</v>
      </c>
      <c r="J518" s="825">
        <v>1.32</v>
      </c>
    </row>
    <row r="519" spans="1:10" ht="25.5">
      <c r="A519" s="827"/>
      <c r="B519" s="827"/>
      <c r="C519" s="827"/>
      <c r="D519" s="827"/>
      <c r="E519" s="827" t="s">
        <v>13503</v>
      </c>
      <c r="F519" s="826">
        <v>6.55</v>
      </c>
      <c r="G519" s="827" t="s">
        <v>13504</v>
      </c>
      <c r="H519" s="826">
        <v>0</v>
      </c>
      <c r="I519" s="827" t="s">
        <v>13505</v>
      </c>
      <c r="J519" s="826">
        <v>6.55</v>
      </c>
    </row>
    <row r="520" spans="1:10" ht="13.5" customHeight="1" thickBot="1">
      <c r="A520" s="827"/>
      <c r="B520" s="827"/>
      <c r="C520" s="827"/>
      <c r="D520" s="827"/>
      <c r="E520" s="827" t="s">
        <v>13506</v>
      </c>
      <c r="F520" s="826">
        <v>13.88</v>
      </c>
      <c r="G520" s="827"/>
      <c r="H520" s="1018" t="s">
        <v>13507</v>
      </c>
      <c r="I520" s="1018"/>
      <c r="J520" s="826">
        <v>63.06</v>
      </c>
    </row>
    <row r="521" spans="1:10" ht="13.5" thickTop="1">
      <c r="A521" s="828"/>
      <c r="B521" s="828"/>
      <c r="C521" s="828"/>
      <c r="D521" s="828"/>
      <c r="E521" s="828"/>
      <c r="F521" s="828"/>
      <c r="G521" s="828"/>
      <c r="H521" s="828"/>
      <c r="I521" s="828"/>
      <c r="J521" s="828"/>
    </row>
    <row r="522" spans="1:10" ht="13.5" customHeight="1">
      <c r="A522" s="809" t="s">
        <v>13730</v>
      </c>
      <c r="B522" s="808" t="s">
        <v>13481</v>
      </c>
      <c r="C522" s="809" t="s">
        <v>13482</v>
      </c>
      <c r="D522" s="809" t="s">
        <v>13483</v>
      </c>
      <c r="E522" s="1019" t="s">
        <v>13484</v>
      </c>
      <c r="F522" s="1019"/>
      <c r="G522" s="810" t="s">
        <v>13485</v>
      </c>
      <c r="H522" s="808" t="s">
        <v>13486</v>
      </c>
      <c r="I522" s="808" t="s">
        <v>13487</v>
      </c>
      <c r="J522" s="808" t="s">
        <v>4867</v>
      </c>
    </row>
    <row r="523" spans="1:10" ht="25.5" customHeight="1">
      <c r="A523" s="812" t="s">
        <v>13488</v>
      </c>
      <c r="B523" s="811" t="s">
        <v>13731</v>
      </c>
      <c r="C523" s="812" t="s">
        <v>6</v>
      </c>
      <c r="D523" s="812" t="s">
        <v>476</v>
      </c>
      <c r="E523" s="1020" t="s">
        <v>13542</v>
      </c>
      <c r="F523" s="1020"/>
      <c r="G523" s="813" t="s">
        <v>14</v>
      </c>
      <c r="H523" s="814">
        <v>1</v>
      </c>
      <c r="I523" s="815">
        <v>30.41</v>
      </c>
      <c r="J523" s="815">
        <v>30.41</v>
      </c>
    </row>
    <row r="524" spans="1:10" ht="38.25" customHeight="1">
      <c r="A524" s="817" t="s">
        <v>13491</v>
      </c>
      <c r="B524" s="816" t="s">
        <v>13706</v>
      </c>
      <c r="C524" s="817" t="s">
        <v>6</v>
      </c>
      <c r="D524" s="817" t="s">
        <v>5574</v>
      </c>
      <c r="E524" s="1021" t="s">
        <v>13542</v>
      </c>
      <c r="F524" s="1021"/>
      <c r="G524" s="818" t="s">
        <v>13537</v>
      </c>
      <c r="H524" s="819">
        <v>0.122</v>
      </c>
      <c r="I524" s="820">
        <v>133.85</v>
      </c>
      <c r="J524" s="820">
        <v>16.32</v>
      </c>
    </row>
    <row r="525" spans="1:10" ht="38.25" customHeight="1">
      <c r="A525" s="817" t="s">
        <v>13491</v>
      </c>
      <c r="B525" s="816" t="s">
        <v>13643</v>
      </c>
      <c r="C525" s="817" t="s">
        <v>6</v>
      </c>
      <c r="D525" s="817" t="s">
        <v>2044</v>
      </c>
      <c r="E525" s="1021" t="s">
        <v>13542</v>
      </c>
      <c r="F525" s="1021"/>
      <c r="G525" s="818" t="s">
        <v>16</v>
      </c>
      <c r="H525" s="819">
        <v>0.308</v>
      </c>
      <c r="I525" s="820">
        <v>12.2</v>
      </c>
      <c r="J525" s="820">
        <v>3.75</v>
      </c>
    </row>
    <row r="526" spans="1:10" ht="38.25" customHeight="1">
      <c r="A526" s="817" t="s">
        <v>13491</v>
      </c>
      <c r="B526" s="816" t="s">
        <v>13707</v>
      </c>
      <c r="C526" s="817" t="s">
        <v>6</v>
      </c>
      <c r="D526" s="817" t="s">
        <v>6582</v>
      </c>
      <c r="E526" s="1021" t="s">
        <v>13542</v>
      </c>
      <c r="F526" s="1021"/>
      <c r="G526" s="818" t="s">
        <v>13543</v>
      </c>
      <c r="H526" s="819">
        <v>1.2E-2</v>
      </c>
      <c r="I526" s="820">
        <v>400.17</v>
      </c>
      <c r="J526" s="820">
        <v>4.8</v>
      </c>
    </row>
    <row r="527" spans="1:10" ht="38.25" customHeight="1">
      <c r="A527" s="817" t="s">
        <v>13491</v>
      </c>
      <c r="B527" s="816" t="s">
        <v>13711</v>
      </c>
      <c r="C527" s="817" t="s">
        <v>6</v>
      </c>
      <c r="D527" s="817" t="s">
        <v>3839</v>
      </c>
      <c r="E527" s="1021" t="s">
        <v>13490</v>
      </c>
      <c r="F527" s="1021"/>
      <c r="G527" s="818" t="s">
        <v>13543</v>
      </c>
      <c r="H527" s="819">
        <v>1.9E-3</v>
      </c>
      <c r="I527" s="820">
        <v>430.66</v>
      </c>
      <c r="J527" s="820">
        <v>0.81</v>
      </c>
    </row>
    <row r="528" spans="1:10" ht="38.25" customHeight="1">
      <c r="A528" s="817" t="s">
        <v>13491</v>
      </c>
      <c r="B528" s="816" t="s">
        <v>13577</v>
      </c>
      <c r="C528" s="817" t="s">
        <v>6</v>
      </c>
      <c r="D528" s="817" t="s">
        <v>31</v>
      </c>
      <c r="E528" s="1021" t="s">
        <v>13490</v>
      </c>
      <c r="F528" s="1021"/>
      <c r="G528" s="818" t="s">
        <v>19</v>
      </c>
      <c r="H528" s="819">
        <v>9.4E-2</v>
      </c>
      <c r="I528" s="820">
        <v>18.86</v>
      </c>
      <c r="J528" s="820">
        <v>1.77</v>
      </c>
    </row>
    <row r="529" spans="1:10" ht="38.25" customHeight="1">
      <c r="A529" s="817" t="s">
        <v>13491</v>
      </c>
      <c r="B529" s="816" t="s">
        <v>13553</v>
      </c>
      <c r="C529" s="817" t="s">
        <v>6</v>
      </c>
      <c r="D529" s="817" t="s">
        <v>21</v>
      </c>
      <c r="E529" s="1021" t="s">
        <v>13490</v>
      </c>
      <c r="F529" s="1021"/>
      <c r="G529" s="818" t="s">
        <v>19</v>
      </c>
      <c r="H529" s="819">
        <v>0.107</v>
      </c>
      <c r="I529" s="820">
        <v>15.16</v>
      </c>
      <c r="J529" s="820">
        <v>1.62</v>
      </c>
    </row>
    <row r="530" spans="1:10" ht="25.5">
      <c r="A530" s="822" t="s">
        <v>13493</v>
      </c>
      <c r="B530" s="821" t="s">
        <v>13646</v>
      </c>
      <c r="C530" s="822" t="s">
        <v>6</v>
      </c>
      <c r="D530" s="822" t="s">
        <v>4636</v>
      </c>
      <c r="E530" s="1017" t="s">
        <v>13514</v>
      </c>
      <c r="F530" s="1017"/>
      <c r="G530" s="823" t="s">
        <v>39</v>
      </c>
      <c r="H530" s="824">
        <v>5.0000000000000001E-3</v>
      </c>
      <c r="I530" s="825">
        <v>5.24</v>
      </c>
      <c r="J530" s="825">
        <v>0.02</v>
      </c>
    </row>
    <row r="531" spans="1:10" ht="25.5">
      <c r="A531" s="822" t="s">
        <v>13493</v>
      </c>
      <c r="B531" s="821" t="s">
        <v>13640</v>
      </c>
      <c r="C531" s="822" t="s">
        <v>6</v>
      </c>
      <c r="D531" s="822" t="s">
        <v>4663</v>
      </c>
      <c r="E531" s="1017" t="s">
        <v>13514</v>
      </c>
      <c r="F531" s="1017"/>
      <c r="G531" s="823" t="s">
        <v>24</v>
      </c>
      <c r="H531" s="824">
        <v>6</v>
      </c>
      <c r="I531" s="825">
        <v>0.22</v>
      </c>
      <c r="J531" s="825">
        <v>1.32</v>
      </c>
    </row>
    <row r="532" spans="1:10" ht="13.5" customHeight="1">
      <c r="A532" s="827"/>
      <c r="B532" s="827"/>
      <c r="C532" s="827"/>
      <c r="D532" s="827"/>
      <c r="E532" s="827" t="s">
        <v>13503</v>
      </c>
      <c r="F532" s="826">
        <v>5.24</v>
      </c>
      <c r="G532" s="827" t="s">
        <v>13504</v>
      </c>
      <c r="H532" s="826">
        <v>0</v>
      </c>
      <c r="I532" s="827" t="s">
        <v>13505</v>
      </c>
      <c r="J532" s="826">
        <v>5.24</v>
      </c>
    </row>
    <row r="533" spans="1:10" ht="13.5" customHeight="1" thickBot="1">
      <c r="A533" s="827"/>
      <c r="B533" s="827"/>
      <c r="C533" s="827"/>
      <c r="D533" s="827"/>
      <c r="E533" s="827" t="s">
        <v>13506</v>
      </c>
      <c r="F533" s="826">
        <v>8.58</v>
      </c>
      <c r="G533" s="827"/>
      <c r="H533" s="1018" t="s">
        <v>13507</v>
      </c>
      <c r="I533" s="1018"/>
      <c r="J533" s="826">
        <v>38.99</v>
      </c>
    </row>
    <row r="534" spans="1:10" ht="13.5" thickTop="1">
      <c r="A534" s="828"/>
      <c r="B534" s="828"/>
      <c r="C534" s="828"/>
      <c r="D534" s="828"/>
      <c r="E534" s="828"/>
      <c r="F534" s="828"/>
      <c r="G534" s="828"/>
      <c r="H534" s="828"/>
      <c r="I534" s="828"/>
      <c r="J534" s="828"/>
    </row>
    <row r="535" spans="1:10" ht="15">
      <c r="A535" s="809" t="s">
        <v>13732</v>
      </c>
      <c r="B535" s="808" t="s">
        <v>13481</v>
      </c>
      <c r="C535" s="809" t="s">
        <v>13482</v>
      </c>
      <c r="D535" s="809" t="s">
        <v>13483</v>
      </c>
      <c r="E535" s="1019" t="s">
        <v>13484</v>
      </c>
      <c r="F535" s="1019"/>
      <c r="G535" s="810" t="s">
        <v>13485</v>
      </c>
      <c r="H535" s="808" t="s">
        <v>13486</v>
      </c>
      <c r="I535" s="808" t="s">
        <v>13487</v>
      </c>
      <c r="J535" s="808" t="s">
        <v>4867</v>
      </c>
    </row>
    <row r="536" spans="1:10" ht="25.5" customHeight="1">
      <c r="A536" s="812" t="s">
        <v>13488</v>
      </c>
      <c r="B536" s="811" t="s">
        <v>13733</v>
      </c>
      <c r="C536" s="812" t="s">
        <v>6</v>
      </c>
      <c r="D536" s="812" t="s">
        <v>971</v>
      </c>
      <c r="E536" s="1020" t="s">
        <v>13734</v>
      </c>
      <c r="F536" s="1020"/>
      <c r="G536" s="813" t="s">
        <v>13537</v>
      </c>
      <c r="H536" s="814">
        <v>1</v>
      </c>
      <c r="I536" s="815">
        <v>3.3</v>
      </c>
      <c r="J536" s="815">
        <v>3.3</v>
      </c>
    </row>
    <row r="537" spans="1:10" ht="38.25" customHeight="1">
      <c r="A537" s="817" t="s">
        <v>13491</v>
      </c>
      <c r="B537" s="816" t="s">
        <v>13735</v>
      </c>
      <c r="C537" s="817" t="s">
        <v>6</v>
      </c>
      <c r="D537" s="817" t="s">
        <v>3852</v>
      </c>
      <c r="E537" s="1021" t="s">
        <v>13490</v>
      </c>
      <c r="F537" s="1021"/>
      <c r="G537" s="818" t="s">
        <v>13543</v>
      </c>
      <c r="H537" s="819">
        <v>4.1999999999999997E-3</v>
      </c>
      <c r="I537" s="820">
        <v>449.75</v>
      </c>
      <c r="J537" s="820">
        <v>1.88</v>
      </c>
    </row>
    <row r="538" spans="1:10" ht="38.25" customHeight="1">
      <c r="A538" s="817" t="s">
        <v>13491</v>
      </c>
      <c r="B538" s="816" t="s">
        <v>13553</v>
      </c>
      <c r="C538" s="817" t="s">
        <v>6</v>
      </c>
      <c r="D538" s="817" t="s">
        <v>21</v>
      </c>
      <c r="E538" s="1021" t="s">
        <v>13490</v>
      </c>
      <c r="F538" s="1021"/>
      <c r="G538" s="818" t="s">
        <v>19</v>
      </c>
      <c r="H538" s="819">
        <v>7.0000000000000001E-3</v>
      </c>
      <c r="I538" s="820">
        <v>15.16</v>
      </c>
      <c r="J538" s="820">
        <v>0.1</v>
      </c>
    </row>
    <row r="539" spans="1:10" ht="38.25" customHeight="1">
      <c r="A539" s="817" t="s">
        <v>13491</v>
      </c>
      <c r="B539" s="816" t="s">
        <v>13577</v>
      </c>
      <c r="C539" s="817" t="s">
        <v>6</v>
      </c>
      <c r="D539" s="817" t="s">
        <v>31</v>
      </c>
      <c r="E539" s="1021" t="s">
        <v>13490</v>
      </c>
      <c r="F539" s="1021"/>
      <c r="G539" s="818" t="s">
        <v>19</v>
      </c>
      <c r="H539" s="819">
        <v>7.0000000000000007E-2</v>
      </c>
      <c r="I539" s="820">
        <v>18.86</v>
      </c>
      <c r="J539" s="820">
        <v>1.32</v>
      </c>
    </row>
    <row r="540" spans="1:10" ht="25.5">
      <c r="A540" s="827"/>
      <c r="B540" s="827"/>
      <c r="C540" s="827"/>
      <c r="D540" s="827"/>
      <c r="E540" s="827" t="s">
        <v>13503</v>
      </c>
      <c r="F540" s="826">
        <v>1.21</v>
      </c>
      <c r="G540" s="827" t="s">
        <v>13504</v>
      </c>
      <c r="H540" s="826">
        <v>0</v>
      </c>
      <c r="I540" s="827" t="s">
        <v>13505</v>
      </c>
      <c r="J540" s="826">
        <v>1.21</v>
      </c>
    </row>
    <row r="541" spans="1:10" ht="13.5" customHeight="1" thickBot="1">
      <c r="A541" s="827"/>
      <c r="B541" s="827"/>
      <c r="C541" s="827"/>
      <c r="D541" s="827"/>
      <c r="E541" s="827" t="s">
        <v>13506</v>
      </c>
      <c r="F541" s="826">
        <v>0.93</v>
      </c>
      <c r="G541" s="827"/>
      <c r="H541" s="1018" t="s">
        <v>13507</v>
      </c>
      <c r="I541" s="1018"/>
      <c r="J541" s="826">
        <v>4.2300000000000004</v>
      </c>
    </row>
    <row r="542" spans="1:10" ht="13.5" thickTop="1">
      <c r="A542" s="828"/>
      <c r="B542" s="828"/>
      <c r="C542" s="828"/>
      <c r="D542" s="828"/>
      <c r="E542" s="828"/>
      <c r="F542" s="828"/>
      <c r="G542" s="828"/>
      <c r="H542" s="828"/>
      <c r="I542" s="828"/>
      <c r="J542" s="828"/>
    </row>
    <row r="543" spans="1:10" ht="15">
      <c r="A543" s="809" t="s">
        <v>13736</v>
      </c>
      <c r="B543" s="808" t="s">
        <v>13481</v>
      </c>
      <c r="C543" s="809" t="s">
        <v>13482</v>
      </c>
      <c r="D543" s="809" t="s">
        <v>13483</v>
      </c>
      <c r="E543" s="1019" t="s">
        <v>13484</v>
      </c>
      <c r="F543" s="1019"/>
      <c r="G543" s="810" t="s">
        <v>13485</v>
      </c>
      <c r="H543" s="808" t="s">
        <v>13486</v>
      </c>
      <c r="I543" s="808" t="s">
        <v>13487</v>
      </c>
      <c r="J543" s="808" t="s">
        <v>4867</v>
      </c>
    </row>
    <row r="544" spans="1:10" ht="38.25" customHeight="1">
      <c r="A544" s="812" t="s">
        <v>13488</v>
      </c>
      <c r="B544" s="811" t="s">
        <v>13737</v>
      </c>
      <c r="C544" s="812" t="s">
        <v>6</v>
      </c>
      <c r="D544" s="812" t="s">
        <v>920</v>
      </c>
      <c r="E544" s="1020" t="s">
        <v>13734</v>
      </c>
      <c r="F544" s="1020"/>
      <c r="G544" s="813" t="s">
        <v>13537</v>
      </c>
      <c r="H544" s="814">
        <v>1</v>
      </c>
      <c r="I544" s="815">
        <v>52.69</v>
      </c>
      <c r="J544" s="815">
        <v>52.69</v>
      </c>
    </row>
    <row r="545" spans="1:10" ht="38.25" customHeight="1">
      <c r="A545" s="817" t="s">
        <v>13491</v>
      </c>
      <c r="B545" s="816" t="s">
        <v>13716</v>
      </c>
      <c r="C545" s="817" t="s">
        <v>6</v>
      </c>
      <c r="D545" s="817" t="s">
        <v>3838</v>
      </c>
      <c r="E545" s="1021" t="s">
        <v>13490</v>
      </c>
      <c r="F545" s="1021"/>
      <c r="G545" s="818" t="s">
        <v>13543</v>
      </c>
      <c r="H545" s="819">
        <v>5.4300000000000001E-2</v>
      </c>
      <c r="I545" s="820">
        <v>450.77</v>
      </c>
      <c r="J545" s="820">
        <v>24.47</v>
      </c>
    </row>
    <row r="546" spans="1:10" ht="38.25" customHeight="1">
      <c r="A546" s="817" t="s">
        <v>13491</v>
      </c>
      <c r="B546" s="816" t="s">
        <v>13577</v>
      </c>
      <c r="C546" s="817" t="s">
        <v>6</v>
      </c>
      <c r="D546" s="817" t="s">
        <v>31</v>
      </c>
      <c r="E546" s="1021" t="s">
        <v>13490</v>
      </c>
      <c r="F546" s="1021"/>
      <c r="G546" s="818" t="s">
        <v>19</v>
      </c>
      <c r="H546" s="819">
        <v>0.68</v>
      </c>
      <c r="I546" s="820">
        <v>18.86</v>
      </c>
      <c r="J546" s="820">
        <v>12.82</v>
      </c>
    </row>
    <row r="547" spans="1:10" ht="38.25" customHeight="1">
      <c r="A547" s="817" t="s">
        <v>13491</v>
      </c>
      <c r="B547" s="816" t="s">
        <v>13553</v>
      </c>
      <c r="C547" s="817" t="s">
        <v>6</v>
      </c>
      <c r="D547" s="817" t="s">
        <v>21</v>
      </c>
      <c r="E547" s="1021" t="s">
        <v>13490</v>
      </c>
      <c r="F547" s="1021"/>
      <c r="G547" s="818" t="s">
        <v>19</v>
      </c>
      <c r="H547" s="819">
        <v>0.68</v>
      </c>
      <c r="I547" s="820">
        <v>15.16</v>
      </c>
      <c r="J547" s="820">
        <v>10.3</v>
      </c>
    </row>
    <row r="548" spans="1:10" ht="25.5">
      <c r="A548" s="822" t="s">
        <v>13493</v>
      </c>
      <c r="B548" s="821" t="s">
        <v>13738</v>
      </c>
      <c r="C548" s="822" t="s">
        <v>6</v>
      </c>
      <c r="D548" s="822" t="s">
        <v>12565</v>
      </c>
      <c r="E548" s="1017" t="s">
        <v>13514</v>
      </c>
      <c r="F548" s="1017"/>
      <c r="G548" s="823" t="s">
        <v>13537</v>
      </c>
      <c r="H548" s="824">
        <v>0.15809999999999999</v>
      </c>
      <c r="I548" s="825">
        <v>32.31</v>
      </c>
      <c r="J548" s="825">
        <v>5.0999999999999996</v>
      </c>
    </row>
    <row r="549" spans="1:10" ht="25.5">
      <c r="A549" s="827"/>
      <c r="B549" s="827"/>
      <c r="C549" s="827"/>
      <c r="D549" s="827"/>
      <c r="E549" s="827" t="s">
        <v>13503</v>
      </c>
      <c r="F549" s="826">
        <v>18.95</v>
      </c>
      <c r="G549" s="827" t="s">
        <v>13504</v>
      </c>
      <c r="H549" s="826">
        <v>0</v>
      </c>
      <c r="I549" s="827" t="s">
        <v>13505</v>
      </c>
      <c r="J549" s="826">
        <v>18.95</v>
      </c>
    </row>
    <row r="550" spans="1:10" ht="13.5" customHeight="1" thickBot="1">
      <c r="A550" s="827"/>
      <c r="B550" s="827"/>
      <c r="C550" s="827"/>
      <c r="D550" s="827"/>
      <c r="E550" s="827" t="s">
        <v>13506</v>
      </c>
      <c r="F550" s="826">
        <v>14.87</v>
      </c>
      <c r="G550" s="827"/>
      <c r="H550" s="1018" t="s">
        <v>13507</v>
      </c>
      <c r="I550" s="1018"/>
      <c r="J550" s="826">
        <v>67.56</v>
      </c>
    </row>
    <row r="551" spans="1:10" ht="13.5" customHeight="1" thickTop="1">
      <c r="A551" s="828"/>
      <c r="B551" s="828"/>
      <c r="C551" s="828"/>
      <c r="D551" s="828"/>
      <c r="E551" s="828"/>
      <c r="F551" s="828"/>
      <c r="G551" s="828"/>
      <c r="H551" s="828"/>
      <c r="I551" s="828"/>
      <c r="J551" s="828"/>
    </row>
    <row r="552" spans="1:10" ht="15">
      <c r="A552" s="809" t="s">
        <v>13739</v>
      </c>
      <c r="B552" s="808" t="s">
        <v>13481</v>
      </c>
      <c r="C552" s="809" t="s">
        <v>13482</v>
      </c>
      <c r="D552" s="809" t="s">
        <v>13483</v>
      </c>
      <c r="E552" s="1019" t="s">
        <v>13484</v>
      </c>
      <c r="F552" s="1019"/>
      <c r="G552" s="810" t="s">
        <v>13485</v>
      </c>
      <c r="H552" s="808" t="s">
        <v>13486</v>
      </c>
      <c r="I552" s="808" t="s">
        <v>13487</v>
      </c>
      <c r="J552" s="808" t="s">
        <v>4867</v>
      </c>
    </row>
    <row r="553" spans="1:10" ht="38.25" customHeight="1">
      <c r="A553" s="812" t="s">
        <v>13488</v>
      </c>
      <c r="B553" s="811" t="s">
        <v>13740</v>
      </c>
      <c r="C553" s="812" t="s">
        <v>6</v>
      </c>
      <c r="D553" s="812" t="s">
        <v>877</v>
      </c>
      <c r="E553" s="1020" t="s">
        <v>13734</v>
      </c>
      <c r="F553" s="1020"/>
      <c r="G553" s="813" t="s">
        <v>13537</v>
      </c>
      <c r="H553" s="814">
        <v>1</v>
      </c>
      <c r="I553" s="815">
        <v>32.03</v>
      </c>
      <c r="J553" s="815">
        <v>32.03</v>
      </c>
    </row>
    <row r="554" spans="1:10" ht="25.5" customHeight="1">
      <c r="A554" s="817" t="s">
        <v>13491</v>
      </c>
      <c r="B554" s="816" t="s">
        <v>13741</v>
      </c>
      <c r="C554" s="817" t="s">
        <v>6</v>
      </c>
      <c r="D554" s="817" t="s">
        <v>3904</v>
      </c>
      <c r="E554" s="1021" t="s">
        <v>13490</v>
      </c>
      <c r="F554" s="1021"/>
      <c r="G554" s="818" t="s">
        <v>13543</v>
      </c>
      <c r="H554" s="819">
        <v>3.7600000000000001E-2</v>
      </c>
      <c r="I554" s="820">
        <v>547.53</v>
      </c>
      <c r="J554" s="820">
        <v>20.58</v>
      </c>
    </row>
    <row r="555" spans="1:10" ht="38.25" customHeight="1">
      <c r="A555" s="817" t="s">
        <v>13491</v>
      </c>
      <c r="B555" s="816" t="s">
        <v>13553</v>
      </c>
      <c r="C555" s="817" t="s">
        <v>6</v>
      </c>
      <c r="D555" s="817" t="s">
        <v>21</v>
      </c>
      <c r="E555" s="1021" t="s">
        <v>13490</v>
      </c>
      <c r="F555" s="1021"/>
      <c r="G555" s="818" t="s">
        <v>19</v>
      </c>
      <c r="H555" s="819">
        <v>0.17100000000000001</v>
      </c>
      <c r="I555" s="820">
        <v>15.16</v>
      </c>
      <c r="J555" s="820">
        <v>2.59</v>
      </c>
    </row>
    <row r="556" spans="1:10" ht="38.25" customHeight="1">
      <c r="A556" s="817" t="s">
        <v>13491</v>
      </c>
      <c r="B556" s="816" t="s">
        <v>13577</v>
      </c>
      <c r="C556" s="817" t="s">
        <v>6</v>
      </c>
      <c r="D556" s="817" t="s">
        <v>31</v>
      </c>
      <c r="E556" s="1021" t="s">
        <v>13490</v>
      </c>
      <c r="F556" s="1021"/>
      <c r="G556" s="818" t="s">
        <v>19</v>
      </c>
      <c r="H556" s="819">
        <v>0.47</v>
      </c>
      <c r="I556" s="820">
        <v>18.86</v>
      </c>
      <c r="J556" s="820">
        <v>8.86</v>
      </c>
    </row>
    <row r="557" spans="1:10" ht="25.5">
      <c r="A557" s="827"/>
      <c r="B557" s="827"/>
      <c r="C557" s="827"/>
      <c r="D557" s="827"/>
      <c r="E557" s="827" t="s">
        <v>13503</v>
      </c>
      <c r="F557" s="826">
        <v>12.66</v>
      </c>
      <c r="G557" s="827" t="s">
        <v>13504</v>
      </c>
      <c r="H557" s="826">
        <v>0</v>
      </c>
      <c r="I557" s="827" t="s">
        <v>13505</v>
      </c>
      <c r="J557" s="826">
        <v>12.66</v>
      </c>
    </row>
    <row r="558" spans="1:10" ht="13.5" customHeight="1" thickBot="1">
      <c r="A558" s="827"/>
      <c r="B558" s="827"/>
      <c r="C558" s="827"/>
      <c r="D558" s="827"/>
      <c r="E558" s="827" t="s">
        <v>13506</v>
      </c>
      <c r="F558" s="826">
        <v>9.0399999999999991</v>
      </c>
      <c r="G558" s="827"/>
      <c r="H558" s="1018" t="s">
        <v>13507</v>
      </c>
      <c r="I558" s="1018"/>
      <c r="J558" s="826">
        <v>41.07</v>
      </c>
    </row>
    <row r="559" spans="1:10" ht="13.5" thickTop="1">
      <c r="A559" s="828"/>
      <c r="B559" s="828"/>
      <c r="C559" s="828"/>
      <c r="D559" s="828"/>
      <c r="E559" s="828"/>
      <c r="F559" s="828"/>
      <c r="G559" s="828"/>
      <c r="H559" s="828"/>
      <c r="I559" s="828"/>
      <c r="J559" s="828"/>
    </row>
    <row r="560" spans="1:10" ht="13.5" customHeight="1">
      <c r="A560" s="809" t="s">
        <v>13742</v>
      </c>
      <c r="B560" s="808" t="s">
        <v>13481</v>
      </c>
      <c r="C560" s="809" t="s">
        <v>13482</v>
      </c>
      <c r="D560" s="809" t="s">
        <v>13483</v>
      </c>
      <c r="E560" s="1019" t="s">
        <v>13484</v>
      </c>
      <c r="F560" s="1019"/>
      <c r="G560" s="810" t="s">
        <v>13485</v>
      </c>
      <c r="H560" s="808" t="s">
        <v>13486</v>
      </c>
      <c r="I560" s="808" t="s">
        <v>13487</v>
      </c>
      <c r="J560" s="808" t="s">
        <v>4867</v>
      </c>
    </row>
    <row r="561" spans="1:10" ht="38.25" customHeight="1">
      <c r="A561" s="812" t="s">
        <v>13488</v>
      </c>
      <c r="B561" s="811" t="s">
        <v>13743</v>
      </c>
      <c r="C561" s="812" t="s">
        <v>6</v>
      </c>
      <c r="D561" s="812" t="s">
        <v>843</v>
      </c>
      <c r="E561" s="1020" t="s">
        <v>13734</v>
      </c>
      <c r="F561" s="1020"/>
      <c r="G561" s="813" t="s">
        <v>13537</v>
      </c>
      <c r="H561" s="814">
        <v>1</v>
      </c>
      <c r="I561" s="815">
        <v>57.89</v>
      </c>
      <c r="J561" s="815">
        <v>57.89</v>
      </c>
    </row>
    <row r="562" spans="1:10" ht="38.25" customHeight="1">
      <c r="A562" s="817" t="s">
        <v>13491</v>
      </c>
      <c r="B562" s="816" t="s">
        <v>13595</v>
      </c>
      <c r="C562" s="817" t="s">
        <v>6</v>
      </c>
      <c r="D562" s="817" t="s">
        <v>20</v>
      </c>
      <c r="E562" s="1021" t="s">
        <v>13490</v>
      </c>
      <c r="F562" s="1021"/>
      <c r="G562" s="818" t="s">
        <v>19</v>
      </c>
      <c r="H562" s="819">
        <v>0.66</v>
      </c>
      <c r="I562" s="820">
        <v>18.79</v>
      </c>
      <c r="J562" s="820">
        <v>12.4</v>
      </c>
    </row>
    <row r="563" spans="1:10" ht="38.25" customHeight="1">
      <c r="A563" s="817" t="s">
        <v>13491</v>
      </c>
      <c r="B563" s="816" t="s">
        <v>13553</v>
      </c>
      <c r="C563" s="817" t="s">
        <v>6</v>
      </c>
      <c r="D563" s="817" t="s">
        <v>21</v>
      </c>
      <c r="E563" s="1021" t="s">
        <v>13490</v>
      </c>
      <c r="F563" s="1021"/>
      <c r="G563" s="818" t="s">
        <v>19</v>
      </c>
      <c r="H563" s="819">
        <v>0.36</v>
      </c>
      <c r="I563" s="820">
        <v>15.16</v>
      </c>
      <c r="J563" s="820">
        <v>5.45</v>
      </c>
    </row>
    <row r="564" spans="1:10">
      <c r="A564" s="822" t="s">
        <v>13493</v>
      </c>
      <c r="B564" s="821" t="s">
        <v>13744</v>
      </c>
      <c r="C564" s="822" t="s">
        <v>6</v>
      </c>
      <c r="D564" s="822" t="s">
        <v>4589</v>
      </c>
      <c r="E564" s="1017" t="s">
        <v>13514</v>
      </c>
      <c r="F564" s="1017"/>
      <c r="G564" s="823" t="s">
        <v>16</v>
      </c>
      <c r="H564" s="824">
        <v>6.14</v>
      </c>
      <c r="I564" s="825">
        <v>0.82</v>
      </c>
      <c r="J564" s="825">
        <v>5.03</v>
      </c>
    </row>
    <row r="565" spans="1:10">
      <c r="A565" s="822" t="s">
        <v>13493</v>
      </c>
      <c r="B565" s="821" t="s">
        <v>13745</v>
      </c>
      <c r="C565" s="822" t="s">
        <v>6</v>
      </c>
      <c r="D565" s="822" t="s">
        <v>5394</v>
      </c>
      <c r="E565" s="1017" t="s">
        <v>13514</v>
      </c>
      <c r="F565" s="1017"/>
      <c r="G565" s="823" t="s">
        <v>16</v>
      </c>
      <c r="H565" s="824">
        <v>0.22</v>
      </c>
      <c r="I565" s="825">
        <v>4.8099999999999996</v>
      </c>
      <c r="J565" s="825">
        <v>1.05</v>
      </c>
    </row>
    <row r="566" spans="1:10" ht="25.5">
      <c r="A566" s="822" t="s">
        <v>13493</v>
      </c>
      <c r="B566" s="821" t="s">
        <v>13746</v>
      </c>
      <c r="C566" s="822" t="s">
        <v>6</v>
      </c>
      <c r="D566" s="822" t="s">
        <v>4775</v>
      </c>
      <c r="E566" s="1017" t="s">
        <v>13514</v>
      </c>
      <c r="F566" s="1017"/>
      <c r="G566" s="823" t="s">
        <v>13537</v>
      </c>
      <c r="H566" s="824">
        <v>1.08</v>
      </c>
      <c r="I566" s="825">
        <v>31.45</v>
      </c>
      <c r="J566" s="825">
        <v>33.96</v>
      </c>
    </row>
    <row r="567" spans="1:10" ht="25.5">
      <c r="A567" s="827"/>
      <c r="B567" s="827"/>
      <c r="C567" s="827"/>
      <c r="D567" s="827"/>
      <c r="E567" s="827" t="s">
        <v>13503</v>
      </c>
      <c r="F567" s="826">
        <v>12.89</v>
      </c>
      <c r="G567" s="827" t="s">
        <v>13504</v>
      </c>
      <c r="H567" s="826">
        <v>0</v>
      </c>
      <c r="I567" s="827" t="s">
        <v>13505</v>
      </c>
      <c r="J567" s="826">
        <v>12.89</v>
      </c>
    </row>
    <row r="568" spans="1:10" ht="13.5" customHeight="1" thickBot="1">
      <c r="A568" s="827"/>
      <c r="B568" s="827"/>
      <c r="C568" s="827"/>
      <c r="D568" s="827"/>
      <c r="E568" s="827" t="s">
        <v>13506</v>
      </c>
      <c r="F568" s="826">
        <v>16.34</v>
      </c>
      <c r="G568" s="827"/>
      <c r="H568" s="1018" t="s">
        <v>13507</v>
      </c>
      <c r="I568" s="1018"/>
      <c r="J568" s="826">
        <v>74.23</v>
      </c>
    </row>
    <row r="569" spans="1:10" ht="13.5" thickTop="1">
      <c r="A569" s="828"/>
      <c r="B569" s="828"/>
      <c r="C569" s="828"/>
      <c r="D569" s="828"/>
      <c r="E569" s="828"/>
      <c r="F569" s="828"/>
      <c r="G569" s="828"/>
      <c r="H569" s="828"/>
      <c r="I569" s="828"/>
      <c r="J569" s="828"/>
    </row>
    <row r="570" spans="1:10" ht="15">
      <c r="A570" s="809" t="s">
        <v>13747</v>
      </c>
      <c r="B570" s="808" t="s">
        <v>13481</v>
      </c>
      <c r="C570" s="809" t="s">
        <v>13482</v>
      </c>
      <c r="D570" s="809" t="s">
        <v>13483</v>
      </c>
      <c r="E570" s="1019" t="s">
        <v>13484</v>
      </c>
      <c r="F570" s="1019"/>
      <c r="G570" s="810" t="s">
        <v>13485</v>
      </c>
      <c r="H570" s="808" t="s">
        <v>13486</v>
      </c>
      <c r="I570" s="808" t="s">
        <v>13487</v>
      </c>
      <c r="J570" s="808" t="s">
        <v>4867</v>
      </c>
    </row>
    <row r="571" spans="1:10" ht="13.5" customHeight="1">
      <c r="A571" s="812" t="s">
        <v>13488</v>
      </c>
      <c r="B571" s="811" t="s">
        <v>13748</v>
      </c>
      <c r="C571" s="812" t="s">
        <v>6</v>
      </c>
      <c r="D571" s="812" t="s">
        <v>6787</v>
      </c>
      <c r="E571" s="1020" t="s">
        <v>13715</v>
      </c>
      <c r="F571" s="1020"/>
      <c r="G571" s="813" t="s">
        <v>13537</v>
      </c>
      <c r="H571" s="814">
        <v>1</v>
      </c>
      <c r="I571" s="815">
        <v>732.97</v>
      </c>
      <c r="J571" s="815">
        <v>732.97</v>
      </c>
    </row>
    <row r="572" spans="1:10" ht="38.25" customHeight="1">
      <c r="A572" s="817" t="s">
        <v>13491</v>
      </c>
      <c r="B572" s="816" t="s">
        <v>13538</v>
      </c>
      <c r="C572" s="817" t="s">
        <v>6</v>
      </c>
      <c r="D572" s="817" t="s">
        <v>1793</v>
      </c>
      <c r="E572" s="1021" t="s">
        <v>13539</v>
      </c>
      <c r="F572" s="1021"/>
      <c r="G572" s="818" t="s">
        <v>28</v>
      </c>
      <c r="H572" s="819">
        <v>8.8999999999999996E-2</v>
      </c>
      <c r="I572" s="820">
        <v>15.82</v>
      </c>
      <c r="J572" s="820">
        <v>1.4</v>
      </c>
    </row>
    <row r="573" spans="1:10" ht="38.25" customHeight="1">
      <c r="A573" s="817" t="s">
        <v>13491</v>
      </c>
      <c r="B573" s="816" t="s">
        <v>13540</v>
      </c>
      <c r="C573" s="817" t="s">
        <v>6</v>
      </c>
      <c r="D573" s="817" t="s">
        <v>1794</v>
      </c>
      <c r="E573" s="1021" t="s">
        <v>13539</v>
      </c>
      <c r="F573" s="1021"/>
      <c r="G573" s="818" t="s">
        <v>42</v>
      </c>
      <c r="H573" s="819">
        <v>1.3160000000000001</v>
      </c>
      <c r="I573" s="820">
        <v>14.51</v>
      </c>
      <c r="J573" s="820">
        <v>19.09</v>
      </c>
    </row>
    <row r="574" spans="1:10" ht="38.25" customHeight="1">
      <c r="A574" s="817" t="s">
        <v>13491</v>
      </c>
      <c r="B574" s="816" t="s">
        <v>13749</v>
      </c>
      <c r="C574" s="817" t="s">
        <v>6</v>
      </c>
      <c r="D574" s="817" t="s">
        <v>128</v>
      </c>
      <c r="E574" s="1021" t="s">
        <v>13490</v>
      </c>
      <c r="F574" s="1021"/>
      <c r="G574" s="818" t="s">
        <v>19</v>
      </c>
      <c r="H574" s="819">
        <v>1.405</v>
      </c>
      <c r="I574" s="820">
        <v>18.79</v>
      </c>
      <c r="J574" s="820">
        <v>26.39</v>
      </c>
    </row>
    <row r="575" spans="1:10" ht="25.5" customHeight="1">
      <c r="A575" s="817" t="s">
        <v>13491</v>
      </c>
      <c r="B575" s="816" t="s">
        <v>13553</v>
      </c>
      <c r="C575" s="817" t="s">
        <v>6</v>
      </c>
      <c r="D575" s="817" t="s">
        <v>21</v>
      </c>
      <c r="E575" s="1021" t="s">
        <v>13490</v>
      </c>
      <c r="F575" s="1021"/>
      <c r="G575" s="818" t="s">
        <v>19</v>
      </c>
      <c r="H575" s="819">
        <v>0.70199999999999996</v>
      </c>
      <c r="I575" s="820">
        <v>15.16</v>
      </c>
      <c r="J575" s="820">
        <v>10.64</v>
      </c>
    </row>
    <row r="576" spans="1:10" ht="25.5" customHeight="1">
      <c r="A576" s="822" t="s">
        <v>13493</v>
      </c>
      <c r="B576" s="821" t="s">
        <v>13750</v>
      </c>
      <c r="C576" s="822" t="s">
        <v>6</v>
      </c>
      <c r="D576" s="822" t="s">
        <v>8516</v>
      </c>
      <c r="E576" s="1017" t="s">
        <v>13514</v>
      </c>
      <c r="F576" s="1017"/>
      <c r="G576" s="823" t="s">
        <v>16</v>
      </c>
      <c r="H576" s="824">
        <v>0.53</v>
      </c>
      <c r="I576" s="825">
        <v>34.6</v>
      </c>
      <c r="J576" s="825">
        <v>18.329999999999998</v>
      </c>
    </row>
    <row r="577" spans="1:10">
      <c r="A577" s="822" t="s">
        <v>13493</v>
      </c>
      <c r="B577" s="821" t="s">
        <v>13751</v>
      </c>
      <c r="C577" s="822" t="s">
        <v>6</v>
      </c>
      <c r="D577" s="822" t="s">
        <v>8694</v>
      </c>
      <c r="E577" s="1017" t="s">
        <v>13514</v>
      </c>
      <c r="F577" s="1017"/>
      <c r="G577" s="823" t="s">
        <v>16</v>
      </c>
      <c r="H577" s="824">
        <v>0.97</v>
      </c>
      <c r="I577" s="825">
        <v>2.89</v>
      </c>
      <c r="J577" s="825">
        <v>2.8</v>
      </c>
    </row>
    <row r="578" spans="1:10" ht="38.25">
      <c r="A578" s="822" t="s">
        <v>13493</v>
      </c>
      <c r="B578" s="821" t="s">
        <v>13752</v>
      </c>
      <c r="C578" s="822" t="s">
        <v>6</v>
      </c>
      <c r="D578" s="822" t="s">
        <v>10173</v>
      </c>
      <c r="E578" s="1017" t="s">
        <v>13514</v>
      </c>
      <c r="F578" s="1017"/>
      <c r="G578" s="823" t="s">
        <v>13537</v>
      </c>
      <c r="H578" s="824">
        <v>1.05</v>
      </c>
      <c r="I578" s="825">
        <v>623.16999999999996</v>
      </c>
      <c r="J578" s="825">
        <v>654.32000000000005</v>
      </c>
    </row>
    <row r="579" spans="1:10" ht="25.5">
      <c r="A579" s="827"/>
      <c r="B579" s="827"/>
      <c r="C579" s="827"/>
      <c r="D579" s="827"/>
      <c r="E579" s="827" t="s">
        <v>13503</v>
      </c>
      <c r="F579" s="826">
        <v>41.59</v>
      </c>
      <c r="G579" s="827" t="s">
        <v>13504</v>
      </c>
      <c r="H579" s="826">
        <v>0</v>
      </c>
      <c r="I579" s="827" t="s">
        <v>13505</v>
      </c>
      <c r="J579" s="826">
        <v>41.59</v>
      </c>
    </row>
    <row r="580" spans="1:10" ht="13.5" customHeight="1" thickBot="1">
      <c r="A580" s="827"/>
      <c r="B580" s="827"/>
      <c r="C580" s="827"/>
      <c r="D580" s="827"/>
      <c r="E580" s="827" t="s">
        <v>13506</v>
      </c>
      <c r="F580" s="826">
        <v>206.99</v>
      </c>
      <c r="G580" s="827"/>
      <c r="H580" s="1018" t="s">
        <v>13507</v>
      </c>
      <c r="I580" s="1018"/>
      <c r="J580" s="826">
        <v>939.96</v>
      </c>
    </row>
    <row r="581" spans="1:10" ht="13.5" thickTop="1">
      <c r="A581" s="828"/>
      <c r="B581" s="828"/>
      <c r="C581" s="828"/>
      <c r="D581" s="828"/>
      <c r="E581" s="828"/>
      <c r="F581" s="828"/>
      <c r="G581" s="828"/>
      <c r="H581" s="828"/>
      <c r="I581" s="828"/>
      <c r="J581" s="828"/>
    </row>
    <row r="582" spans="1:10" ht="13.5" customHeight="1">
      <c r="A582" s="809" t="s">
        <v>13753</v>
      </c>
      <c r="B582" s="808" t="s">
        <v>13481</v>
      </c>
      <c r="C582" s="809" t="s">
        <v>13482</v>
      </c>
      <c r="D582" s="809" t="s">
        <v>13483</v>
      </c>
      <c r="E582" s="1019" t="s">
        <v>13484</v>
      </c>
      <c r="F582" s="1019"/>
      <c r="G582" s="810" t="s">
        <v>13485</v>
      </c>
      <c r="H582" s="808" t="s">
        <v>13486</v>
      </c>
      <c r="I582" s="808" t="s">
        <v>13487</v>
      </c>
      <c r="J582" s="808" t="s">
        <v>4867</v>
      </c>
    </row>
    <row r="583" spans="1:10" ht="25.5" customHeight="1">
      <c r="A583" s="812" t="s">
        <v>13488</v>
      </c>
      <c r="B583" s="811" t="s">
        <v>13754</v>
      </c>
      <c r="C583" s="812" t="s">
        <v>6</v>
      </c>
      <c r="D583" s="812" t="s">
        <v>6911</v>
      </c>
      <c r="E583" s="1020" t="s">
        <v>13755</v>
      </c>
      <c r="F583" s="1020"/>
      <c r="G583" s="813" t="s">
        <v>13537</v>
      </c>
      <c r="H583" s="814">
        <v>1</v>
      </c>
      <c r="I583" s="815">
        <v>2.48</v>
      </c>
      <c r="J583" s="815">
        <v>2.48</v>
      </c>
    </row>
    <row r="584" spans="1:10" ht="38.25" customHeight="1">
      <c r="A584" s="817" t="s">
        <v>13491</v>
      </c>
      <c r="B584" s="816" t="s">
        <v>13756</v>
      </c>
      <c r="C584" s="817" t="s">
        <v>6</v>
      </c>
      <c r="D584" s="817" t="s">
        <v>2496</v>
      </c>
      <c r="E584" s="1021" t="s">
        <v>13539</v>
      </c>
      <c r="F584" s="1021"/>
      <c r="G584" s="818" t="s">
        <v>28</v>
      </c>
      <c r="H584" s="819">
        <v>1.1900000000000001E-2</v>
      </c>
      <c r="I584" s="820">
        <v>3.12</v>
      </c>
      <c r="J584" s="820">
        <v>0.03</v>
      </c>
    </row>
    <row r="585" spans="1:10" ht="38.25" customHeight="1">
      <c r="A585" s="817" t="s">
        <v>13491</v>
      </c>
      <c r="B585" s="816" t="s">
        <v>13757</v>
      </c>
      <c r="C585" s="817" t="s">
        <v>6</v>
      </c>
      <c r="D585" s="817" t="s">
        <v>2497</v>
      </c>
      <c r="E585" s="1021" t="s">
        <v>13539</v>
      </c>
      <c r="F585" s="1021"/>
      <c r="G585" s="818" t="s">
        <v>42</v>
      </c>
      <c r="H585" s="819">
        <v>8.4099999999999994E-2</v>
      </c>
      <c r="I585" s="820">
        <v>0.48</v>
      </c>
      <c r="J585" s="820">
        <v>0.04</v>
      </c>
    </row>
    <row r="586" spans="1:10" ht="25.5" customHeight="1">
      <c r="A586" s="817" t="s">
        <v>13491</v>
      </c>
      <c r="B586" s="816" t="s">
        <v>13577</v>
      </c>
      <c r="C586" s="817" t="s">
        <v>6</v>
      </c>
      <c r="D586" s="817" t="s">
        <v>31</v>
      </c>
      <c r="E586" s="1021" t="s">
        <v>13490</v>
      </c>
      <c r="F586" s="1021"/>
      <c r="G586" s="818" t="s">
        <v>19</v>
      </c>
      <c r="H586" s="819">
        <v>9.6000000000000002E-2</v>
      </c>
      <c r="I586" s="820">
        <v>18.86</v>
      </c>
      <c r="J586" s="820">
        <v>1.81</v>
      </c>
    </row>
    <row r="587" spans="1:10" ht="25.5" customHeight="1">
      <c r="A587" s="817" t="s">
        <v>13491</v>
      </c>
      <c r="B587" s="816" t="s">
        <v>13553</v>
      </c>
      <c r="C587" s="817" t="s">
        <v>6</v>
      </c>
      <c r="D587" s="817" t="s">
        <v>21</v>
      </c>
      <c r="E587" s="1021" t="s">
        <v>13490</v>
      </c>
      <c r="F587" s="1021"/>
      <c r="G587" s="818" t="s">
        <v>19</v>
      </c>
      <c r="H587" s="819">
        <v>0.04</v>
      </c>
      <c r="I587" s="820">
        <v>15.16</v>
      </c>
      <c r="J587" s="820">
        <v>0.6</v>
      </c>
    </row>
    <row r="588" spans="1:10" ht="25.5">
      <c r="A588" s="827"/>
      <c r="B588" s="827"/>
      <c r="C588" s="827"/>
      <c r="D588" s="827"/>
      <c r="E588" s="827" t="s">
        <v>13503</v>
      </c>
      <c r="F588" s="826">
        <v>1.75</v>
      </c>
      <c r="G588" s="827" t="s">
        <v>13504</v>
      </c>
      <c r="H588" s="826">
        <v>0</v>
      </c>
      <c r="I588" s="827" t="s">
        <v>13505</v>
      </c>
      <c r="J588" s="826">
        <v>1.75</v>
      </c>
    </row>
    <row r="589" spans="1:10" ht="13.5" customHeight="1" thickBot="1">
      <c r="A589" s="827"/>
      <c r="B589" s="827"/>
      <c r="C589" s="827"/>
      <c r="D589" s="827"/>
      <c r="E589" s="827" t="s">
        <v>13506</v>
      </c>
      <c r="F589" s="826">
        <v>0.7</v>
      </c>
      <c r="G589" s="827"/>
      <c r="H589" s="1018" t="s">
        <v>13507</v>
      </c>
      <c r="I589" s="1018"/>
      <c r="J589" s="826">
        <v>3.18</v>
      </c>
    </row>
    <row r="590" spans="1:10" ht="13.5" thickTop="1">
      <c r="A590" s="828"/>
      <c r="B590" s="828"/>
      <c r="C590" s="828"/>
      <c r="D590" s="828"/>
      <c r="E590" s="828"/>
      <c r="F590" s="828"/>
      <c r="G590" s="828"/>
      <c r="H590" s="828"/>
      <c r="I590" s="828"/>
      <c r="J590" s="828"/>
    </row>
    <row r="591" spans="1:10" ht="15">
      <c r="A591" s="809" t="s">
        <v>13758</v>
      </c>
      <c r="B591" s="808" t="s">
        <v>13481</v>
      </c>
      <c r="C591" s="809" t="s">
        <v>13482</v>
      </c>
      <c r="D591" s="809" t="s">
        <v>13483</v>
      </c>
      <c r="E591" s="1019" t="s">
        <v>13484</v>
      </c>
      <c r="F591" s="1019"/>
      <c r="G591" s="810" t="s">
        <v>13485</v>
      </c>
      <c r="H591" s="808" t="s">
        <v>13486</v>
      </c>
      <c r="I591" s="808" t="s">
        <v>13487</v>
      </c>
      <c r="J591" s="808" t="s">
        <v>4867</v>
      </c>
    </row>
    <row r="592" spans="1:10" ht="51">
      <c r="A592" s="812" t="s">
        <v>13488</v>
      </c>
      <c r="B592" s="811" t="s">
        <v>13759</v>
      </c>
      <c r="C592" s="812" t="s">
        <v>6</v>
      </c>
      <c r="D592" s="812" t="s">
        <v>7231</v>
      </c>
      <c r="E592" s="1020" t="s">
        <v>13760</v>
      </c>
      <c r="F592" s="1020"/>
      <c r="G592" s="813" t="s">
        <v>13537</v>
      </c>
      <c r="H592" s="814">
        <v>1</v>
      </c>
      <c r="I592" s="815">
        <v>41.89</v>
      </c>
      <c r="J592" s="815">
        <v>41.89</v>
      </c>
    </row>
    <row r="593" spans="1:10" ht="38.25" customHeight="1">
      <c r="A593" s="817" t="s">
        <v>13491</v>
      </c>
      <c r="B593" s="816" t="s">
        <v>13761</v>
      </c>
      <c r="C593" s="817" t="s">
        <v>6</v>
      </c>
      <c r="D593" s="817" t="s">
        <v>3844</v>
      </c>
      <c r="E593" s="1021" t="s">
        <v>13490</v>
      </c>
      <c r="F593" s="1021"/>
      <c r="G593" s="818" t="s">
        <v>13543</v>
      </c>
      <c r="H593" s="819">
        <v>6.6100000000000006E-2</v>
      </c>
      <c r="I593" s="820">
        <v>514.62</v>
      </c>
      <c r="J593" s="820">
        <v>34.01</v>
      </c>
    </row>
    <row r="594" spans="1:10" ht="13.5" customHeight="1">
      <c r="A594" s="817" t="s">
        <v>13491</v>
      </c>
      <c r="B594" s="816" t="s">
        <v>13553</v>
      </c>
      <c r="C594" s="817" t="s">
        <v>6</v>
      </c>
      <c r="D594" s="817" t="s">
        <v>21</v>
      </c>
      <c r="E594" s="1021" t="s">
        <v>13490</v>
      </c>
      <c r="F594" s="1021"/>
      <c r="G594" s="818" t="s">
        <v>19</v>
      </c>
      <c r="H594" s="819">
        <v>0.14899999999999999</v>
      </c>
      <c r="I594" s="820">
        <v>15.16</v>
      </c>
      <c r="J594" s="820">
        <v>2.25</v>
      </c>
    </row>
    <row r="595" spans="1:10" ht="38.25" customHeight="1">
      <c r="A595" s="817" t="s">
        <v>13491</v>
      </c>
      <c r="B595" s="816" t="s">
        <v>13577</v>
      </c>
      <c r="C595" s="817" t="s">
        <v>6</v>
      </c>
      <c r="D595" s="817" t="s">
        <v>31</v>
      </c>
      <c r="E595" s="1021" t="s">
        <v>13490</v>
      </c>
      <c r="F595" s="1021"/>
      <c r="G595" s="818" t="s">
        <v>19</v>
      </c>
      <c r="H595" s="819">
        <v>0.29899999999999999</v>
      </c>
      <c r="I595" s="820">
        <v>18.86</v>
      </c>
      <c r="J595" s="820">
        <v>5.63</v>
      </c>
    </row>
    <row r="596" spans="1:10" ht="25.5">
      <c r="A596" s="827"/>
      <c r="B596" s="827"/>
      <c r="C596" s="827"/>
      <c r="D596" s="827"/>
      <c r="E596" s="827" t="s">
        <v>13503</v>
      </c>
      <c r="F596" s="826">
        <v>8.8699999999999992</v>
      </c>
      <c r="G596" s="827" t="s">
        <v>13504</v>
      </c>
      <c r="H596" s="826">
        <v>0</v>
      </c>
      <c r="I596" s="827" t="s">
        <v>13505</v>
      </c>
      <c r="J596" s="826">
        <v>8.8699999999999992</v>
      </c>
    </row>
    <row r="597" spans="1:10" ht="13.5" customHeight="1" thickBot="1">
      <c r="A597" s="827"/>
      <c r="B597" s="827"/>
      <c r="C597" s="827"/>
      <c r="D597" s="827"/>
      <c r="E597" s="827" t="s">
        <v>13506</v>
      </c>
      <c r="F597" s="826">
        <v>11.82</v>
      </c>
      <c r="G597" s="827"/>
      <c r="H597" s="1018" t="s">
        <v>13507</v>
      </c>
      <c r="I597" s="1018"/>
      <c r="J597" s="826">
        <v>53.71</v>
      </c>
    </row>
    <row r="598" spans="1:10" ht="38.25" customHeight="1" thickTop="1">
      <c r="A598" s="828"/>
      <c r="B598" s="828"/>
      <c r="C598" s="828"/>
      <c r="D598" s="828"/>
      <c r="E598" s="828"/>
      <c r="F598" s="828"/>
      <c r="G598" s="828"/>
      <c r="H598" s="828"/>
      <c r="I598" s="828"/>
      <c r="J598" s="828"/>
    </row>
    <row r="599" spans="1:10" ht="15">
      <c r="A599" s="809" t="s">
        <v>13762</v>
      </c>
      <c r="B599" s="808" t="s">
        <v>13481</v>
      </c>
      <c r="C599" s="809" t="s">
        <v>13482</v>
      </c>
      <c r="D599" s="809" t="s">
        <v>13483</v>
      </c>
      <c r="E599" s="1019" t="s">
        <v>13484</v>
      </c>
      <c r="F599" s="1019"/>
      <c r="G599" s="810" t="s">
        <v>13485</v>
      </c>
      <c r="H599" s="808" t="s">
        <v>13486</v>
      </c>
      <c r="I599" s="808" t="s">
        <v>13487</v>
      </c>
      <c r="J599" s="808" t="s">
        <v>4867</v>
      </c>
    </row>
    <row r="600" spans="1:10">
      <c r="A600" s="812" t="s">
        <v>13488</v>
      </c>
      <c r="B600" s="811" t="s">
        <v>13763</v>
      </c>
      <c r="C600" s="812" t="s">
        <v>6</v>
      </c>
      <c r="D600" s="812" t="s">
        <v>5743</v>
      </c>
      <c r="E600" s="1020" t="s">
        <v>13760</v>
      </c>
      <c r="F600" s="1020"/>
      <c r="G600" s="813" t="s">
        <v>14</v>
      </c>
      <c r="H600" s="814">
        <v>1</v>
      </c>
      <c r="I600" s="815">
        <v>16.920000000000002</v>
      </c>
      <c r="J600" s="815">
        <v>16.920000000000002</v>
      </c>
    </row>
    <row r="601" spans="1:10" ht="38.25" customHeight="1">
      <c r="A601" s="817" t="s">
        <v>13491</v>
      </c>
      <c r="B601" s="816" t="s">
        <v>13764</v>
      </c>
      <c r="C601" s="817" t="s">
        <v>6</v>
      </c>
      <c r="D601" s="817" t="s">
        <v>3842</v>
      </c>
      <c r="E601" s="1021" t="s">
        <v>13490</v>
      </c>
      <c r="F601" s="1021"/>
      <c r="G601" s="818" t="s">
        <v>13543</v>
      </c>
      <c r="H601" s="819">
        <v>1.6999999999999999E-3</v>
      </c>
      <c r="I601" s="820">
        <v>582.79</v>
      </c>
      <c r="J601" s="820">
        <v>0.99</v>
      </c>
    </row>
    <row r="602" spans="1:10" ht="38.25" customHeight="1">
      <c r="A602" s="817" t="s">
        <v>13491</v>
      </c>
      <c r="B602" s="816" t="s">
        <v>13577</v>
      </c>
      <c r="C602" s="817" t="s">
        <v>6</v>
      </c>
      <c r="D602" s="817" t="s">
        <v>31</v>
      </c>
      <c r="E602" s="1021" t="s">
        <v>13490</v>
      </c>
      <c r="F602" s="1021"/>
      <c r="G602" s="818" t="s">
        <v>19</v>
      </c>
      <c r="H602" s="819">
        <v>0.58330000000000004</v>
      </c>
      <c r="I602" s="820">
        <v>18.86</v>
      </c>
      <c r="J602" s="820">
        <v>11</v>
      </c>
    </row>
    <row r="603" spans="1:10" ht="13.5" customHeight="1">
      <c r="A603" s="817" t="s">
        <v>13491</v>
      </c>
      <c r="B603" s="816" t="s">
        <v>13553</v>
      </c>
      <c r="C603" s="817" t="s">
        <v>6</v>
      </c>
      <c r="D603" s="817" t="s">
        <v>21</v>
      </c>
      <c r="E603" s="1021" t="s">
        <v>13490</v>
      </c>
      <c r="F603" s="1021"/>
      <c r="G603" s="818" t="s">
        <v>19</v>
      </c>
      <c r="H603" s="819">
        <v>0.24299999999999999</v>
      </c>
      <c r="I603" s="820">
        <v>15.16</v>
      </c>
      <c r="J603" s="820">
        <v>3.68</v>
      </c>
    </row>
    <row r="604" spans="1:10" ht="25.5">
      <c r="A604" s="822" t="s">
        <v>13493</v>
      </c>
      <c r="B604" s="821" t="s">
        <v>13765</v>
      </c>
      <c r="C604" s="822" t="s">
        <v>6</v>
      </c>
      <c r="D604" s="822" t="s">
        <v>4686</v>
      </c>
      <c r="E604" s="1017" t="s">
        <v>13514</v>
      </c>
      <c r="F604" s="1017"/>
      <c r="G604" s="823" t="s">
        <v>16</v>
      </c>
      <c r="H604" s="824">
        <v>2.3239999999999998</v>
      </c>
      <c r="I604" s="825">
        <v>0.54</v>
      </c>
      <c r="J604" s="825">
        <v>1.25</v>
      </c>
    </row>
    <row r="605" spans="1:10" ht="25.5">
      <c r="A605" s="827"/>
      <c r="B605" s="827"/>
      <c r="C605" s="827"/>
      <c r="D605" s="827"/>
      <c r="E605" s="827" t="s">
        <v>13503</v>
      </c>
      <c r="F605" s="826">
        <v>10.73</v>
      </c>
      <c r="G605" s="827" t="s">
        <v>13504</v>
      </c>
      <c r="H605" s="826">
        <v>0</v>
      </c>
      <c r="I605" s="827" t="s">
        <v>13505</v>
      </c>
      <c r="J605" s="826">
        <v>10.73</v>
      </c>
    </row>
    <row r="606" spans="1:10" ht="13.5" customHeight="1" thickBot="1">
      <c r="A606" s="827"/>
      <c r="B606" s="827"/>
      <c r="C606" s="827"/>
      <c r="D606" s="827"/>
      <c r="E606" s="827" t="s">
        <v>13506</v>
      </c>
      <c r="F606" s="826">
        <v>4.7699999999999996</v>
      </c>
      <c r="G606" s="827"/>
      <c r="H606" s="1018" t="s">
        <v>13507</v>
      </c>
      <c r="I606" s="1018"/>
      <c r="J606" s="826">
        <v>21.69</v>
      </c>
    </row>
    <row r="607" spans="1:10" ht="25.5" customHeight="1" thickTop="1">
      <c r="A607" s="828"/>
      <c r="B607" s="828"/>
      <c r="C607" s="828"/>
      <c r="D607" s="828"/>
      <c r="E607" s="828"/>
      <c r="F607" s="828"/>
      <c r="G607" s="828"/>
      <c r="H607" s="828"/>
      <c r="I607" s="828"/>
      <c r="J607" s="828"/>
    </row>
    <row r="608" spans="1:10" ht="25.5" customHeight="1">
      <c r="A608" s="809" t="s">
        <v>13766</v>
      </c>
      <c r="B608" s="808" t="s">
        <v>13481</v>
      </c>
      <c r="C608" s="809" t="s">
        <v>13482</v>
      </c>
      <c r="D608" s="809" t="s">
        <v>13483</v>
      </c>
      <c r="E608" s="1019" t="s">
        <v>13484</v>
      </c>
      <c r="F608" s="1019"/>
      <c r="G608" s="810" t="s">
        <v>13485</v>
      </c>
      <c r="H608" s="808" t="s">
        <v>13486</v>
      </c>
      <c r="I608" s="808" t="s">
        <v>13487</v>
      </c>
      <c r="J608" s="808" t="s">
        <v>4867</v>
      </c>
    </row>
    <row r="609" spans="1:10" ht="25.5" customHeight="1">
      <c r="A609" s="812" t="s">
        <v>13488</v>
      </c>
      <c r="B609" s="811" t="s">
        <v>13767</v>
      </c>
      <c r="C609" s="812" t="s">
        <v>6</v>
      </c>
      <c r="D609" s="812" t="s">
        <v>4869</v>
      </c>
      <c r="E609" s="1020" t="s">
        <v>13666</v>
      </c>
      <c r="F609" s="1020"/>
      <c r="G609" s="813" t="s">
        <v>13537</v>
      </c>
      <c r="H609" s="814">
        <v>1</v>
      </c>
      <c r="I609" s="815">
        <v>32.86</v>
      </c>
      <c r="J609" s="815">
        <v>32.86</v>
      </c>
    </row>
    <row r="610" spans="1:10" ht="38.25" customHeight="1">
      <c r="A610" s="817" t="s">
        <v>13491</v>
      </c>
      <c r="B610" s="816" t="s">
        <v>13667</v>
      </c>
      <c r="C610" s="817" t="s">
        <v>6</v>
      </c>
      <c r="D610" s="817" t="s">
        <v>111</v>
      </c>
      <c r="E610" s="1021" t="s">
        <v>13490</v>
      </c>
      <c r="F610" s="1021"/>
      <c r="G610" s="818" t="s">
        <v>19</v>
      </c>
      <c r="H610" s="819">
        <v>0.11700000000000001</v>
      </c>
      <c r="I610" s="820">
        <v>15.93</v>
      </c>
      <c r="J610" s="820">
        <v>1.86</v>
      </c>
    </row>
    <row r="611" spans="1:10" ht="38.25" customHeight="1">
      <c r="A611" s="817" t="s">
        <v>13491</v>
      </c>
      <c r="B611" s="816" t="s">
        <v>13668</v>
      </c>
      <c r="C611" s="817" t="s">
        <v>6</v>
      </c>
      <c r="D611" s="817" t="s">
        <v>125</v>
      </c>
      <c r="E611" s="1021" t="s">
        <v>13490</v>
      </c>
      <c r="F611" s="1021"/>
      <c r="G611" s="818" t="s">
        <v>19</v>
      </c>
      <c r="H611" s="819">
        <v>0.57799999999999996</v>
      </c>
      <c r="I611" s="820">
        <v>17.14</v>
      </c>
      <c r="J611" s="820">
        <v>9.9</v>
      </c>
    </row>
    <row r="612" spans="1:10">
      <c r="A612" s="822" t="s">
        <v>13493</v>
      </c>
      <c r="B612" s="821" t="s">
        <v>13768</v>
      </c>
      <c r="C612" s="822" t="s">
        <v>6</v>
      </c>
      <c r="D612" s="822" t="s">
        <v>11405</v>
      </c>
      <c r="E612" s="1017" t="s">
        <v>13514</v>
      </c>
      <c r="F612" s="1017"/>
      <c r="G612" s="823" t="s">
        <v>16</v>
      </c>
      <c r="H612" s="824">
        <v>1.2</v>
      </c>
      <c r="I612" s="825">
        <v>17.59</v>
      </c>
      <c r="J612" s="825">
        <v>21.1</v>
      </c>
    </row>
    <row r="613" spans="1:10" ht="25.5">
      <c r="A613" s="827"/>
      <c r="B613" s="827"/>
      <c r="C613" s="827"/>
      <c r="D613" s="827"/>
      <c r="E613" s="827" t="s">
        <v>13503</v>
      </c>
      <c r="F613" s="826">
        <v>8.3699999999999992</v>
      </c>
      <c r="G613" s="827" t="s">
        <v>13504</v>
      </c>
      <c r="H613" s="826">
        <v>0</v>
      </c>
      <c r="I613" s="827" t="s">
        <v>13505</v>
      </c>
      <c r="J613" s="826">
        <v>8.3699999999999992</v>
      </c>
    </row>
    <row r="614" spans="1:10" ht="13.5" customHeight="1" thickBot="1">
      <c r="A614" s="827"/>
      <c r="B614" s="827"/>
      <c r="C614" s="827"/>
      <c r="D614" s="827"/>
      <c r="E614" s="827" t="s">
        <v>13506</v>
      </c>
      <c r="F614" s="826">
        <v>9.27</v>
      </c>
      <c r="G614" s="827"/>
      <c r="H614" s="1018" t="s">
        <v>13507</v>
      </c>
      <c r="I614" s="1018"/>
      <c r="J614" s="826">
        <v>42.13</v>
      </c>
    </row>
    <row r="615" spans="1:10" ht="13.5" customHeight="1" thickTop="1">
      <c r="A615" s="828"/>
      <c r="B615" s="828"/>
      <c r="C615" s="828"/>
      <c r="D615" s="828"/>
      <c r="E615" s="828"/>
      <c r="F615" s="828"/>
      <c r="G615" s="828"/>
      <c r="H615" s="828"/>
      <c r="I615" s="828"/>
      <c r="J615" s="828"/>
    </row>
    <row r="616" spans="1:10" ht="15">
      <c r="A616" s="809" t="s">
        <v>13769</v>
      </c>
      <c r="B616" s="808" t="s">
        <v>13481</v>
      </c>
      <c r="C616" s="809" t="s">
        <v>13482</v>
      </c>
      <c r="D616" s="809" t="s">
        <v>13483</v>
      </c>
      <c r="E616" s="1019" t="s">
        <v>13484</v>
      </c>
      <c r="F616" s="1019"/>
      <c r="G616" s="810" t="s">
        <v>13485</v>
      </c>
      <c r="H616" s="808" t="s">
        <v>13486</v>
      </c>
      <c r="I616" s="808" t="s">
        <v>13487</v>
      </c>
      <c r="J616" s="808" t="s">
        <v>4867</v>
      </c>
    </row>
    <row r="617" spans="1:10" ht="25.5" customHeight="1">
      <c r="A617" s="812" t="s">
        <v>13488</v>
      </c>
      <c r="B617" s="811" t="s">
        <v>13770</v>
      </c>
      <c r="C617" s="812" t="s">
        <v>6</v>
      </c>
      <c r="D617" s="812" t="s">
        <v>7514</v>
      </c>
      <c r="E617" s="1020" t="s">
        <v>13542</v>
      </c>
      <c r="F617" s="1020"/>
      <c r="G617" s="813" t="s">
        <v>13537</v>
      </c>
      <c r="H617" s="814">
        <v>1</v>
      </c>
      <c r="I617" s="815">
        <v>1.82</v>
      </c>
      <c r="J617" s="815">
        <v>1.82</v>
      </c>
    </row>
    <row r="618" spans="1:10" ht="38.25" customHeight="1">
      <c r="A618" s="817" t="s">
        <v>13491</v>
      </c>
      <c r="B618" s="816" t="s">
        <v>13577</v>
      </c>
      <c r="C618" s="817" t="s">
        <v>6</v>
      </c>
      <c r="D618" s="817" t="s">
        <v>31</v>
      </c>
      <c r="E618" s="1021" t="s">
        <v>13490</v>
      </c>
      <c r="F618" s="1021"/>
      <c r="G618" s="818" t="s">
        <v>19</v>
      </c>
      <c r="H618" s="819">
        <v>1.4E-2</v>
      </c>
      <c r="I618" s="820">
        <v>18.86</v>
      </c>
      <c r="J618" s="820">
        <v>0.26</v>
      </c>
    </row>
    <row r="619" spans="1:10" ht="25.5" customHeight="1">
      <c r="A619" s="817" t="s">
        <v>13491</v>
      </c>
      <c r="B619" s="816" t="s">
        <v>13553</v>
      </c>
      <c r="C619" s="817" t="s">
        <v>6</v>
      </c>
      <c r="D619" s="817" t="s">
        <v>21</v>
      </c>
      <c r="E619" s="1021" t="s">
        <v>13490</v>
      </c>
      <c r="F619" s="1021"/>
      <c r="G619" s="818" t="s">
        <v>19</v>
      </c>
      <c r="H619" s="819">
        <v>5.0000000000000001E-3</v>
      </c>
      <c r="I619" s="820">
        <v>15.16</v>
      </c>
      <c r="J619" s="820">
        <v>7.0000000000000007E-2</v>
      </c>
    </row>
    <row r="620" spans="1:10" ht="25.5" customHeight="1">
      <c r="A620" s="822" t="s">
        <v>13493</v>
      </c>
      <c r="B620" s="821" t="s">
        <v>13771</v>
      </c>
      <c r="C620" s="822" t="s">
        <v>6</v>
      </c>
      <c r="D620" s="822" t="s">
        <v>11013</v>
      </c>
      <c r="E620" s="1017" t="s">
        <v>13514</v>
      </c>
      <c r="F620" s="1017"/>
      <c r="G620" s="823" t="s">
        <v>13537</v>
      </c>
      <c r="H620" s="824">
        <v>1.04</v>
      </c>
      <c r="I620" s="825">
        <v>1.44</v>
      </c>
      <c r="J620" s="825">
        <v>1.49</v>
      </c>
    </row>
    <row r="621" spans="1:10" ht="25.5">
      <c r="A621" s="827"/>
      <c r="B621" s="827"/>
      <c r="C621" s="827"/>
      <c r="D621" s="827"/>
      <c r="E621" s="827" t="s">
        <v>13503</v>
      </c>
      <c r="F621" s="826">
        <v>0.24</v>
      </c>
      <c r="G621" s="827" t="s">
        <v>13504</v>
      </c>
      <c r="H621" s="826">
        <v>0</v>
      </c>
      <c r="I621" s="827" t="s">
        <v>13505</v>
      </c>
      <c r="J621" s="826">
        <v>0.24</v>
      </c>
    </row>
    <row r="622" spans="1:10" ht="13.5" customHeight="1" thickBot="1">
      <c r="A622" s="827"/>
      <c r="B622" s="827"/>
      <c r="C622" s="827"/>
      <c r="D622" s="827"/>
      <c r="E622" s="827" t="s">
        <v>13506</v>
      </c>
      <c r="F622" s="826">
        <v>0.51</v>
      </c>
      <c r="G622" s="827"/>
      <c r="H622" s="1018" t="s">
        <v>13507</v>
      </c>
      <c r="I622" s="1018"/>
      <c r="J622" s="826">
        <v>2.33</v>
      </c>
    </row>
    <row r="623" spans="1:10" ht="13.5" thickTop="1">
      <c r="A623" s="828"/>
      <c r="B623" s="828"/>
      <c r="C623" s="828"/>
      <c r="D623" s="828"/>
      <c r="E623" s="828"/>
      <c r="F623" s="828"/>
      <c r="G623" s="828"/>
      <c r="H623" s="828"/>
      <c r="I623" s="828"/>
      <c r="J623" s="828"/>
    </row>
    <row r="624" spans="1:10" ht="15">
      <c r="A624" s="809" t="s">
        <v>13772</v>
      </c>
      <c r="B624" s="808" t="s">
        <v>13481</v>
      </c>
      <c r="C624" s="809" t="s">
        <v>13482</v>
      </c>
      <c r="D624" s="809" t="s">
        <v>13483</v>
      </c>
      <c r="E624" s="1019" t="s">
        <v>13484</v>
      </c>
      <c r="F624" s="1019"/>
      <c r="G624" s="810" t="s">
        <v>13485</v>
      </c>
      <c r="H624" s="808" t="s">
        <v>13486</v>
      </c>
      <c r="I624" s="808" t="s">
        <v>13487</v>
      </c>
      <c r="J624" s="808" t="s">
        <v>4867</v>
      </c>
    </row>
    <row r="625" spans="1:10" ht="25.5" customHeight="1">
      <c r="A625" s="812" t="s">
        <v>13488</v>
      </c>
      <c r="B625" s="811" t="s">
        <v>13773</v>
      </c>
      <c r="C625" s="812" t="s">
        <v>6</v>
      </c>
      <c r="D625" s="812" t="s">
        <v>6472</v>
      </c>
      <c r="E625" s="1020" t="s">
        <v>13542</v>
      </c>
      <c r="F625" s="1020"/>
      <c r="G625" s="813" t="s">
        <v>13537</v>
      </c>
      <c r="H625" s="814">
        <v>1</v>
      </c>
      <c r="I625" s="815">
        <v>24.72</v>
      </c>
      <c r="J625" s="815">
        <v>24.72</v>
      </c>
    </row>
    <row r="626" spans="1:10" ht="38.25" customHeight="1">
      <c r="A626" s="817" t="s">
        <v>13491</v>
      </c>
      <c r="B626" s="816" t="s">
        <v>13633</v>
      </c>
      <c r="C626" s="817" t="s">
        <v>6</v>
      </c>
      <c r="D626" s="817" t="s">
        <v>6580</v>
      </c>
      <c r="E626" s="1021" t="s">
        <v>13542</v>
      </c>
      <c r="F626" s="1021"/>
      <c r="G626" s="818" t="s">
        <v>13543</v>
      </c>
      <c r="H626" s="819">
        <v>5.6500000000000002E-2</v>
      </c>
      <c r="I626" s="820">
        <v>327.08999999999997</v>
      </c>
      <c r="J626" s="820">
        <v>18.48</v>
      </c>
    </row>
    <row r="627" spans="1:10" ht="38.25" customHeight="1">
      <c r="A627" s="817" t="s">
        <v>13491</v>
      </c>
      <c r="B627" s="816" t="s">
        <v>13553</v>
      </c>
      <c r="C627" s="817" t="s">
        <v>6</v>
      </c>
      <c r="D627" s="817" t="s">
        <v>21</v>
      </c>
      <c r="E627" s="1021" t="s">
        <v>13490</v>
      </c>
      <c r="F627" s="1021"/>
      <c r="G627" s="818" t="s">
        <v>19</v>
      </c>
      <c r="H627" s="819">
        <v>7.4099999999999999E-2</v>
      </c>
      <c r="I627" s="820">
        <v>15.16</v>
      </c>
      <c r="J627" s="820">
        <v>1.1200000000000001</v>
      </c>
    </row>
    <row r="628" spans="1:10" ht="38.25" customHeight="1">
      <c r="A628" s="817" t="s">
        <v>13491</v>
      </c>
      <c r="B628" s="816" t="s">
        <v>13577</v>
      </c>
      <c r="C628" s="817" t="s">
        <v>6</v>
      </c>
      <c r="D628" s="817" t="s">
        <v>31</v>
      </c>
      <c r="E628" s="1021" t="s">
        <v>13490</v>
      </c>
      <c r="F628" s="1021"/>
      <c r="G628" s="818" t="s">
        <v>19</v>
      </c>
      <c r="H628" s="819">
        <v>0.27179999999999999</v>
      </c>
      <c r="I628" s="820">
        <v>18.86</v>
      </c>
      <c r="J628" s="820">
        <v>5.12</v>
      </c>
    </row>
    <row r="629" spans="1:10" ht="13.5" customHeight="1">
      <c r="A629" s="827"/>
      <c r="B629" s="827"/>
      <c r="C629" s="827"/>
      <c r="D629" s="827"/>
      <c r="E629" s="827" t="s">
        <v>13503</v>
      </c>
      <c r="F629" s="826">
        <v>6.52</v>
      </c>
      <c r="G629" s="827" t="s">
        <v>13504</v>
      </c>
      <c r="H629" s="826">
        <v>0</v>
      </c>
      <c r="I629" s="827" t="s">
        <v>13505</v>
      </c>
      <c r="J629" s="826">
        <v>6.52</v>
      </c>
    </row>
    <row r="630" spans="1:10" ht="13.5" customHeight="1" thickBot="1">
      <c r="A630" s="827"/>
      <c r="B630" s="827"/>
      <c r="C630" s="827"/>
      <c r="D630" s="827"/>
      <c r="E630" s="827" t="s">
        <v>13506</v>
      </c>
      <c r="F630" s="826">
        <v>6.98</v>
      </c>
      <c r="G630" s="827"/>
      <c r="H630" s="1018" t="s">
        <v>13507</v>
      </c>
      <c r="I630" s="1018"/>
      <c r="J630" s="826">
        <v>31.7</v>
      </c>
    </row>
    <row r="631" spans="1:10" ht="13.5" thickTop="1">
      <c r="A631" s="828"/>
      <c r="B631" s="828"/>
      <c r="C631" s="828"/>
      <c r="D631" s="828"/>
      <c r="E631" s="828"/>
      <c r="F631" s="828"/>
      <c r="G631" s="828"/>
      <c r="H631" s="828"/>
      <c r="I631" s="828"/>
      <c r="J631" s="828"/>
    </row>
    <row r="632" spans="1:10" ht="15">
      <c r="A632" s="809" t="s">
        <v>13774</v>
      </c>
      <c r="B632" s="808" t="s">
        <v>13481</v>
      </c>
      <c r="C632" s="809" t="s">
        <v>13482</v>
      </c>
      <c r="D632" s="809" t="s">
        <v>13483</v>
      </c>
      <c r="E632" s="1019" t="s">
        <v>13484</v>
      </c>
      <c r="F632" s="1019"/>
      <c r="G632" s="810" t="s">
        <v>13485</v>
      </c>
      <c r="H632" s="808" t="s">
        <v>13486</v>
      </c>
      <c r="I632" s="808" t="s">
        <v>13487</v>
      </c>
      <c r="J632" s="808" t="s">
        <v>4867</v>
      </c>
    </row>
    <row r="633" spans="1:10" ht="25.5" customHeight="1">
      <c r="A633" s="812" t="s">
        <v>13488</v>
      </c>
      <c r="B633" s="811" t="s">
        <v>13775</v>
      </c>
      <c r="C633" s="812" t="s">
        <v>6</v>
      </c>
      <c r="D633" s="812" t="s">
        <v>7254</v>
      </c>
      <c r="E633" s="1020" t="s">
        <v>13760</v>
      </c>
      <c r="F633" s="1020"/>
      <c r="G633" s="813" t="s">
        <v>13537</v>
      </c>
      <c r="H633" s="814">
        <v>1</v>
      </c>
      <c r="I633" s="815">
        <v>24.54</v>
      </c>
      <c r="J633" s="815">
        <v>24.54</v>
      </c>
    </row>
    <row r="634" spans="1:10" ht="25.5" customHeight="1">
      <c r="A634" s="817" t="s">
        <v>13491</v>
      </c>
      <c r="B634" s="816" t="s">
        <v>13577</v>
      </c>
      <c r="C634" s="817" t="s">
        <v>6</v>
      </c>
      <c r="D634" s="817" t="s">
        <v>31</v>
      </c>
      <c r="E634" s="1021" t="s">
        <v>13490</v>
      </c>
      <c r="F634" s="1021"/>
      <c r="G634" s="818" t="s">
        <v>19</v>
      </c>
      <c r="H634" s="819">
        <v>5.2999999999999999E-2</v>
      </c>
      <c r="I634" s="820">
        <v>18.86</v>
      </c>
      <c r="J634" s="820">
        <v>0.99</v>
      </c>
    </row>
    <row r="635" spans="1:10" ht="38.25" customHeight="1">
      <c r="A635" s="817" t="s">
        <v>13491</v>
      </c>
      <c r="B635" s="816" t="s">
        <v>13553</v>
      </c>
      <c r="C635" s="817" t="s">
        <v>6</v>
      </c>
      <c r="D635" s="817" t="s">
        <v>21</v>
      </c>
      <c r="E635" s="1021" t="s">
        <v>13490</v>
      </c>
      <c r="F635" s="1021"/>
      <c r="G635" s="818" t="s">
        <v>19</v>
      </c>
      <c r="H635" s="819">
        <v>2.5999999999999999E-2</v>
      </c>
      <c r="I635" s="820">
        <v>15.16</v>
      </c>
      <c r="J635" s="820">
        <v>0.39</v>
      </c>
    </row>
    <row r="636" spans="1:10" ht="25.5">
      <c r="A636" s="822" t="s">
        <v>13493</v>
      </c>
      <c r="B636" s="821" t="s">
        <v>13776</v>
      </c>
      <c r="C636" s="822" t="s">
        <v>6</v>
      </c>
      <c r="D636" s="822" t="s">
        <v>4577</v>
      </c>
      <c r="E636" s="1017" t="s">
        <v>13514</v>
      </c>
      <c r="F636" s="1017"/>
      <c r="G636" s="823" t="s">
        <v>39</v>
      </c>
      <c r="H636" s="824">
        <v>0.21</v>
      </c>
      <c r="I636" s="825">
        <v>26.6</v>
      </c>
      <c r="J636" s="825">
        <v>5.58</v>
      </c>
    </row>
    <row r="637" spans="1:10" ht="25.5">
      <c r="A637" s="822" t="s">
        <v>13493</v>
      </c>
      <c r="B637" s="821" t="s">
        <v>13777</v>
      </c>
      <c r="C637" s="822" t="s">
        <v>6</v>
      </c>
      <c r="D637" s="822" t="s">
        <v>8700</v>
      </c>
      <c r="E637" s="1017" t="s">
        <v>13514</v>
      </c>
      <c r="F637" s="1017"/>
      <c r="G637" s="823" t="s">
        <v>13543</v>
      </c>
      <c r="H637" s="824">
        <v>3.1E-2</v>
      </c>
      <c r="I637" s="825">
        <v>567.39</v>
      </c>
      <c r="J637" s="825">
        <v>17.579999999999998</v>
      </c>
    </row>
    <row r="638" spans="1:10" ht="25.5">
      <c r="A638" s="827"/>
      <c r="B638" s="827"/>
      <c r="C638" s="827"/>
      <c r="D638" s="827"/>
      <c r="E638" s="827" t="s">
        <v>13503</v>
      </c>
      <c r="F638" s="826">
        <v>0.99</v>
      </c>
      <c r="G638" s="827" t="s">
        <v>13504</v>
      </c>
      <c r="H638" s="826">
        <v>0</v>
      </c>
      <c r="I638" s="827" t="s">
        <v>13505</v>
      </c>
      <c r="J638" s="826">
        <v>0.99</v>
      </c>
    </row>
    <row r="639" spans="1:10" ht="13.5" customHeight="1" thickBot="1">
      <c r="A639" s="827"/>
      <c r="B639" s="827"/>
      <c r="C639" s="827"/>
      <c r="D639" s="827"/>
      <c r="E639" s="827" t="s">
        <v>13506</v>
      </c>
      <c r="F639" s="826">
        <v>6.93</v>
      </c>
      <c r="G639" s="827"/>
      <c r="H639" s="1018" t="s">
        <v>13507</v>
      </c>
      <c r="I639" s="1018"/>
      <c r="J639" s="826">
        <v>31.47</v>
      </c>
    </row>
    <row r="640" spans="1:10" ht="13.5" thickTop="1">
      <c r="A640" s="828"/>
      <c r="B640" s="828"/>
      <c r="C640" s="828"/>
      <c r="D640" s="828"/>
      <c r="E640" s="828"/>
      <c r="F640" s="828"/>
      <c r="G640" s="828"/>
      <c r="H640" s="828"/>
      <c r="I640" s="828"/>
      <c r="J640" s="828"/>
    </row>
    <row r="641" spans="1:10" ht="15">
      <c r="A641" s="809" t="s">
        <v>13778</v>
      </c>
      <c r="B641" s="808" t="s">
        <v>13481</v>
      </c>
      <c r="C641" s="809" t="s">
        <v>13482</v>
      </c>
      <c r="D641" s="809" t="s">
        <v>13483</v>
      </c>
      <c r="E641" s="1019" t="s">
        <v>13484</v>
      </c>
      <c r="F641" s="1019"/>
      <c r="G641" s="810" t="s">
        <v>13485</v>
      </c>
      <c r="H641" s="808" t="s">
        <v>13486</v>
      </c>
      <c r="I641" s="808" t="s">
        <v>13487</v>
      </c>
      <c r="J641" s="808" t="s">
        <v>4867</v>
      </c>
    </row>
    <row r="642" spans="1:10">
      <c r="A642" s="812" t="s">
        <v>13488</v>
      </c>
      <c r="B642" s="811" t="s">
        <v>13779</v>
      </c>
      <c r="C642" s="812" t="s">
        <v>6</v>
      </c>
      <c r="D642" s="812" t="s">
        <v>5737</v>
      </c>
      <c r="E642" s="1020" t="s">
        <v>13760</v>
      </c>
      <c r="F642" s="1020"/>
      <c r="G642" s="813" t="s">
        <v>13537</v>
      </c>
      <c r="H642" s="814">
        <v>1</v>
      </c>
      <c r="I642" s="815">
        <v>2.5099999999999998</v>
      </c>
      <c r="J642" s="815">
        <v>2.5099999999999998</v>
      </c>
    </row>
    <row r="643" spans="1:10" ht="13.5" customHeight="1">
      <c r="A643" s="817" t="s">
        <v>13491</v>
      </c>
      <c r="B643" s="816" t="s">
        <v>13756</v>
      </c>
      <c r="C643" s="817" t="s">
        <v>6</v>
      </c>
      <c r="D643" s="817" t="s">
        <v>2496</v>
      </c>
      <c r="E643" s="1021" t="s">
        <v>13539</v>
      </c>
      <c r="F643" s="1021"/>
      <c r="G643" s="818" t="s">
        <v>28</v>
      </c>
      <c r="H643" s="819">
        <v>4.2999999999999997E-2</v>
      </c>
      <c r="I643" s="820">
        <v>3.12</v>
      </c>
      <c r="J643" s="820">
        <v>0.13</v>
      </c>
    </row>
    <row r="644" spans="1:10" ht="38.25" customHeight="1">
      <c r="A644" s="817" t="s">
        <v>13491</v>
      </c>
      <c r="B644" s="816" t="s">
        <v>13757</v>
      </c>
      <c r="C644" s="817" t="s">
        <v>6</v>
      </c>
      <c r="D644" s="817" t="s">
        <v>2497</v>
      </c>
      <c r="E644" s="1021" t="s">
        <v>13539</v>
      </c>
      <c r="F644" s="1021"/>
      <c r="G644" s="818" t="s">
        <v>42</v>
      </c>
      <c r="H644" s="819">
        <v>2.5000000000000001E-2</v>
      </c>
      <c r="I644" s="820">
        <v>0.48</v>
      </c>
      <c r="J644" s="820">
        <v>0.01</v>
      </c>
    </row>
    <row r="645" spans="1:10" ht="38.25" customHeight="1">
      <c r="A645" s="817" t="s">
        <v>13491</v>
      </c>
      <c r="B645" s="816" t="s">
        <v>13577</v>
      </c>
      <c r="C645" s="817" t="s">
        <v>6</v>
      </c>
      <c r="D645" s="817" t="s">
        <v>31</v>
      </c>
      <c r="E645" s="1021" t="s">
        <v>13490</v>
      </c>
      <c r="F645" s="1021"/>
      <c r="G645" s="818" t="s">
        <v>19</v>
      </c>
      <c r="H645" s="819">
        <v>0.09</v>
      </c>
      <c r="I645" s="820">
        <v>18.86</v>
      </c>
      <c r="J645" s="820">
        <v>1.69</v>
      </c>
    </row>
    <row r="646" spans="1:10" ht="38.25" customHeight="1">
      <c r="A646" s="817" t="s">
        <v>13491</v>
      </c>
      <c r="B646" s="816" t="s">
        <v>13553</v>
      </c>
      <c r="C646" s="817" t="s">
        <v>6</v>
      </c>
      <c r="D646" s="817" t="s">
        <v>21</v>
      </c>
      <c r="E646" s="1021" t="s">
        <v>13490</v>
      </c>
      <c r="F646" s="1021"/>
      <c r="G646" s="818" t="s">
        <v>19</v>
      </c>
      <c r="H646" s="819">
        <v>4.4999999999999998E-2</v>
      </c>
      <c r="I646" s="820">
        <v>15.16</v>
      </c>
      <c r="J646" s="820">
        <v>0.68</v>
      </c>
    </row>
    <row r="647" spans="1:10" ht="25.5">
      <c r="A647" s="827"/>
      <c r="B647" s="827"/>
      <c r="C647" s="827"/>
      <c r="D647" s="827"/>
      <c r="E647" s="827" t="s">
        <v>13503</v>
      </c>
      <c r="F647" s="826">
        <v>1.71</v>
      </c>
      <c r="G647" s="827" t="s">
        <v>13504</v>
      </c>
      <c r="H647" s="826">
        <v>0</v>
      </c>
      <c r="I647" s="827" t="s">
        <v>13505</v>
      </c>
      <c r="J647" s="826">
        <v>1.71</v>
      </c>
    </row>
    <row r="648" spans="1:10" ht="13.5" customHeight="1" thickBot="1">
      <c r="A648" s="827"/>
      <c r="B648" s="827"/>
      <c r="C648" s="827"/>
      <c r="D648" s="827"/>
      <c r="E648" s="827" t="s">
        <v>13506</v>
      </c>
      <c r="F648" s="826">
        <v>0.7</v>
      </c>
      <c r="G648" s="827"/>
      <c r="H648" s="1018" t="s">
        <v>13507</v>
      </c>
      <c r="I648" s="1018"/>
      <c r="J648" s="826">
        <v>3.21</v>
      </c>
    </row>
    <row r="649" spans="1:10" ht="13.5" thickTop="1">
      <c r="A649" s="828"/>
      <c r="B649" s="828"/>
      <c r="C649" s="828"/>
      <c r="D649" s="828"/>
      <c r="E649" s="828"/>
      <c r="F649" s="828"/>
      <c r="G649" s="828"/>
      <c r="H649" s="828"/>
      <c r="I649" s="828"/>
      <c r="J649" s="828"/>
    </row>
    <row r="650" spans="1:10" ht="15">
      <c r="A650" s="809" t="s">
        <v>13780</v>
      </c>
      <c r="B650" s="808" t="s">
        <v>13481</v>
      </c>
      <c r="C650" s="809" t="s">
        <v>13482</v>
      </c>
      <c r="D650" s="809" t="s">
        <v>13483</v>
      </c>
      <c r="E650" s="1019" t="s">
        <v>13484</v>
      </c>
      <c r="F650" s="1019"/>
      <c r="G650" s="810" t="s">
        <v>13485</v>
      </c>
      <c r="H650" s="808" t="s">
        <v>13486</v>
      </c>
      <c r="I650" s="808" t="s">
        <v>13487</v>
      </c>
      <c r="J650" s="808" t="s">
        <v>4867</v>
      </c>
    </row>
    <row r="651" spans="1:10" ht="13.5" customHeight="1">
      <c r="A651" s="812" t="s">
        <v>13488</v>
      </c>
      <c r="B651" s="811" t="s">
        <v>13781</v>
      </c>
      <c r="C651" s="812" t="s">
        <v>6</v>
      </c>
      <c r="D651" s="812" t="s">
        <v>6915</v>
      </c>
      <c r="E651" s="1020" t="s">
        <v>13755</v>
      </c>
      <c r="F651" s="1020"/>
      <c r="G651" s="813" t="s">
        <v>13537</v>
      </c>
      <c r="H651" s="814">
        <v>1</v>
      </c>
      <c r="I651" s="815">
        <v>46.93</v>
      </c>
      <c r="J651" s="815">
        <v>46.93</v>
      </c>
    </row>
    <row r="652" spans="1:10" ht="38.25" customHeight="1">
      <c r="A652" s="817" t="s">
        <v>13491</v>
      </c>
      <c r="B652" s="816" t="s">
        <v>13553</v>
      </c>
      <c r="C652" s="817" t="s">
        <v>6</v>
      </c>
      <c r="D652" s="817" t="s">
        <v>21</v>
      </c>
      <c r="E652" s="1021" t="s">
        <v>13490</v>
      </c>
      <c r="F652" s="1021"/>
      <c r="G652" s="818" t="s">
        <v>19</v>
      </c>
      <c r="H652" s="819">
        <v>0.115</v>
      </c>
      <c r="I652" s="820">
        <v>15.16</v>
      </c>
      <c r="J652" s="820">
        <v>1.74</v>
      </c>
    </row>
    <row r="653" spans="1:10" ht="38.25" customHeight="1">
      <c r="A653" s="817" t="s">
        <v>13491</v>
      </c>
      <c r="B653" s="816" t="s">
        <v>13782</v>
      </c>
      <c r="C653" s="817" t="s">
        <v>6</v>
      </c>
      <c r="D653" s="817" t="s">
        <v>156</v>
      </c>
      <c r="E653" s="1021" t="s">
        <v>13490</v>
      </c>
      <c r="F653" s="1021"/>
      <c r="G653" s="818" t="s">
        <v>19</v>
      </c>
      <c r="H653" s="819">
        <v>0.27500000000000002</v>
      </c>
      <c r="I653" s="820">
        <v>19.940000000000001</v>
      </c>
      <c r="J653" s="820">
        <v>5.48</v>
      </c>
    </row>
    <row r="654" spans="1:10">
      <c r="A654" s="822" t="s">
        <v>13493</v>
      </c>
      <c r="B654" s="821" t="s">
        <v>13783</v>
      </c>
      <c r="C654" s="822" t="s">
        <v>6</v>
      </c>
      <c r="D654" s="822" t="s">
        <v>10092</v>
      </c>
      <c r="E654" s="1017" t="s">
        <v>13514</v>
      </c>
      <c r="F654" s="1017"/>
      <c r="G654" s="823" t="s">
        <v>39</v>
      </c>
      <c r="H654" s="824">
        <v>6.4000000000000001E-2</v>
      </c>
      <c r="I654" s="825">
        <v>31.86</v>
      </c>
      <c r="J654" s="825">
        <v>2.0299999999999998</v>
      </c>
    </row>
    <row r="655" spans="1:10">
      <c r="A655" s="822" t="s">
        <v>13493</v>
      </c>
      <c r="B655" s="821" t="s">
        <v>13784</v>
      </c>
      <c r="C655" s="822" t="s">
        <v>6</v>
      </c>
      <c r="D655" s="822" t="s">
        <v>4679</v>
      </c>
      <c r="E655" s="1017" t="s">
        <v>13514</v>
      </c>
      <c r="F655" s="1017"/>
      <c r="G655" s="823" t="s">
        <v>24</v>
      </c>
      <c r="H655" s="824">
        <v>0.01</v>
      </c>
      <c r="I655" s="825">
        <v>9.02</v>
      </c>
      <c r="J655" s="825">
        <v>0.09</v>
      </c>
    </row>
    <row r="656" spans="1:10">
      <c r="A656" s="822" t="s">
        <v>13493</v>
      </c>
      <c r="B656" s="821" t="s">
        <v>13785</v>
      </c>
      <c r="C656" s="822" t="s">
        <v>6</v>
      </c>
      <c r="D656" s="822" t="s">
        <v>11999</v>
      </c>
      <c r="E656" s="1017" t="s">
        <v>13514</v>
      </c>
      <c r="F656" s="1017"/>
      <c r="G656" s="823" t="s">
        <v>39</v>
      </c>
      <c r="H656" s="824">
        <v>0.2016</v>
      </c>
      <c r="I656" s="825">
        <v>90.52</v>
      </c>
      <c r="J656" s="825">
        <v>18.239999999999998</v>
      </c>
    </row>
    <row r="657" spans="1:10">
      <c r="A657" s="822" t="s">
        <v>13493</v>
      </c>
      <c r="B657" s="821" t="s">
        <v>13786</v>
      </c>
      <c r="C657" s="822" t="s">
        <v>6</v>
      </c>
      <c r="D657" s="822" t="s">
        <v>12687</v>
      </c>
      <c r="E657" s="1017" t="s">
        <v>13514</v>
      </c>
      <c r="F657" s="1017"/>
      <c r="G657" s="823" t="s">
        <v>39</v>
      </c>
      <c r="H657" s="824">
        <v>0.32200000000000001</v>
      </c>
      <c r="I657" s="825">
        <v>60.12</v>
      </c>
      <c r="J657" s="825">
        <v>19.350000000000001</v>
      </c>
    </row>
    <row r="658" spans="1:10" ht="25.5">
      <c r="A658" s="827"/>
      <c r="B658" s="827"/>
      <c r="C658" s="827"/>
      <c r="D658" s="827"/>
      <c r="E658" s="827" t="s">
        <v>13503</v>
      </c>
      <c r="F658" s="826">
        <v>5</v>
      </c>
      <c r="G658" s="827" t="s">
        <v>13504</v>
      </c>
      <c r="H658" s="826">
        <v>0</v>
      </c>
      <c r="I658" s="827" t="s">
        <v>13505</v>
      </c>
      <c r="J658" s="826">
        <v>5</v>
      </c>
    </row>
    <row r="659" spans="1:10" ht="13.5" customHeight="1" thickBot="1">
      <c r="A659" s="827"/>
      <c r="B659" s="827"/>
      <c r="C659" s="827"/>
      <c r="D659" s="827"/>
      <c r="E659" s="827" t="s">
        <v>13506</v>
      </c>
      <c r="F659" s="826">
        <v>13.25</v>
      </c>
      <c r="G659" s="827"/>
      <c r="H659" s="1018" t="s">
        <v>13507</v>
      </c>
      <c r="I659" s="1018"/>
      <c r="J659" s="826">
        <v>60.18</v>
      </c>
    </row>
    <row r="660" spans="1:10" ht="13.5" thickTop="1">
      <c r="A660" s="828"/>
      <c r="B660" s="828"/>
      <c r="C660" s="828"/>
      <c r="D660" s="828"/>
      <c r="E660" s="828"/>
      <c r="F660" s="828"/>
      <c r="G660" s="828"/>
      <c r="H660" s="828"/>
      <c r="I660" s="828"/>
      <c r="J660" s="828"/>
    </row>
    <row r="661" spans="1:10" ht="15">
      <c r="A661" s="809" t="s">
        <v>13787</v>
      </c>
      <c r="B661" s="808" t="s">
        <v>13481</v>
      </c>
      <c r="C661" s="809" t="s">
        <v>13482</v>
      </c>
      <c r="D661" s="809" t="s">
        <v>13483</v>
      </c>
      <c r="E661" s="1019" t="s">
        <v>13484</v>
      </c>
      <c r="F661" s="1019"/>
      <c r="G661" s="810" t="s">
        <v>13485</v>
      </c>
      <c r="H661" s="808" t="s">
        <v>13486</v>
      </c>
      <c r="I661" s="808" t="s">
        <v>13487</v>
      </c>
      <c r="J661" s="808" t="s">
        <v>4867</v>
      </c>
    </row>
    <row r="662" spans="1:10" ht="25.5" customHeight="1">
      <c r="A662" s="812" t="s">
        <v>13488</v>
      </c>
      <c r="B662" s="811" t="s">
        <v>13788</v>
      </c>
      <c r="C662" s="812" t="s">
        <v>6</v>
      </c>
      <c r="D662" s="812" t="s">
        <v>6931</v>
      </c>
      <c r="E662" s="1020" t="s">
        <v>13734</v>
      </c>
      <c r="F662" s="1020"/>
      <c r="G662" s="813" t="s">
        <v>14</v>
      </c>
      <c r="H662" s="814">
        <v>1</v>
      </c>
      <c r="I662" s="815">
        <v>113.93</v>
      </c>
      <c r="J662" s="815">
        <v>113.93</v>
      </c>
    </row>
    <row r="663" spans="1:10" ht="38.25" customHeight="1">
      <c r="A663" s="817" t="s">
        <v>13491</v>
      </c>
      <c r="B663" s="816" t="s">
        <v>13538</v>
      </c>
      <c r="C663" s="817" t="s">
        <v>6</v>
      </c>
      <c r="D663" s="817" t="s">
        <v>1793</v>
      </c>
      <c r="E663" s="1021" t="s">
        <v>13539</v>
      </c>
      <c r="F663" s="1021"/>
      <c r="G663" s="818" t="s">
        <v>28</v>
      </c>
      <c r="H663" s="819">
        <v>2.1000000000000001E-2</v>
      </c>
      <c r="I663" s="820">
        <v>15.82</v>
      </c>
      <c r="J663" s="820">
        <v>0.33</v>
      </c>
    </row>
    <row r="664" spans="1:10" ht="38.25" customHeight="1">
      <c r="A664" s="817" t="s">
        <v>13491</v>
      </c>
      <c r="B664" s="816" t="s">
        <v>13540</v>
      </c>
      <c r="C664" s="817" t="s">
        <v>6</v>
      </c>
      <c r="D664" s="817" t="s">
        <v>1794</v>
      </c>
      <c r="E664" s="1021" t="s">
        <v>13539</v>
      </c>
      <c r="F664" s="1021"/>
      <c r="G664" s="818" t="s">
        <v>42</v>
      </c>
      <c r="H664" s="819">
        <v>0.39800000000000002</v>
      </c>
      <c r="I664" s="820">
        <v>14.51</v>
      </c>
      <c r="J664" s="820">
        <v>5.77</v>
      </c>
    </row>
    <row r="665" spans="1:10" ht="38.25" customHeight="1">
      <c r="A665" s="817" t="s">
        <v>13491</v>
      </c>
      <c r="B665" s="816" t="s">
        <v>13789</v>
      </c>
      <c r="C665" s="817" t="s">
        <v>6</v>
      </c>
      <c r="D665" s="817" t="s">
        <v>3832</v>
      </c>
      <c r="E665" s="1021" t="s">
        <v>13490</v>
      </c>
      <c r="F665" s="1021"/>
      <c r="G665" s="818" t="s">
        <v>13543</v>
      </c>
      <c r="H665" s="819">
        <v>6.0000000000000001E-3</v>
      </c>
      <c r="I665" s="820">
        <v>375.08</v>
      </c>
      <c r="J665" s="820">
        <v>2.25</v>
      </c>
    </row>
    <row r="666" spans="1:10" ht="38.25" customHeight="1">
      <c r="A666" s="817" t="s">
        <v>13491</v>
      </c>
      <c r="B666" s="816" t="s">
        <v>13749</v>
      </c>
      <c r="C666" s="817" t="s">
        <v>6</v>
      </c>
      <c r="D666" s="817" t="s">
        <v>128</v>
      </c>
      <c r="E666" s="1021" t="s">
        <v>13490</v>
      </c>
      <c r="F666" s="1021"/>
      <c r="G666" s="818" t="s">
        <v>19</v>
      </c>
      <c r="H666" s="819">
        <v>0.41899999999999998</v>
      </c>
      <c r="I666" s="820">
        <v>18.79</v>
      </c>
      <c r="J666" s="820">
        <v>7.87</v>
      </c>
    </row>
    <row r="667" spans="1:10" ht="38.25" customHeight="1">
      <c r="A667" s="817" t="s">
        <v>13491</v>
      </c>
      <c r="B667" s="816" t="s">
        <v>13553</v>
      </c>
      <c r="C667" s="817" t="s">
        <v>6</v>
      </c>
      <c r="D667" s="817" t="s">
        <v>21</v>
      </c>
      <c r="E667" s="1021" t="s">
        <v>13490</v>
      </c>
      <c r="F667" s="1021"/>
      <c r="G667" s="818" t="s">
        <v>19</v>
      </c>
      <c r="H667" s="819">
        <v>0.20899999999999999</v>
      </c>
      <c r="I667" s="820">
        <v>15.16</v>
      </c>
      <c r="J667" s="820">
        <v>3.16</v>
      </c>
    </row>
    <row r="668" spans="1:10" ht="13.5" customHeight="1">
      <c r="A668" s="822" t="s">
        <v>13493</v>
      </c>
      <c r="B668" s="821" t="s">
        <v>13790</v>
      </c>
      <c r="C668" s="822" t="s">
        <v>6</v>
      </c>
      <c r="D668" s="822" t="s">
        <v>11677</v>
      </c>
      <c r="E668" s="1017" t="s">
        <v>13514</v>
      </c>
      <c r="F668" s="1017"/>
      <c r="G668" s="823" t="s">
        <v>14</v>
      </c>
      <c r="H668" s="824">
        <v>1.04</v>
      </c>
      <c r="I668" s="825">
        <v>90.92</v>
      </c>
      <c r="J668" s="825">
        <v>94.55</v>
      </c>
    </row>
    <row r="669" spans="1:10" ht="25.5">
      <c r="A669" s="827"/>
      <c r="B669" s="827"/>
      <c r="C669" s="827"/>
      <c r="D669" s="827"/>
      <c r="E669" s="827" t="s">
        <v>13503</v>
      </c>
      <c r="F669" s="826">
        <v>12.63</v>
      </c>
      <c r="G669" s="827" t="s">
        <v>13504</v>
      </c>
      <c r="H669" s="826">
        <v>0</v>
      </c>
      <c r="I669" s="827" t="s">
        <v>13505</v>
      </c>
      <c r="J669" s="826">
        <v>12.63</v>
      </c>
    </row>
    <row r="670" spans="1:10" ht="13.5" customHeight="1" thickBot="1">
      <c r="A670" s="827"/>
      <c r="B670" s="827"/>
      <c r="C670" s="827"/>
      <c r="D670" s="827"/>
      <c r="E670" s="827" t="s">
        <v>13506</v>
      </c>
      <c r="F670" s="826">
        <v>32.17</v>
      </c>
      <c r="G670" s="827"/>
      <c r="H670" s="1018" t="s">
        <v>13507</v>
      </c>
      <c r="I670" s="1018"/>
      <c r="J670" s="826">
        <v>146.1</v>
      </c>
    </row>
    <row r="671" spans="1:10" ht="13.5" thickTop="1">
      <c r="A671" s="828"/>
      <c r="B671" s="828"/>
      <c r="C671" s="828"/>
      <c r="D671" s="828"/>
      <c r="E671" s="828"/>
      <c r="F671" s="828"/>
      <c r="G671" s="828"/>
      <c r="H671" s="828"/>
      <c r="I671" s="828"/>
      <c r="J671" s="828"/>
    </row>
    <row r="672" spans="1:10" ht="15">
      <c r="A672" s="809" t="s">
        <v>13791</v>
      </c>
      <c r="B672" s="808" t="s">
        <v>13481</v>
      </c>
      <c r="C672" s="809" t="s">
        <v>13482</v>
      </c>
      <c r="D672" s="809" t="s">
        <v>13483</v>
      </c>
      <c r="E672" s="1019" t="s">
        <v>13484</v>
      </c>
      <c r="F672" s="1019"/>
      <c r="G672" s="810" t="s">
        <v>13485</v>
      </c>
      <c r="H672" s="808" t="s">
        <v>13486</v>
      </c>
      <c r="I672" s="808" t="s">
        <v>13487</v>
      </c>
      <c r="J672" s="808" t="s">
        <v>4867</v>
      </c>
    </row>
    <row r="673" spans="1:10" ht="38.25">
      <c r="A673" s="812" t="s">
        <v>13488</v>
      </c>
      <c r="B673" s="811" t="s">
        <v>13792</v>
      </c>
      <c r="C673" s="812" t="s">
        <v>6</v>
      </c>
      <c r="D673" s="812" t="s">
        <v>2443</v>
      </c>
      <c r="E673" s="1020" t="s">
        <v>13760</v>
      </c>
      <c r="F673" s="1020"/>
      <c r="G673" s="813" t="s">
        <v>13543</v>
      </c>
      <c r="H673" s="814">
        <v>1</v>
      </c>
      <c r="I673" s="815">
        <v>662.47</v>
      </c>
      <c r="J673" s="815">
        <v>662.47</v>
      </c>
    </row>
    <row r="674" spans="1:10" ht="38.25" customHeight="1">
      <c r="A674" s="817" t="s">
        <v>13491</v>
      </c>
      <c r="B674" s="816" t="s">
        <v>13793</v>
      </c>
      <c r="C674" s="817" t="s">
        <v>6</v>
      </c>
      <c r="D674" s="817" t="s">
        <v>6576</v>
      </c>
      <c r="E674" s="1021" t="s">
        <v>13542</v>
      </c>
      <c r="F674" s="1021"/>
      <c r="G674" s="818" t="s">
        <v>13543</v>
      </c>
      <c r="H674" s="819">
        <v>1.2130000000000001</v>
      </c>
      <c r="I674" s="820">
        <v>407.4</v>
      </c>
      <c r="J674" s="820">
        <v>494.17</v>
      </c>
    </row>
    <row r="675" spans="1:10" ht="13.5" customHeight="1">
      <c r="A675" s="817" t="s">
        <v>13491</v>
      </c>
      <c r="B675" s="816" t="s">
        <v>13553</v>
      </c>
      <c r="C675" s="817" t="s">
        <v>6</v>
      </c>
      <c r="D675" s="817" t="s">
        <v>21</v>
      </c>
      <c r="E675" s="1021" t="s">
        <v>13490</v>
      </c>
      <c r="F675" s="1021"/>
      <c r="G675" s="818" t="s">
        <v>19</v>
      </c>
      <c r="H675" s="819">
        <v>4.2389999999999999</v>
      </c>
      <c r="I675" s="820">
        <v>15.16</v>
      </c>
      <c r="J675" s="820">
        <v>64.260000000000005</v>
      </c>
    </row>
    <row r="676" spans="1:10" ht="38.25" customHeight="1">
      <c r="A676" s="817" t="s">
        <v>13491</v>
      </c>
      <c r="B676" s="816" t="s">
        <v>13577</v>
      </c>
      <c r="C676" s="817" t="s">
        <v>6</v>
      </c>
      <c r="D676" s="817" t="s">
        <v>31</v>
      </c>
      <c r="E676" s="1021" t="s">
        <v>13490</v>
      </c>
      <c r="F676" s="1021"/>
      <c r="G676" s="818" t="s">
        <v>19</v>
      </c>
      <c r="H676" s="819">
        <v>1.9830000000000001</v>
      </c>
      <c r="I676" s="820">
        <v>18.86</v>
      </c>
      <c r="J676" s="820">
        <v>37.39</v>
      </c>
    </row>
    <row r="677" spans="1:10" ht="38.25" customHeight="1">
      <c r="A677" s="817" t="s">
        <v>13491</v>
      </c>
      <c r="B677" s="816" t="s">
        <v>13545</v>
      </c>
      <c r="C677" s="817" t="s">
        <v>6</v>
      </c>
      <c r="D677" s="817" t="s">
        <v>30</v>
      </c>
      <c r="E677" s="1021" t="s">
        <v>13490</v>
      </c>
      <c r="F677" s="1021"/>
      <c r="G677" s="818" t="s">
        <v>19</v>
      </c>
      <c r="H677" s="819">
        <v>2.2559999999999998</v>
      </c>
      <c r="I677" s="820">
        <v>18.63</v>
      </c>
      <c r="J677" s="820">
        <v>42.02</v>
      </c>
    </row>
    <row r="678" spans="1:10" ht="25.5">
      <c r="A678" s="822" t="s">
        <v>13493</v>
      </c>
      <c r="B678" s="821" t="s">
        <v>13794</v>
      </c>
      <c r="C678" s="822" t="s">
        <v>6</v>
      </c>
      <c r="D678" s="822" t="s">
        <v>12197</v>
      </c>
      <c r="E678" s="1017" t="s">
        <v>13514</v>
      </c>
      <c r="F678" s="1017"/>
      <c r="G678" s="823" t="s">
        <v>14</v>
      </c>
      <c r="H678" s="824">
        <v>2.5</v>
      </c>
      <c r="I678" s="825">
        <v>7.34</v>
      </c>
      <c r="J678" s="825">
        <v>18.350000000000001</v>
      </c>
    </row>
    <row r="679" spans="1:10" ht="38.25" customHeight="1">
      <c r="A679" s="822" t="s">
        <v>13493</v>
      </c>
      <c r="B679" s="821" t="s">
        <v>13650</v>
      </c>
      <c r="C679" s="822" t="s">
        <v>6</v>
      </c>
      <c r="D679" s="822" t="s">
        <v>6139</v>
      </c>
      <c r="E679" s="1017" t="s">
        <v>13514</v>
      </c>
      <c r="F679" s="1017"/>
      <c r="G679" s="823" t="s">
        <v>14</v>
      </c>
      <c r="H679" s="824">
        <v>2</v>
      </c>
      <c r="I679" s="825">
        <v>3.14</v>
      </c>
      <c r="J679" s="825">
        <v>6.28</v>
      </c>
    </row>
    <row r="680" spans="1:10" ht="38.25" customHeight="1">
      <c r="A680" s="827"/>
      <c r="B680" s="827"/>
      <c r="C680" s="827"/>
      <c r="D680" s="827"/>
      <c r="E680" s="827" t="s">
        <v>13503</v>
      </c>
      <c r="F680" s="826">
        <v>154.01</v>
      </c>
      <c r="G680" s="827" t="s">
        <v>13504</v>
      </c>
      <c r="H680" s="826">
        <v>0</v>
      </c>
      <c r="I680" s="827" t="s">
        <v>13505</v>
      </c>
      <c r="J680" s="826">
        <v>154.01</v>
      </c>
    </row>
    <row r="681" spans="1:10" ht="13.5" customHeight="1" thickBot="1">
      <c r="A681" s="827"/>
      <c r="B681" s="827"/>
      <c r="C681" s="827"/>
      <c r="D681" s="827"/>
      <c r="E681" s="827" t="s">
        <v>13506</v>
      </c>
      <c r="F681" s="826">
        <v>187.08</v>
      </c>
      <c r="G681" s="827"/>
      <c r="H681" s="1018" t="s">
        <v>13507</v>
      </c>
      <c r="I681" s="1018"/>
      <c r="J681" s="826">
        <v>849.55</v>
      </c>
    </row>
    <row r="682" spans="1:10" ht="13.5" thickTop="1">
      <c r="A682" s="828"/>
      <c r="B682" s="828"/>
      <c r="C682" s="828"/>
      <c r="D682" s="828"/>
      <c r="E682" s="828"/>
      <c r="F682" s="828"/>
      <c r="G682" s="828"/>
      <c r="H682" s="828"/>
      <c r="I682" s="828"/>
      <c r="J682" s="828"/>
    </row>
    <row r="683" spans="1:10" ht="15">
      <c r="A683" s="809" t="s">
        <v>13795</v>
      </c>
      <c r="B683" s="808" t="s">
        <v>13481</v>
      </c>
      <c r="C683" s="809" t="s">
        <v>13482</v>
      </c>
      <c r="D683" s="809" t="s">
        <v>13483</v>
      </c>
      <c r="E683" s="1019" t="s">
        <v>13484</v>
      </c>
      <c r="F683" s="1019"/>
      <c r="G683" s="810" t="s">
        <v>13485</v>
      </c>
      <c r="H683" s="808" t="s">
        <v>13486</v>
      </c>
      <c r="I683" s="808" t="s">
        <v>13487</v>
      </c>
      <c r="J683" s="808" t="s">
        <v>4867</v>
      </c>
    </row>
    <row r="684" spans="1:10" ht="25.5" customHeight="1">
      <c r="A684" s="812" t="s">
        <v>13488</v>
      </c>
      <c r="B684" s="811" t="s">
        <v>13796</v>
      </c>
      <c r="C684" s="812" t="s">
        <v>6</v>
      </c>
      <c r="D684" s="812" t="s">
        <v>1975</v>
      </c>
      <c r="E684" s="1020" t="s">
        <v>13797</v>
      </c>
      <c r="F684" s="1020"/>
      <c r="G684" s="813" t="s">
        <v>13537</v>
      </c>
      <c r="H684" s="814">
        <v>1</v>
      </c>
      <c r="I684" s="815">
        <v>88.93</v>
      </c>
      <c r="J684" s="815">
        <v>88.93</v>
      </c>
    </row>
    <row r="685" spans="1:10" ht="13.5" customHeight="1">
      <c r="A685" s="817" t="s">
        <v>13491</v>
      </c>
      <c r="B685" s="816" t="s">
        <v>13800</v>
      </c>
      <c r="C685" s="817" t="s">
        <v>6</v>
      </c>
      <c r="D685" s="817" t="s">
        <v>1724</v>
      </c>
      <c r="E685" s="1021" t="s">
        <v>13539</v>
      </c>
      <c r="F685" s="1021"/>
      <c r="G685" s="818" t="s">
        <v>28</v>
      </c>
      <c r="H685" s="819">
        <v>5.4999999999999997E-3</v>
      </c>
      <c r="I685" s="820">
        <v>10.42</v>
      </c>
      <c r="J685" s="820">
        <v>0.05</v>
      </c>
    </row>
    <row r="686" spans="1:10" ht="38.25" customHeight="1">
      <c r="A686" s="817" t="s">
        <v>13491</v>
      </c>
      <c r="B686" s="816" t="s">
        <v>13798</v>
      </c>
      <c r="C686" s="817" t="s">
        <v>6</v>
      </c>
      <c r="D686" s="817" t="s">
        <v>1730</v>
      </c>
      <c r="E686" s="1021" t="s">
        <v>13539</v>
      </c>
      <c r="F686" s="1021"/>
      <c r="G686" s="818" t="s">
        <v>28</v>
      </c>
      <c r="H686" s="819">
        <v>1.35E-2</v>
      </c>
      <c r="I686" s="820">
        <v>11.83</v>
      </c>
      <c r="J686" s="820">
        <v>0.15</v>
      </c>
    </row>
    <row r="687" spans="1:10" ht="38.25" customHeight="1">
      <c r="A687" s="817" t="s">
        <v>13491</v>
      </c>
      <c r="B687" s="816" t="s">
        <v>13801</v>
      </c>
      <c r="C687" s="817" t="s">
        <v>6</v>
      </c>
      <c r="D687" s="817" t="s">
        <v>1731</v>
      </c>
      <c r="E687" s="1021" t="s">
        <v>13539</v>
      </c>
      <c r="F687" s="1021"/>
      <c r="G687" s="818" t="s">
        <v>42</v>
      </c>
      <c r="H687" s="819">
        <v>0.14050000000000001</v>
      </c>
      <c r="I687" s="820">
        <v>1.19</v>
      </c>
      <c r="J687" s="820">
        <v>0.16</v>
      </c>
    </row>
    <row r="688" spans="1:10" ht="38.25" customHeight="1">
      <c r="A688" s="817" t="s">
        <v>13491</v>
      </c>
      <c r="B688" s="816" t="s">
        <v>13799</v>
      </c>
      <c r="C688" s="817" t="s">
        <v>6</v>
      </c>
      <c r="D688" s="817" t="s">
        <v>1725</v>
      </c>
      <c r="E688" s="1021" t="s">
        <v>13539</v>
      </c>
      <c r="F688" s="1021"/>
      <c r="G688" s="818" t="s">
        <v>42</v>
      </c>
      <c r="H688" s="819">
        <v>0.14849999999999999</v>
      </c>
      <c r="I688" s="820">
        <v>0.56000000000000005</v>
      </c>
      <c r="J688" s="820">
        <v>0.08</v>
      </c>
    </row>
    <row r="689" spans="1:10" ht="38.25" customHeight="1">
      <c r="A689" s="817" t="s">
        <v>13491</v>
      </c>
      <c r="B689" s="816" t="s">
        <v>13802</v>
      </c>
      <c r="C689" s="817" t="s">
        <v>6</v>
      </c>
      <c r="D689" s="817" t="s">
        <v>121</v>
      </c>
      <c r="E689" s="1021" t="s">
        <v>13490</v>
      </c>
      <c r="F689" s="1021"/>
      <c r="G689" s="818" t="s">
        <v>19</v>
      </c>
      <c r="H689" s="819">
        <v>0.308</v>
      </c>
      <c r="I689" s="820">
        <v>17.420000000000002</v>
      </c>
      <c r="J689" s="820">
        <v>5.36</v>
      </c>
    </row>
    <row r="690" spans="1:10" ht="38.25" customHeight="1">
      <c r="A690" s="817" t="s">
        <v>13491</v>
      </c>
      <c r="B690" s="816" t="s">
        <v>13553</v>
      </c>
      <c r="C690" s="817" t="s">
        <v>6</v>
      </c>
      <c r="D690" s="817" t="s">
        <v>21</v>
      </c>
      <c r="E690" s="1021" t="s">
        <v>13490</v>
      </c>
      <c r="F690" s="1021"/>
      <c r="G690" s="818" t="s">
        <v>19</v>
      </c>
      <c r="H690" s="819">
        <v>0.308</v>
      </c>
      <c r="I690" s="820">
        <v>15.16</v>
      </c>
      <c r="J690" s="820">
        <v>4.66</v>
      </c>
    </row>
    <row r="691" spans="1:10" ht="25.5">
      <c r="A691" s="822" t="s">
        <v>13493</v>
      </c>
      <c r="B691" s="821" t="s">
        <v>13657</v>
      </c>
      <c r="C691" s="822" t="s">
        <v>6</v>
      </c>
      <c r="D691" s="822" t="s">
        <v>4588</v>
      </c>
      <c r="E691" s="1017" t="s">
        <v>13514</v>
      </c>
      <c r="F691" s="1017"/>
      <c r="G691" s="823" t="s">
        <v>13543</v>
      </c>
      <c r="H691" s="824">
        <v>5.6800000000000003E-2</v>
      </c>
      <c r="I691" s="825">
        <v>83.5</v>
      </c>
      <c r="J691" s="825">
        <v>4.74</v>
      </c>
    </row>
    <row r="692" spans="1:10" ht="51">
      <c r="A692" s="822" t="s">
        <v>13493</v>
      </c>
      <c r="B692" s="821" t="s">
        <v>13803</v>
      </c>
      <c r="C692" s="822" t="s">
        <v>6</v>
      </c>
      <c r="D692" s="822" t="s">
        <v>8890</v>
      </c>
      <c r="E692" s="1017" t="s">
        <v>13514</v>
      </c>
      <c r="F692" s="1017"/>
      <c r="G692" s="823" t="s">
        <v>13537</v>
      </c>
      <c r="H692" s="824">
        <v>1.0144</v>
      </c>
      <c r="I692" s="825">
        <v>72.03</v>
      </c>
      <c r="J692" s="825">
        <v>73.06</v>
      </c>
    </row>
    <row r="693" spans="1:10">
      <c r="A693" s="822" t="s">
        <v>13493</v>
      </c>
      <c r="B693" s="821" t="s">
        <v>13804</v>
      </c>
      <c r="C693" s="822" t="s">
        <v>6</v>
      </c>
      <c r="D693" s="822" t="s">
        <v>11837</v>
      </c>
      <c r="E693" s="1017" t="s">
        <v>13514</v>
      </c>
      <c r="F693" s="1017"/>
      <c r="G693" s="823" t="s">
        <v>13543</v>
      </c>
      <c r="H693" s="824">
        <v>8.5000000000000006E-3</v>
      </c>
      <c r="I693" s="825">
        <v>79.73</v>
      </c>
      <c r="J693" s="825">
        <v>0.67</v>
      </c>
    </row>
    <row r="694" spans="1:10" ht="25.5">
      <c r="A694" s="827"/>
      <c r="B694" s="827"/>
      <c r="C694" s="827"/>
      <c r="D694" s="827"/>
      <c r="E694" s="827" t="s">
        <v>13503</v>
      </c>
      <c r="F694" s="826">
        <v>7.04</v>
      </c>
      <c r="G694" s="827" t="s">
        <v>13504</v>
      </c>
      <c r="H694" s="826">
        <v>0</v>
      </c>
      <c r="I694" s="827" t="s">
        <v>13505</v>
      </c>
      <c r="J694" s="826">
        <v>7.04</v>
      </c>
    </row>
    <row r="695" spans="1:10" ht="13.5" customHeight="1" thickBot="1">
      <c r="A695" s="827"/>
      <c r="B695" s="827"/>
      <c r="C695" s="827"/>
      <c r="D695" s="827"/>
      <c r="E695" s="827" t="s">
        <v>13506</v>
      </c>
      <c r="F695" s="826">
        <v>25.11</v>
      </c>
      <c r="G695" s="827"/>
      <c r="H695" s="1018" t="s">
        <v>13507</v>
      </c>
      <c r="I695" s="1018"/>
      <c r="J695" s="826">
        <v>114.04</v>
      </c>
    </row>
    <row r="696" spans="1:10" ht="13.5" thickTop="1">
      <c r="A696" s="828"/>
      <c r="B696" s="828"/>
      <c r="C696" s="828"/>
      <c r="D696" s="828"/>
      <c r="E696" s="828"/>
      <c r="F696" s="828"/>
      <c r="G696" s="828"/>
      <c r="H696" s="828"/>
      <c r="I696" s="828"/>
      <c r="J696" s="828"/>
    </row>
    <row r="697" spans="1:10" ht="15">
      <c r="A697" s="809" t="s">
        <v>13805</v>
      </c>
      <c r="B697" s="808" t="s">
        <v>13481</v>
      </c>
      <c r="C697" s="809" t="s">
        <v>13482</v>
      </c>
      <c r="D697" s="809" t="s">
        <v>13483</v>
      </c>
      <c r="E697" s="1019" t="s">
        <v>13484</v>
      </c>
      <c r="F697" s="1019"/>
      <c r="G697" s="810" t="s">
        <v>13485</v>
      </c>
      <c r="H697" s="808" t="s">
        <v>13486</v>
      </c>
      <c r="I697" s="808" t="s">
        <v>13487</v>
      </c>
      <c r="J697" s="808" t="s">
        <v>4867</v>
      </c>
    </row>
    <row r="698" spans="1:10" ht="38.25" customHeight="1">
      <c r="A698" s="812" t="s">
        <v>13488</v>
      </c>
      <c r="B698" s="811" t="s">
        <v>13806</v>
      </c>
      <c r="C698" s="812" t="s">
        <v>6</v>
      </c>
      <c r="D698" s="812" t="s">
        <v>4276</v>
      </c>
      <c r="E698" s="1020" t="s">
        <v>13807</v>
      </c>
      <c r="F698" s="1020"/>
      <c r="G698" s="813" t="s">
        <v>13537</v>
      </c>
      <c r="H698" s="814">
        <v>1</v>
      </c>
      <c r="I698" s="815">
        <v>599.86</v>
      </c>
      <c r="J698" s="815">
        <v>599.86</v>
      </c>
    </row>
    <row r="699" spans="1:10" ht="38.25" customHeight="1">
      <c r="A699" s="817" t="s">
        <v>13491</v>
      </c>
      <c r="B699" s="816" t="s">
        <v>13553</v>
      </c>
      <c r="C699" s="817" t="s">
        <v>6</v>
      </c>
      <c r="D699" s="817" t="s">
        <v>21</v>
      </c>
      <c r="E699" s="1021" t="s">
        <v>13490</v>
      </c>
      <c r="F699" s="1021"/>
      <c r="G699" s="818" t="s">
        <v>19</v>
      </c>
      <c r="H699" s="819">
        <v>0.48</v>
      </c>
      <c r="I699" s="820">
        <v>15.16</v>
      </c>
      <c r="J699" s="820">
        <v>7.27</v>
      </c>
    </row>
    <row r="700" spans="1:10" ht="38.25" customHeight="1">
      <c r="A700" s="817" t="s">
        <v>13491</v>
      </c>
      <c r="B700" s="816" t="s">
        <v>13577</v>
      </c>
      <c r="C700" s="817" t="s">
        <v>6</v>
      </c>
      <c r="D700" s="817" t="s">
        <v>31</v>
      </c>
      <c r="E700" s="1021" t="s">
        <v>13490</v>
      </c>
      <c r="F700" s="1021"/>
      <c r="G700" s="818" t="s">
        <v>19</v>
      </c>
      <c r="H700" s="819">
        <v>0.96</v>
      </c>
      <c r="I700" s="820">
        <v>18.86</v>
      </c>
      <c r="J700" s="820">
        <v>18.100000000000001</v>
      </c>
    </row>
    <row r="701" spans="1:10" ht="51">
      <c r="A701" s="822" t="s">
        <v>13493</v>
      </c>
      <c r="B701" s="821" t="s">
        <v>13808</v>
      </c>
      <c r="C701" s="822" t="s">
        <v>6</v>
      </c>
      <c r="D701" s="822" t="s">
        <v>10694</v>
      </c>
      <c r="E701" s="1017" t="s">
        <v>13514</v>
      </c>
      <c r="F701" s="1017"/>
      <c r="G701" s="823" t="s">
        <v>24</v>
      </c>
      <c r="H701" s="824">
        <v>0.55600000000000005</v>
      </c>
      <c r="I701" s="825">
        <v>1013.1</v>
      </c>
      <c r="J701" s="825">
        <v>563.28</v>
      </c>
    </row>
    <row r="702" spans="1:10" ht="25.5">
      <c r="A702" s="822" t="s">
        <v>13493</v>
      </c>
      <c r="B702" s="821" t="s">
        <v>13809</v>
      </c>
      <c r="C702" s="822" t="s">
        <v>6</v>
      </c>
      <c r="D702" s="822" t="s">
        <v>4740</v>
      </c>
      <c r="E702" s="1017" t="s">
        <v>13514</v>
      </c>
      <c r="F702" s="1017"/>
      <c r="G702" s="823" t="s">
        <v>24</v>
      </c>
      <c r="H702" s="824">
        <v>7.3</v>
      </c>
      <c r="I702" s="825">
        <v>0.21</v>
      </c>
      <c r="J702" s="825">
        <v>1.53</v>
      </c>
    </row>
    <row r="703" spans="1:10">
      <c r="A703" s="822" t="s">
        <v>13493</v>
      </c>
      <c r="B703" s="821" t="s">
        <v>13810</v>
      </c>
      <c r="C703" s="822" t="s">
        <v>6</v>
      </c>
      <c r="D703" s="822" t="s">
        <v>4785</v>
      </c>
      <c r="E703" s="1017" t="s">
        <v>13514</v>
      </c>
      <c r="F703" s="1017"/>
      <c r="G703" s="823" t="s">
        <v>24</v>
      </c>
      <c r="H703" s="824">
        <v>0.56000000000000005</v>
      </c>
      <c r="I703" s="825">
        <v>17.3</v>
      </c>
      <c r="J703" s="825">
        <v>9.68</v>
      </c>
    </row>
    <row r="704" spans="1:10" ht="13.5" customHeight="1">
      <c r="A704" s="827"/>
      <c r="B704" s="827"/>
      <c r="C704" s="827"/>
      <c r="D704" s="827"/>
      <c r="E704" s="827" t="s">
        <v>13503</v>
      </c>
      <c r="F704" s="826">
        <v>18.38</v>
      </c>
      <c r="G704" s="827" t="s">
        <v>13504</v>
      </c>
      <c r="H704" s="826">
        <v>0</v>
      </c>
      <c r="I704" s="827" t="s">
        <v>13505</v>
      </c>
      <c r="J704" s="826">
        <v>18.38</v>
      </c>
    </row>
    <row r="705" spans="1:10" ht="13.5" customHeight="1" thickBot="1">
      <c r="A705" s="827"/>
      <c r="B705" s="827"/>
      <c r="C705" s="827"/>
      <c r="D705" s="827"/>
      <c r="E705" s="827" t="s">
        <v>13506</v>
      </c>
      <c r="F705" s="826">
        <v>169.4</v>
      </c>
      <c r="G705" s="827"/>
      <c r="H705" s="1018" t="s">
        <v>13507</v>
      </c>
      <c r="I705" s="1018"/>
      <c r="J705" s="826">
        <v>769.26</v>
      </c>
    </row>
    <row r="706" spans="1:10" ht="13.5" thickTop="1">
      <c r="A706" s="828"/>
      <c r="B706" s="828"/>
      <c r="C706" s="828"/>
      <c r="D706" s="828"/>
      <c r="E706" s="828"/>
      <c r="F706" s="828"/>
      <c r="G706" s="828"/>
      <c r="H706" s="828"/>
      <c r="I706" s="828"/>
      <c r="J706" s="828"/>
    </row>
    <row r="707" spans="1:10" ht="15">
      <c r="A707" s="809" t="s">
        <v>13811</v>
      </c>
      <c r="B707" s="808" t="s">
        <v>13481</v>
      </c>
      <c r="C707" s="809" t="s">
        <v>13482</v>
      </c>
      <c r="D707" s="809" t="s">
        <v>13483</v>
      </c>
      <c r="E707" s="1019" t="s">
        <v>13484</v>
      </c>
      <c r="F707" s="1019"/>
      <c r="G707" s="810" t="s">
        <v>13485</v>
      </c>
      <c r="H707" s="808" t="s">
        <v>13486</v>
      </c>
      <c r="I707" s="808" t="s">
        <v>13487</v>
      </c>
      <c r="J707" s="808" t="s">
        <v>4867</v>
      </c>
    </row>
    <row r="708" spans="1:10" ht="25.5" customHeight="1">
      <c r="A708" s="812" t="s">
        <v>13488</v>
      </c>
      <c r="B708" s="811" t="s">
        <v>13812</v>
      </c>
      <c r="C708" s="812" t="s">
        <v>6</v>
      </c>
      <c r="D708" s="812" t="s">
        <v>4273</v>
      </c>
      <c r="E708" s="1020" t="s">
        <v>13807</v>
      </c>
      <c r="F708" s="1020"/>
      <c r="G708" s="813" t="s">
        <v>13537</v>
      </c>
      <c r="H708" s="814">
        <v>1</v>
      </c>
      <c r="I708" s="815">
        <v>989.22</v>
      </c>
      <c r="J708" s="815">
        <v>989.22</v>
      </c>
    </row>
    <row r="709" spans="1:10" ht="38.25" customHeight="1">
      <c r="A709" s="817" t="s">
        <v>13491</v>
      </c>
      <c r="B709" s="816" t="s">
        <v>13553</v>
      </c>
      <c r="C709" s="817" t="s">
        <v>6</v>
      </c>
      <c r="D709" s="817" t="s">
        <v>21</v>
      </c>
      <c r="E709" s="1021" t="s">
        <v>13490</v>
      </c>
      <c r="F709" s="1021"/>
      <c r="G709" s="818" t="s">
        <v>19</v>
      </c>
      <c r="H709" s="819">
        <v>0.85299999999999998</v>
      </c>
      <c r="I709" s="820">
        <v>15.16</v>
      </c>
      <c r="J709" s="820">
        <v>12.93</v>
      </c>
    </row>
    <row r="710" spans="1:10" ht="38.25" customHeight="1">
      <c r="A710" s="817" t="s">
        <v>13491</v>
      </c>
      <c r="B710" s="816" t="s">
        <v>13577</v>
      </c>
      <c r="C710" s="817" t="s">
        <v>6</v>
      </c>
      <c r="D710" s="817" t="s">
        <v>31</v>
      </c>
      <c r="E710" s="1021" t="s">
        <v>13490</v>
      </c>
      <c r="F710" s="1021"/>
      <c r="G710" s="818" t="s">
        <v>19</v>
      </c>
      <c r="H710" s="819">
        <v>1.7070000000000001</v>
      </c>
      <c r="I710" s="820">
        <v>18.86</v>
      </c>
      <c r="J710" s="820">
        <v>32.19</v>
      </c>
    </row>
    <row r="711" spans="1:10" ht="38.25">
      <c r="A711" s="822" t="s">
        <v>13493</v>
      </c>
      <c r="B711" s="821" t="s">
        <v>13813</v>
      </c>
      <c r="C711" s="822" t="s">
        <v>6</v>
      </c>
      <c r="D711" s="822" t="s">
        <v>10706</v>
      </c>
      <c r="E711" s="1017" t="s">
        <v>13514</v>
      </c>
      <c r="F711" s="1017"/>
      <c r="G711" s="823" t="s">
        <v>24</v>
      </c>
      <c r="H711" s="824">
        <v>2.0832999999999999</v>
      </c>
      <c r="I711" s="825">
        <v>440.37</v>
      </c>
      <c r="J711" s="825">
        <v>917.42</v>
      </c>
    </row>
    <row r="712" spans="1:10" ht="13.5" customHeight="1">
      <c r="A712" s="822" t="s">
        <v>13493</v>
      </c>
      <c r="B712" s="821" t="s">
        <v>13809</v>
      </c>
      <c r="C712" s="822" t="s">
        <v>6</v>
      </c>
      <c r="D712" s="822" t="s">
        <v>4740</v>
      </c>
      <c r="E712" s="1017" t="s">
        <v>13514</v>
      </c>
      <c r="F712" s="1017"/>
      <c r="G712" s="823" t="s">
        <v>24</v>
      </c>
      <c r="H712" s="824">
        <v>24.4</v>
      </c>
      <c r="I712" s="825">
        <v>0.21</v>
      </c>
      <c r="J712" s="825">
        <v>5.12</v>
      </c>
    </row>
    <row r="713" spans="1:10">
      <c r="A713" s="822" t="s">
        <v>13493</v>
      </c>
      <c r="B713" s="821" t="s">
        <v>13810</v>
      </c>
      <c r="C713" s="822" t="s">
        <v>6</v>
      </c>
      <c r="D713" s="822" t="s">
        <v>4785</v>
      </c>
      <c r="E713" s="1017" t="s">
        <v>13514</v>
      </c>
      <c r="F713" s="1017"/>
      <c r="G713" s="823" t="s">
        <v>24</v>
      </c>
      <c r="H713" s="824">
        <v>1.2466999999999999</v>
      </c>
      <c r="I713" s="825">
        <v>17.3</v>
      </c>
      <c r="J713" s="825">
        <v>21.56</v>
      </c>
    </row>
    <row r="714" spans="1:10" ht="25.5">
      <c r="A714" s="827"/>
      <c r="B714" s="827"/>
      <c r="C714" s="827"/>
      <c r="D714" s="827"/>
      <c r="E714" s="827" t="s">
        <v>13503</v>
      </c>
      <c r="F714" s="826">
        <v>32.67</v>
      </c>
      <c r="G714" s="827" t="s">
        <v>13504</v>
      </c>
      <c r="H714" s="826">
        <v>0</v>
      </c>
      <c r="I714" s="827" t="s">
        <v>13505</v>
      </c>
      <c r="J714" s="826">
        <v>32.67</v>
      </c>
    </row>
    <row r="715" spans="1:10" ht="25.5" customHeight="1" thickBot="1">
      <c r="A715" s="827"/>
      <c r="B715" s="827"/>
      <c r="C715" s="827"/>
      <c r="D715" s="827"/>
      <c r="E715" s="827" t="s">
        <v>13506</v>
      </c>
      <c r="F715" s="826">
        <v>279.35000000000002</v>
      </c>
      <c r="G715" s="827"/>
      <c r="H715" s="1018" t="s">
        <v>13507</v>
      </c>
      <c r="I715" s="1018"/>
      <c r="J715" s="826">
        <v>1268.57</v>
      </c>
    </row>
    <row r="716" spans="1:10" ht="13.5" thickTop="1">
      <c r="A716" s="828"/>
      <c r="B716" s="828"/>
      <c r="C716" s="828"/>
      <c r="D716" s="828"/>
      <c r="E716" s="828"/>
      <c r="F716" s="828"/>
      <c r="G716" s="828"/>
      <c r="H716" s="828"/>
      <c r="I716" s="828"/>
      <c r="J716" s="828"/>
    </row>
    <row r="717" spans="1:10" ht="15">
      <c r="A717" s="809" t="s">
        <v>13814</v>
      </c>
      <c r="B717" s="808" t="s">
        <v>13481</v>
      </c>
      <c r="C717" s="809" t="s">
        <v>13482</v>
      </c>
      <c r="D717" s="809" t="s">
        <v>13483</v>
      </c>
      <c r="E717" s="1019" t="s">
        <v>13484</v>
      </c>
      <c r="F717" s="1019"/>
      <c r="G717" s="810" t="s">
        <v>13485</v>
      </c>
      <c r="H717" s="808" t="s">
        <v>13486</v>
      </c>
      <c r="I717" s="808" t="s">
        <v>13487</v>
      </c>
      <c r="J717" s="808" t="s">
        <v>4867</v>
      </c>
    </row>
    <row r="718" spans="1:10" ht="25.5" customHeight="1">
      <c r="A718" s="812" t="s">
        <v>13488</v>
      </c>
      <c r="B718" s="811" t="s">
        <v>13815</v>
      </c>
      <c r="C718" s="812" t="s">
        <v>6</v>
      </c>
      <c r="D718" s="812" t="s">
        <v>4260</v>
      </c>
      <c r="E718" s="1020" t="s">
        <v>13807</v>
      </c>
      <c r="F718" s="1020"/>
      <c r="G718" s="813" t="s">
        <v>13537</v>
      </c>
      <c r="H718" s="814">
        <v>1</v>
      </c>
      <c r="I718" s="815">
        <v>720.17</v>
      </c>
      <c r="J718" s="815">
        <v>720.17</v>
      </c>
    </row>
    <row r="719" spans="1:10" ht="38.25" customHeight="1">
      <c r="A719" s="817" t="s">
        <v>13491</v>
      </c>
      <c r="B719" s="816" t="s">
        <v>13553</v>
      </c>
      <c r="C719" s="817" t="s">
        <v>6</v>
      </c>
      <c r="D719" s="817" t="s">
        <v>21</v>
      </c>
      <c r="E719" s="1021" t="s">
        <v>13490</v>
      </c>
      <c r="F719" s="1021"/>
      <c r="G719" s="818" t="s">
        <v>19</v>
      </c>
      <c r="H719" s="819">
        <v>0.191</v>
      </c>
      <c r="I719" s="820">
        <v>15.16</v>
      </c>
      <c r="J719" s="820">
        <v>2.89</v>
      </c>
    </row>
    <row r="720" spans="1:10" ht="38.25" customHeight="1">
      <c r="A720" s="817" t="s">
        <v>13491</v>
      </c>
      <c r="B720" s="816" t="s">
        <v>13577</v>
      </c>
      <c r="C720" s="817" t="s">
        <v>6</v>
      </c>
      <c r="D720" s="817" t="s">
        <v>31</v>
      </c>
      <c r="E720" s="1021" t="s">
        <v>13490</v>
      </c>
      <c r="F720" s="1021"/>
      <c r="G720" s="818" t="s">
        <v>19</v>
      </c>
      <c r="H720" s="819">
        <v>0.3826</v>
      </c>
      <c r="I720" s="820">
        <v>18.86</v>
      </c>
      <c r="J720" s="820">
        <v>7.21</v>
      </c>
    </row>
    <row r="721" spans="1:10" ht="38.25">
      <c r="A721" s="822" t="s">
        <v>13493</v>
      </c>
      <c r="B721" s="821" t="s">
        <v>13816</v>
      </c>
      <c r="C721" s="822" t="s">
        <v>6</v>
      </c>
      <c r="D721" s="822" t="s">
        <v>4600</v>
      </c>
      <c r="E721" s="1017" t="s">
        <v>13514</v>
      </c>
      <c r="F721" s="1017"/>
      <c r="G721" s="823" t="s">
        <v>24</v>
      </c>
      <c r="H721" s="824">
        <v>4.8166000000000002</v>
      </c>
      <c r="I721" s="825">
        <v>0.61</v>
      </c>
      <c r="J721" s="825">
        <v>2.93</v>
      </c>
    </row>
    <row r="722" spans="1:10" ht="38.25">
      <c r="A722" s="822" t="s">
        <v>13493</v>
      </c>
      <c r="B722" s="821" t="s">
        <v>13817</v>
      </c>
      <c r="C722" s="822" t="s">
        <v>6</v>
      </c>
      <c r="D722" s="822" t="s">
        <v>10613</v>
      </c>
      <c r="E722" s="1017" t="s">
        <v>13514</v>
      </c>
      <c r="F722" s="1017"/>
      <c r="G722" s="823" t="s">
        <v>14</v>
      </c>
      <c r="H722" s="824">
        <v>6.8503999999999996</v>
      </c>
      <c r="I722" s="825">
        <v>43.85</v>
      </c>
      <c r="J722" s="825">
        <v>300.39</v>
      </c>
    </row>
    <row r="723" spans="1:10" ht="25.5">
      <c r="A723" s="822" t="s">
        <v>13493</v>
      </c>
      <c r="B723" s="821" t="s">
        <v>13818</v>
      </c>
      <c r="C723" s="822" t="s">
        <v>6</v>
      </c>
      <c r="D723" s="822" t="s">
        <v>11876</v>
      </c>
      <c r="E723" s="1017" t="s">
        <v>13514</v>
      </c>
      <c r="F723" s="1017"/>
      <c r="G723" s="823" t="s">
        <v>24</v>
      </c>
      <c r="H723" s="824">
        <v>0.54730000000000001</v>
      </c>
      <c r="I723" s="825">
        <v>700.98</v>
      </c>
      <c r="J723" s="825">
        <v>383.64</v>
      </c>
    </row>
    <row r="724" spans="1:10" ht="13.5" customHeight="1">
      <c r="A724" s="822" t="s">
        <v>13493</v>
      </c>
      <c r="B724" s="821" t="s">
        <v>13819</v>
      </c>
      <c r="C724" s="822" t="s">
        <v>6</v>
      </c>
      <c r="D724" s="822" t="s">
        <v>4780</v>
      </c>
      <c r="E724" s="1017" t="s">
        <v>13514</v>
      </c>
      <c r="F724" s="1017"/>
      <c r="G724" s="823" t="s">
        <v>13820</v>
      </c>
      <c r="H724" s="824">
        <v>0.88290000000000002</v>
      </c>
      <c r="I724" s="825">
        <v>26.18</v>
      </c>
      <c r="J724" s="825">
        <v>23.11</v>
      </c>
    </row>
    <row r="725" spans="1:10" ht="25.5">
      <c r="A725" s="827"/>
      <c r="B725" s="827"/>
      <c r="C725" s="827"/>
      <c r="D725" s="827"/>
      <c r="E725" s="827" t="s">
        <v>13503</v>
      </c>
      <c r="F725" s="826">
        <v>7.32</v>
      </c>
      <c r="G725" s="827" t="s">
        <v>13504</v>
      </c>
      <c r="H725" s="826">
        <v>0</v>
      </c>
      <c r="I725" s="827" t="s">
        <v>13505</v>
      </c>
      <c r="J725" s="826">
        <v>7.32</v>
      </c>
    </row>
    <row r="726" spans="1:10" ht="13.5" customHeight="1" thickBot="1">
      <c r="A726" s="827"/>
      <c r="B726" s="827"/>
      <c r="C726" s="827"/>
      <c r="D726" s="827"/>
      <c r="E726" s="827" t="s">
        <v>13506</v>
      </c>
      <c r="F726" s="826">
        <v>203.37</v>
      </c>
      <c r="G726" s="827"/>
      <c r="H726" s="1018" t="s">
        <v>13507</v>
      </c>
      <c r="I726" s="1018"/>
      <c r="J726" s="826">
        <v>923.54</v>
      </c>
    </row>
    <row r="727" spans="1:10" ht="25.5" customHeight="1" thickTop="1">
      <c r="A727" s="828"/>
      <c r="B727" s="828"/>
      <c r="C727" s="828"/>
      <c r="D727" s="828"/>
      <c r="E727" s="828"/>
      <c r="F727" s="828"/>
      <c r="G727" s="828"/>
      <c r="H727" s="828"/>
      <c r="I727" s="828"/>
      <c r="J727" s="828"/>
    </row>
    <row r="728" spans="1:10" ht="15">
      <c r="A728" s="809" t="s">
        <v>13821</v>
      </c>
      <c r="B728" s="808" t="s">
        <v>13481</v>
      </c>
      <c r="C728" s="809" t="s">
        <v>13482</v>
      </c>
      <c r="D728" s="809" t="s">
        <v>13483</v>
      </c>
      <c r="E728" s="1019" t="s">
        <v>13484</v>
      </c>
      <c r="F728" s="1019"/>
      <c r="G728" s="810" t="s">
        <v>13485</v>
      </c>
      <c r="H728" s="808" t="s">
        <v>13486</v>
      </c>
      <c r="I728" s="808" t="s">
        <v>13487</v>
      </c>
      <c r="J728" s="808" t="s">
        <v>4867</v>
      </c>
    </row>
    <row r="729" spans="1:10" ht="38.25" customHeight="1">
      <c r="A729" s="812" t="s">
        <v>13488</v>
      </c>
      <c r="B729" s="811" t="s">
        <v>13822</v>
      </c>
      <c r="C729" s="812" t="s">
        <v>6</v>
      </c>
      <c r="D729" s="812" t="s">
        <v>8260</v>
      </c>
      <c r="E729" s="1020" t="s">
        <v>13715</v>
      </c>
      <c r="F729" s="1020"/>
      <c r="G729" s="813" t="s">
        <v>13537</v>
      </c>
      <c r="H729" s="814">
        <v>1</v>
      </c>
      <c r="I729" s="815">
        <v>73.900000000000006</v>
      </c>
      <c r="J729" s="815">
        <v>73.900000000000006</v>
      </c>
    </row>
    <row r="730" spans="1:10" ht="38.25" customHeight="1">
      <c r="A730" s="817" t="s">
        <v>13491</v>
      </c>
      <c r="B730" s="816" t="s">
        <v>13716</v>
      </c>
      <c r="C730" s="817" t="s">
        <v>6</v>
      </c>
      <c r="D730" s="817" t="s">
        <v>3838</v>
      </c>
      <c r="E730" s="1021" t="s">
        <v>13490</v>
      </c>
      <c r="F730" s="1021"/>
      <c r="G730" s="818" t="s">
        <v>13543</v>
      </c>
      <c r="H730" s="819">
        <v>9.1000000000000004E-3</v>
      </c>
      <c r="I730" s="820">
        <v>450.77</v>
      </c>
      <c r="J730" s="820">
        <v>4.0999999999999996</v>
      </c>
    </row>
    <row r="731" spans="1:10" ht="13.5" customHeight="1">
      <c r="A731" s="817" t="s">
        <v>13491</v>
      </c>
      <c r="B731" s="816" t="s">
        <v>13553</v>
      </c>
      <c r="C731" s="817" t="s">
        <v>6</v>
      </c>
      <c r="D731" s="817" t="s">
        <v>21</v>
      </c>
      <c r="E731" s="1021" t="s">
        <v>13490</v>
      </c>
      <c r="F731" s="1021"/>
      <c r="G731" s="818" t="s">
        <v>19</v>
      </c>
      <c r="H731" s="819">
        <v>0.80500000000000005</v>
      </c>
      <c r="I731" s="820">
        <v>15.16</v>
      </c>
      <c r="J731" s="820">
        <v>12.2</v>
      </c>
    </row>
    <row r="732" spans="1:10" ht="38.25" customHeight="1">
      <c r="A732" s="817" t="s">
        <v>13491</v>
      </c>
      <c r="B732" s="816" t="s">
        <v>13577</v>
      </c>
      <c r="C732" s="817" t="s">
        <v>6</v>
      </c>
      <c r="D732" s="817" t="s">
        <v>31</v>
      </c>
      <c r="E732" s="1021" t="s">
        <v>13490</v>
      </c>
      <c r="F732" s="1021"/>
      <c r="G732" s="818" t="s">
        <v>19</v>
      </c>
      <c r="H732" s="819">
        <v>1.61</v>
      </c>
      <c r="I732" s="820">
        <v>18.86</v>
      </c>
      <c r="J732" s="820">
        <v>30.36</v>
      </c>
    </row>
    <row r="733" spans="1:10" ht="25.5">
      <c r="A733" s="822" t="s">
        <v>13493</v>
      </c>
      <c r="B733" s="821" t="s">
        <v>13823</v>
      </c>
      <c r="C733" s="822" t="s">
        <v>6</v>
      </c>
      <c r="D733" s="822" t="s">
        <v>8842</v>
      </c>
      <c r="E733" s="1017" t="s">
        <v>13514</v>
      </c>
      <c r="F733" s="1017"/>
      <c r="G733" s="823" t="s">
        <v>24</v>
      </c>
      <c r="H733" s="824">
        <v>28.31</v>
      </c>
      <c r="I733" s="825">
        <v>0.89</v>
      </c>
      <c r="J733" s="825">
        <v>25.19</v>
      </c>
    </row>
    <row r="734" spans="1:10" ht="25.5" customHeight="1">
      <c r="A734" s="822" t="s">
        <v>13493</v>
      </c>
      <c r="B734" s="821" t="s">
        <v>13718</v>
      </c>
      <c r="C734" s="822" t="s">
        <v>6</v>
      </c>
      <c r="D734" s="822" t="s">
        <v>4757</v>
      </c>
      <c r="E734" s="1017" t="s">
        <v>13514</v>
      </c>
      <c r="F734" s="1017"/>
      <c r="G734" s="823" t="s">
        <v>13719</v>
      </c>
      <c r="H734" s="824">
        <v>5.0000000000000001E-3</v>
      </c>
      <c r="I734" s="825">
        <v>40.89</v>
      </c>
      <c r="J734" s="825">
        <v>0.2</v>
      </c>
    </row>
    <row r="735" spans="1:10" ht="25.5">
      <c r="A735" s="822" t="s">
        <v>13493</v>
      </c>
      <c r="B735" s="821" t="s">
        <v>13720</v>
      </c>
      <c r="C735" s="822" t="s">
        <v>6</v>
      </c>
      <c r="D735" s="822" t="s">
        <v>4798</v>
      </c>
      <c r="E735" s="1017" t="s">
        <v>13514</v>
      </c>
      <c r="F735" s="1017"/>
      <c r="G735" s="823" t="s">
        <v>14</v>
      </c>
      <c r="H735" s="824">
        <v>0.42</v>
      </c>
      <c r="I735" s="825">
        <v>4.42</v>
      </c>
      <c r="J735" s="825">
        <v>1.85</v>
      </c>
    </row>
    <row r="736" spans="1:10" ht="25.5">
      <c r="A736" s="827"/>
      <c r="B736" s="827"/>
      <c r="C736" s="827"/>
      <c r="D736" s="827"/>
      <c r="E736" s="827" t="s">
        <v>13503</v>
      </c>
      <c r="F736" s="826">
        <v>31.22</v>
      </c>
      <c r="G736" s="827" t="s">
        <v>13504</v>
      </c>
      <c r="H736" s="826">
        <v>0</v>
      </c>
      <c r="I736" s="827" t="s">
        <v>13505</v>
      </c>
      <c r="J736" s="826">
        <v>31.22</v>
      </c>
    </row>
    <row r="737" spans="1:10" ht="13.5" customHeight="1" thickBot="1">
      <c r="A737" s="827"/>
      <c r="B737" s="827"/>
      <c r="C737" s="827"/>
      <c r="D737" s="827"/>
      <c r="E737" s="827" t="s">
        <v>13506</v>
      </c>
      <c r="F737" s="826">
        <v>20.86</v>
      </c>
      <c r="G737" s="827"/>
      <c r="H737" s="1018" t="s">
        <v>13507</v>
      </c>
      <c r="I737" s="1018"/>
      <c r="J737" s="826">
        <v>94.76</v>
      </c>
    </row>
    <row r="738" spans="1:10" ht="13.5" thickTop="1">
      <c r="A738" s="828"/>
      <c r="B738" s="828"/>
      <c r="C738" s="828"/>
      <c r="D738" s="828"/>
      <c r="E738" s="828"/>
      <c r="F738" s="828"/>
      <c r="G738" s="828"/>
      <c r="H738" s="828"/>
      <c r="I738" s="828"/>
      <c r="J738" s="828"/>
    </row>
    <row r="739" spans="1:10" ht="15">
      <c r="A739" s="809" t="s">
        <v>13824</v>
      </c>
      <c r="B739" s="808" t="s">
        <v>13481</v>
      </c>
      <c r="C739" s="809" t="s">
        <v>13482</v>
      </c>
      <c r="D739" s="809" t="s">
        <v>13483</v>
      </c>
      <c r="E739" s="1019" t="s">
        <v>13484</v>
      </c>
      <c r="F739" s="1019"/>
      <c r="G739" s="810" t="s">
        <v>13485</v>
      </c>
      <c r="H739" s="808" t="s">
        <v>13486</v>
      </c>
      <c r="I739" s="808" t="s">
        <v>13487</v>
      </c>
      <c r="J739" s="808" t="s">
        <v>4867</v>
      </c>
    </row>
    <row r="740" spans="1:10" ht="13.5" customHeight="1">
      <c r="A740" s="812" t="s">
        <v>13488</v>
      </c>
      <c r="B740" s="811" t="s">
        <v>13825</v>
      </c>
      <c r="C740" s="812" t="s">
        <v>6</v>
      </c>
      <c r="D740" s="812" t="s">
        <v>3695</v>
      </c>
      <c r="E740" s="1020" t="s">
        <v>13826</v>
      </c>
      <c r="F740" s="1020"/>
      <c r="G740" s="813" t="s">
        <v>13537</v>
      </c>
      <c r="H740" s="814">
        <v>1</v>
      </c>
      <c r="I740" s="815">
        <v>54.26</v>
      </c>
      <c r="J740" s="815">
        <v>54.26</v>
      </c>
    </row>
    <row r="741" spans="1:10" ht="38.25" customHeight="1">
      <c r="A741" s="817" t="s">
        <v>13491</v>
      </c>
      <c r="B741" s="816" t="s">
        <v>13827</v>
      </c>
      <c r="C741" s="817" t="s">
        <v>6</v>
      </c>
      <c r="D741" s="817" t="s">
        <v>2198</v>
      </c>
      <c r="E741" s="1021" t="s">
        <v>13539</v>
      </c>
      <c r="F741" s="1021"/>
      <c r="G741" s="818" t="s">
        <v>42</v>
      </c>
      <c r="H741" s="819">
        <v>9.4000000000000004E-3</v>
      </c>
      <c r="I741" s="820">
        <v>14.19</v>
      </c>
      <c r="J741" s="820">
        <v>0.13</v>
      </c>
    </row>
    <row r="742" spans="1:10" ht="38.25" customHeight="1">
      <c r="A742" s="817" t="s">
        <v>13491</v>
      </c>
      <c r="B742" s="816" t="s">
        <v>13828</v>
      </c>
      <c r="C742" s="817" t="s">
        <v>6</v>
      </c>
      <c r="D742" s="817" t="s">
        <v>2197</v>
      </c>
      <c r="E742" s="1021" t="s">
        <v>13539</v>
      </c>
      <c r="F742" s="1021"/>
      <c r="G742" s="818" t="s">
        <v>28</v>
      </c>
      <c r="H742" s="819">
        <v>6.7999999999999996E-3</v>
      </c>
      <c r="I742" s="820">
        <v>15.2</v>
      </c>
      <c r="J742" s="820">
        <v>0.1</v>
      </c>
    </row>
    <row r="743" spans="1:10" ht="38.25" customHeight="1">
      <c r="A743" s="817" t="s">
        <v>13491</v>
      </c>
      <c r="B743" s="816" t="s">
        <v>13553</v>
      </c>
      <c r="C743" s="817" t="s">
        <v>6</v>
      </c>
      <c r="D743" s="817" t="s">
        <v>21</v>
      </c>
      <c r="E743" s="1021" t="s">
        <v>13490</v>
      </c>
      <c r="F743" s="1021"/>
      <c r="G743" s="818" t="s">
        <v>19</v>
      </c>
      <c r="H743" s="819">
        <v>0.106</v>
      </c>
      <c r="I743" s="820">
        <v>15.16</v>
      </c>
      <c r="J743" s="820">
        <v>1.6</v>
      </c>
    </row>
    <row r="744" spans="1:10" ht="38.25" customHeight="1">
      <c r="A744" s="817" t="s">
        <v>13491</v>
      </c>
      <c r="B744" s="816" t="s">
        <v>13561</v>
      </c>
      <c r="C744" s="817" t="s">
        <v>6</v>
      </c>
      <c r="D744" s="817" t="s">
        <v>131</v>
      </c>
      <c r="E744" s="1021" t="s">
        <v>13490</v>
      </c>
      <c r="F744" s="1021"/>
      <c r="G744" s="818" t="s">
        <v>19</v>
      </c>
      <c r="H744" s="819">
        <v>0.21299999999999999</v>
      </c>
      <c r="I744" s="820">
        <v>13.65</v>
      </c>
      <c r="J744" s="820">
        <v>2.9</v>
      </c>
    </row>
    <row r="745" spans="1:10" ht="25.5">
      <c r="A745" s="822" t="s">
        <v>13493</v>
      </c>
      <c r="B745" s="821" t="s">
        <v>13829</v>
      </c>
      <c r="C745" s="822" t="s">
        <v>6</v>
      </c>
      <c r="D745" s="822" t="s">
        <v>4747</v>
      </c>
      <c r="E745" s="1017" t="s">
        <v>13514</v>
      </c>
      <c r="F745" s="1017"/>
      <c r="G745" s="823" t="s">
        <v>13719</v>
      </c>
      <c r="H745" s="824">
        <v>7.0000000000000001E-3</v>
      </c>
      <c r="I745" s="825">
        <v>211.62</v>
      </c>
      <c r="J745" s="825">
        <v>1.48</v>
      </c>
    </row>
    <row r="746" spans="1:10" ht="25.5">
      <c r="A746" s="822" t="s">
        <v>13493</v>
      </c>
      <c r="B746" s="821" t="s">
        <v>13830</v>
      </c>
      <c r="C746" s="822" t="s">
        <v>6</v>
      </c>
      <c r="D746" s="822" t="s">
        <v>4753</v>
      </c>
      <c r="E746" s="1017" t="s">
        <v>13514</v>
      </c>
      <c r="F746" s="1017"/>
      <c r="G746" s="823" t="s">
        <v>16</v>
      </c>
      <c r="H746" s="824">
        <v>4.3330000000000002</v>
      </c>
      <c r="I746" s="825">
        <v>11.09</v>
      </c>
      <c r="J746" s="825">
        <v>48.05</v>
      </c>
    </row>
    <row r="747" spans="1:10" ht="25.5">
      <c r="A747" s="827"/>
      <c r="B747" s="827"/>
      <c r="C747" s="827"/>
      <c r="D747" s="827"/>
      <c r="E747" s="827" t="s">
        <v>13503</v>
      </c>
      <c r="F747" s="826">
        <v>3.33</v>
      </c>
      <c r="G747" s="827" t="s">
        <v>13504</v>
      </c>
      <c r="H747" s="826">
        <v>0</v>
      </c>
      <c r="I747" s="827" t="s">
        <v>13505</v>
      </c>
      <c r="J747" s="826">
        <v>3.33</v>
      </c>
    </row>
    <row r="748" spans="1:10" ht="13.5" customHeight="1" thickBot="1">
      <c r="A748" s="827"/>
      <c r="B748" s="827"/>
      <c r="C748" s="827"/>
      <c r="D748" s="827"/>
      <c r="E748" s="827" t="s">
        <v>13506</v>
      </c>
      <c r="F748" s="826">
        <v>15.32</v>
      </c>
      <c r="G748" s="827"/>
      <c r="H748" s="1018" t="s">
        <v>13507</v>
      </c>
      <c r="I748" s="1018"/>
      <c r="J748" s="826">
        <v>69.58</v>
      </c>
    </row>
    <row r="749" spans="1:10" ht="13.5" customHeight="1" thickTop="1">
      <c r="A749" s="828"/>
      <c r="B749" s="828"/>
      <c r="C749" s="828"/>
      <c r="D749" s="828"/>
      <c r="E749" s="828"/>
      <c r="F749" s="828"/>
      <c r="G749" s="828"/>
      <c r="H749" s="828"/>
      <c r="I749" s="828"/>
      <c r="J749" s="828"/>
    </row>
    <row r="750" spans="1:10" ht="15">
      <c r="A750" s="809" t="s">
        <v>13831</v>
      </c>
      <c r="B750" s="808" t="s">
        <v>13481</v>
      </c>
      <c r="C750" s="809" t="s">
        <v>13482</v>
      </c>
      <c r="D750" s="809" t="s">
        <v>13483</v>
      </c>
      <c r="E750" s="1019" t="s">
        <v>13484</v>
      </c>
      <c r="F750" s="1019"/>
      <c r="G750" s="810" t="s">
        <v>13485</v>
      </c>
      <c r="H750" s="808" t="s">
        <v>13486</v>
      </c>
      <c r="I750" s="808" t="s">
        <v>13487</v>
      </c>
      <c r="J750" s="808" t="s">
        <v>4867</v>
      </c>
    </row>
    <row r="751" spans="1:10" ht="25.5" customHeight="1">
      <c r="A751" s="812" t="s">
        <v>13488</v>
      </c>
      <c r="B751" s="811" t="s">
        <v>13832</v>
      </c>
      <c r="C751" s="812" t="s">
        <v>6</v>
      </c>
      <c r="D751" s="812" t="s">
        <v>1992</v>
      </c>
      <c r="E751" s="1020" t="s">
        <v>13826</v>
      </c>
      <c r="F751" s="1020"/>
      <c r="G751" s="813" t="s">
        <v>24</v>
      </c>
      <c r="H751" s="814">
        <v>1</v>
      </c>
      <c r="I751" s="815">
        <v>749.73</v>
      </c>
      <c r="J751" s="815">
        <v>749.73</v>
      </c>
    </row>
    <row r="752" spans="1:10" ht="38.25" customHeight="1">
      <c r="A752" s="817" t="s">
        <v>13491</v>
      </c>
      <c r="B752" s="816" t="s">
        <v>13833</v>
      </c>
      <c r="C752" s="817" t="s">
        <v>6</v>
      </c>
      <c r="D752" s="817" t="s">
        <v>3679</v>
      </c>
      <c r="E752" s="1021" t="s">
        <v>13826</v>
      </c>
      <c r="F752" s="1021"/>
      <c r="G752" s="818" t="s">
        <v>24</v>
      </c>
      <c r="H752" s="819">
        <v>1</v>
      </c>
      <c r="I752" s="820">
        <v>141.71</v>
      </c>
      <c r="J752" s="820">
        <v>141.71</v>
      </c>
    </row>
    <row r="753" spans="1:10" ht="38.25" customHeight="1">
      <c r="A753" s="817" t="s">
        <v>13491</v>
      </c>
      <c r="B753" s="816" t="s">
        <v>13553</v>
      </c>
      <c r="C753" s="817" t="s">
        <v>6</v>
      </c>
      <c r="D753" s="817" t="s">
        <v>21</v>
      </c>
      <c r="E753" s="1021" t="s">
        <v>13490</v>
      </c>
      <c r="F753" s="1021"/>
      <c r="G753" s="818" t="s">
        <v>19</v>
      </c>
      <c r="H753" s="819">
        <v>0.32800000000000001</v>
      </c>
      <c r="I753" s="820">
        <v>15.16</v>
      </c>
      <c r="J753" s="820">
        <v>4.97</v>
      </c>
    </row>
    <row r="754" spans="1:10" ht="38.25" customHeight="1">
      <c r="A754" s="817" t="s">
        <v>13491</v>
      </c>
      <c r="B754" s="816" t="s">
        <v>13561</v>
      </c>
      <c r="C754" s="817" t="s">
        <v>6</v>
      </c>
      <c r="D754" s="817" t="s">
        <v>131</v>
      </c>
      <c r="E754" s="1021" t="s">
        <v>13490</v>
      </c>
      <c r="F754" s="1021"/>
      <c r="G754" s="818" t="s">
        <v>19</v>
      </c>
      <c r="H754" s="819">
        <v>1.4219999999999999</v>
      </c>
      <c r="I754" s="820">
        <v>13.65</v>
      </c>
      <c r="J754" s="820">
        <v>19.41</v>
      </c>
    </row>
    <row r="755" spans="1:10" ht="25.5">
      <c r="A755" s="822" t="s">
        <v>13493</v>
      </c>
      <c r="B755" s="821" t="s">
        <v>13834</v>
      </c>
      <c r="C755" s="822" t="s">
        <v>6</v>
      </c>
      <c r="D755" s="822" t="s">
        <v>4619</v>
      </c>
      <c r="E755" s="1017" t="s">
        <v>13514</v>
      </c>
      <c r="F755" s="1017"/>
      <c r="G755" s="823" t="s">
        <v>16</v>
      </c>
      <c r="H755" s="824">
        <v>12.98</v>
      </c>
      <c r="I755" s="825">
        <v>10.27</v>
      </c>
      <c r="J755" s="825">
        <v>133.30000000000001</v>
      </c>
    </row>
    <row r="756" spans="1:10">
      <c r="A756" s="822" t="s">
        <v>13493</v>
      </c>
      <c r="B756" s="821" t="s">
        <v>13835</v>
      </c>
      <c r="C756" s="822" t="s">
        <v>6</v>
      </c>
      <c r="D756" s="822" t="s">
        <v>4641</v>
      </c>
      <c r="E756" s="1017" t="s">
        <v>13514</v>
      </c>
      <c r="F756" s="1017"/>
      <c r="G756" s="823" t="s">
        <v>16</v>
      </c>
      <c r="H756" s="824">
        <v>0.23400000000000001</v>
      </c>
      <c r="I756" s="825">
        <v>28.65</v>
      </c>
      <c r="J756" s="825">
        <v>6.7</v>
      </c>
    </row>
    <row r="757" spans="1:10" ht="25.5">
      <c r="A757" s="822" t="s">
        <v>13493</v>
      </c>
      <c r="B757" s="821" t="s">
        <v>13836</v>
      </c>
      <c r="C757" s="822" t="s">
        <v>6</v>
      </c>
      <c r="D757" s="822" t="s">
        <v>4755</v>
      </c>
      <c r="E757" s="1017" t="s">
        <v>13514</v>
      </c>
      <c r="F757" s="1017"/>
      <c r="G757" s="823" t="s">
        <v>16</v>
      </c>
      <c r="H757" s="824">
        <v>41.04</v>
      </c>
      <c r="I757" s="825">
        <v>10.81</v>
      </c>
      <c r="J757" s="825">
        <v>443.64</v>
      </c>
    </row>
    <row r="758" spans="1:10" ht="13.5" customHeight="1">
      <c r="A758" s="827"/>
      <c r="B758" s="827"/>
      <c r="C758" s="827"/>
      <c r="D758" s="827"/>
      <c r="E758" s="827" t="s">
        <v>13503</v>
      </c>
      <c r="F758" s="826">
        <v>60.02</v>
      </c>
      <c r="G758" s="827" t="s">
        <v>13504</v>
      </c>
      <c r="H758" s="826">
        <v>0</v>
      </c>
      <c r="I758" s="827" t="s">
        <v>13505</v>
      </c>
      <c r="J758" s="826">
        <v>60.02</v>
      </c>
    </row>
    <row r="759" spans="1:10" ht="13.5" customHeight="1" thickBot="1">
      <c r="A759" s="827"/>
      <c r="B759" s="827"/>
      <c r="C759" s="827"/>
      <c r="D759" s="827"/>
      <c r="E759" s="827" t="s">
        <v>13506</v>
      </c>
      <c r="F759" s="826">
        <v>211.72</v>
      </c>
      <c r="G759" s="827"/>
      <c r="H759" s="1018" t="s">
        <v>13507</v>
      </c>
      <c r="I759" s="1018"/>
      <c r="J759" s="826">
        <v>961.45</v>
      </c>
    </row>
    <row r="760" spans="1:10" ht="13.5" thickTop="1">
      <c r="A760" s="828"/>
      <c r="B760" s="828"/>
      <c r="C760" s="828"/>
      <c r="D760" s="828"/>
      <c r="E760" s="828"/>
      <c r="F760" s="828"/>
      <c r="G760" s="828"/>
      <c r="H760" s="828"/>
      <c r="I760" s="828"/>
      <c r="J760" s="828"/>
    </row>
    <row r="761" spans="1:10" ht="38.25" customHeight="1">
      <c r="A761" s="809" t="s">
        <v>13837</v>
      </c>
      <c r="B761" s="808" t="s">
        <v>13481</v>
      </c>
      <c r="C761" s="809" t="s">
        <v>13482</v>
      </c>
      <c r="D761" s="809" t="s">
        <v>13483</v>
      </c>
      <c r="E761" s="1019" t="s">
        <v>13484</v>
      </c>
      <c r="F761" s="1019"/>
      <c r="G761" s="810" t="s">
        <v>13485</v>
      </c>
      <c r="H761" s="808" t="s">
        <v>13486</v>
      </c>
      <c r="I761" s="808" t="s">
        <v>13487</v>
      </c>
      <c r="J761" s="808" t="s">
        <v>4867</v>
      </c>
    </row>
    <row r="762" spans="1:10" ht="38.25" customHeight="1">
      <c r="A762" s="812" t="s">
        <v>13488</v>
      </c>
      <c r="B762" s="811" t="s">
        <v>13838</v>
      </c>
      <c r="C762" s="812" t="s">
        <v>6</v>
      </c>
      <c r="D762" s="812" t="s">
        <v>1993</v>
      </c>
      <c r="E762" s="1020" t="s">
        <v>13826</v>
      </c>
      <c r="F762" s="1020"/>
      <c r="G762" s="813" t="s">
        <v>24</v>
      </c>
      <c r="H762" s="814">
        <v>1</v>
      </c>
      <c r="I762" s="815">
        <v>860.64</v>
      </c>
      <c r="J762" s="815">
        <v>860.64</v>
      </c>
    </row>
    <row r="763" spans="1:10" ht="25.5" customHeight="1">
      <c r="A763" s="817" t="s">
        <v>13491</v>
      </c>
      <c r="B763" s="816" t="s">
        <v>13833</v>
      </c>
      <c r="C763" s="817" t="s">
        <v>6</v>
      </c>
      <c r="D763" s="817" t="s">
        <v>3679</v>
      </c>
      <c r="E763" s="1021" t="s">
        <v>13826</v>
      </c>
      <c r="F763" s="1021"/>
      <c r="G763" s="818" t="s">
        <v>24</v>
      </c>
      <c r="H763" s="819">
        <v>1</v>
      </c>
      <c r="I763" s="820">
        <v>141.71</v>
      </c>
      <c r="J763" s="820">
        <v>141.71</v>
      </c>
    </row>
    <row r="764" spans="1:10" ht="38.25" customHeight="1">
      <c r="A764" s="817" t="s">
        <v>13491</v>
      </c>
      <c r="B764" s="816" t="s">
        <v>13553</v>
      </c>
      <c r="C764" s="817" t="s">
        <v>6</v>
      </c>
      <c r="D764" s="817" t="s">
        <v>21</v>
      </c>
      <c r="E764" s="1021" t="s">
        <v>13490</v>
      </c>
      <c r="F764" s="1021"/>
      <c r="G764" s="818" t="s">
        <v>19</v>
      </c>
      <c r="H764" s="819">
        <v>0.32800000000000001</v>
      </c>
      <c r="I764" s="820">
        <v>15.16</v>
      </c>
      <c r="J764" s="820">
        <v>4.97</v>
      </c>
    </row>
    <row r="765" spans="1:10" ht="13.5" customHeight="1">
      <c r="A765" s="817" t="s">
        <v>13491</v>
      </c>
      <c r="B765" s="816" t="s">
        <v>13561</v>
      </c>
      <c r="C765" s="817" t="s">
        <v>6</v>
      </c>
      <c r="D765" s="817" t="s">
        <v>131</v>
      </c>
      <c r="E765" s="1021" t="s">
        <v>13490</v>
      </c>
      <c r="F765" s="1021"/>
      <c r="G765" s="818" t="s">
        <v>19</v>
      </c>
      <c r="H765" s="819">
        <v>1.4219999999999999</v>
      </c>
      <c r="I765" s="820">
        <v>13.65</v>
      </c>
      <c r="J765" s="820">
        <v>19.41</v>
      </c>
    </row>
    <row r="766" spans="1:10" ht="25.5">
      <c r="A766" s="822" t="s">
        <v>13493</v>
      </c>
      <c r="B766" s="821" t="s">
        <v>13834</v>
      </c>
      <c r="C766" s="822" t="s">
        <v>6</v>
      </c>
      <c r="D766" s="822" t="s">
        <v>4619</v>
      </c>
      <c r="E766" s="1017" t="s">
        <v>13514</v>
      </c>
      <c r="F766" s="1017"/>
      <c r="G766" s="823" t="s">
        <v>16</v>
      </c>
      <c r="H766" s="824">
        <v>12.98</v>
      </c>
      <c r="I766" s="825">
        <v>10.27</v>
      </c>
      <c r="J766" s="825">
        <v>133.30000000000001</v>
      </c>
    </row>
    <row r="767" spans="1:10">
      <c r="A767" s="822" t="s">
        <v>13493</v>
      </c>
      <c r="B767" s="821" t="s">
        <v>13835</v>
      </c>
      <c r="C767" s="822" t="s">
        <v>6</v>
      </c>
      <c r="D767" s="822" t="s">
        <v>4641</v>
      </c>
      <c r="E767" s="1017" t="s">
        <v>13514</v>
      </c>
      <c r="F767" s="1017"/>
      <c r="G767" s="823" t="s">
        <v>16</v>
      </c>
      <c r="H767" s="824">
        <v>0.23400000000000001</v>
      </c>
      <c r="I767" s="825">
        <v>28.65</v>
      </c>
      <c r="J767" s="825">
        <v>6.7</v>
      </c>
    </row>
    <row r="768" spans="1:10" ht="38.25" customHeight="1">
      <c r="A768" s="822" t="s">
        <v>13493</v>
      </c>
      <c r="B768" s="821" t="s">
        <v>13836</v>
      </c>
      <c r="C768" s="822" t="s">
        <v>6</v>
      </c>
      <c r="D768" s="822" t="s">
        <v>4755</v>
      </c>
      <c r="E768" s="1017" t="s">
        <v>13514</v>
      </c>
      <c r="F768" s="1017"/>
      <c r="G768" s="823" t="s">
        <v>16</v>
      </c>
      <c r="H768" s="824">
        <v>51.3</v>
      </c>
      <c r="I768" s="825">
        <v>10.81</v>
      </c>
      <c r="J768" s="825">
        <v>554.54999999999995</v>
      </c>
    </row>
    <row r="769" spans="1:10" ht="25.5">
      <c r="A769" s="827"/>
      <c r="B769" s="827"/>
      <c r="C769" s="827"/>
      <c r="D769" s="827"/>
      <c r="E769" s="827" t="s">
        <v>13503</v>
      </c>
      <c r="F769" s="826">
        <v>60.02</v>
      </c>
      <c r="G769" s="827" t="s">
        <v>13504</v>
      </c>
      <c r="H769" s="826">
        <v>0</v>
      </c>
      <c r="I769" s="827" t="s">
        <v>13505</v>
      </c>
      <c r="J769" s="826">
        <v>60.02</v>
      </c>
    </row>
    <row r="770" spans="1:10" ht="13.5" customHeight="1" thickBot="1">
      <c r="A770" s="827"/>
      <c r="B770" s="827"/>
      <c r="C770" s="827"/>
      <c r="D770" s="827"/>
      <c r="E770" s="827" t="s">
        <v>13506</v>
      </c>
      <c r="F770" s="826">
        <v>243.04</v>
      </c>
      <c r="G770" s="827"/>
      <c r="H770" s="1018" t="s">
        <v>13507</v>
      </c>
      <c r="I770" s="1018"/>
      <c r="J770" s="826">
        <v>1103.68</v>
      </c>
    </row>
    <row r="771" spans="1:10" ht="13.5" thickTop="1">
      <c r="A771" s="828"/>
      <c r="B771" s="828"/>
      <c r="C771" s="828"/>
      <c r="D771" s="828"/>
      <c r="E771" s="828"/>
      <c r="F771" s="828"/>
      <c r="G771" s="828"/>
      <c r="H771" s="828"/>
      <c r="I771" s="828"/>
      <c r="J771" s="828"/>
    </row>
    <row r="772" spans="1:10" ht="15">
      <c r="A772" s="809" t="s">
        <v>13839</v>
      </c>
      <c r="B772" s="808" t="s">
        <v>13481</v>
      </c>
      <c r="C772" s="809" t="s">
        <v>13482</v>
      </c>
      <c r="D772" s="809" t="s">
        <v>13483</v>
      </c>
      <c r="E772" s="1019" t="s">
        <v>13484</v>
      </c>
      <c r="F772" s="1019"/>
      <c r="G772" s="810" t="s">
        <v>13485</v>
      </c>
      <c r="H772" s="808" t="s">
        <v>13486</v>
      </c>
      <c r="I772" s="808" t="s">
        <v>13487</v>
      </c>
      <c r="J772" s="808" t="s">
        <v>4867</v>
      </c>
    </row>
    <row r="773" spans="1:10" ht="25.5" customHeight="1">
      <c r="A773" s="812" t="s">
        <v>13488</v>
      </c>
      <c r="B773" s="811" t="s">
        <v>13840</v>
      </c>
      <c r="C773" s="812" t="s">
        <v>6</v>
      </c>
      <c r="D773" s="812" t="s">
        <v>1998</v>
      </c>
      <c r="E773" s="1020" t="s">
        <v>13826</v>
      </c>
      <c r="F773" s="1020"/>
      <c r="G773" s="813" t="s">
        <v>24</v>
      </c>
      <c r="H773" s="814">
        <v>1</v>
      </c>
      <c r="I773" s="815">
        <v>1761.89</v>
      </c>
      <c r="J773" s="815">
        <v>1761.89</v>
      </c>
    </row>
    <row r="774" spans="1:10" ht="13.5" customHeight="1">
      <c r="A774" s="817" t="s">
        <v>13491</v>
      </c>
      <c r="B774" s="816" t="s">
        <v>13841</v>
      </c>
      <c r="C774" s="817" t="s">
        <v>6</v>
      </c>
      <c r="D774" s="817" t="s">
        <v>3681</v>
      </c>
      <c r="E774" s="1021" t="s">
        <v>13826</v>
      </c>
      <c r="F774" s="1021"/>
      <c r="G774" s="818" t="s">
        <v>24</v>
      </c>
      <c r="H774" s="819">
        <v>1</v>
      </c>
      <c r="I774" s="820">
        <v>192.66</v>
      </c>
      <c r="J774" s="820">
        <v>192.66</v>
      </c>
    </row>
    <row r="775" spans="1:10" ht="38.25" customHeight="1">
      <c r="A775" s="817" t="s">
        <v>13491</v>
      </c>
      <c r="B775" s="816" t="s">
        <v>13553</v>
      </c>
      <c r="C775" s="817" t="s">
        <v>6</v>
      </c>
      <c r="D775" s="817" t="s">
        <v>21</v>
      </c>
      <c r="E775" s="1021" t="s">
        <v>13490</v>
      </c>
      <c r="F775" s="1021"/>
      <c r="G775" s="818" t="s">
        <v>19</v>
      </c>
      <c r="H775" s="819">
        <v>0.65600000000000003</v>
      </c>
      <c r="I775" s="820">
        <v>15.16</v>
      </c>
      <c r="J775" s="820">
        <v>9.94</v>
      </c>
    </row>
    <row r="776" spans="1:10" ht="38.25" customHeight="1">
      <c r="A776" s="817" t="s">
        <v>13491</v>
      </c>
      <c r="B776" s="816" t="s">
        <v>13561</v>
      </c>
      <c r="C776" s="817" t="s">
        <v>6</v>
      </c>
      <c r="D776" s="817" t="s">
        <v>131</v>
      </c>
      <c r="E776" s="1021" t="s">
        <v>13490</v>
      </c>
      <c r="F776" s="1021"/>
      <c r="G776" s="818" t="s">
        <v>19</v>
      </c>
      <c r="H776" s="819">
        <v>2.8439999999999999</v>
      </c>
      <c r="I776" s="820">
        <v>13.65</v>
      </c>
      <c r="J776" s="820">
        <v>38.82</v>
      </c>
    </row>
    <row r="777" spans="1:10" ht="25.5" customHeight="1">
      <c r="A777" s="822" t="s">
        <v>13493</v>
      </c>
      <c r="B777" s="821" t="s">
        <v>13834</v>
      </c>
      <c r="C777" s="822" t="s">
        <v>6</v>
      </c>
      <c r="D777" s="822" t="s">
        <v>4619</v>
      </c>
      <c r="E777" s="1017" t="s">
        <v>13514</v>
      </c>
      <c r="F777" s="1017"/>
      <c r="G777" s="823" t="s">
        <v>16</v>
      </c>
      <c r="H777" s="824">
        <v>38.6</v>
      </c>
      <c r="I777" s="825">
        <v>10.27</v>
      </c>
      <c r="J777" s="825">
        <v>396.42</v>
      </c>
    </row>
    <row r="778" spans="1:10">
      <c r="A778" s="822" t="s">
        <v>13493</v>
      </c>
      <c r="B778" s="821" t="s">
        <v>13835</v>
      </c>
      <c r="C778" s="822" t="s">
        <v>6</v>
      </c>
      <c r="D778" s="822" t="s">
        <v>4641</v>
      </c>
      <c r="E778" s="1017" t="s">
        <v>13514</v>
      </c>
      <c r="F778" s="1017"/>
      <c r="G778" s="823" t="s">
        <v>16</v>
      </c>
      <c r="H778" s="824">
        <v>0.52200000000000002</v>
      </c>
      <c r="I778" s="825">
        <v>28.65</v>
      </c>
      <c r="J778" s="825">
        <v>14.95</v>
      </c>
    </row>
    <row r="779" spans="1:10" ht="25.5">
      <c r="A779" s="822" t="s">
        <v>13493</v>
      </c>
      <c r="B779" s="821" t="s">
        <v>13836</v>
      </c>
      <c r="C779" s="822" t="s">
        <v>6</v>
      </c>
      <c r="D779" s="822" t="s">
        <v>4755</v>
      </c>
      <c r="E779" s="1017" t="s">
        <v>13514</v>
      </c>
      <c r="F779" s="1017"/>
      <c r="G779" s="823" t="s">
        <v>16</v>
      </c>
      <c r="H779" s="824">
        <v>102.6</v>
      </c>
      <c r="I779" s="825">
        <v>10.81</v>
      </c>
      <c r="J779" s="825">
        <v>1109.0999999999999</v>
      </c>
    </row>
    <row r="780" spans="1:10" ht="25.5">
      <c r="A780" s="827"/>
      <c r="B780" s="827"/>
      <c r="C780" s="827"/>
      <c r="D780" s="827"/>
      <c r="E780" s="827" t="s">
        <v>13503</v>
      </c>
      <c r="F780" s="826">
        <v>113.64999999999999</v>
      </c>
      <c r="G780" s="827" t="s">
        <v>13504</v>
      </c>
      <c r="H780" s="826">
        <v>0</v>
      </c>
      <c r="I780" s="827" t="s">
        <v>13505</v>
      </c>
      <c r="J780" s="826">
        <v>113.64999999999999</v>
      </c>
    </row>
    <row r="781" spans="1:10" ht="13.5" customHeight="1" thickBot="1">
      <c r="A781" s="827"/>
      <c r="B781" s="827"/>
      <c r="C781" s="827"/>
      <c r="D781" s="827"/>
      <c r="E781" s="827" t="s">
        <v>13506</v>
      </c>
      <c r="F781" s="826">
        <v>497.55</v>
      </c>
      <c r="G781" s="827"/>
      <c r="H781" s="1018" t="s">
        <v>13507</v>
      </c>
      <c r="I781" s="1018"/>
      <c r="J781" s="826">
        <v>2259.44</v>
      </c>
    </row>
    <row r="782" spans="1:10" ht="13.5" thickTop="1">
      <c r="A782" s="828"/>
      <c r="B782" s="828"/>
      <c r="C782" s="828"/>
      <c r="D782" s="828"/>
      <c r="E782" s="828"/>
      <c r="F782" s="828"/>
      <c r="G782" s="828"/>
      <c r="H782" s="828"/>
      <c r="I782" s="828"/>
      <c r="J782" s="828"/>
    </row>
    <row r="783" spans="1:10" ht="13.5" customHeight="1">
      <c r="A783" s="809" t="s">
        <v>13842</v>
      </c>
      <c r="B783" s="808" t="s">
        <v>13481</v>
      </c>
      <c r="C783" s="809" t="s">
        <v>13482</v>
      </c>
      <c r="D783" s="809" t="s">
        <v>13483</v>
      </c>
      <c r="E783" s="1019" t="s">
        <v>13484</v>
      </c>
      <c r="F783" s="1019"/>
      <c r="G783" s="810" t="s">
        <v>13485</v>
      </c>
      <c r="H783" s="808" t="s">
        <v>13486</v>
      </c>
      <c r="I783" s="808" t="s">
        <v>13487</v>
      </c>
      <c r="J783" s="808" t="s">
        <v>4867</v>
      </c>
    </row>
    <row r="784" spans="1:10" ht="38.25">
      <c r="A784" s="812" t="s">
        <v>13488</v>
      </c>
      <c r="B784" s="811" t="s">
        <v>13843</v>
      </c>
      <c r="C784" s="812" t="s">
        <v>6</v>
      </c>
      <c r="D784" s="812" t="s">
        <v>1999</v>
      </c>
      <c r="E784" s="1020" t="s">
        <v>13826</v>
      </c>
      <c r="F784" s="1020"/>
      <c r="G784" s="813" t="s">
        <v>24</v>
      </c>
      <c r="H784" s="814">
        <v>1</v>
      </c>
      <c r="I784" s="815">
        <v>1995.16</v>
      </c>
      <c r="J784" s="815">
        <v>1995.16</v>
      </c>
    </row>
    <row r="785" spans="1:10" ht="38.25">
      <c r="A785" s="817" t="s">
        <v>13491</v>
      </c>
      <c r="B785" s="816" t="s">
        <v>13844</v>
      </c>
      <c r="C785" s="817" t="s">
        <v>6</v>
      </c>
      <c r="D785" s="817" t="s">
        <v>3682</v>
      </c>
      <c r="E785" s="1021" t="s">
        <v>13826</v>
      </c>
      <c r="F785" s="1021"/>
      <c r="G785" s="818" t="s">
        <v>24</v>
      </c>
      <c r="H785" s="819">
        <v>1</v>
      </c>
      <c r="I785" s="820">
        <v>233.48</v>
      </c>
      <c r="J785" s="820">
        <v>233.48</v>
      </c>
    </row>
    <row r="786" spans="1:10" ht="25.5" customHeight="1">
      <c r="A786" s="817" t="s">
        <v>13491</v>
      </c>
      <c r="B786" s="816" t="s">
        <v>13553</v>
      </c>
      <c r="C786" s="817" t="s">
        <v>6</v>
      </c>
      <c r="D786" s="817" t="s">
        <v>21</v>
      </c>
      <c r="E786" s="1021" t="s">
        <v>13490</v>
      </c>
      <c r="F786" s="1021"/>
      <c r="G786" s="818" t="s">
        <v>19</v>
      </c>
      <c r="H786" s="819">
        <v>0.65600000000000003</v>
      </c>
      <c r="I786" s="820">
        <v>15.16</v>
      </c>
      <c r="J786" s="820">
        <v>9.94</v>
      </c>
    </row>
    <row r="787" spans="1:10" ht="38.25" customHeight="1">
      <c r="A787" s="817" t="s">
        <v>13491</v>
      </c>
      <c r="B787" s="816" t="s">
        <v>13561</v>
      </c>
      <c r="C787" s="817" t="s">
        <v>6</v>
      </c>
      <c r="D787" s="817" t="s">
        <v>131</v>
      </c>
      <c r="E787" s="1021" t="s">
        <v>13490</v>
      </c>
      <c r="F787" s="1021"/>
      <c r="G787" s="818" t="s">
        <v>19</v>
      </c>
      <c r="H787" s="819">
        <v>2.8439999999999999</v>
      </c>
      <c r="I787" s="820">
        <v>13.65</v>
      </c>
      <c r="J787" s="820">
        <v>38.82</v>
      </c>
    </row>
    <row r="788" spans="1:10" ht="25.5">
      <c r="A788" s="822" t="s">
        <v>13493</v>
      </c>
      <c r="B788" s="821" t="s">
        <v>13834</v>
      </c>
      <c r="C788" s="822" t="s">
        <v>6</v>
      </c>
      <c r="D788" s="822" t="s">
        <v>4619</v>
      </c>
      <c r="E788" s="1017" t="s">
        <v>13514</v>
      </c>
      <c r="F788" s="1017"/>
      <c r="G788" s="823" t="s">
        <v>16</v>
      </c>
      <c r="H788" s="824">
        <v>46.54</v>
      </c>
      <c r="I788" s="825">
        <v>10.27</v>
      </c>
      <c r="J788" s="825">
        <v>477.96</v>
      </c>
    </row>
    <row r="789" spans="1:10">
      <c r="A789" s="822" t="s">
        <v>13493</v>
      </c>
      <c r="B789" s="821" t="s">
        <v>13835</v>
      </c>
      <c r="C789" s="822" t="s">
        <v>6</v>
      </c>
      <c r="D789" s="822" t="s">
        <v>4641</v>
      </c>
      <c r="E789" s="1017" t="s">
        <v>13514</v>
      </c>
      <c r="F789" s="1017"/>
      <c r="G789" s="823" t="s">
        <v>16</v>
      </c>
      <c r="H789" s="824">
        <v>0.52200000000000002</v>
      </c>
      <c r="I789" s="825">
        <v>28.65</v>
      </c>
      <c r="J789" s="825">
        <v>14.95</v>
      </c>
    </row>
    <row r="790" spans="1:10" ht="25.5">
      <c r="A790" s="822" t="s">
        <v>13493</v>
      </c>
      <c r="B790" s="821" t="s">
        <v>13836</v>
      </c>
      <c r="C790" s="822" t="s">
        <v>6</v>
      </c>
      <c r="D790" s="822" t="s">
        <v>4755</v>
      </c>
      <c r="E790" s="1017" t="s">
        <v>13514</v>
      </c>
      <c r="F790" s="1017"/>
      <c r="G790" s="823" t="s">
        <v>16</v>
      </c>
      <c r="H790" s="824">
        <v>112.86</v>
      </c>
      <c r="I790" s="825">
        <v>10.81</v>
      </c>
      <c r="J790" s="825">
        <v>1220.01</v>
      </c>
    </row>
    <row r="791" spans="1:10" ht="25.5">
      <c r="A791" s="827"/>
      <c r="B791" s="827"/>
      <c r="C791" s="827"/>
      <c r="D791" s="827"/>
      <c r="E791" s="827" t="s">
        <v>13503</v>
      </c>
      <c r="F791" s="826">
        <v>142.71</v>
      </c>
      <c r="G791" s="827" t="s">
        <v>13504</v>
      </c>
      <c r="H791" s="826">
        <v>0</v>
      </c>
      <c r="I791" s="827" t="s">
        <v>13505</v>
      </c>
      <c r="J791" s="826">
        <v>142.71</v>
      </c>
    </row>
    <row r="792" spans="1:10" ht="13.5" customHeight="1" thickBot="1">
      <c r="A792" s="827"/>
      <c r="B792" s="827"/>
      <c r="C792" s="827"/>
      <c r="D792" s="827"/>
      <c r="E792" s="827" t="s">
        <v>13506</v>
      </c>
      <c r="F792" s="826">
        <v>563.42999999999995</v>
      </c>
      <c r="G792" s="827"/>
      <c r="H792" s="1018" t="s">
        <v>13507</v>
      </c>
      <c r="I792" s="1018"/>
      <c r="J792" s="826">
        <v>2558.59</v>
      </c>
    </row>
    <row r="793" spans="1:10" ht="13.5" thickTop="1">
      <c r="A793" s="828"/>
      <c r="B793" s="828"/>
      <c r="C793" s="828"/>
      <c r="D793" s="828"/>
      <c r="E793" s="828"/>
      <c r="F793" s="828"/>
      <c r="G793" s="828"/>
      <c r="H793" s="828"/>
      <c r="I793" s="828"/>
      <c r="J793" s="828"/>
    </row>
    <row r="794" spans="1:10" ht="15">
      <c r="A794" s="809" t="s">
        <v>13845</v>
      </c>
      <c r="B794" s="808" t="s">
        <v>13481</v>
      </c>
      <c r="C794" s="809" t="s">
        <v>13482</v>
      </c>
      <c r="D794" s="809" t="s">
        <v>13483</v>
      </c>
      <c r="E794" s="1019" t="s">
        <v>13484</v>
      </c>
      <c r="F794" s="1019"/>
      <c r="G794" s="810" t="s">
        <v>13485</v>
      </c>
      <c r="H794" s="808" t="s">
        <v>13486</v>
      </c>
      <c r="I794" s="808" t="s">
        <v>13487</v>
      </c>
      <c r="J794" s="808" t="s">
        <v>4867</v>
      </c>
    </row>
    <row r="795" spans="1:10" ht="38.25" customHeight="1">
      <c r="A795" s="812" t="s">
        <v>13488</v>
      </c>
      <c r="B795" s="811" t="s">
        <v>13846</v>
      </c>
      <c r="C795" s="812" t="s">
        <v>6</v>
      </c>
      <c r="D795" s="812" t="s">
        <v>2001</v>
      </c>
      <c r="E795" s="1020" t="s">
        <v>13826</v>
      </c>
      <c r="F795" s="1020"/>
      <c r="G795" s="813" t="s">
        <v>24</v>
      </c>
      <c r="H795" s="814">
        <v>1</v>
      </c>
      <c r="I795" s="815">
        <v>2292.16</v>
      </c>
      <c r="J795" s="815">
        <v>2292.16</v>
      </c>
    </row>
    <row r="796" spans="1:10" ht="38.25">
      <c r="A796" s="817" t="s">
        <v>13491</v>
      </c>
      <c r="B796" s="816" t="s">
        <v>13844</v>
      </c>
      <c r="C796" s="817" t="s">
        <v>6</v>
      </c>
      <c r="D796" s="817" t="s">
        <v>3682</v>
      </c>
      <c r="E796" s="1021" t="s">
        <v>13826</v>
      </c>
      <c r="F796" s="1021"/>
      <c r="G796" s="818" t="s">
        <v>24</v>
      </c>
      <c r="H796" s="819">
        <v>1</v>
      </c>
      <c r="I796" s="820">
        <v>233.48</v>
      </c>
      <c r="J796" s="820">
        <v>233.48</v>
      </c>
    </row>
    <row r="797" spans="1:10" ht="38.25" customHeight="1">
      <c r="A797" s="817" t="s">
        <v>13491</v>
      </c>
      <c r="B797" s="816" t="s">
        <v>13553</v>
      </c>
      <c r="C797" s="817" t="s">
        <v>6</v>
      </c>
      <c r="D797" s="817" t="s">
        <v>21</v>
      </c>
      <c r="E797" s="1021" t="s">
        <v>13490</v>
      </c>
      <c r="F797" s="1021"/>
      <c r="G797" s="818" t="s">
        <v>19</v>
      </c>
      <c r="H797" s="819">
        <v>0.65600000000000003</v>
      </c>
      <c r="I797" s="820">
        <v>15.16</v>
      </c>
      <c r="J797" s="820">
        <v>9.94</v>
      </c>
    </row>
    <row r="798" spans="1:10" ht="38.25" customHeight="1">
      <c r="A798" s="817" t="s">
        <v>13491</v>
      </c>
      <c r="B798" s="816" t="s">
        <v>13561</v>
      </c>
      <c r="C798" s="817" t="s">
        <v>6</v>
      </c>
      <c r="D798" s="817" t="s">
        <v>131</v>
      </c>
      <c r="E798" s="1021" t="s">
        <v>13490</v>
      </c>
      <c r="F798" s="1021"/>
      <c r="G798" s="818" t="s">
        <v>19</v>
      </c>
      <c r="H798" s="819">
        <v>2.8439999999999999</v>
      </c>
      <c r="I798" s="820">
        <v>13.65</v>
      </c>
      <c r="J798" s="820">
        <v>38.82</v>
      </c>
    </row>
    <row r="799" spans="1:10" ht="25.5">
      <c r="A799" s="822" t="s">
        <v>13493</v>
      </c>
      <c r="B799" s="821" t="s">
        <v>13834</v>
      </c>
      <c r="C799" s="822" t="s">
        <v>6</v>
      </c>
      <c r="D799" s="822" t="s">
        <v>4619</v>
      </c>
      <c r="E799" s="1017" t="s">
        <v>13514</v>
      </c>
      <c r="F799" s="1017"/>
      <c r="G799" s="823" t="s">
        <v>16</v>
      </c>
      <c r="H799" s="824">
        <v>53.86</v>
      </c>
      <c r="I799" s="825">
        <v>10.27</v>
      </c>
      <c r="J799" s="825">
        <v>553.14</v>
      </c>
    </row>
    <row r="800" spans="1:10">
      <c r="A800" s="822" t="s">
        <v>13493</v>
      </c>
      <c r="B800" s="821" t="s">
        <v>13835</v>
      </c>
      <c r="C800" s="822" t="s">
        <v>6</v>
      </c>
      <c r="D800" s="822" t="s">
        <v>4641</v>
      </c>
      <c r="E800" s="1017" t="s">
        <v>13514</v>
      </c>
      <c r="F800" s="1017"/>
      <c r="G800" s="823" t="s">
        <v>16</v>
      </c>
      <c r="H800" s="824">
        <v>0.52200000000000002</v>
      </c>
      <c r="I800" s="825">
        <v>28.65</v>
      </c>
      <c r="J800" s="825">
        <v>14.95</v>
      </c>
    </row>
    <row r="801" spans="1:10" ht="13.5" customHeight="1">
      <c r="A801" s="822" t="s">
        <v>13493</v>
      </c>
      <c r="B801" s="821" t="s">
        <v>13836</v>
      </c>
      <c r="C801" s="822" t="s">
        <v>6</v>
      </c>
      <c r="D801" s="822" t="s">
        <v>4755</v>
      </c>
      <c r="E801" s="1017" t="s">
        <v>13514</v>
      </c>
      <c r="F801" s="1017"/>
      <c r="G801" s="823" t="s">
        <v>16</v>
      </c>
      <c r="H801" s="824">
        <v>133.38</v>
      </c>
      <c r="I801" s="825">
        <v>10.81</v>
      </c>
      <c r="J801" s="825">
        <v>1441.83</v>
      </c>
    </row>
    <row r="802" spans="1:10" ht="25.5">
      <c r="A802" s="827"/>
      <c r="B802" s="827"/>
      <c r="C802" s="827"/>
      <c r="D802" s="827"/>
      <c r="E802" s="827" t="s">
        <v>13503</v>
      </c>
      <c r="F802" s="826">
        <v>142.71</v>
      </c>
      <c r="G802" s="827" t="s">
        <v>13504</v>
      </c>
      <c r="H802" s="826">
        <v>0</v>
      </c>
      <c r="I802" s="827" t="s">
        <v>13505</v>
      </c>
      <c r="J802" s="826">
        <v>142.71</v>
      </c>
    </row>
    <row r="803" spans="1:10" ht="13.5" customHeight="1" thickBot="1">
      <c r="A803" s="827"/>
      <c r="B803" s="827"/>
      <c r="C803" s="827"/>
      <c r="D803" s="827"/>
      <c r="E803" s="827" t="s">
        <v>13506</v>
      </c>
      <c r="F803" s="826">
        <v>647.29999999999995</v>
      </c>
      <c r="G803" s="827"/>
      <c r="H803" s="1018" t="s">
        <v>13507</v>
      </c>
      <c r="I803" s="1018"/>
      <c r="J803" s="826">
        <v>2939.46</v>
      </c>
    </row>
    <row r="804" spans="1:10" ht="38.25" customHeight="1" thickTop="1">
      <c r="A804" s="828"/>
      <c r="B804" s="828"/>
      <c r="C804" s="828"/>
      <c r="D804" s="828"/>
      <c r="E804" s="828"/>
      <c r="F804" s="828"/>
      <c r="G804" s="828"/>
      <c r="H804" s="828"/>
      <c r="I804" s="828"/>
      <c r="J804" s="828"/>
    </row>
    <row r="805" spans="1:10" ht="15">
      <c r="A805" s="809" t="s">
        <v>13847</v>
      </c>
      <c r="B805" s="808" t="s">
        <v>13481</v>
      </c>
      <c r="C805" s="809" t="s">
        <v>13482</v>
      </c>
      <c r="D805" s="809" t="s">
        <v>13483</v>
      </c>
      <c r="E805" s="1019" t="s">
        <v>13484</v>
      </c>
      <c r="F805" s="1019"/>
      <c r="G805" s="810" t="s">
        <v>13485</v>
      </c>
      <c r="H805" s="808" t="s">
        <v>13486</v>
      </c>
      <c r="I805" s="808" t="s">
        <v>13487</v>
      </c>
      <c r="J805" s="808" t="s">
        <v>4867</v>
      </c>
    </row>
    <row r="806" spans="1:10" ht="25.5" customHeight="1">
      <c r="A806" s="812" t="s">
        <v>13488</v>
      </c>
      <c r="B806" s="811" t="s">
        <v>13848</v>
      </c>
      <c r="C806" s="812" t="s">
        <v>6</v>
      </c>
      <c r="D806" s="812" t="s">
        <v>6892</v>
      </c>
      <c r="E806" s="1020" t="s">
        <v>13755</v>
      </c>
      <c r="F806" s="1020"/>
      <c r="G806" s="813" t="s">
        <v>13537</v>
      </c>
      <c r="H806" s="814">
        <v>1</v>
      </c>
      <c r="I806" s="815">
        <v>8.0500000000000007</v>
      </c>
      <c r="J806" s="815">
        <v>8.0500000000000007</v>
      </c>
    </row>
    <row r="807" spans="1:10" ht="38.25" customHeight="1">
      <c r="A807" s="817" t="s">
        <v>13491</v>
      </c>
      <c r="B807" s="816" t="s">
        <v>13782</v>
      </c>
      <c r="C807" s="817" t="s">
        <v>6</v>
      </c>
      <c r="D807" s="817" t="s">
        <v>156</v>
      </c>
      <c r="E807" s="1021" t="s">
        <v>13490</v>
      </c>
      <c r="F807" s="1021"/>
      <c r="G807" s="818" t="s">
        <v>19</v>
      </c>
      <c r="H807" s="819">
        <v>6.3500000000000001E-2</v>
      </c>
      <c r="I807" s="820">
        <v>19.940000000000001</v>
      </c>
      <c r="J807" s="820">
        <v>1.26</v>
      </c>
    </row>
    <row r="808" spans="1:10">
      <c r="A808" s="822" t="s">
        <v>13493</v>
      </c>
      <c r="B808" s="821" t="s">
        <v>13849</v>
      </c>
      <c r="C808" s="822" t="s">
        <v>6</v>
      </c>
      <c r="D808" s="822" t="s">
        <v>10091</v>
      </c>
      <c r="E808" s="1017" t="s">
        <v>13514</v>
      </c>
      <c r="F808" s="1017"/>
      <c r="G808" s="823" t="s">
        <v>39</v>
      </c>
      <c r="H808" s="824">
        <v>5.7500000000000002E-2</v>
      </c>
      <c r="I808" s="825">
        <v>13.98</v>
      </c>
      <c r="J808" s="825">
        <v>0.8</v>
      </c>
    </row>
    <row r="809" spans="1:10">
      <c r="A809" s="822" t="s">
        <v>13493</v>
      </c>
      <c r="B809" s="821" t="s">
        <v>13850</v>
      </c>
      <c r="C809" s="822" t="s">
        <v>6</v>
      </c>
      <c r="D809" s="822" t="s">
        <v>4684</v>
      </c>
      <c r="E809" s="1017" t="s">
        <v>13514</v>
      </c>
      <c r="F809" s="1017"/>
      <c r="G809" s="823" t="s">
        <v>39</v>
      </c>
      <c r="H809" s="824">
        <v>0.1908</v>
      </c>
      <c r="I809" s="825">
        <v>31.43</v>
      </c>
      <c r="J809" s="825">
        <v>5.99</v>
      </c>
    </row>
    <row r="810" spans="1:10" ht="25.5">
      <c r="A810" s="827"/>
      <c r="B810" s="827"/>
      <c r="C810" s="827"/>
      <c r="D810" s="827"/>
      <c r="E810" s="827" t="s">
        <v>13503</v>
      </c>
      <c r="F810" s="826">
        <v>0.88</v>
      </c>
      <c r="G810" s="827" t="s">
        <v>13504</v>
      </c>
      <c r="H810" s="826">
        <v>0</v>
      </c>
      <c r="I810" s="827" t="s">
        <v>13505</v>
      </c>
      <c r="J810" s="826">
        <v>0.88</v>
      </c>
    </row>
    <row r="811" spans="1:10" ht="13.5" customHeight="1" thickBot="1">
      <c r="A811" s="827"/>
      <c r="B811" s="827"/>
      <c r="C811" s="827"/>
      <c r="D811" s="827"/>
      <c r="E811" s="827" t="s">
        <v>13506</v>
      </c>
      <c r="F811" s="826">
        <v>2.27</v>
      </c>
      <c r="G811" s="827"/>
      <c r="H811" s="1018" t="s">
        <v>13507</v>
      </c>
      <c r="I811" s="1018"/>
      <c r="J811" s="826">
        <v>10.32</v>
      </c>
    </row>
    <row r="812" spans="1:10" ht="13.5" customHeight="1" thickTop="1">
      <c r="A812" s="828"/>
      <c r="B812" s="828"/>
      <c r="C812" s="828"/>
      <c r="D812" s="828"/>
      <c r="E812" s="828"/>
      <c r="F812" s="828"/>
      <c r="G812" s="828"/>
      <c r="H812" s="828"/>
      <c r="I812" s="828"/>
      <c r="J812" s="828"/>
    </row>
    <row r="813" spans="1:10" ht="15">
      <c r="A813" s="809" t="s">
        <v>13851</v>
      </c>
      <c r="B813" s="808" t="s">
        <v>13481</v>
      </c>
      <c r="C813" s="809" t="s">
        <v>13482</v>
      </c>
      <c r="D813" s="809" t="s">
        <v>13483</v>
      </c>
      <c r="E813" s="1019" t="s">
        <v>13484</v>
      </c>
      <c r="F813" s="1019"/>
      <c r="G813" s="810" t="s">
        <v>13485</v>
      </c>
      <c r="H813" s="808" t="s">
        <v>13486</v>
      </c>
      <c r="I813" s="808" t="s">
        <v>13487</v>
      </c>
      <c r="J813" s="808" t="s">
        <v>4867</v>
      </c>
    </row>
    <row r="814" spans="1:10" ht="51">
      <c r="A814" s="812" t="s">
        <v>13488</v>
      </c>
      <c r="B814" s="811" t="s">
        <v>13852</v>
      </c>
      <c r="C814" s="812" t="s">
        <v>6</v>
      </c>
      <c r="D814" s="812" t="s">
        <v>3656</v>
      </c>
      <c r="E814" s="1020" t="s">
        <v>13826</v>
      </c>
      <c r="F814" s="1020"/>
      <c r="G814" s="813" t="s">
        <v>13537</v>
      </c>
      <c r="H814" s="814">
        <v>1</v>
      </c>
      <c r="I814" s="815">
        <v>47.85</v>
      </c>
      <c r="J814" s="815">
        <v>47.85</v>
      </c>
    </row>
    <row r="815" spans="1:10" ht="38.25" customHeight="1">
      <c r="A815" s="817" t="s">
        <v>13491</v>
      </c>
      <c r="B815" s="816" t="s">
        <v>13827</v>
      </c>
      <c r="C815" s="817" t="s">
        <v>6</v>
      </c>
      <c r="D815" s="817" t="s">
        <v>2198</v>
      </c>
      <c r="E815" s="1021" t="s">
        <v>13539</v>
      </c>
      <c r="F815" s="1021"/>
      <c r="G815" s="818" t="s">
        <v>42</v>
      </c>
      <c r="H815" s="819">
        <v>6.8999999999999999E-3</v>
      </c>
      <c r="I815" s="820">
        <v>14.19</v>
      </c>
      <c r="J815" s="820">
        <v>0.09</v>
      </c>
    </row>
    <row r="816" spans="1:10" ht="38.25" customHeight="1">
      <c r="A816" s="817" t="s">
        <v>13491</v>
      </c>
      <c r="B816" s="816" t="s">
        <v>13828</v>
      </c>
      <c r="C816" s="817" t="s">
        <v>6</v>
      </c>
      <c r="D816" s="817" t="s">
        <v>2197</v>
      </c>
      <c r="E816" s="1021" t="s">
        <v>13539</v>
      </c>
      <c r="F816" s="1021"/>
      <c r="G816" s="818" t="s">
        <v>28</v>
      </c>
      <c r="H816" s="819">
        <v>5.0000000000000001E-3</v>
      </c>
      <c r="I816" s="820">
        <v>15.2</v>
      </c>
      <c r="J816" s="820">
        <v>7.0000000000000007E-2</v>
      </c>
    </row>
    <row r="817" spans="1:10" ht="38.25" customHeight="1">
      <c r="A817" s="817" t="s">
        <v>13491</v>
      </c>
      <c r="B817" s="816" t="s">
        <v>13553</v>
      </c>
      <c r="C817" s="817" t="s">
        <v>6</v>
      </c>
      <c r="D817" s="817" t="s">
        <v>21</v>
      </c>
      <c r="E817" s="1021" t="s">
        <v>13490</v>
      </c>
      <c r="F817" s="1021"/>
      <c r="G817" s="818" t="s">
        <v>19</v>
      </c>
      <c r="H817" s="819">
        <v>0.15</v>
      </c>
      <c r="I817" s="820">
        <v>15.16</v>
      </c>
      <c r="J817" s="820">
        <v>2.27</v>
      </c>
    </row>
    <row r="818" spans="1:10" ht="38.25" customHeight="1">
      <c r="A818" s="817" t="s">
        <v>13491</v>
      </c>
      <c r="B818" s="816" t="s">
        <v>13554</v>
      </c>
      <c r="C818" s="817" t="s">
        <v>6</v>
      </c>
      <c r="D818" s="817" t="s">
        <v>165</v>
      </c>
      <c r="E818" s="1021" t="s">
        <v>13490</v>
      </c>
      <c r="F818" s="1021"/>
      <c r="G818" s="818" t="s">
        <v>19</v>
      </c>
      <c r="H818" s="819">
        <v>0.115</v>
      </c>
      <c r="I818" s="820">
        <v>18.46</v>
      </c>
      <c r="J818" s="820">
        <v>2.12</v>
      </c>
    </row>
    <row r="819" spans="1:10" ht="25.5">
      <c r="A819" s="822" t="s">
        <v>13493</v>
      </c>
      <c r="B819" s="821" t="s">
        <v>13853</v>
      </c>
      <c r="C819" s="822" t="s">
        <v>6</v>
      </c>
      <c r="D819" s="822" t="s">
        <v>4630</v>
      </c>
      <c r="E819" s="1017" t="s">
        <v>13514</v>
      </c>
      <c r="F819" s="1017"/>
      <c r="G819" s="823" t="s">
        <v>13854</v>
      </c>
      <c r="H819" s="824">
        <v>1.27</v>
      </c>
      <c r="I819" s="825">
        <v>0.25</v>
      </c>
      <c r="J819" s="825">
        <v>0.31</v>
      </c>
    </row>
    <row r="820" spans="1:10" ht="25.5">
      <c r="A820" s="822" t="s">
        <v>13493</v>
      </c>
      <c r="B820" s="821" t="s">
        <v>13855</v>
      </c>
      <c r="C820" s="822" t="s">
        <v>6</v>
      </c>
      <c r="D820" s="822" t="s">
        <v>4744</v>
      </c>
      <c r="E820" s="1017" t="s">
        <v>13514</v>
      </c>
      <c r="F820" s="1017"/>
      <c r="G820" s="823" t="s">
        <v>24</v>
      </c>
      <c r="H820" s="824">
        <v>1.27</v>
      </c>
      <c r="I820" s="825">
        <v>3.82</v>
      </c>
      <c r="J820" s="825">
        <v>4.8499999999999996</v>
      </c>
    </row>
    <row r="821" spans="1:10" ht="25.5">
      <c r="A821" s="822" t="s">
        <v>13493</v>
      </c>
      <c r="B821" s="821" t="s">
        <v>13856</v>
      </c>
      <c r="C821" s="822" t="s">
        <v>6</v>
      </c>
      <c r="D821" s="822" t="s">
        <v>4800</v>
      </c>
      <c r="E821" s="1017" t="s">
        <v>13514</v>
      </c>
      <c r="F821" s="1017"/>
      <c r="G821" s="823" t="s">
        <v>13537</v>
      </c>
      <c r="H821" s="824">
        <v>1.2749999999999999</v>
      </c>
      <c r="I821" s="825">
        <v>29.92</v>
      </c>
      <c r="J821" s="825">
        <v>38.14</v>
      </c>
    </row>
    <row r="822" spans="1:10" ht="25.5">
      <c r="A822" s="827"/>
      <c r="B822" s="827"/>
      <c r="C822" s="827"/>
      <c r="D822" s="827"/>
      <c r="E822" s="827" t="s">
        <v>13503</v>
      </c>
      <c r="F822" s="826">
        <v>3.22</v>
      </c>
      <c r="G822" s="827" t="s">
        <v>13504</v>
      </c>
      <c r="H822" s="826">
        <v>0</v>
      </c>
      <c r="I822" s="827" t="s">
        <v>13505</v>
      </c>
      <c r="J822" s="826">
        <v>3.22</v>
      </c>
    </row>
    <row r="823" spans="1:10" ht="13.5" customHeight="1" thickBot="1">
      <c r="A823" s="827"/>
      <c r="B823" s="827"/>
      <c r="C823" s="827"/>
      <c r="D823" s="827"/>
      <c r="E823" s="827" t="s">
        <v>13506</v>
      </c>
      <c r="F823" s="826">
        <v>13.51</v>
      </c>
      <c r="G823" s="827"/>
      <c r="H823" s="1018" t="s">
        <v>13507</v>
      </c>
      <c r="I823" s="1018"/>
      <c r="J823" s="826">
        <v>61.36</v>
      </c>
    </row>
    <row r="824" spans="1:10" ht="13.5" thickTop="1">
      <c r="A824" s="828"/>
      <c r="B824" s="828"/>
      <c r="C824" s="828"/>
      <c r="D824" s="828"/>
      <c r="E824" s="828"/>
      <c r="F824" s="828"/>
      <c r="G824" s="828"/>
      <c r="H824" s="828"/>
      <c r="I824" s="828"/>
      <c r="J824" s="828"/>
    </row>
    <row r="825" spans="1:10" ht="15">
      <c r="A825" s="809" t="s">
        <v>13857</v>
      </c>
      <c r="B825" s="808" t="s">
        <v>13481</v>
      </c>
      <c r="C825" s="809" t="s">
        <v>13482</v>
      </c>
      <c r="D825" s="809" t="s">
        <v>13483</v>
      </c>
      <c r="E825" s="1019" t="s">
        <v>13484</v>
      </c>
      <c r="F825" s="1019"/>
      <c r="G825" s="810" t="s">
        <v>13485</v>
      </c>
      <c r="H825" s="808" t="s">
        <v>13486</v>
      </c>
      <c r="I825" s="808" t="s">
        <v>13487</v>
      </c>
      <c r="J825" s="808" t="s">
        <v>4867</v>
      </c>
    </row>
    <row r="826" spans="1:10" ht="38.25" customHeight="1">
      <c r="A826" s="812" t="s">
        <v>13488</v>
      </c>
      <c r="B826" s="811" t="s">
        <v>13858</v>
      </c>
      <c r="C826" s="812" t="s">
        <v>6</v>
      </c>
      <c r="D826" s="812" t="s">
        <v>3664</v>
      </c>
      <c r="E826" s="1020" t="s">
        <v>13826</v>
      </c>
      <c r="F826" s="1020"/>
      <c r="G826" s="813" t="s">
        <v>14</v>
      </c>
      <c r="H826" s="814">
        <v>1</v>
      </c>
      <c r="I826" s="815">
        <v>84.46</v>
      </c>
      <c r="J826" s="815">
        <v>84.46</v>
      </c>
    </row>
    <row r="827" spans="1:10" ht="38.25" customHeight="1">
      <c r="A827" s="817" t="s">
        <v>13491</v>
      </c>
      <c r="B827" s="816" t="s">
        <v>13828</v>
      </c>
      <c r="C827" s="817" t="s">
        <v>6</v>
      </c>
      <c r="D827" s="817" t="s">
        <v>2197</v>
      </c>
      <c r="E827" s="1021" t="s">
        <v>13539</v>
      </c>
      <c r="F827" s="1021"/>
      <c r="G827" s="818" t="s">
        <v>28</v>
      </c>
      <c r="H827" s="819">
        <v>1.8E-3</v>
      </c>
      <c r="I827" s="820">
        <v>15.2</v>
      </c>
      <c r="J827" s="820">
        <v>0.02</v>
      </c>
    </row>
    <row r="828" spans="1:10" ht="38.25" customHeight="1">
      <c r="A828" s="817" t="s">
        <v>13491</v>
      </c>
      <c r="B828" s="816" t="s">
        <v>13827</v>
      </c>
      <c r="C828" s="817" t="s">
        <v>6</v>
      </c>
      <c r="D828" s="817" t="s">
        <v>2198</v>
      </c>
      <c r="E828" s="1021" t="s">
        <v>13539</v>
      </c>
      <c r="F828" s="1021"/>
      <c r="G828" s="818" t="s">
        <v>42</v>
      </c>
      <c r="H828" s="819">
        <v>2.5999999999999999E-3</v>
      </c>
      <c r="I828" s="820">
        <v>14.19</v>
      </c>
      <c r="J828" s="820">
        <v>0.03</v>
      </c>
    </row>
    <row r="829" spans="1:10" ht="38.25" customHeight="1">
      <c r="A829" s="817" t="s">
        <v>13491</v>
      </c>
      <c r="B829" s="816" t="s">
        <v>13553</v>
      </c>
      <c r="C829" s="817" t="s">
        <v>6</v>
      </c>
      <c r="D829" s="817" t="s">
        <v>21</v>
      </c>
      <c r="E829" s="1021" t="s">
        <v>13490</v>
      </c>
      <c r="F829" s="1021"/>
      <c r="G829" s="818" t="s">
        <v>19</v>
      </c>
      <c r="H829" s="819">
        <v>7.2999999999999995E-2</v>
      </c>
      <c r="I829" s="820">
        <v>15.16</v>
      </c>
      <c r="J829" s="820">
        <v>1.1000000000000001</v>
      </c>
    </row>
    <row r="830" spans="1:10" ht="38.25" customHeight="1">
      <c r="A830" s="817" t="s">
        <v>13491</v>
      </c>
      <c r="B830" s="816" t="s">
        <v>13554</v>
      </c>
      <c r="C830" s="817" t="s">
        <v>6</v>
      </c>
      <c r="D830" s="817" t="s">
        <v>165</v>
      </c>
      <c r="E830" s="1021" t="s">
        <v>13490</v>
      </c>
      <c r="F830" s="1021"/>
      <c r="G830" s="818" t="s">
        <v>19</v>
      </c>
      <c r="H830" s="819">
        <v>0.06</v>
      </c>
      <c r="I830" s="820">
        <v>18.46</v>
      </c>
      <c r="J830" s="820">
        <v>1.1000000000000001</v>
      </c>
    </row>
    <row r="831" spans="1:10" ht="25.5">
      <c r="A831" s="822" t="s">
        <v>13493</v>
      </c>
      <c r="B831" s="821" t="s">
        <v>13853</v>
      </c>
      <c r="C831" s="822" t="s">
        <v>6</v>
      </c>
      <c r="D831" s="822" t="s">
        <v>4630</v>
      </c>
      <c r="E831" s="1017" t="s">
        <v>13514</v>
      </c>
      <c r="F831" s="1017"/>
      <c r="G831" s="823" t="s">
        <v>13854</v>
      </c>
      <c r="H831" s="824">
        <v>4.2</v>
      </c>
      <c r="I831" s="825">
        <v>0.25</v>
      </c>
      <c r="J831" s="825">
        <v>1.05</v>
      </c>
    </row>
    <row r="832" spans="1:10" ht="25.5">
      <c r="A832" s="822" t="s">
        <v>13493</v>
      </c>
      <c r="B832" s="821" t="s">
        <v>13859</v>
      </c>
      <c r="C832" s="822" t="s">
        <v>6</v>
      </c>
      <c r="D832" s="822" t="s">
        <v>4633</v>
      </c>
      <c r="E832" s="1017" t="s">
        <v>13514</v>
      </c>
      <c r="F832" s="1017"/>
      <c r="G832" s="823" t="s">
        <v>24</v>
      </c>
      <c r="H832" s="824">
        <v>1.0289999999999999</v>
      </c>
      <c r="I832" s="825">
        <v>63.29</v>
      </c>
      <c r="J832" s="825">
        <v>65.12</v>
      </c>
    </row>
    <row r="833" spans="1:10" ht="25.5">
      <c r="A833" s="822" t="s">
        <v>13493</v>
      </c>
      <c r="B833" s="821" t="s">
        <v>13855</v>
      </c>
      <c r="C833" s="822" t="s">
        <v>6</v>
      </c>
      <c r="D833" s="822" t="s">
        <v>4744</v>
      </c>
      <c r="E833" s="1017" t="s">
        <v>13514</v>
      </c>
      <c r="F833" s="1017"/>
      <c r="G833" s="823" t="s">
        <v>24</v>
      </c>
      <c r="H833" s="824">
        <v>4.2</v>
      </c>
      <c r="I833" s="825">
        <v>3.82</v>
      </c>
      <c r="J833" s="825">
        <v>16.04</v>
      </c>
    </row>
    <row r="834" spans="1:10" ht="13.5" customHeight="1">
      <c r="A834" s="827"/>
      <c r="B834" s="827"/>
      <c r="C834" s="827"/>
      <c r="D834" s="827"/>
      <c r="E834" s="827" t="s">
        <v>13503</v>
      </c>
      <c r="F834" s="826">
        <v>1.6</v>
      </c>
      <c r="G834" s="827" t="s">
        <v>13504</v>
      </c>
      <c r="H834" s="826">
        <v>0</v>
      </c>
      <c r="I834" s="827" t="s">
        <v>13505</v>
      </c>
      <c r="J834" s="826">
        <v>1.6</v>
      </c>
    </row>
    <row r="835" spans="1:10" ht="13.5" customHeight="1" thickBot="1">
      <c r="A835" s="827"/>
      <c r="B835" s="827"/>
      <c r="C835" s="827"/>
      <c r="D835" s="827"/>
      <c r="E835" s="827" t="s">
        <v>13506</v>
      </c>
      <c r="F835" s="826">
        <v>23.85</v>
      </c>
      <c r="G835" s="827"/>
      <c r="H835" s="1018" t="s">
        <v>13507</v>
      </c>
      <c r="I835" s="1018"/>
      <c r="J835" s="826">
        <v>108.31</v>
      </c>
    </row>
    <row r="836" spans="1:10" ht="13.5" thickTop="1">
      <c r="A836" s="828"/>
      <c r="B836" s="828"/>
      <c r="C836" s="828"/>
      <c r="D836" s="828"/>
      <c r="E836" s="828"/>
      <c r="F836" s="828"/>
      <c r="G836" s="828"/>
      <c r="H836" s="828"/>
      <c r="I836" s="828"/>
      <c r="J836" s="828"/>
    </row>
    <row r="837" spans="1:10" ht="38.25" customHeight="1">
      <c r="A837" s="809" t="s">
        <v>13860</v>
      </c>
      <c r="B837" s="808" t="s">
        <v>13481</v>
      </c>
      <c r="C837" s="809" t="s">
        <v>13482</v>
      </c>
      <c r="D837" s="809" t="s">
        <v>13483</v>
      </c>
      <c r="E837" s="1019" t="s">
        <v>13484</v>
      </c>
      <c r="F837" s="1019"/>
      <c r="G837" s="810" t="s">
        <v>13485</v>
      </c>
      <c r="H837" s="808" t="s">
        <v>13486</v>
      </c>
      <c r="I837" s="808" t="s">
        <v>13487</v>
      </c>
      <c r="J837" s="808" t="s">
        <v>4867</v>
      </c>
    </row>
    <row r="838" spans="1:10" ht="25.5" customHeight="1">
      <c r="A838" s="812" t="s">
        <v>13488</v>
      </c>
      <c r="B838" s="811" t="s">
        <v>13861</v>
      </c>
      <c r="C838" s="812" t="s">
        <v>6</v>
      </c>
      <c r="D838" s="812" t="s">
        <v>3667</v>
      </c>
      <c r="E838" s="1020" t="s">
        <v>13826</v>
      </c>
      <c r="F838" s="1020"/>
      <c r="G838" s="813" t="s">
        <v>14</v>
      </c>
      <c r="H838" s="814">
        <v>1</v>
      </c>
      <c r="I838" s="815">
        <v>57.6</v>
      </c>
      <c r="J838" s="815">
        <v>57.6</v>
      </c>
    </row>
    <row r="839" spans="1:10" ht="38.25" customHeight="1">
      <c r="A839" s="817" t="s">
        <v>13491</v>
      </c>
      <c r="B839" s="816" t="s">
        <v>13827</v>
      </c>
      <c r="C839" s="817" t="s">
        <v>6</v>
      </c>
      <c r="D839" s="817" t="s">
        <v>2198</v>
      </c>
      <c r="E839" s="1021" t="s">
        <v>13539</v>
      </c>
      <c r="F839" s="1021"/>
      <c r="G839" s="818" t="s">
        <v>42</v>
      </c>
      <c r="H839" s="819">
        <v>1.83E-2</v>
      </c>
      <c r="I839" s="820">
        <v>14.19</v>
      </c>
      <c r="J839" s="820">
        <v>0.25</v>
      </c>
    </row>
    <row r="840" spans="1:10" ht="38.25" customHeight="1">
      <c r="A840" s="817" t="s">
        <v>13491</v>
      </c>
      <c r="B840" s="816" t="s">
        <v>13828</v>
      </c>
      <c r="C840" s="817" t="s">
        <v>6</v>
      </c>
      <c r="D840" s="817" t="s">
        <v>2197</v>
      </c>
      <c r="E840" s="1021" t="s">
        <v>13539</v>
      </c>
      <c r="F840" s="1021"/>
      <c r="G840" s="818" t="s">
        <v>28</v>
      </c>
      <c r="H840" s="819">
        <v>1.32E-2</v>
      </c>
      <c r="I840" s="820">
        <v>15.2</v>
      </c>
      <c r="J840" s="820">
        <v>0.2</v>
      </c>
    </row>
    <row r="841" spans="1:10" ht="38.25" customHeight="1">
      <c r="A841" s="817" t="s">
        <v>13491</v>
      </c>
      <c r="B841" s="816" t="s">
        <v>13553</v>
      </c>
      <c r="C841" s="817" t="s">
        <v>6</v>
      </c>
      <c r="D841" s="817" t="s">
        <v>21</v>
      </c>
      <c r="E841" s="1021" t="s">
        <v>13490</v>
      </c>
      <c r="F841" s="1021"/>
      <c r="G841" s="818" t="s">
        <v>19</v>
      </c>
      <c r="H841" s="819">
        <v>0.23899999999999999</v>
      </c>
      <c r="I841" s="820">
        <v>15.16</v>
      </c>
      <c r="J841" s="820">
        <v>3.62</v>
      </c>
    </row>
    <row r="842" spans="1:10" ht="38.25" customHeight="1">
      <c r="A842" s="817" t="s">
        <v>13491</v>
      </c>
      <c r="B842" s="816" t="s">
        <v>13554</v>
      </c>
      <c r="C842" s="817" t="s">
        <v>6</v>
      </c>
      <c r="D842" s="817" t="s">
        <v>165</v>
      </c>
      <c r="E842" s="1021" t="s">
        <v>13490</v>
      </c>
      <c r="F842" s="1021"/>
      <c r="G842" s="818" t="s">
        <v>19</v>
      </c>
      <c r="H842" s="819">
        <v>0.14499999999999999</v>
      </c>
      <c r="I842" s="820">
        <v>18.46</v>
      </c>
      <c r="J842" s="820">
        <v>2.67</v>
      </c>
    </row>
    <row r="843" spans="1:10">
      <c r="A843" s="822" t="s">
        <v>13493</v>
      </c>
      <c r="B843" s="821" t="s">
        <v>13547</v>
      </c>
      <c r="C843" s="822" t="s">
        <v>6</v>
      </c>
      <c r="D843" s="822" t="s">
        <v>4764</v>
      </c>
      <c r="E843" s="1017" t="s">
        <v>13514</v>
      </c>
      <c r="F843" s="1017"/>
      <c r="G843" s="823" t="s">
        <v>16</v>
      </c>
      <c r="H843" s="824">
        <v>8.0000000000000002E-3</v>
      </c>
      <c r="I843" s="825">
        <v>23.36</v>
      </c>
      <c r="J843" s="825">
        <v>0.18</v>
      </c>
    </row>
    <row r="844" spans="1:10" ht="25.5">
      <c r="A844" s="822" t="s">
        <v>13493</v>
      </c>
      <c r="B844" s="821" t="s">
        <v>13862</v>
      </c>
      <c r="C844" s="822" t="s">
        <v>6</v>
      </c>
      <c r="D844" s="822" t="s">
        <v>4767</v>
      </c>
      <c r="E844" s="1017" t="s">
        <v>13514</v>
      </c>
      <c r="F844" s="1017"/>
      <c r="G844" s="823" t="s">
        <v>16</v>
      </c>
      <c r="H844" s="824">
        <v>1.6000000000000001E-3</v>
      </c>
      <c r="I844" s="825">
        <v>77.14</v>
      </c>
      <c r="J844" s="825">
        <v>0.12</v>
      </c>
    </row>
    <row r="845" spans="1:10" ht="13.5" customHeight="1">
      <c r="A845" s="822" t="s">
        <v>13493</v>
      </c>
      <c r="B845" s="821" t="s">
        <v>13863</v>
      </c>
      <c r="C845" s="822" t="s">
        <v>6</v>
      </c>
      <c r="D845" s="822" t="s">
        <v>4778</v>
      </c>
      <c r="E845" s="1017" t="s">
        <v>13514</v>
      </c>
      <c r="F845" s="1017"/>
      <c r="G845" s="823" t="s">
        <v>14</v>
      </c>
      <c r="H845" s="824">
        <v>1.05</v>
      </c>
      <c r="I845" s="825">
        <v>35.07</v>
      </c>
      <c r="J845" s="825">
        <v>36.82</v>
      </c>
    </row>
    <row r="846" spans="1:10" ht="25.5">
      <c r="A846" s="822" t="s">
        <v>13493</v>
      </c>
      <c r="B846" s="821" t="s">
        <v>13819</v>
      </c>
      <c r="C846" s="822" t="s">
        <v>6</v>
      </c>
      <c r="D846" s="822" t="s">
        <v>4780</v>
      </c>
      <c r="E846" s="1017" t="s">
        <v>13514</v>
      </c>
      <c r="F846" s="1017"/>
      <c r="G846" s="823" t="s">
        <v>13820</v>
      </c>
      <c r="H846" s="824">
        <v>0.21099999999999999</v>
      </c>
      <c r="I846" s="825">
        <v>26.18</v>
      </c>
      <c r="J846" s="825">
        <v>5.52</v>
      </c>
    </row>
    <row r="847" spans="1:10">
      <c r="A847" s="822" t="s">
        <v>13493</v>
      </c>
      <c r="B847" s="821" t="s">
        <v>13864</v>
      </c>
      <c r="C847" s="822" t="s">
        <v>6</v>
      </c>
      <c r="D847" s="822" t="s">
        <v>4786</v>
      </c>
      <c r="E847" s="1017" t="s">
        <v>13514</v>
      </c>
      <c r="F847" s="1017"/>
      <c r="G847" s="823" t="s">
        <v>16</v>
      </c>
      <c r="H847" s="824">
        <v>5.8999999999999997E-2</v>
      </c>
      <c r="I847" s="825">
        <v>139.41999999999999</v>
      </c>
      <c r="J847" s="825">
        <v>8.2200000000000006</v>
      </c>
    </row>
    <row r="848" spans="1:10" ht="38.25" customHeight="1">
      <c r="A848" s="827"/>
      <c r="B848" s="827"/>
      <c r="C848" s="827"/>
      <c r="D848" s="827"/>
      <c r="E848" s="827" t="s">
        <v>13503</v>
      </c>
      <c r="F848" s="826">
        <v>4.7699999999999996</v>
      </c>
      <c r="G848" s="827" t="s">
        <v>13504</v>
      </c>
      <c r="H848" s="826">
        <v>0</v>
      </c>
      <c r="I848" s="827" t="s">
        <v>13505</v>
      </c>
      <c r="J848" s="826">
        <v>4.7699999999999996</v>
      </c>
    </row>
    <row r="849" spans="1:10" ht="13.5" customHeight="1" thickBot="1">
      <c r="A849" s="827"/>
      <c r="B849" s="827"/>
      <c r="C849" s="827"/>
      <c r="D849" s="827"/>
      <c r="E849" s="827" t="s">
        <v>13506</v>
      </c>
      <c r="F849" s="826">
        <v>16.260000000000002</v>
      </c>
      <c r="G849" s="827"/>
      <c r="H849" s="1018" t="s">
        <v>13507</v>
      </c>
      <c r="I849" s="1018"/>
      <c r="J849" s="826">
        <v>73.86</v>
      </c>
    </row>
    <row r="850" spans="1:10" ht="13.5" thickTop="1">
      <c r="A850" s="828"/>
      <c r="B850" s="828"/>
      <c r="C850" s="828"/>
      <c r="D850" s="828"/>
      <c r="E850" s="828"/>
      <c r="F850" s="828"/>
      <c r="G850" s="828"/>
      <c r="H850" s="828"/>
      <c r="I850" s="828"/>
      <c r="J850" s="828"/>
    </row>
    <row r="851" spans="1:10" ht="15">
      <c r="A851" s="809" t="s">
        <v>13865</v>
      </c>
      <c r="B851" s="808" t="s">
        <v>13481</v>
      </c>
      <c r="C851" s="809" t="s">
        <v>13482</v>
      </c>
      <c r="D851" s="809" t="s">
        <v>13483</v>
      </c>
      <c r="E851" s="1019" t="s">
        <v>13484</v>
      </c>
      <c r="F851" s="1019"/>
      <c r="G851" s="810" t="s">
        <v>13485</v>
      </c>
      <c r="H851" s="808" t="s">
        <v>13486</v>
      </c>
      <c r="I851" s="808" t="s">
        <v>13487</v>
      </c>
      <c r="J851" s="808" t="s">
        <v>4867</v>
      </c>
    </row>
    <row r="852" spans="1:10" ht="25.5" customHeight="1">
      <c r="A852" s="812" t="s">
        <v>13488</v>
      </c>
      <c r="B852" s="811" t="s">
        <v>13866</v>
      </c>
      <c r="C852" s="812" t="s">
        <v>6</v>
      </c>
      <c r="D852" s="812" t="s">
        <v>2759</v>
      </c>
      <c r="E852" s="1020" t="s">
        <v>13734</v>
      </c>
      <c r="F852" s="1020"/>
      <c r="G852" s="813" t="s">
        <v>13537</v>
      </c>
      <c r="H852" s="814">
        <v>1</v>
      </c>
      <c r="I852" s="815">
        <v>77.52</v>
      </c>
      <c r="J852" s="815">
        <v>77.52</v>
      </c>
    </row>
    <row r="853" spans="1:10" ht="38.25" customHeight="1">
      <c r="A853" s="817" t="s">
        <v>13491</v>
      </c>
      <c r="B853" s="816" t="s">
        <v>13561</v>
      </c>
      <c r="C853" s="817" t="s">
        <v>6</v>
      </c>
      <c r="D853" s="817" t="s">
        <v>131</v>
      </c>
      <c r="E853" s="1021" t="s">
        <v>13490</v>
      </c>
      <c r="F853" s="1021"/>
      <c r="G853" s="818" t="s">
        <v>19</v>
      </c>
      <c r="H853" s="819">
        <v>0.49940000000000001</v>
      </c>
      <c r="I853" s="820">
        <v>13.65</v>
      </c>
      <c r="J853" s="820">
        <v>6.81</v>
      </c>
    </row>
    <row r="854" spans="1:10" ht="25.5">
      <c r="A854" s="822" t="s">
        <v>13493</v>
      </c>
      <c r="B854" s="821" t="s">
        <v>13867</v>
      </c>
      <c r="C854" s="822" t="s">
        <v>6</v>
      </c>
      <c r="D854" s="822" t="s">
        <v>4586</v>
      </c>
      <c r="E854" s="1017" t="s">
        <v>13514</v>
      </c>
      <c r="F854" s="1017"/>
      <c r="G854" s="823" t="s">
        <v>16</v>
      </c>
      <c r="H854" s="824">
        <v>4.2599999999999999E-2</v>
      </c>
      <c r="I854" s="825">
        <v>23.23</v>
      </c>
      <c r="J854" s="825">
        <v>0.98</v>
      </c>
    </row>
    <row r="855" spans="1:10" ht="25.5">
      <c r="A855" s="822" t="s">
        <v>13493</v>
      </c>
      <c r="B855" s="821" t="s">
        <v>13868</v>
      </c>
      <c r="C855" s="822" t="s">
        <v>6</v>
      </c>
      <c r="D855" s="822" t="s">
        <v>10501</v>
      </c>
      <c r="E855" s="1017" t="s">
        <v>13514</v>
      </c>
      <c r="F855" s="1017"/>
      <c r="G855" s="823" t="s">
        <v>13537</v>
      </c>
      <c r="H855" s="824">
        <v>1.0955999999999999</v>
      </c>
      <c r="I855" s="825">
        <v>29.84</v>
      </c>
      <c r="J855" s="825">
        <v>32.69</v>
      </c>
    </row>
    <row r="856" spans="1:10" ht="13.5" customHeight="1">
      <c r="A856" s="822" t="s">
        <v>13493</v>
      </c>
      <c r="B856" s="821" t="s">
        <v>13869</v>
      </c>
      <c r="C856" s="822" t="s">
        <v>6</v>
      </c>
      <c r="D856" s="822" t="s">
        <v>11597</v>
      </c>
      <c r="E856" s="1017" t="s">
        <v>13514</v>
      </c>
      <c r="F856" s="1017"/>
      <c r="G856" s="823" t="s">
        <v>24</v>
      </c>
      <c r="H856" s="824">
        <v>2.1911999999999998</v>
      </c>
      <c r="I856" s="825">
        <v>0.27</v>
      </c>
      <c r="J856" s="825">
        <v>0.59</v>
      </c>
    </row>
    <row r="857" spans="1:10" ht="25.5">
      <c r="A857" s="822" t="s">
        <v>13493</v>
      </c>
      <c r="B857" s="821" t="s">
        <v>13870</v>
      </c>
      <c r="C857" s="822" t="s">
        <v>6</v>
      </c>
      <c r="D857" s="822" t="s">
        <v>4746</v>
      </c>
      <c r="E857" s="1017" t="s">
        <v>13514</v>
      </c>
      <c r="F857" s="1017"/>
      <c r="G857" s="823" t="s">
        <v>13719</v>
      </c>
      <c r="H857" s="824">
        <v>3.3300000000000003E-2</v>
      </c>
      <c r="I857" s="825">
        <v>53.46</v>
      </c>
      <c r="J857" s="825">
        <v>1.78</v>
      </c>
    </row>
    <row r="858" spans="1:10">
      <c r="A858" s="822" t="s">
        <v>13493</v>
      </c>
      <c r="B858" s="821" t="s">
        <v>13872</v>
      </c>
      <c r="C858" s="822" t="s">
        <v>6</v>
      </c>
      <c r="D858" s="822" t="s">
        <v>4745</v>
      </c>
      <c r="E858" s="1017" t="s">
        <v>13514</v>
      </c>
      <c r="F858" s="1017"/>
      <c r="G858" s="823" t="s">
        <v>13719</v>
      </c>
      <c r="H858" s="824">
        <v>1.32E-2</v>
      </c>
      <c r="I858" s="825">
        <v>31.18</v>
      </c>
      <c r="J858" s="825">
        <v>0.41</v>
      </c>
    </row>
    <row r="859" spans="1:10" ht="38.25" customHeight="1">
      <c r="A859" s="822" t="s">
        <v>13493</v>
      </c>
      <c r="B859" s="821" t="s">
        <v>13871</v>
      </c>
      <c r="C859" s="822" t="s">
        <v>6</v>
      </c>
      <c r="D859" s="822" t="s">
        <v>4752</v>
      </c>
      <c r="E859" s="1017" t="s">
        <v>13497</v>
      </c>
      <c r="F859" s="1017"/>
      <c r="G859" s="823" t="s">
        <v>24</v>
      </c>
      <c r="H859" s="824">
        <v>1.3265</v>
      </c>
      <c r="I859" s="825">
        <v>2.97</v>
      </c>
      <c r="J859" s="825">
        <v>3.93</v>
      </c>
    </row>
    <row r="860" spans="1:10" ht="25.5">
      <c r="A860" s="822" t="s">
        <v>13493</v>
      </c>
      <c r="B860" s="821" t="s">
        <v>13873</v>
      </c>
      <c r="C860" s="822" t="s">
        <v>6</v>
      </c>
      <c r="D860" s="822" t="s">
        <v>4754</v>
      </c>
      <c r="E860" s="1017" t="s">
        <v>13514</v>
      </c>
      <c r="F860" s="1017"/>
      <c r="G860" s="823" t="s">
        <v>14</v>
      </c>
      <c r="H860" s="824">
        <v>3.8498999999999999</v>
      </c>
      <c r="I860" s="825">
        <v>7.88</v>
      </c>
      <c r="J860" s="825">
        <v>30.33</v>
      </c>
    </row>
    <row r="861" spans="1:10" ht="25.5">
      <c r="A861" s="827"/>
      <c r="B861" s="827"/>
      <c r="C861" s="827"/>
      <c r="D861" s="827"/>
      <c r="E861" s="827" t="s">
        <v>13503</v>
      </c>
      <c r="F861" s="826">
        <v>4.8899999999999997</v>
      </c>
      <c r="G861" s="827" t="s">
        <v>13504</v>
      </c>
      <c r="H861" s="826">
        <v>0</v>
      </c>
      <c r="I861" s="827" t="s">
        <v>13505</v>
      </c>
      <c r="J861" s="826">
        <v>4.8899999999999997</v>
      </c>
    </row>
    <row r="862" spans="1:10" ht="13.5" customHeight="1" thickBot="1">
      <c r="A862" s="827"/>
      <c r="B862" s="827"/>
      <c r="C862" s="827"/>
      <c r="D862" s="827"/>
      <c r="E862" s="827" t="s">
        <v>13506</v>
      </c>
      <c r="F862" s="826">
        <v>21.89</v>
      </c>
      <c r="G862" s="827"/>
      <c r="H862" s="1018" t="s">
        <v>13507</v>
      </c>
      <c r="I862" s="1018"/>
      <c r="J862" s="826">
        <v>99.41</v>
      </c>
    </row>
    <row r="863" spans="1:10" ht="13.5" thickTop="1">
      <c r="A863" s="828"/>
      <c r="B863" s="828"/>
      <c r="C863" s="828"/>
      <c r="D863" s="828"/>
      <c r="E863" s="828"/>
      <c r="F863" s="828"/>
      <c r="G863" s="828"/>
      <c r="H863" s="828"/>
      <c r="I863" s="828"/>
      <c r="J863" s="828"/>
    </row>
    <row r="864" spans="1:10" ht="15">
      <c r="A864" s="809" t="s">
        <v>13874</v>
      </c>
      <c r="B864" s="808" t="s">
        <v>13481</v>
      </c>
      <c r="C864" s="809" t="s">
        <v>13482</v>
      </c>
      <c r="D864" s="809" t="s">
        <v>13483</v>
      </c>
      <c r="E864" s="1019" t="s">
        <v>13484</v>
      </c>
      <c r="F864" s="1019"/>
      <c r="G864" s="810" t="s">
        <v>13485</v>
      </c>
      <c r="H864" s="808" t="s">
        <v>13486</v>
      </c>
      <c r="I864" s="808" t="s">
        <v>13487</v>
      </c>
      <c r="J864" s="808" t="s">
        <v>4867</v>
      </c>
    </row>
    <row r="865" spans="1:10" ht="25.5" customHeight="1">
      <c r="A865" s="812" t="s">
        <v>13488</v>
      </c>
      <c r="B865" s="811" t="s">
        <v>13875</v>
      </c>
      <c r="C865" s="812" t="s">
        <v>6</v>
      </c>
      <c r="D865" s="812" t="s">
        <v>26</v>
      </c>
      <c r="E865" s="1020" t="s">
        <v>13755</v>
      </c>
      <c r="F865" s="1020"/>
      <c r="G865" s="813" t="s">
        <v>13537</v>
      </c>
      <c r="H865" s="814">
        <v>1</v>
      </c>
      <c r="I865" s="815">
        <v>1.69</v>
      </c>
      <c r="J865" s="815">
        <v>1.69</v>
      </c>
    </row>
    <row r="866" spans="1:10" ht="38.25" customHeight="1">
      <c r="A866" s="817" t="s">
        <v>13491</v>
      </c>
      <c r="B866" s="816" t="s">
        <v>13553</v>
      </c>
      <c r="C866" s="817" t="s">
        <v>6</v>
      </c>
      <c r="D866" s="817" t="s">
        <v>21</v>
      </c>
      <c r="E866" s="1021" t="s">
        <v>13490</v>
      </c>
      <c r="F866" s="1021"/>
      <c r="G866" s="818" t="s">
        <v>19</v>
      </c>
      <c r="H866" s="819">
        <v>1.4E-2</v>
      </c>
      <c r="I866" s="820">
        <v>15.16</v>
      </c>
      <c r="J866" s="820">
        <v>0.21</v>
      </c>
    </row>
    <row r="867" spans="1:10" ht="13.5" customHeight="1">
      <c r="A867" s="817" t="s">
        <v>13491</v>
      </c>
      <c r="B867" s="816" t="s">
        <v>13782</v>
      </c>
      <c r="C867" s="817" t="s">
        <v>6</v>
      </c>
      <c r="D867" s="817" t="s">
        <v>156</v>
      </c>
      <c r="E867" s="1021" t="s">
        <v>13490</v>
      </c>
      <c r="F867" s="1021"/>
      <c r="G867" s="818" t="s">
        <v>19</v>
      </c>
      <c r="H867" s="819">
        <v>3.9E-2</v>
      </c>
      <c r="I867" s="820">
        <v>19.940000000000001</v>
      </c>
      <c r="J867" s="820">
        <v>0.77</v>
      </c>
    </row>
    <row r="868" spans="1:10">
      <c r="A868" s="822" t="s">
        <v>13493</v>
      </c>
      <c r="B868" s="821" t="s">
        <v>13876</v>
      </c>
      <c r="C868" s="822" t="s">
        <v>6</v>
      </c>
      <c r="D868" s="822" t="s">
        <v>12202</v>
      </c>
      <c r="E868" s="1017" t="s">
        <v>13514</v>
      </c>
      <c r="F868" s="1017"/>
      <c r="G868" s="823" t="s">
        <v>39</v>
      </c>
      <c r="H868" s="824">
        <v>0.16</v>
      </c>
      <c r="I868" s="825">
        <v>4.4400000000000004</v>
      </c>
      <c r="J868" s="825">
        <v>0.71</v>
      </c>
    </row>
    <row r="869" spans="1:10" ht="25.5">
      <c r="A869" s="827"/>
      <c r="B869" s="827"/>
      <c r="C869" s="827"/>
      <c r="D869" s="827"/>
      <c r="E869" s="827" t="s">
        <v>13503</v>
      </c>
      <c r="F869" s="826">
        <v>0.68</v>
      </c>
      <c r="G869" s="827" t="s">
        <v>13504</v>
      </c>
      <c r="H869" s="826">
        <v>0</v>
      </c>
      <c r="I869" s="827" t="s">
        <v>13505</v>
      </c>
      <c r="J869" s="826">
        <v>0.68</v>
      </c>
    </row>
    <row r="870" spans="1:10" ht="38.25" customHeight="1" thickBot="1">
      <c r="A870" s="827"/>
      <c r="B870" s="827"/>
      <c r="C870" s="827"/>
      <c r="D870" s="827"/>
      <c r="E870" s="827" t="s">
        <v>13506</v>
      </c>
      <c r="F870" s="826">
        <v>0.47</v>
      </c>
      <c r="G870" s="827"/>
      <c r="H870" s="1018" t="s">
        <v>13507</v>
      </c>
      <c r="I870" s="1018"/>
      <c r="J870" s="826">
        <v>2.16</v>
      </c>
    </row>
    <row r="871" spans="1:10" ht="13.5" thickTop="1">
      <c r="A871" s="828"/>
      <c r="B871" s="828"/>
      <c r="C871" s="828"/>
      <c r="D871" s="828"/>
      <c r="E871" s="828"/>
      <c r="F871" s="828"/>
      <c r="G871" s="828"/>
      <c r="H871" s="828"/>
      <c r="I871" s="828"/>
      <c r="J871" s="828"/>
    </row>
    <row r="872" spans="1:10" ht="15">
      <c r="A872" s="809" t="s">
        <v>13877</v>
      </c>
      <c r="B872" s="808" t="s">
        <v>13481</v>
      </c>
      <c r="C872" s="809" t="s">
        <v>13482</v>
      </c>
      <c r="D872" s="809" t="s">
        <v>13483</v>
      </c>
      <c r="E872" s="1019" t="s">
        <v>13484</v>
      </c>
      <c r="F872" s="1019"/>
      <c r="G872" s="810" t="s">
        <v>13485</v>
      </c>
      <c r="H872" s="808" t="s">
        <v>13486</v>
      </c>
      <c r="I872" s="808" t="s">
        <v>13487</v>
      </c>
      <c r="J872" s="808" t="s">
        <v>4867</v>
      </c>
    </row>
    <row r="873" spans="1:10" ht="25.5" customHeight="1">
      <c r="A873" s="812" t="s">
        <v>13488</v>
      </c>
      <c r="B873" s="811" t="s">
        <v>13878</v>
      </c>
      <c r="C873" s="812" t="s">
        <v>6</v>
      </c>
      <c r="D873" s="812" t="s">
        <v>2769</v>
      </c>
      <c r="E873" s="1020" t="s">
        <v>13755</v>
      </c>
      <c r="F873" s="1020"/>
      <c r="G873" s="813" t="s">
        <v>13537</v>
      </c>
      <c r="H873" s="814">
        <v>1</v>
      </c>
      <c r="I873" s="815">
        <v>16.47</v>
      </c>
      <c r="J873" s="815">
        <v>16.47</v>
      </c>
    </row>
    <row r="874" spans="1:10" ht="38.25" customHeight="1">
      <c r="A874" s="817" t="s">
        <v>13491</v>
      </c>
      <c r="B874" s="816" t="s">
        <v>13553</v>
      </c>
      <c r="C874" s="817" t="s">
        <v>6</v>
      </c>
      <c r="D874" s="817" t="s">
        <v>21</v>
      </c>
      <c r="E874" s="1021" t="s">
        <v>13490</v>
      </c>
      <c r="F874" s="1021"/>
      <c r="G874" s="818" t="s">
        <v>19</v>
      </c>
      <c r="H874" s="819">
        <v>0.107</v>
      </c>
      <c r="I874" s="820">
        <v>15.16</v>
      </c>
      <c r="J874" s="820">
        <v>1.62</v>
      </c>
    </row>
    <row r="875" spans="1:10" ht="38.25" customHeight="1">
      <c r="A875" s="817" t="s">
        <v>13491</v>
      </c>
      <c r="B875" s="816" t="s">
        <v>13782</v>
      </c>
      <c r="C875" s="817" t="s">
        <v>6</v>
      </c>
      <c r="D875" s="817" t="s">
        <v>156</v>
      </c>
      <c r="E875" s="1021" t="s">
        <v>13490</v>
      </c>
      <c r="F875" s="1021"/>
      <c r="G875" s="818" t="s">
        <v>19</v>
      </c>
      <c r="H875" s="819">
        <v>0.42899999999999999</v>
      </c>
      <c r="I875" s="820">
        <v>19.940000000000001</v>
      </c>
      <c r="J875" s="820">
        <v>8.5500000000000007</v>
      </c>
    </row>
    <row r="876" spans="1:10" ht="25.5">
      <c r="A876" s="822" t="s">
        <v>13493</v>
      </c>
      <c r="B876" s="821" t="s">
        <v>13879</v>
      </c>
      <c r="C876" s="822" t="s">
        <v>6</v>
      </c>
      <c r="D876" s="822" t="s">
        <v>10988</v>
      </c>
      <c r="E876" s="1017" t="s">
        <v>13514</v>
      </c>
      <c r="F876" s="1017"/>
      <c r="G876" s="823" t="s">
        <v>24</v>
      </c>
      <c r="H876" s="824">
        <v>0.06</v>
      </c>
      <c r="I876" s="825">
        <v>1.1200000000000001</v>
      </c>
      <c r="J876" s="825">
        <v>0.06</v>
      </c>
    </row>
    <row r="877" spans="1:10">
      <c r="A877" s="822" t="s">
        <v>13493</v>
      </c>
      <c r="B877" s="821" t="s">
        <v>13880</v>
      </c>
      <c r="C877" s="822" t="s">
        <v>6</v>
      </c>
      <c r="D877" s="822" t="s">
        <v>11353</v>
      </c>
      <c r="E877" s="1017" t="s">
        <v>13514</v>
      </c>
      <c r="F877" s="1017"/>
      <c r="G877" s="823" t="s">
        <v>16</v>
      </c>
      <c r="H877" s="824">
        <v>1.04304</v>
      </c>
      <c r="I877" s="825">
        <v>5.99</v>
      </c>
      <c r="J877" s="825">
        <v>6.24</v>
      </c>
    </row>
    <row r="878" spans="1:10" ht="13.5" customHeight="1">
      <c r="A878" s="827"/>
      <c r="B878" s="827"/>
      <c r="C878" s="827"/>
      <c r="D878" s="827"/>
      <c r="E878" s="827" t="s">
        <v>13503</v>
      </c>
      <c r="F878" s="826">
        <v>7.06</v>
      </c>
      <c r="G878" s="827" t="s">
        <v>13504</v>
      </c>
      <c r="H878" s="826">
        <v>0</v>
      </c>
      <c r="I878" s="827" t="s">
        <v>13505</v>
      </c>
      <c r="J878" s="826">
        <v>7.06</v>
      </c>
    </row>
    <row r="879" spans="1:10" ht="13.5" customHeight="1" thickBot="1">
      <c r="A879" s="827"/>
      <c r="B879" s="827"/>
      <c r="C879" s="827"/>
      <c r="D879" s="827"/>
      <c r="E879" s="827" t="s">
        <v>13506</v>
      </c>
      <c r="F879" s="826">
        <v>4.6500000000000004</v>
      </c>
      <c r="G879" s="827"/>
      <c r="H879" s="1018" t="s">
        <v>13507</v>
      </c>
      <c r="I879" s="1018"/>
      <c r="J879" s="826">
        <v>21.12</v>
      </c>
    </row>
    <row r="880" spans="1:10" ht="13.5" thickTop="1">
      <c r="A880" s="828"/>
      <c r="B880" s="828"/>
      <c r="C880" s="828"/>
      <c r="D880" s="828"/>
      <c r="E880" s="828"/>
      <c r="F880" s="828"/>
      <c r="G880" s="828"/>
      <c r="H880" s="828"/>
      <c r="I880" s="828"/>
      <c r="J880" s="828"/>
    </row>
    <row r="881" spans="1:10" ht="38.25" customHeight="1">
      <c r="A881" s="809" t="s">
        <v>13881</v>
      </c>
      <c r="B881" s="808" t="s">
        <v>13481</v>
      </c>
      <c r="C881" s="809" t="s">
        <v>13482</v>
      </c>
      <c r="D881" s="809" t="s">
        <v>13483</v>
      </c>
      <c r="E881" s="1019" t="s">
        <v>13484</v>
      </c>
      <c r="F881" s="1019"/>
      <c r="G881" s="810" t="s">
        <v>13485</v>
      </c>
      <c r="H881" s="808" t="s">
        <v>13486</v>
      </c>
      <c r="I881" s="808" t="s">
        <v>13487</v>
      </c>
      <c r="J881" s="808" t="s">
        <v>4867</v>
      </c>
    </row>
    <row r="882" spans="1:10" ht="25.5" customHeight="1">
      <c r="A882" s="812" t="s">
        <v>13488</v>
      </c>
      <c r="B882" s="811" t="s">
        <v>13882</v>
      </c>
      <c r="C882" s="812" t="s">
        <v>6</v>
      </c>
      <c r="D882" s="812" t="s">
        <v>23</v>
      </c>
      <c r="E882" s="1020" t="s">
        <v>13755</v>
      </c>
      <c r="F882" s="1020"/>
      <c r="G882" s="813" t="s">
        <v>13537</v>
      </c>
      <c r="H882" s="814">
        <v>1</v>
      </c>
      <c r="I882" s="815">
        <v>12.15</v>
      </c>
      <c r="J882" s="815">
        <v>12.15</v>
      </c>
    </row>
    <row r="883" spans="1:10" ht="38.25" customHeight="1">
      <c r="A883" s="817" t="s">
        <v>13491</v>
      </c>
      <c r="B883" s="816" t="s">
        <v>13553</v>
      </c>
      <c r="C883" s="817" t="s">
        <v>6</v>
      </c>
      <c r="D883" s="817" t="s">
        <v>21</v>
      </c>
      <c r="E883" s="1021" t="s">
        <v>13490</v>
      </c>
      <c r="F883" s="1021"/>
      <c r="G883" s="818" t="s">
        <v>19</v>
      </c>
      <c r="H883" s="819">
        <v>6.9000000000000006E-2</v>
      </c>
      <c r="I883" s="820">
        <v>15.16</v>
      </c>
      <c r="J883" s="820">
        <v>1.04</v>
      </c>
    </row>
    <row r="884" spans="1:10" ht="38.25" customHeight="1">
      <c r="A884" s="817" t="s">
        <v>13491</v>
      </c>
      <c r="B884" s="816" t="s">
        <v>13782</v>
      </c>
      <c r="C884" s="817" t="s">
        <v>6</v>
      </c>
      <c r="D884" s="817" t="s">
        <v>156</v>
      </c>
      <c r="E884" s="1021" t="s">
        <v>13490</v>
      </c>
      <c r="F884" s="1021"/>
      <c r="G884" s="818" t="s">
        <v>19</v>
      </c>
      <c r="H884" s="819">
        <v>0.187</v>
      </c>
      <c r="I884" s="820">
        <v>19.940000000000001</v>
      </c>
      <c r="J884" s="820">
        <v>3.72</v>
      </c>
    </row>
    <row r="885" spans="1:10">
      <c r="A885" s="822" t="s">
        <v>13493</v>
      </c>
      <c r="B885" s="821" t="s">
        <v>13883</v>
      </c>
      <c r="C885" s="822" t="s">
        <v>6</v>
      </c>
      <c r="D885" s="822" t="s">
        <v>12698</v>
      </c>
      <c r="E885" s="1017" t="s">
        <v>13514</v>
      </c>
      <c r="F885" s="1017"/>
      <c r="G885" s="823" t="s">
        <v>39</v>
      </c>
      <c r="H885" s="824">
        <v>0.33</v>
      </c>
      <c r="I885" s="825">
        <v>22.4</v>
      </c>
      <c r="J885" s="825">
        <v>7.39</v>
      </c>
    </row>
    <row r="886" spans="1:10" ht="25.5">
      <c r="A886" s="827"/>
      <c r="B886" s="827"/>
      <c r="C886" s="827"/>
      <c r="D886" s="827"/>
      <c r="E886" s="827" t="s">
        <v>13503</v>
      </c>
      <c r="F886" s="826">
        <v>3.3</v>
      </c>
      <c r="G886" s="827" t="s">
        <v>13504</v>
      </c>
      <c r="H886" s="826">
        <v>0</v>
      </c>
      <c r="I886" s="827" t="s">
        <v>13505</v>
      </c>
      <c r="J886" s="826">
        <v>3.3</v>
      </c>
    </row>
    <row r="887" spans="1:10" ht="13.5" customHeight="1" thickBot="1">
      <c r="A887" s="827"/>
      <c r="B887" s="827"/>
      <c r="C887" s="827"/>
      <c r="D887" s="827"/>
      <c r="E887" s="827" t="s">
        <v>13506</v>
      </c>
      <c r="F887" s="826">
        <v>3.43</v>
      </c>
      <c r="G887" s="827"/>
      <c r="H887" s="1018" t="s">
        <v>13507</v>
      </c>
      <c r="I887" s="1018"/>
      <c r="J887" s="826">
        <v>15.58</v>
      </c>
    </row>
    <row r="888" spans="1:10" ht="13.5" thickTop="1">
      <c r="A888" s="828"/>
      <c r="B888" s="828"/>
      <c r="C888" s="828"/>
      <c r="D888" s="828"/>
      <c r="E888" s="828"/>
      <c r="F888" s="828"/>
      <c r="G888" s="828"/>
      <c r="H888" s="828"/>
      <c r="I888" s="828"/>
      <c r="J888" s="828"/>
    </row>
    <row r="889" spans="1:10" ht="13.5" customHeight="1">
      <c r="A889" s="809" t="s">
        <v>13884</v>
      </c>
      <c r="B889" s="808" t="s">
        <v>13481</v>
      </c>
      <c r="C889" s="809" t="s">
        <v>13482</v>
      </c>
      <c r="D889" s="809" t="s">
        <v>13483</v>
      </c>
      <c r="E889" s="1019" t="s">
        <v>13484</v>
      </c>
      <c r="F889" s="1019"/>
      <c r="G889" s="810" t="s">
        <v>13485</v>
      </c>
      <c r="H889" s="808" t="s">
        <v>13486</v>
      </c>
      <c r="I889" s="808" t="s">
        <v>13487</v>
      </c>
      <c r="J889" s="808" t="s">
        <v>4867</v>
      </c>
    </row>
    <row r="890" spans="1:10" ht="25.5" customHeight="1">
      <c r="A890" s="812" t="s">
        <v>13488</v>
      </c>
      <c r="B890" s="811" t="s">
        <v>13885</v>
      </c>
      <c r="C890" s="812" t="s">
        <v>6</v>
      </c>
      <c r="D890" s="812" t="s">
        <v>6929</v>
      </c>
      <c r="E890" s="1020" t="s">
        <v>13755</v>
      </c>
      <c r="F890" s="1020"/>
      <c r="G890" s="813" t="s">
        <v>13537</v>
      </c>
      <c r="H890" s="814">
        <v>1</v>
      </c>
      <c r="I890" s="815">
        <v>33.68</v>
      </c>
      <c r="J890" s="815">
        <v>33.68</v>
      </c>
    </row>
    <row r="891" spans="1:10" ht="38.25" customHeight="1">
      <c r="A891" s="817" t="s">
        <v>13491</v>
      </c>
      <c r="B891" s="816" t="s">
        <v>13553</v>
      </c>
      <c r="C891" s="817" t="s">
        <v>6</v>
      </c>
      <c r="D891" s="817" t="s">
        <v>21</v>
      </c>
      <c r="E891" s="1021" t="s">
        <v>13490</v>
      </c>
      <c r="F891" s="1021"/>
      <c r="G891" s="818" t="s">
        <v>19</v>
      </c>
      <c r="H891" s="819">
        <v>0.4</v>
      </c>
      <c r="I891" s="820">
        <v>15.16</v>
      </c>
      <c r="J891" s="820">
        <v>6.06</v>
      </c>
    </row>
    <row r="892" spans="1:10" ht="25.5" customHeight="1">
      <c r="A892" s="817" t="s">
        <v>13491</v>
      </c>
      <c r="B892" s="816" t="s">
        <v>13782</v>
      </c>
      <c r="C892" s="817" t="s">
        <v>6</v>
      </c>
      <c r="D892" s="817" t="s">
        <v>156</v>
      </c>
      <c r="E892" s="1021" t="s">
        <v>13490</v>
      </c>
      <c r="F892" s="1021"/>
      <c r="G892" s="818" t="s">
        <v>19</v>
      </c>
      <c r="H892" s="819">
        <v>0.96</v>
      </c>
      <c r="I892" s="820">
        <v>19.940000000000001</v>
      </c>
      <c r="J892" s="820">
        <v>19.14</v>
      </c>
    </row>
    <row r="893" spans="1:10">
      <c r="A893" s="822" t="s">
        <v>13493</v>
      </c>
      <c r="B893" s="821" t="s">
        <v>13784</v>
      </c>
      <c r="C893" s="822" t="s">
        <v>6</v>
      </c>
      <c r="D893" s="822" t="s">
        <v>4679</v>
      </c>
      <c r="E893" s="1017" t="s">
        <v>13514</v>
      </c>
      <c r="F893" s="1017"/>
      <c r="G893" s="823" t="s">
        <v>24</v>
      </c>
      <c r="H893" s="824">
        <v>0.23</v>
      </c>
      <c r="I893" s="825">
        <v>9.02</v>
      </c>
      <c r="J893" s="825">
        <v>2.0699999999999998</v>
      </c>
    </row>
    <row r="894" spans="1:10">
      <c r="A894" s="822" t="s">
        <v>13493</v>
      </c>
      <c r="B894" s="821" t="s">
        <v>13886</v>
      </c>
      <c r="C894" s="822" t="s">
        <v>6</v>
      </c>
      <c r="D894" s="822" t="s">
        <v>4804</v>
      </c>
      <c r="E894" s="1017" t="s">
        <v>13514</v>
      </c>
      <c r="F894" s="1017"/>
      <c r="G894" s="823" t="s">
        <v>39</v>
      </c>
      <c r="H894" s="824">
        <v>0.42699999999999999</v>
      </c>
      <c r="I894" s="825">
        <v>15.02</v>
      </c>
      <c r="J894" s="825">
        <v>6.41</v>
      </c>
    </row>
    <row r="895" spans="1:10" ht="25.5">
      <c r="A895" s="827"/>
      <c r="B895" s="827"/>
      <c r="C895" s="827"/>
      <c r="D895" s="827"/>
      <c r="E895" s="827" t="s">
        <v>13503</v>
      </c>
      <c r="F895" s="826">
        <v>17.48</v>
      </c>
      <c r="G895" s="827" t="s">
        <v>13504</v>
      </c>
      <c r="H895" s="826">
        <v>0</v>
      </c>
      <c r="I895" s="827" t="s">
        <v>13505</v>
      </c>
      <c r="J895" s="826">
        <v>17.48</v>
      </c>
    </row>
    <row r="896" spans="1:10" ht="13.5" customHeight="1" thickBot="1">
      <c r="A896" s="827"/>
      <c r="B896" s="827"/>
      <c r="C896" s="827"/>
      <c r="D896" s="827"/>
      <c r="E896" s="827" t="s">
        <v>13506</v>
      </c>
      <c r="F896" s="826">
        <v>9.51</v>
      </c>
      <c r="G896" s="827"/>
      <c r="H896" s="1018" t="s">
        <v>13507</v>
      </c>
      <c r="I896" s="1018"/>
      <c r="J896" s="826">
        <v>43.19</v>
      </c>
    </row>
    <row r="897" spans="1:10" ht="13.5" thickTop="1">
      <c r="A897" s="828"/>
      <c r="B897" s="828"/>
      <c r="C897" s="828"/>
      <c r="D897" s="828"/>
      <c r="E897" s="828"/>
      <c r="F897" s="828"/>
      <c r="G897" s="828"/>
      <c r="H897" s="828"/>
      <c r="I897" s="828"/>
      <c r="J897" s="828"/>
    </row>
    <row r="898" spans="1:10" ht="15">
      <c r="A898" s="809" t="s">
        <v>13887</v>
      </c>
      <c r="B898" s="808" t="s">
        <v>13481</v>
      </c>
      <c r="C898" s="809" t="s">
        <v>13482</v>
      </c>
      <c r="D898" s="809" t="s">
        <v>13483</v>
      </c>
      <c r="E898" s="1019" t="s">
        <v>13484</v>
      </c>
      <c r="F898" s="1019"/>
      <c r="G898" s="810" t="s">
        <v>13485</v>
      </c>
      <c r="H898" s="808" t="s">
        <v>13486</v>
      </c>
      <c r="I898" s="808" t="s">
        <v>13487</v>
      </c>
      <c r="J898" s="808" t="s">
        <v>4867</v>
      </c>
    </row>
    <row r="899" spans="1:10" ht="25.5" customHeight="1">
      <c r="A899" s="812" t="s">
        <v>13488</v>
      </c>
      <c r="B899" s="811" t="s">
        <v>13888</v>
      </c>
      <c r="C899" s="812" t="s">
        <v>6</v>
      </c>
      <c r="D899" s="812" t="s">
        <v>2774</v>
      </c>
      <c r="E899" s="1020" t="s">
        <v>13755</v>
      </c>
      <c r="F899" s="1020"/>
      <c r="G899" s="813" t="s">
        <v>13537</v>
      </c>
      <c r="H899" s="814">
        <v>1</v>
      </c>
      <c r="I899" s="815">
        <v>22.94</v>
      </c>
      <c r="J899" s="815">
        <v>22.94</v>
      </c>
    </row>
    <row r="900" spans="1:10" ht="13.5" customHeight="1">
      <c r="A900" s="817" t="s">
        <v>13491</v>
      </c>
      <c r="B900" s="816" t="s">
        <v>13553</v>
      </c>
      <c r="C900" s="817" t="s">
        <v>6</v>
      </c>
      <c r="D900" s="817" t="s">
        <v>21</v>
      </c>
      <c r="E900" s="1021" t="s">
        <v>13490</v>
      </c>
      <c r="F900" s="1021"/>
      <c r="G900" s="818" t="s">
        <v>19</v>
      </c>
      <c r="H900" s="819">
        <v>0.14299999999999999</v>
      </c>
      <c r="I900" s="820">
        <v>15.16</v>
      </c>
      <c r="J900" s="820">
        <v>2.16</v>
      </c>
    </row>
    <row r="901" spans="1:10" ht="38.25" customHeight="1">
      <c r="A901" s="817" t="s">
        <v>13491</v>
      </c>
      <c r="B901" s="816" t="s">
        <v>13782</v>
      </c>
      <c r="C901" s="817" t="s">
        <v>6</v>
      </c>
      <c r="D901" s="817" t="s">
        <v>156</v>
      </c>
      <c r="E901" s="1021" t="s">
        <v>13490</v>
      </c>
      <c r="F901" s="1021"/>
      <c r="G901" s="818" t="s">
        <v>19</v>
      </c>
      <c r="H901" s="819">
        <v>0.57099999999999995</v>
      </c>
      <c r="I901" s="820">
        <v>19.940000000000001</v>
      </c>
      <c r="J901" s="820">
        <v>11.38</v>
      </c>
    </row>
    <row r="902" spans="1:10" ht="25.5">
      <c r="A902" s="822" t="s">
        <v>13493</v>
      </c>
      <c r="B902" s="821" t="s">
        <v>13879</v>
      </c>
      <c r="C902" s="822" t="s">
        <v>6</v>
      </c>
      <c r="D902" s="822" t="s">
        <v>10988</v>
      </c>
      <c r="E902" s="1017" t="s">
        <v>13514</v>
      </c>
      <c r="F902" s="1017"/>
      <c r="G902" s="823" t="s">
        <v>24</v>
      </c>
      <c r="H902" s="824">
        <v>0.1</v>
      </c>
      <c r="I902" s="825">
        <v>1.1200000000000001</v>
      </c>
      <c r="J902" s="825">
        <v>0.11</v>
      </c>
    </row>
    <row r="903" spans="1:10" ht="25.5" customHeight="1">
      <c r="A903" s="822" t="s">
        <v>13493</v>
      </c>
      <c r="B903" s="821" t="s">
        <v>13880</v>
      </c>
      <c r="C903" s="822" t="s">
        <v>6</v>
      </c>
      <c r="D903" s="822" t="s">
        <v>11353</v>
      </c>
      <c r="E903" s="1017" t="s">
        <v>13514</v>
      </c>
      <c r="F903" s="1017"/>
      <c r="G903" s="823" t="s">
        <v>16</v>
      </c>
      <c r="H903" s="824">
        <v>1.5518400000000001</v>
      </c>
      <c r="I903" s="825">
        <v>5.99</v>
      </c>
      <c r="J903" s="825">
        <v>9.2899999999999991</v>
      </c>
    </row>
    <row r="904" spans="1:10" ht="25.5">
      <c r="A904" s="827"/>
      <c r="B904" s="827"/>
      <c r="C904" s="827"/>
      <c r="D904" s="827"/>
      <c r="E904" s="827" t="s">
        <v>13503</v>
      </c>
      <c r="F904" s="826">
        <v>9.41</v>
      </c>
      <c r="G904" s="827" t="s">
        <v>13504</v>
      </c>
      <c r="H904" s="826">
        <v>0</v>
      </c>
      <c r="I904" s="827" t="s">
        <v>13505</v>
      </c>
      <c r="J904" s="826">
        <v>9.41</v>
      </c>
    </row>
    <row r="905" spans="1:10" ht="13.5" customHeight="1" thickBot="1">
      <c r="A905" s="827"/>
      <c r="B905" s="827"/>
      <c r="C905" s="827"/>
      <c r="D905" s="827"/>
      <c r="E905" s="827" t="s">
        <v>13506</v>
      </c>
      <c r="F905" s="826">
        <v>6.47</v>
      </c>
      <c r="G905" s="827"/>
      <c r="H905" s="1018" t="s">
        <v>13507</v>
      </c>
      <c r="I905" s="1018"/>
      <c r="J905" s="826">
        <v>29.41</v>
      </c>
    </row>
    <row r="906" spans="1:10" ht="13.5" thickTop="1">
      <c r="A906" s="828"/>
      <c r="B906" s="828"/>
      <c r="C906" s="828"/>
      <c r="D906" s="828"/>
      <c r="E906" s="828"/>
      <c r="F906" s="828"/>
      <c r="G906" s="828"/>
      <c r="H906" s="828"/>
      <c r="I906" s="828"/>
      <c r="J906" s="828"/>
    </row>
    <row r="907" spans="1:10" ht="15">
      <c r="A907" s="809" t="s">
        <v>13889</v>
      </c>
      <c r="B907" s="808" t="s">
        <v>13481</v>
      </c>
      <c r="C907" s="809" t="s">
        <v>13482</v>
      </c>
      <c r="D907" s="809" t="s">
        <v>13483</v>
      </c>
      <c r="E907" s="1019" t="s">
        <v>13484</v>
      </c>
      <c r="F907" s="1019"/>
      <c r="G907" s="810" t="s">
        <v>13485</v>
      </c>
      <c r="H907" s="808" t="s">
        <v>13486</v>
      </c>
      <c r="I907" s="808" t="s">
        <v>13487</v>
      </c>
      <c r="J907" s="808" t="s">
        <v>4867</v>
      </c>
    </row>
    <row r="908" spans="1:10" ht="25.5" customHeight="1">
      <c r="A908" s="812" t="s">
        <v>13488</v>
      </c>
      <c r="B908" s="811" t="s">
        <v>13890</v>
      </c>
      <c r="C908" s="812" t="s">
        <v>6</v>
      </c>
      <c r="D908" s="812" t="s">
        <v>6913</v>
      </c>
      <c r="E908" s="1020" t="s">
        <v>13755</v>
      </c>
      <c r="F908" s="1020"/>
      <c r="G908" s="813" t="s">
        <v>13537</v>
      </c>
      <c r="H908" s="814">
        <v>1</v>
      </c>
      <c r="I908" s="815">
        <v>14.43</v>
      </c>
      <c r="J908" s="815">
        <v>14.43</v>
      </c>
    </row>
    <row r="909" spans="1:10" ht="38.25" customHeight="1">
      <c r="A909" s="817" t="s">
        <v>13491</v>
      </c>
      <c r="B909" s="816" t="s">
        <v>13553</v>
      </c>
      <c r="C909" s="817" t="s">
        <v>6</v>
      </c>
      <c r="D909" s="817" t="s">
        <v>21</v>
      </c>
      <c r="E909" s="1021" t="s">
        <v>13490</v>
      </c>
      <c r="F909" s="1021"/>
      <c r="G909" s="818" t="s">
        <v>19</v>
      </c>
      <c r="H909" s="819">
        <v>0.115</v>
      </c>
      <c r="I909" s="820">
        <v>15.16</v>
      </c>
      <c r="J909" s="820">
        <v>1.74</v>
      </c>
    </row>
    <row r="910" spans="1:10" ht="38.25" customHeight="1">
      <c r="A910" s="817" t="s">
        <v>13491</v>
      </c>
      <c r="B910" s="816" t="s">
        <v>13782</v>
      </c>
      <c r="C910" s="817" t="s">
        <v>6</v>
      </c>
      <c r="D910" s="817" t="s">
        <v>156</v>
      </c>
      <c r="E910" s="1021" t="s">
        <v>13490</v>
      </c>
      <c r="F910" s="1021"/>
      <c r="G910" s="818" t="s">
        <v>19</v>
      </c>
      <c r="H910" s="819">
        <v>0.27500000000000002</v>
      </c>
      <c r="I910" s="820">
        <v>19.940000000000001</v>
      </c>
      <c r="J910" s="820">
        <v>5.48</v>
      </c>
    </row>
    <row r="911" spans="1:10" ht="13.5" customHeight="1">
      <c r="A911" s="822" t="s">
        <v>13493</v>
      </c>
      <c r="B911" s="821" t="s">
        <v>13784</v>
      </c>
      <c r="C911" s="822" t="s">
        <v>6</v>
      </c>
      <c r="D911" s="822" t="s">
        <v>4679</v>
      </c>
      <c r="E911" s="1017" t="s">
        <v>13514</v>
      </c>
      <c r="F911" s="1017"/>
      <c r="G911" s="823" t="s">
        <v>24</v>
      </c>
      <c r="H911" s="824">
        <v>0.01</v>
      </c>
      <c r="I911" s="825">
        <v>9.02</v>
      </c>
      <c r="J911" s="825">
        <v>0.09</v>
      </c>
    </row>
    <row r="912" spans="1:10">
      <c r="A912" s="822" t="s">
        <v>13493</v>
      </c>
      <c r="B912" s="821" t="s">
        <v>13876</v>
      </c>
      <c r="C912" s="822" t="s">
        <v>6</v>
      </c>
      <c r="D912" s="822" t="s">
        <v>12202</v>
      </c>
      <c r="E912" s="1017" t="s">
        <v>13514</v>
      </c>
      <c r="F912" s="1017"/>
      <c r="G912" s="823" t="s">
        <v>39</v>
      </c>
      <c r="H912" s="824">
        <v>0.16</v>
      </c>
      <c r="I912" s="825">
        <v>4.4400000000000004</v>
      </c>
      <c r="J912" s="825">
        <v>0.71</v>
      </c>
    </row>
    <row r="913" spans="1:10">
      <c r="A913" s="822" t="s">
        <v>13493</v>
      </c>
      <c r="B913" s="821" t="s">
        <v>13886</v>
      </c>
      <c r="C913" s="822" t="s">
        <v>6</v>
      </c>
      <c r="D913" s="822" t="s">
        <v>4804</v>
      </c>
      <c r="E913" s="1017" t="s">
        <v>13514</v>
      </c>
      <c r="F913" s="1017"/>
      <c r="G913" s="823" t="s">
        <v>39</v>
      </c>
      <c r="H913" s="824">
        <v>0.42699999999999999</v>
      </c>
      <c r="I913" s="825">
        <v>15.02</v>
      </c>
      <c r="J913" s="825">
        <v>6.41</v>
      </c>
    </row>
    <row r="914" spans="1:10" ht="38.25" customHeight="1">
      <c r="A914" s="827"/>
      <c r="B914" s="827"/>
      <c r="C914" s="827"/>
      <c r="D914" s="827"/>
      <c r="E914" s="827" t="s">
        <v>13503</v>
      </c>
      <c r="F914" s="826">
        <v>5</v>
      </c>
      <c r="G914" s="827" t="s">
        <v>13504</v>
      </c>
      <c r="H914" s="826">
        <v>0</v>
      </c>
      <c r="I914" s="827" t="s">
        <v>13505</v>
      </c>
      <c r="J914" s="826">
        <v>5</v>
      </c>
    </row>
    <row r="915" spans="1:10" ht="13.5" customHeight="1" thickBot="1">
      <c r="A915" s="827"/>
      <c r="B915" s="827"/>
      <c r="C915" s="827"/>
      <c r="D915" s="827"/>
      <c r="E915" s="827" t="s">
        <v>13506</v>
      </c>
      <c r="F915" s="826">
        <v>4.07</v>
      </c>
      <c r="G915" s="827"/>
      <c r="H915" s="1018" t="s">
        <v>13507</v>
      </c>
      <c r="I915" s="1018"/>
      <c r="J915" s="826">
        <v>18.5</v>
      </c>
    </row>
    <row r="916" spans="1:10" ht="13.5" thickTop="1">
      <c r="A916" s="828"/>
      <c r="B916" s="828"/>
      <c r="C916" s="828"/>
      <c r="D916" s="828"/>
      <c r="E916" s="828"/>
      <c r="F916" s="828"/>
      <c r="G916" s="828"/>
      <c r="H916" s="828"/>
      <c r="I916" s="828"/>
      <c r="J916" s="828"/>
    </row>
    <row r="917" spans="1:10" ht="15">
      <c r="A917" s="809" t="s">
        <v>13891</v>
      </c>
      <c r="B917" s="808" t="s">
        <v>13481</v>
      </c>
      <c r="C917" s="809" t="s">
        <v>13482</v>
      </c>
      <c r="D917" s="809" t="s">
        <v>13483</v>
      </c>
      <c r="E917" s="1019" t="s">
        <v>13484</v>
      </c>
      <c r="F917" s="1019"/>
      <c r="G917" s="810" t="s">
        <v>13485</v>
      </c>
      <c r="H917" s="808" t="s">
        <v>13486</v>
      </c>
      <c r="I917" s="808" t="s">
        <v>13487</v>
      </c>
      <c r="J917" s="808" t="s">
        <v>4867</v>
      </c>
    </row>
    <row r="918" spans="1:10" ht="38.25">
      <c r="A918" s="812" t="s">
        <v>13488</v>
      </c>
      <c r="B918" s="811" t="s">
        <v>13892</v>
      </c>
      <c r="C918" s="812" t="s">
        <v>6</v>
      </c>
      <c r="D918" s="812" t="s">
        <v>6905</v>
      </c>
      <c r="E918" s="1020" t="s">
        <v>13755</v>
      </c>
      <c r="F918" s="1020"/>
      <c r="G918" s="813" t="s">
        <v>13537</v>
      </c>
      <c r="H918" s="814">
        <v>1</v>
      </c>
      <c r="I918" s="815">
        <v>17.46</v>
      </c>
      <c r="J918" s="815">
        <v>17.46</v>
      </c>
    </row>
    <row r="919" spans="1:10" ht="38.25" customHeight="1">
      <c r="A919" s="817" t="s">
        <v>13491</v>
      </c>
      <c r="B919" s="816" t="s">
        <v>13782</v>
      </c>
      <c r="C919" s="817" t="s">
        <v>6</v>
      </c>
      <c r="D919" s="817" t="s">
        <v>156</v>
      </c>
      <c r="E919" s="1021" t="s">
        <v>13490</v>
      </c>
      <c r="F919" s="1021"/>
      <c r="G919" s="818" t="s">
        <v>19</v>
      </c>
      <c r="H919" s="819">
        <v>0.52659999999999996</v>
      </c>
      <c r="I919" s="820">
        <v>19.940000000000001</v>
      </c>
      <c r="J919" s="820">
        <v>10.5</v>
      </c>
    </row>
    <row r="920" spans="1:10">
      <c r="A920" s="822" t="s">
        <v>13493</v>
      </c>
      <c r="B920" s="821" t="s">
        <v>13849</v>
      </c>
      <c r="C920" s="822" t="s">
        <v>6</v>
      </c>
      <c r="D920" s="822" t="s">
        <v>10091</v>
      </c>
      <c r="E920" s="1017" t="s">
        <v>13514</v>
      </c>
      <c r="F920" s="1017"/>
      <c r="G920" s="823" t="s">
        <v>39</v>
      </c>
      <c r="H920" s="824">
        <v>6.2E-2</v>
      </c>
      <c r="I920" s="825">
        <v>13.98</v>
      </c>
      <c r="J920" s="825">
        <v>0.86</v>
      </c>
    </row>
    <row r="921" spans="1:10">
      <c r="A921" s="822" t="s">
        <v>13493</v>
      </c>
      <c r="B921" s="821" t="s">
        <v>13893</v>
      </c>
      <c r="C921" s="822" t="s">
        <v>6</v>
      </c>
      <c r="D921" s="822" t="s">
        <v>12693</v>
      </c>
      <c r="E921" s="1017" t="s">
        <v>13514</v>
      </c>
      <c r="F921" s="1017"/>
      <c r="G921" s="823" t="s">
        <v>39</v>
      </c>
      <c r="H921" s="824">
        <v>0.20669999999999999</v>
      </c>
      <c r="I921" s="825">
        <v>29.54</v>
      </c>
      <c r="J921" s="825">
        <v>6.1</v>
      </c>
    </row>
    <row r="922" spans="1:10" ht="13.5" customHeight="1">
      <c r="A922" s="827"/>
      <c r="B922" s="827"/>
      <c r="C922" s="827"/>
      <c r="D922" s="827"/>
      <c r="E922" s="827" t="s">
        <v>13503</v>
      </c>
      <c r="F922" s="826">
        <v>7.31</v>
      </c>
      <c r="G922" s="827" t="s">
        <v>13504</v>
      </c>
      <c r="H922" s="826">
        <v>0</v>
      </c>
      <c r="I922" s="827" t="s">
        <v>13505</v>
      </c>
      <c r="J922" s="826">
        <v>7.31</v>
      </c>
    </row>
    <row r="923" spans="1:10" ht="13.5" customHeight="1" thickBot="1">
      <c r="A923" s="827"/>
      <c r="B923" s="827"/>
      <c r="C923" s="827"/>
      <c r="D923" s="827"/>
      <c r="E923" s="827" t="s">
        <v>13506</v>
      </c>
      <c r="F923" s="826">
        <v>4.93</v>
      </c>
      <c r="G923" s="827"/>
      <c r="H923" s="1018" t="s">
        <v>13507</v>
      </c>
      <c r="I923" s="1018"/>
      <c r="J923" s="826">
        <v>22.39</v>
      </c>
    </row>
    <row r="924" spans="1:10" ht="13.5" thickTop="1">
      <c r="A924" s="828"/>
      <c r="B924" s="828"/>
      <c r="C924" s="828"/>
      <c r="D924" s="828"/>
      <c r="E924" s="828"/>
      <c r="F924" s="828"/>
      <c r="G924" s="828"/>
      <c r="H924" s="828"/>
      <c r="I924" s="828"/>
      <c r="J924" s="828"/>
    </row>
    <row r="925" spans="1:10" ht="15">
      <c r="A925" s="809" t="s">
        <v>13894</v>
      </c>
      <c r="B925" s="808" t="s">
        <v>13481</v>
      </c>
      <c r="C925" s="809" t="s">
        <v>13482</v>
      </c>
      <c r="D925" s="809" t="s">
        <v>13483</v>
      </c>
      <c r="E925" s="1019" t="s">
        <v>13484</v>
      </c>
      <c r="F925" s="1019"/>
      <c r="G925" s="810" t="s">
        <v>13485</v>
      </c>
      <c r="H925" s="808" t="s">
        <v>13486</v>
      </c>
      <c r="I925" s="808" t="s">
        <v>13487</v>
      </c>
      <c r="J925" s="808" t="s">
        <v>4867</v>
      </c>
    </row>
    <row r="926" spans="1:10" ht="25.5" customHeight="1">
      <c r="A926" s="812" t="s">
        <v>13488</v>
      </c>
      <c r="B926" s="811" t="s">
        <v>13895</v>
      </c>
      <c r="C926" s="812" t="s">
        <v>6</v>
      </c>
      <c r="D926" s="812" t="s">
        <v>6924</v>
      </c>
      <c r="E926" s="1020" t="s">
        <v>13755</v>
      </c>
      <c r="F926" s="1020"/>
      <c r="G926" s="813" t="s">
        <v>14</v>
      </c>
      <c r="H926" s="814">
        <v>1</v>
      </c>
      <c r="I926" s="815">
        <v>7.68</v>
      </c>
      <c r="J926" s="815">
        <v>7.68</v>
      </c>
    </row>
    <row r="927" spans="1:10" ht="38.25" customHeight="1">
      <c r="A927" s="817" t="s">
        <v>13491</v>
      </c>
      <c r="B927" s="816" t="s">
        <v>13553</v>
      </c>
      <c r="C927" s="817" t="s">
        <v>6</v>
      </c>
      <c r="D927" s="817" t="s">
        <v>21</v>
      </c>
      <c r="E927" s="1021" t="s">
        <v>13490</v>
      </c>
      <c r="F927" s="1021"/>
      <c r="G927" s="818" t="s">
        <v>19</v>
      </c>
      <c r="H927" s="819">
        <v>0.1</v>
      </c>
      <c r="I927" s="820">
        <v>15.16</v>
      </c>
      <c r="J927" s="820">
        <v>1.51</v>
      </c>
    </row>
    <row r="928" spans="1:10" ht="38.25" customHeight="1">
      <c r="A928" s="817" t="s">
        <v>13491</v>
      </c>
      <c r="B928" s="816" t="s">
        <v>13782</v>
      </c>
      <c r="C928" s="817" t="s">
        <v>6</v>
      </c>
      <c r="D928" s="817" t="s">
        <v>156</v>
      </c>
      <c r="E928" s="1021" t="s">
        <v>13490</v>
      </c>
      <c r="F928" s="1021"/>
      <c r="G928" s="818" t="s">
        <v>19</v>
      </c>
      <c r="H928" s="819">
        <v>0.23899999999999999</v>
      </c>
      <c r="I928" s="820">
        <v>19.940000000000001</v>
      </c>
      <c r="J928" s="820">
        <v>4.76</v>
      </c>
    </row>
    <row r="929" spans="1:10">
      <c r="A929" s="822" t="s">
        <v>13493</v>
      </c>
      <c r="B929" s="821" t="s">
        <v>13783</v>
      </c>
      <c r="C929" s="822" t="s">
        <v>6</v>
      </c>
      <c r="D929" s="822" t="s">
        <v>10092</v>
      </c>
      <c r="E929" s="1017" t="s">
        <v>13514</v>
      </c>
      <c r="F929" s="1017"/>
      <c r="G929" s="823" t="s">
        <v>39</v>
      </c>
      <c r="H929" s="824">
        <v>3.0000000000000001E-3</v>
      </c>
      <c r="I929" s="825">
        <v>31.86</v>
      </c>
      <c r="J929" s="825">
        <v>0.09</v>
      </c>
    </row>
    <row r="930" spans="1:10">
      <c r="A930" s="822" t="s">
        <v>13493</v>
      </c>
      <c r="B930" s="821" t="s">
        <v>13784</v>
      </c>
      <c r="C930" s="822" t="s">
        <v>6</v>
      </c>
      <c r="D930" s="822" t="s">
        <v>4679</v>
      </c>
      <c r="E930" s="1017" t="s">
        <v>13514</v>
      </c>
      <c r="F930" s="1017"/>
      <c r="G930" s="823" t="s">
        <v>24</v>
      </c>
      <c r="H930" s="824">
        <v>0.04</v>
      </c>
      <c r="I930" s="825">
        <v>9.02</v>
      </c>
      <c r="J930" s="825">
        <v>0.36</v>
      </c>
    </row>
    <row r="931" spans="1:10">
      <c r="A931" s="822" t="s">
        <v>13493</v>
      </c>
      <c r="B931" s="821" t="s">
        <v>13786</v>
      </c>
      <c r="C931" s="822" t="s">
        <v>6</v>
      </c>
      <c r="D931" s="822" t="s">
        <v>12687</v>
      </c>
      <c r="E931" s="1017" t="s">
        <v>13514</v>
      </c>
      <c r="F931" s="1017"/>
      <c r="G931" s="823" t="s">
        <v>39</v>
      </c>
      <c r="H931" s="824">
        <v>1.6E-2</v>
      </c>
      <c r="I931" s="825">
        <v>60.12</v>
      </c>
      <c r="J931" s="825">
        <v>0.96</v>
      </c>
    </row>
    <row r="932" spans="1:10" ht="25.5">
      <c r="A932" s="827"/>
      <c r="B932" s="827"/>
      <c r="C932" s="827"/>
      <c r="D932" s="827"/>
      <c r="E932" s="827" t="s">
        <v>13503</v>
      </c>
      <c r="F932" s="826">
        <v>4.34</v>
      </c>
      <c r="G932" s="827" t="s">
        <v>13504</v>
      </c>
      <c r="H932" s="826">
        <v>0</v>
      </c>
      <c r="I932" s="827" t="s">
        <v>13505</v>
      </c>
      <c r="J932" s="826">
        <v>4.34</v>
      </c>
    </row>
    <row r="933" spans="1:10" ht="13.5" customHeight="1" thickBot="1">
      <c r="A933" s="827"/>
      <c r="B933" s="827"/>
      <c r="C933" s="827"/>
      <c r="D933" s="827"/>
      <c r="E933" s="827" t="s">
        <v>13506</v>
      </c>
      <c r="F933" s="826">
        <v>2.16</v>
      </c>
      <c r="G933" s="827"/>
      <c r="H933" s="1018" t="s">
        <v>13507</v>
      </c>
      <c r="I933" s="1018"/>
      <c r="J933" s="826">
        <v>9.84</v>
      </c>
    </row>
    <row r="934" spans="1:10" ht="13.5" thickTop="1">
      <c r="A934" s="828"/>
      <c r="B934" s="828"/>
      <c r="C934" s="828"/>
      <c r="D934" s="828"/>
      <c r="E934" s="828"/>
      <c r="F934" s="828"/>
      <c r="G934" s="828"/>
      <c r="H934" s="828"/>
      <c r="I934" s="828"/>
      <c r="J934" s="828"/>
    </row>
    <row r="935" spans="1:10" ht="15">
      <c r="A935" s="809" t="s">
        <v>13896</v>
      </c>
      <c r="B935" s="808" t="s">
        <v>13481</v>
      </c>
      <c r="C935" s="809" t="s">
        <v>13482</v>
      </c>
      <c r="D935" s="809" t="s">
        <v>13483</v>
      </c>
      <c r="E935" s="1019" t="s">
        <v>13484</v>
      </c>
      <c r="F935" s="1019"/>
      <c r="G935" s="810" t="s">
        <v>13485</v>
      </c>
      <c r="H935" s="808" t="s">
        <v>13486</v>
      </c>
      <c r="I935" s="808" t="s">
        <v>13487</v>
      </c>
      <c r="J935" s="808" t="s">
        <v>4867</v>
      </c>
    </row>
    <row r="936" spans="1:10" ht="38.25" customHeight="1">
      <c r="A936" s="812" t="s">
        <v>13488</v>
      </c>
      <c r="B936" s="811" t="s">
        <v>13897</v>
      </c>
      <c r="C936" s="812" t="s">
        <v>6</v>
      </c>
      <c r="D936" s="812" t="s">
        <v>6660</v>
      </c>
      <c r="E936" s="1020" t="s">
        <v>13898</v>
      </c>
      <c r="F936" s="1020"/>
      <c r="G936" s="813" t="s">
        <v>24</v>
      </c>
      <c r="H936" s="814">
        <v>1</v>
      </c>
      <c r="I936" s="815">
        <v>374.7</v>
      </c>
      <c r="J936" s="815">
        <v>374.7</v>
      </c>
    </row>
    <row r="937" spans="1:10" ht="38.25" customHeight="1">
      <c r="A937" s="817" t="s">
        <v>13491</v>
      </c>
      <c r="B937" s="816" t="s">
        <v>13610</v>
      </c>
      <c r="C937" s="817" t="s">
        <v>6</v>
      </c>
      <c r="D937" s="817" t="s">
        <v>677</v>
      </c>
      <c r="E937" s="1021" t="s">
        <v>13539</v>
      </c>
      <c r="F937" s="1021"/>
      <c r="G937" s="818" t="s">
        <v>28</v>
      </c>
      <c r="H937" s="819">
        <v>8.6999999999999994E-3</v>
      </c>
      <c r="I937" s="820">
        <v>115.29</v>
      </c>
      <c r="J937" s="820">
        <v>1</v>
      </c>
    </row>
    <row r="938" spans="1:10" ht="38.25" customHeight="1">
      <c r="A938" s="817" t="s">
        <v>13491</v>
      </c>
      <c r="B938" s="816" t="s">
        <v>13611</v>
      </c>
      <c r="C938" s="817" t="s">
        <v>6</v>
      </c>
      <c r="D938" s="817" t="s">
        <v>678</v>
      </c>
      <c r="E938" s="1021" t="s">
        <v>13539</v>
      </c>
      <c r="F938" s="1021"/>
      <c r="G938" s="818" t="s">
        <v>42</v>
      </c>
      <c r="H938" s="819">
        <v>2.9399999999999999E-2</v>
      </c>
      <c r="I938" s="820">
        <v>40.15</v>
      </c>
      <c r="J938" s="820">
        <v>1.18</v>
      </c>
    </row>
    <row r="939" spans="1:10" ht="38.25" customHeight="1">
      <c r="A939" s="817" t="s">
        <v>13491</v>
      </c>
      <c r="B939" s="816" t="s">
        <v>13707</v>
      </c>
      <c r="C939" s="817" t="s">
        <v>6</v>
      </c>
      <c r="D939" s="817" t="s">
        <v>6582</v>
      </c>
      <c r="E939" s="1021" t="s">
        <v>13542</v>
      </c>
      <c r="F939" s="1021"/>
      <c r="G939" s="818" t="s">
        <v>13543</v>
      </c>
      <c r="H939" s="819">
        <v>7.4399999999999994E-2</v>
      </c>
      <c r="I939" s="820">
        <v>400.17</v>
      </c>
      <c r="J939" s="820">
        <v>29.77</v>
      </c>
    </row>
    <row r="940" spans="1:10" ht="38.25" customHeight="1">
      <c r="A940" s="817" t="s">
        <v>13491</v>
      </c>
      <c r="B940" s="816" t="s">
        <v>13899</v>
      </c>
      <c r="C940" s="817" t="s">
        <v>6</v>
      </c>
      <c r="D940" s="817" t="s">
        <v>3307</v>
      </c>
      <c r="E940" s="1021" t="s">
        <v>13542</v>
      </c>
      <c r="F940" s="1021"/>
      <c r="G940" s="818" t="s">
        <v>13543</v>
      </c>
      <c r="H940" s="819">
        <v>4.48E-2</v>
      </c>
      <c r="I940" s="820">
        <v>2026.58</v>
      </c>
      <c r="J940" s="820">
        <v>90.79</v>
      </c>
    </row>
    <row r="941" spans="1:10" ht="38.25" customHeight="1">
      <c r="A941" s="817" t="s">
        <v>13491</v>
      </c>
      <c r="B941" s="816" t="s">
        <v>13900</v>
      </c>
      <c r="C941" s="817" t="s">
        <v>6</v>
      </c>
      <c r="D941" s="817" t="s">
        <v>5699</v>
      </c>
      <c r="E941" s="1021" t="s">
        <v>13623</v>
      </c>
      <c r="F941" s="1021"/>
      <c r="G941" s="818" t="s">
        <v>13537</v>
      </c>
      <c r="H941" s="819">
        <v>0.81</v>
      </c>
      <c r="I941" s="820">
        <v>4.37</v>
      </c>
      <c r="J941" s="820">
        <v>3.53</v>
      </c>
    </row>
    <row r="942" spans="1:10" ht="38.25" customHeight="1">
      <c r="A942" s="817" t="s">
        <v>13491</v>
      </c>
      <c r="B942" s="816" t="s">
        <v>13901</v>
      </c>
      <c r="C942" s="817" t="s">
        <v>6</v>
      </c>
      <c r="D942" s="817" t="s">
        <v>3854</v>
      </c>
      <c r="E942" s="1021" t="s">
        <v>13490</v>
      </c>
      <c r="F942" s="1021"/>
      <c r="G942" s="818" t="s">
        <v>13543</v>
      </c>
      <c r="H942" s="819">
        <v>1.4E-3</v>
      </c>
      <c r="I942" s="820">
        <v>400.54</v>
      </c>
      <c r="J942" s="820">
        <v>0.56000000000000005</v>
      </c>
    </row>
    <row r="943" spans="1:10" ht="38.25" customHeight="1">
      <c r="A943" s="817" t="s">
        <v>13491</v>
      </c>
      <c r="B943" s="816" t="s">
        <v>13902</v>
      </c>
      <c r="C943" s="817" t="s">
        <v>6</v>
      </c>
      <c r="D943" s="817" t="s">
        <v>3954</v>
      </c>
      <c r="E943" s="1021" t="s">
        <v>13490</v>
      </c>
      <c r="F943" s="1021"/>
      <c r="G943" s="818" t="s">
        <v>13543</v>
      </c>
      <c r="H943" s="819">
        <v>7.2800000000000004E-2</v>
      </c>
      <c r="I943" s="820">
        <v>600.33000000000004</v>
      </c>
      <c r="J943" s="820">
        <v>43.7</v>
      </c>
    </row>
    <row r="944" spans="1:10" ht="13.5" customHeight="1">
      <c r="A944" s="817" t="s">
        <v>13491</v>
      </c>
      <c r="B944" s="816" t="s">
        <v>13553</v>
      </c>
      <c r="C944" s="817" t="s">
        <v>6</v>
      </c>
      <c r="D944" s="817" t="s">
        <v>21</v>
      </c>
      <c r="E944" s="1021" t="s">
        <v>13490</v>
      </c>
      <c r="F944" s="1021"/>
      <c r="G944" s="818" t="s">
        <v>19</v>
      </c>
      <c r="H944" s="819">
        <v>4.2229999999999999</v>
      </c>
      <c r="I944" s="820">
        <v>15.16</v>
      </c>
      <c r="J944" s="820">
        <v>64.02</v>
      </c>
    </row>
    <row r="945" spans="1:10" ht="38.25" customHeight="1">
      <c r="A945" s="817" t="s">
        <v>13491</v>
      </c>
      <c r="B945" s="816" t="s">
        <v>13577</v>
      </c>
      <c r="C945" s="817" t="s">
        <v>6</v>
      </c>
      <c r="D945" s="817" t="s">
        <v>31</v>
      </c>
      <c r="E945" s="1021" t="s">
        <v>13490</v>
      </c>
      <c r="F945" s="1021"/>
      <c r="G945" s="818" t="s">
        <v>19</v>
      </c>
      <c r="H945" s="819">
        <v>4.2229999999999999</v>
      </c>
      <c r="I945" s="820">
        <v>18.86</v>
      </c>
      <c r="J945" s="820">
        <v>79.64</v>
      </c>
    </row>
    <row r="946" spans="1:10" ht="25.5">
      <c r="A946" s="822" t="s">
        <v>13493</v>
      </c>
      <c r="B946" s="821" t="s">
        <v>13903</v>
      </c>
      <c r="C946" s="822" t="s">
        <v>6</v>
      </c>
      <c r="D946" s="822" t="s">
        <v>5169</v>
      </c>
      <c r="E946" s="1017" t="s">
        <v>13514</v>
      </c>
      <c r="F946" s="1017"/>
      <c r="G946" s="823" t="s">
        <v>24</v>
      </c>
      <c r="H946" s="824">
        <v>22.4145</v>
      </c>
      <c r="I946" s="825">
        <v>2.7</v>
      </c>
      <c r="J946" s="825">
        <v>60.51</v>
      </c>
    </row>
    <row r="947" spans="1:10" ht="38.25" customHeight="1">
      <c r="A947" s="827"/>
      <c r="B947" s="827"/>
      <c r="C947" s="827"/>
      <c r="D947" s="827"/>
      <c r="E947" s="827" t="s">
        <v>13503</v>
      </c>
      <c r="F947" s="826">
        <v>146.22999999999999</v>
      </c>
      <c r="G947" s="827" t="s">
        <v>13504</v>
      </c>
      <c r="H947" s="826">
        <v>0</v>
      </c>
      <c r="I947" s="827" t="s">
        <v>13505</v>
      </c>
      <c r="J947" s="826">
        <v>146.22999999999999</v>
      </c>
    </row>
    <row r="948" spans="1:10" ht="13.5" customHeight="1" thickBot="1">
      <c r="A948" s="827"/>
      <c r="B948" s="827"/>
      <c r="C948" s="827"/>
      <c r="D948" s="827"/>
      <c r="E948" s="827" t="s">
        <v>13506</v>
      </c>
      <c r="F948" s="826">
        <v>105.81</v>
      </c>
      <c r="G948" s="827"/>
      <c r="H948" s="1018" t="s">
        <v>13507</v>
      </c>
      <c r="I948" s="1018"/>
      <c r="J948" s="826">
        <v>480.51</v>
      </c>
    </row>
    <row r="949" spans="1:10" ht="13.5" thickTop="1">
      <c r="A949" s="828"/>
      <c r="B949" s="828"/>
      <c r="C949" s="828"/>
      <c r="D949" s="828"/>
      <c r="E949" s="828"/>
      <c r="F949" s="828"/>
      <c r="G949" s="828"/>
      <c r="H949" s="828"/>
      <c r="I949" s="828"/>
      <c r="J949" s="828"/>
    </row>
    <row r="950" spans="1:10" ht="15">
      <c r="A950" s="809" t="s">
        <v>13904</v>
      </c>
      <c r="B950" s="808" t="s">
        <v>13481</v>
      </c>
      <c r="C950" s="809" t="s">
        <v>13482</v>
      </c>
      <c r="D950" s="809" t="s">
        <v>13483</v>
      </c>
      <c r="E950" s="1019" t="s">
        <v>13484</v>
      </c>
      <c r="F950" s="1019"/>
      <c r="G950" s="810" t="s">
        <v>13485</v>
      </c>
      <c r="H950" s="808" t="s">
        <v>13486</v>
      </c>
      <c r="I950" s="808" t="s">
        <v>13487</v>
      </c>
      <c r="J950" s="808" t="s">
        <v>4867</v>
      </c>
    </row>
    <row r="951" spans="1:10" ht="25.5" customHeight="1">
      <c r="A951" s="812" t="s">
        <v>13488</v>
      </c>
      <c r="B951" s="811" t="s">
        <v>13905</v>
      </c>
      <c r="C951" s="812" t="s">
        <v>6</v>
      </c>
      <c r="D951" s="812" t="s">
        <v>6656</v>
      </c>
      <c r="E951" s="1020" t="s">
        <v>13898</v>
      </c>
      <c r="F951" s="1020"/>
      <c r="G951" s="813" t="s">
        <v>24</v>
      </c>
      <c r="H951" s="814">
        <v>1</v>
      </c>
      <c r="I951" s="815">
        <v>531.26</v>
      </c>
      <c r="J951" s="815">
        <v>531.26</v>
      </c>
    </row>
    <row r="952" spans="1:10" ht="38.25" customHeight="1">
      <c r="A952" s="817" t="s">
        <v>13491</v>
      </c>
      <c r="B952" s="816" t="s">
        <v>13610</v>
      </c>
      <c r="C952" s="817" t="s">
        <v>6</v>
      </c>
      <c r="D952" s="817" t="s">
        <v>677</v>
      </c>
      <c r="E952" s="1021" t="s">
        <v>13539</v>
      </c>
      <c r="F952" s="1021"/>
      <c r="G952" s="818" t="s">
        <v>28</v>
      </c>
      <c r="H952" s="819">
        <v>8.6999999999999994E-3</v>
      </c>
      <c r="I952" s="820">
        <v>115.29</v>
      </c>
      <c r="J952" s="820">
        <v>1</v>
      </c>
    </row>
    <row r="953" spans="1:10" ht="38.25" customHeight="1">
      <c r="A953" s="817" t="s">
        <v>13491</v>
      </c>
      <c r="B953" s="816" t="s">
        <v>13611</v>
      </c>
      <c r="C953" s="817" t="s">
        <v>6</v>
      </c>
      <c r="D953" s="817" t="s">
        <v>678</v>
      </c>
      <c r="E953" s="1021" t="s">
        <v>13539</v>
      </c>
      <c r="F953" s="1021"/>
      <c r="G953" s="818" t="s">
        <v>42</v>
      </c>
      <c r="H953" s="819">
        <v>2.9399999999999999E-2</v>
      </c>
      <c r="I953" s="820">
        <v>40.15</v>
      </c>
      <c r="J953" s="820">
        <v>1.18</v>
      </c>
    </row>
    <row r="954" spans="1:10" ht="38.25" customHeight="1">
      <c r="A954" s="817" t="s">
        <v>13491</v>
      </c>
      <c r="B954" s="816" t="s">
        <v>13707</v>
      </c>
      <c r="C954" s="817" t="s">
        <v>6</v>
      </c>
      <c r="D954" s="817" t="s">
        <v>6582</v>
      </c>
      <c r="E954" s="1021" t="s">
        <v>13542</v>
      </c>
      <c r="F954" s="1021"/>
      <c r="G954" s="818" t="s">
        <v>13543</v>
      </c>
      <c r="H954" s="819">
        <v>7.4399999999999994E-2</v>
      </c>
      <c r="I954" s="820">
        <v>400.17</v>
      </c>
      <c r="J954" s="820">
        <v>29.77</v>
      </c>
    </row>
    <row r="955" spans="1:10" ht="13.5" customHeight="1">
      <c r="A955" s="817" t="s">
        <v>13491</v>
      </c>
      <c r="B955" s="816" t="s">
        <v>13899</v>
      </c>
      <c r="C955" s="817" t="s">
        <v>6</v>
      </c>
      <c r="D955" s="817" t="s">
        <v>3307</v>
      </c>
      <c r="E955" s="1021" t="s">
        <v>13542</v>
      </c>
      <c r="F955" s="1021"/>
      <c r="G955" s="818" t="s">
        <v>13543</v>
      </c>
      <c r="H955" s="819">
        <v>4.48E-2</v>
      </c>
      <c r="I955" s="820">
        <v>2026.58</v>
      </c>
      <c r="J955" s="820">
        <v>90.79</v>
      </c>
    </row>
    <row r="956" spans="1:10" ht="38.25" customHeight="1">
      <c r="A956" s="817" t="s">
        <v>13491</v>
      </c>
      <c r="B956" s="816" t="s">
        <v>13900</v>
      </c>
      <c r="C956" s="817" t="s">
        <v>6</v>
      </c>
      <c r="D956" s="817" t="s">
        <v>5699</v>
      </c>
      <c r="E956" s="1021" t="s">
        <v>13623</v>
      </c>
      <c r="F956" s="1021"/>
      <c r="G956" s="818" t="s">
        <v>13537</v>
      </c>
      <c r="H956" s="819">
        <v>0.81</v>
      </c>
      <c r="I956" s="820">
        <v>4.37</v>
      </c>
      <c r="J956" s="820">
        <v>3.53</v>
      </c>
    </row>
    <row r="957" spans="1:10" ht="38.25" customHeight="1">
      <c r="A957" s="817" t="s">
        <v>13491</v>
      </c>
      <c r="B957" s="816" t="s">
        <v>13901</v>
      </c>
      <c r="C957" s="817" t="s">
        <v>6</v>
      </c>
      <c r="D957" s="817" t="s">
        <v>3854</v>
      </c>
      <c r="E957" s="1021" t="s">
        <v>13490</v>
      </c>
      <c r="F957" s="1021"/>
      <c r="G957" s="818" t="s">
        <v>13543</v>
      </c>
      <c r="H957" s="819">
        <v>1.4E-3</v>
      </c>
      <c r="I957" s="820">
        <v>400.54</v>
      </c>
      <c r="J957" s="820">
        <v>0.56000000000000005</v>
      </c>
    </row>
    <row r="958" spans="1:10" ht="25.5" customHeight="1">
      <c r="A958" s="817" t="s">
        <v>13491</v>
      </c>
      <c r="B958" s="816" t="s">
        <v>13902</v>
      </c>
      <c r="C958" s="817" t="s">
        <v>6</v>
      </c>
      <c r="D958" s="817" t="s">
        <v>3954</v>
      </c>
      <c r="E958" s="1021" t="s">
        <v>13490</v>
      </c>
      <c r="F958" s="1021"/>
      <c r="G958" s="818" t="s">
        <v>13543</v>
      </c>
      <c r="H958" s="819">
        <v>0.11559999999999999</v>
      </c>
      <c r="I958" s="820">
        <v>600.33000000000004</v>
      </c>
      <c r="J958" s="820">
        <v>69.39</v>
      </c>
    </row>
    <row r="959" spans="1:10" ht="38.25" customHeight="1">
      <c r="A959" s="817" t="s">
        <v>13491</v>
      </c>
      <c r="B959" s="816" t="s">
        <v>13553</v>
      </c>
      <c r="C959" s="817" t="s">
        <v>6</v>
      </c>
      <c r="D959" s="817" t="s">
        <v>21</v>
      </c>
      <c r="E959" s="1021" t="s">
        <v>13490</v>
      </c>
      <c r="F959" s="1021"/>
      <c r="G959" s="818" t="s">
        <v>19</v>
      </c>
      <c r="H959" s="819">
        <v>6.0895000000000001</v>
      </c>
      <c r="I959" s="820">
        <v>15.16</v>
      </c>
      <c r="J959" s="820">
        <v>92.31</v>
      </c>
    </row>
    <row r="960" spans="1:10" ht="38.25" customHeight="1">
      <c r="A960" s="817" t="s">
        <v>13491</v>
      </c>
      <c r="B960" s="816" t="s">
        <v>13577</v>
      </c>
      <c r="C960" s="817" t="s">
        <v>6</v>
      </c>
      <c r="D960" s="817" t="s">
        <v>31</v>
      </c>
      <c r="E960" s="1021" t="s">
        <v>13490</v>
      </c>
      <c r="F960" s="1021"/>
      <c r="G960" s="818" t="s">
        <v>19</v>
      </c>
      <c r="H960" s="819">
        <v>6.0895000000000001</v>
      </c>
      <c r="I960" s="820">
        <v>18.86</v>
      </c>
      <c r="J960" s="820">
        <v>114.84</v>
      </c>
    </row>
    <row r="961" spans="1:10">
      <c r="A961" s="822" t="s">
        <v>13493</v>
      </c>
      <c r="B961" s="821" t="s">
        <v>13906</v>
      </c>
      <c r="C961" s="822" t="s">
        <v>6</v>
      </c>
      <c r="D961" s="822" t="s">
        <v>5396</v>
      </c>
      <c r="E961" s="1017" t="s">
        <v>13514</v>
      </c>
      <c r="F961" s="1017"/>
      <c r="G961" s="823" t="s">
        <v>24</v>
      </c>
      <c r="H961" s="824">
        <v>166.0916</v>
      </c>
      <c r="I961" s="825">
        <v>0.77</v>
      </c>
      <c r="J961" s="825">
        <v>127.89</v>
      </c>
    </row>
    <row r="962" spans="1:10" ht="25.5">
      <c r="A962" s="827"/>
      <c r="B962" s="827"/>
      <c r="C962" s="827"/>
      <c r="D962" s="827"/>
      <c r="E962" s="827" t="s">
        <v>13503</v>
      </c>
      <c r="F962" s="826">
        <v>193.23</v>
      </c>
      <c r="G962" s="827" t="s">
        <v>13504</v>
      </c>
      <c r="H962" s="826">
        <v>0</v>
      </c>
      <c r="I962" s="827" t="s">
        <v>13505</v>
      </c>
      <c r="J962" s="826">
        <v>193.23</v>
      </c>
    </row>
    <row r="963" spans="1:10" ht="13.5" customHeight="1" thickBot="1">
      <c r="A963" s="827"/>
      <c r="B963" s="827"/>
      <c r="C963" s="827"/>
      <c r="D963" s="827"/>
      <c r="E963" s="827" t="s">
        <v>13506</v>
      </c>
      <c r="F963" s="826">
        <v>150.02000000000001</v>
      </c>
      <c r="G963" s="827"/>
      <c r="H963" s="1018" t="s">
        <v>13507</v>
      </c>
      <c r="I963" s="1018"/>
      <c r="J963" s="826">
        <v>681.28</v>
      </c>
    </row>
    <row r="964" spans="1:10" ht="13.5" customHeight="1" thickTop="1">
      <c r="A964" s="828"/>
      <c r="B964" s="828"/>
      <c r="C964" s="828"/>
      <c r="D964" s="828"/>
      <c r="E964" s="828"/>
      <c r="F964" s="828"/>
      <c r="G964" s="828"/>
      <c r="H964" s="828"/>
      <c r="I964" s="828"/>
      <c r="J964" s="828"/>
    </row>
    <row r="965" spans="1:10" ht="15">
      <c r="A965" s="809" t="s">
        <v>13907</v>
      </c>
      <c r="B965" s="808" t="s">
        <v>13481</v>
      </c>
      <c r="C965" s="809" t="s">
        <v>13482</v>
      </c>
      <c r="D965" s="809" t="s">
        <v>13483</v>
      </c>
      <c r="E965" s="1019" t="s">
        <v>13484</v>
      </c>
      <c r="F965" s="1019"/>
      <c r="G965" s="810" t="s">
        <v>13485</v>
      </c>
      <c r="H965" s="808" t="s">
        <v>13486</v>
      </c>
      <c r="I965" s="808" t="s">
        <v>13487</v>
      </c>
      <c r="J965" s="808" t="s">
        <v>4867</v>
      </c>
    </row>
    <row r="966" spans="1:10" ht="25.5" customHeight="1">
      <c r="A966" s="812" t="s">
        <v>13488</v>
      </c>
      <c r="B966" s="811" t="s">
        <v>13908</v>
      </c>
      <c r="C966" s="812" t="s">
        <v>6</v>
      </c>
      <c r="D966" s="812" t="s">
        <v>1422</v>
      </c>
      <c r="E966" s="1020" t="s">
        <v>13898</v>
      </c>
      <c r="F966" s="1020"/>
      <c r="G966" s="813" t="s">
        <v>24</v>
      </c>
      <c r="H966" s="814">
        <v>1</v>
      </c>
      <c r="I966" s="815">
        <v>39.14</v>
      </c>
      <c r="J966" s="815">
        <v>39.14</v>
      </c>
    </row>
    <row r="967" spans="1:10" ht="25.5" customHeight="1">
      <c r="A967" s="817" t="s">
        <v>13491</v>
      </c>
      <c r="B967" s="816" t="s">
        <v>13909</v>
      </c>
      <c r="C967" s="817" t="s">
        <v>6</v>
      </c>
      <c r="D967" s="817" t="s">
        <v>986</v>
      </c>
      <c r="E967" s="1021" t="s">
        <v>13490</v>
      </c>
      <c r="F967" s="1021"/>
      <c r="G967" s="818" t="s">
        <v>19</v>
      </c>
      <c r="H967" s="819">
        <v>0.25</v>
      </c>
      <c r="I967" s="820">
        <v>15.54</v>
      </c>
      <c r="J967" s="820">
        <v>3.88</v>
      </c>
    </row>
    <row r="968" spans="1:10" ht="38.25" customHeight="1">
      <c r="A968" s="817" t="s">
        <v>13491</v>
      </c>
      <c r="B968" s="816" t="s">
        <v>13574</v>
      </c>
      <c r="C968" s="817" t="s">
        <v>6</v>
      </c>
      <c r="D968" s="817" t="s">
        <v>34</v>
      </c>
      <c r="E968" s="1021" t="s">
        <v>13490</v>
      </c>
      <c r="F968" s="1021"/>
      <c r="G968" s="818" t="s">
        <v>19</v>
      </c>
      <c r="H968" s="819">
        <v>0.25</v>
      </c>
      <c r="I968" s="820">
        <v>18.72</v>
      </c>
      <c r="J968" s="820">
        <v>4.68</v>
      </c>
    </row>
    <row r="969" spans="1:10">
      <c r="A969" s="822" t="s">
        <v>13493</v>
      </c>
      <c r="B969" s="821" t="s">
        <v>13910</v>
      </c>
      <c r="C969" s="822" t="s">
        <v>6</v>
      </c>
      <c r="D969" s="822" t="s">
        <v>8519</v>
      </c>
      <c r="E969" s="1017" t="s">
        <v>13514</v>
      </c>
      <c r="F969" s="1017"/>
      <c r="G969" s="823" t="s">
        <v>24</v>
      </c>
      <c r="H969" s="824">
        <v>1.4800000000000001E-2</v>
      </c>
      <c r="I969" s="825">
        <v>76.94</v>
      </c>
      <c r="J969" s="825">
        <v>1.1299999999999999</v>
      </c>
    </row>
    <row r="970" spans="1:10">
      <c r="A970" s="822" t="s">
        <v>13493</v>
      </c>
      <c r="B970" s="821" t="s">
        <v>13911</v>
      </c>
      <c r="C970" s="822" t="s">
        <v>6</v>
      </c>
      <c r="D970" s="822" t="s">
        <v>8562</v>
      </c>
      <c r="E970" s="1017" t="s">
        <v>13514</v>
      </c>
      <c r="F970" s="1017"/>
      <c r="G970" s="823" t="s">
        <v>24</v>
      </c>
      <c r="H970" s="824">
        <v>1</v>
      </c>
      <c r="I970" s="825">
        <v>2.73</v>
      </c>
      <c r="J970" s="825">
        <v>2.73</v>
      </c>
    </row>
    <row r="971" spans="1:10" ht="25.5">
      <c r="A971" s="822" t="s">
        <v>13493</v>
      </c>
      <c r="B971" s="821" t="s">
        <v>13912</v>
      </c>
      <c r="C971" s="822" t="s">
        <v>6</v>
      </c>
      <c r="D971" s="822" t="s">
        <v>9305</v>
      </c>
      <c r="E971" s="1017" t="s">
        <v>13514</v>
      </c>
      <c r="F971" s="1017"/>
      <c r="G971" s="823" t="s">
        <v>24</v>
      </c>
      <c r="H971" s="824">
        <v>1</v>
      </c>
      <c r="I971" s="825">
        <v>23.99</v>
      </c>
      <c r="J971" s="825">
        <v>23.99</v>
      </c>
    </row>
    <row r="972" spans="1:10">
      <c r="A972" s="822" t="s">
        <v>13493</v>
      </c>
      <c r="B972" s="821" t="s">
        <v>13913</v>
      </c>
      <c r="C972" s="822" t="s">
        <v>6</v>
      </c>
      <c r="D972" s="822" t="s">
        <v>4706</v>
      </c>
      <c r="E972" s="1017" t="s">
        <v>13514</v>
      </c>
      <c r="F972" s="1017"/>
      <c r="G972" s="823" t="s">
        <v>24</v>
      </c>
      <c r="H972" s="824">
        <v>6.4000000000000001E-2</v>
      </c>
      <c r="I972" s="825">
        <v>2.2000000000000002</v>
      </c>
      <c r="J972" s="825">
        <v>0.14000000000000001</v>
      </c>
    </row>
    <row r="973" spans="1:10" ht="13.5" customHeight="1">
      <c r="A973" s="822" t="s">
        <v>13493</v>
      </c>
      <c r="B973" s="821" t="s">
        <v>13914</v>
      </c>
      <c r="C973" s="822" t="s">
        <v>6</v>
      </c>
      <c r="D973" s="822" t="s">
        <v>11643</v>
      </c>
      <c r="E973" s="1017" t="s">
        <v>13514</v>
      </c>
      <c r="F973" s="1017"/>
      <c r="G973" s="823" t="s">
        <v>24</v>
      </c>
      <c r="H973" s="824">
        <v>0.02</v>
      </c>
      <c r="I973" s="825">
        <v>31.75</v>
      </c>
      <c r="J973" s="825">
        <v>0.63</v>
      </c>
    </row>
    <row r="974" spans="1:10" ht="25.5">
      <c r="A974" s="822" t="s">
        <v>13493</v>
      </c>
      <c r="B974" s="821" t="s">
        <v>13915</v>
      </c>
      <c r="C974" s="822" t="s">
        <v>6</v>
      </c>
      <c r="D974" s="822" t="s">
        <v>12249</v>
      </c>
      <c r="E974" s="1017" t="s">
        <v>13514</v>
      </c>
      <c r="F974" s="1017"/>
      <c r="G974" s="823" t="s">
        <v>24</v>
      </c>
      <c r="H974" s="824">
        <v>2.2499999999999999E-2</v>
      </c>
      <c r="I974" s="825">
        <v>87.17</v>
      </c>
      <c r="J974" s="825">
        <v>1.96</v>
      </c>
    </row>
    <row r="975" spans="1:10" ht="25.5">
      <c r="A975" s="827"/>
      <c r="B975" s="827"/>
      <c r="C975" s="827"/>
      <c r="D975" s="827"/>
      <c r="E975" s="827" t="s">
        <v>13503</v>
      </c>
      <c r="F975" s="826">
        <v>6.39</v>
      </c>
      <c r="G975" s="827" t="s">
        <v>13504</v>
      </c>
      <c r="H975" s="826">
        <v>0</v>
      </c>
      <c r="I975" s="827" t="s">
        <v>13505</v>
      </c>
      <c r="J975" s="826">
        <v>6.39</v>
      </c>
    </row>
    <row r="976" spans="1:10" ht="38.25" customHeight="1" thickBot="1">
      <c r="A976" s="827"/>
      <c r="B976" s="827"/>
      <c r="C976" s="827"/>
      <c r="D976" s="827"/>
      <c r="E976" s="827" t="s">
        <v>13506</v>
      </c>
      <c r="F976" s="826">
        <v>11.05</v>
      </c>
      <c r="G976" s="827"/>
      <c r="H976" s="1018" t="s">
        <v>13507</v>
      </c>
      <c r="I976" s="1018"/>
      <c r="J976" s="826">
        <v>50.19</v>
      </c>
    </row>
    <row r="977" spans="1:10" ht="25.5" customHeight="1" thickTop="1">
      <c r="A977" s="828"/>
      <c r="B977" s="828"/>
      <c r="C977" s="828"/>
      <c r="D977" s="828"/>
      <c r="E977" s="828"/>
      <c r="F977" s="828"/>
      <c r="G977" s="828"/>
      <c r="H977" s="828"/>
      <c r="I977" s="828"/>
      <c r="J977" s="828"/>
    </row>
    <row r="978" spans="1:10" ht="15">
      <c r="A978" s="809" t="s">
        <v>13916</v>
      </c>
      <c r="B978" s="808" t="s">
        <v>13481</v>
      </c>
      <c r="C978" s="809" t="s">
        <v>13482</v>
      </c>
      <c r="D978" s="809" t="s">
        <v>13483</v>
      </c>
      <c r="E978" s="1019" t="s">
        <v>13484</v>
      </c>
      <c r="F978" s="1019"/>
      <c r="G978" s="810" t="s">
        <v>13485</v>
      </c>
      <c r="H978" s="808" t="s">
        <v>13486</v>
      </c>
      <c r="I978" s="808" t="s">
        <v>13487</v>
      </c>
      <c r="J978" s="808" t="s">
        <v>4867</v>
      </c>
    </row>
    <row r="979" spans="1:10" ht="25.5" customHeight="1">
      <c r="A979" s="812" t="s">
        <v>13488</v>
      </c>
      <c r="B979" s="811" t="s">
        <v>13917</v>
      </c>
      <c r="C979" s="812" t="s">
        <v>6</v>
      </c>
      <c r="D979" s="812" t="s">
        <v>1423</v>
      </c>
      <c r="E979" s="1020" t="s">
        <v>13898</v>
      </c>
      <c r="F979" s="1020"/>
      <c r="G979" s="813" t="s">
        <v>24</v>
      </c>
      <c r="H979" s="814">
        <v>1</v>
      </c>
      <c r="I979" s="815">
        <v>89.95</v>
      </c>
      <c r="J979" s="815">
        <v>89.95</v>
      </c>
    </row>
    <row r="980" spans="1:10" ht="13.5" customHeight="1">
      <c r="A980" s="817" t="s">
        <v>13491</v>
      </c>
      <c r="B980" s="816" t="s">
        <v>13909</v>
      </c>
      <c r="C980" s="817" t="s">
        <v>6</v>
      </c>
      <c r="D980" s="817" t="s">
        <v>986</v>
      </c>
      <c r="E980" s="1021" t="s">
        <v>13490</v>
      </c>
      <c r="F980" s="1021"/>
      <c r="G980" s="818" t="s">
        <v>19</v>
      </c>
      <c r="H980" s="819">
        <v>0.38</v>
      </c>
      <c r="I980" s="820">
        <v>15.54</v>
      </c>
      <c r="J980" s="820">
        <v>5.9</v>
      </c>
    </row>
    <row r="981" spans="1:10" ht="38.25" customHeight="1">
      <c r="A981" s="817" t="s">
        <v>13491</v>
      </c>
      <c r="B981" s="816" t="s">
        <v>13574</v>
      </c>
      <c r="C981" s="817" t="s">
        <v>6</v>
      </c>
      <c r="D981" s="817" t="s">
        <v>34</v>
      </c>
      <c r="E981" s="1021" t="s">
        <v>13490</v>
      </c>
      <c r="F981" s="1021"/>
      <c r="G981" s="818" t="s">
        <v>19</v>
      </c>
      <c r="H981" s="819">
        <v>0.38</v>
      </c>
      <c r="I981" s="820">
        <v>18.72</v>
      </c>
      <c r="J981" s="820">
        <v>7.11</v>
      </c>
    </row>
    <row r="982" spans="1:10">
      <c r="A982" s="822" t="s">
        <v>13493</v>
      </c>
      <c r="B982" s="821" t="s">
        <v>13910</v>
      </c>
      <c r="C982" s="822" t="s">
        <v>6</v>
      </c>
      <c r="D982" s="822" t="s">
        <v>8519</v>
      </c>
      <c r="E982" s="1017" t="s">
        <v>13514</v>
      </c>
      <c r="F982" s="1017"/>
      <c r="G982" s="823" t="s">
        <v>24</v>
      </c>
      <c r="H982" s="824">
        <v>1.4800000000000001E-2</v>
      </c>
      <c r="I982" s="825">
        <v>76.94</v>
      </c>
      <c r="J982" s="825">
        <v>1.1299999999999999</v>
      </c>
    </row>
    <row r="983" spans="1:10" ht="38.25" customHeight="1">
      <c r="A983" s="822" t="s">
        <v>13493</v>
      </c>
      <c r="B983" s="821" t="s">
        <v>13918</v>
      </c>
      <c r="C983" s="822" t="s">
        <v>6</v>
      </c>
      <c r="D983" s="822" t="s">
        <v>8563</v>
      </c>
      <c r="E983" s="1017" t="s">
        <v>13514</v>
      </c>
      <c r="F983" s="1017"/>
      <c r="G983" s="823" t="s">
        <v>24</v>
      </c>
      <c r="H983" s="824">
        <v>1</v>
      </c>
      <c r="I983" s="825">
        <v>4.0199999999999996</v>
      </c>
      <c r="J983" s="825">
        <v>4.0199999999999996</v>
      </c>
    </row>
    <row r="984" spans="1:10" ht="25.5">
      <c r="A984" s="822" t="s">
        <v>13493</v>
      </c>
      <c r="B984" s="821" t="s">
        <v>13919</v>
      </c>
      <c r="C984" s="822" t="s">
        <v>6</v>
      </c>
      <c r="D984" s="822" t="s">
        <v>9307</v>
      </c>
      <c r="E984" s="1017" t="s">
        <v>13514</v>
      </c>
      <c r="F984" s="1017"/>
      <c r="G984" s="823" t="s">
        <v>24</v>
      </c>
      <c r="H984" s="824">
        <v>1</v>
      </c>
      <c r="I984" s="825">
        <v>68.760000000000005</v>
      </c>
      <c r="J984" s="825">
        <v>68.760000000000005</v>
      </c>
    </row>
    <row r="985" spans="1:10">
      <c r="A985" s="822" t="s">
        <v>13493</v>
      </c>
      <c r="B985" s="821" t="s">
        <v>13913</v>
      </c>
      <c r="C985" s="822" t="s">
        <v>6</v>
      </c>
      <c r="D985" s="822" t="s">
        <v>4706</v>
      </c>
      <c r="E985" s="1017" t="s">
        <v>13514</v>
      </c>
      <c r="F985" s="1017"/>
      <c r="G985" s="823" t="s">
        <v>24</v>
      </c>
      <c r="H985" s="824">
        <v>5.7000000000000002E-2</v>
      </c>
      <c r="I985" s="825">
        <v>2.2000000000000002</v>
      </c>
      <c r="J985" s="825">
        <v>0.12</v>
      </c>
    </row>
    <row r="986" spans="1:10" ht="38.25">
      <c r="A986" s="822" t="s">
        <v>13493</v>
      </c>
      <c r="B986" s="821" t="s">
        <v>13914</v>
      </c>
      <c r="C986" s="822" t="s">
        <v>6</v>
      </c>
      <c r="D986" s="822" t="s">
        <v>11643</v>
      </c>
      <c r="E986" s="1017" t="s">
        <v>13514</v>
      </c>
      <c r="F986" s="1017"/>
      <c r="G986" s="823" t="s">
        <v>24</v>
      </c>
      <c r="H986" s="824">
        <v>0.03</v>
      </c>
      <c r="I986" s="825">
        <v>31.75</v>
      </c>
      <c r="J986" s="825">
        <v>0.95</v>
      </c>
    </row>
    <row r="987" spans="1:10" ht="25.5">
      <c r="A987" s="822" t="s">
        <v>13493</v>
      </c>
      <c r="B987" s="821" t="s">
        <v>13915</v>
      </c>
      <c r="C987" s="822" t="s">
        <v>6</v>
      </c>
      <c r="D987" s="822" t="s">
        <v>12249</v>
      </c>
      <c r="E987" s="1017" t="s">
        <v>13514</v>
      </c>
      <c r="F987" s="1017"/>
      <c r="G987" s="823" t="s">
        <v>24</v>
      </c>
      <c r="H987" s="824">
        <v>2.2499999999999999E-2</v>
      </c>
      <c r="I987" s="825">
        <v>87.17</v>
      </c>
      <c r="J987" s="825">
        <v>1.96</v>
      </c>
    </row>
    <row r="988" spans="1:10" ht="25.5">
      <c r="A988" s="827"/>
      <c r="B988" s="827"/>
      <c r="C988" s="827"/>
      <c r="D988" s="827"/>
      <c r="E988" s="827" t="s">
        <v>13503</v>
      </c>
      <c r="F988" s="826">
        <v>9.7100000000000009</v>
      </c>
      <c r="G988" s="827" t="s">
        <v>13504</v>
      </c>
      <c r="H988" s="826">
        <v>0</v>
      </c>
      <c r="I988" s="827" t="s">
        <v>13505</v>
      </c>
      <c r="J988" s="826">
        <v>9.7100000000000009</v>
      </c>
    </row>
    <row r="989" spans="1:10" ht="13.5" customHeight="1" thickBot="1">
      <c r="A989" s="827"/>
      <c r="B989" s="827"/>
      <c r="C989" s="827"/>
      <c r="D989" s="827"/>
      <c r="E989" s="827" t="s">
        <v>13506</v>
      </c>
      <c r="F989" s="826">
        <v>25.4</v>
      </c>
      <c r="G989" s="827"/>
      <c r="H989" s="1018" t="s">
        <v>13507</v>
      </c>
      <c r="I989" s="1018"/>
      <c r="J989" s="826">
        <v>115.35</v>
      </c>
    </row>
    <row r="990" spans="1:10" ht="13.5" thickTop="1">
      <c r="A990" s="828"/>
      <c r="B990" s="828"/>
      <c r="C990" s="828"/>
      <c r="D990" s="828"/>
      <c r="E990" s="828"/>
      <c r="F990" s="828"/>
      <c r="G990" s="828"/>
      <c r="H990" s="828"/>
      <c r="I990" s="828"/>
      <c r="J990" s="828"/>
    </row>
    <row r="991" spans="1:10" ht="15">
      <c r="A991" s="809" t="s">
        <v>13920</v>
      </c>
      <c r="B991" s="808" t="s">
        <v>13481</v>
      </c>
      <c r="C991" s="809" t="s">
        <v>13482</v>
      </c>
      <c r="D991" s="809" t="s">
        <v>13483</v>
      </c>
      <c r="E991" s="1019" t="s">
        <v>13484</v>
      </c>
      <c r="F991" s="1019"/>
      <c r="G991" s="810" t="s">
        <v>13485</v>
      </c>
      <c r="H991" s="808" t="s">
        <v>13486</v>
      </c>
      <c r="I991" s="808" t="s">
        <v>13487</v>
      </c>
      <c r="J991" s="808" t="s">
        <v>4867</v>
      </c>
    </row>
    <row r="992" spans="1:10" ht="25.5" customHeight="1">
      <c r="A992" s="812" t="s">
        <v>13488</v>
      </c>
      <c r="B992" s="811" t="s">
        <v>13921</v>
      </c>
      <c r="C992" s="812" t="s">
        <v>6</v>
      </c>
      <c r="D992" s="812" t="s">
        <v>1424</v>
      </c>
      <c r="E992" s="1020" t="s">
        <v>13898</v>
      </c>
      <c r="F992" s="1020"/>
      <c r="G992" s="813" t="s">
        <v>24</v>
      </c>
      <c r="H992" s="814">
        <v>1</v>
      </c>
      <c r="I992" s="815">
        <v>15.47</v>
      </c>
      <c r="J992" s="815">
        <v>15.47</v>
      </c>
    </row>
    <row r="993" spans="1:10" ht="38.25" customHeight="1">
      <c r="A993" s="817" t="s">
        <v>13491</v>
      </c>
      <c r="B993" s="816" t="s">
        <v>13909</v>
      </c>
      <c r="C993" s="817" t="s">
        <v>6</v>
      </c>
      <c r="D993" s="817" t="s">
        <v>986</v>
      </c>
      <c r="E993" s="1021" t="s">
        <v>13490</v>
      </c>
      <c r="F993" s="1021"/>
      <c r="G993" s="818" t="s">
        <v>19</v>
      </c>
      <c r="H993" s="819">
        <v>7.0000000000000007E-2</v>
      </c>
      <c r="I993" s="820">
        <v>15.54</v>
      </c>
      <c r="J993" s="820">
        <v>1.08</v>
      </c>
    </row>
    <row r="994" spans="1:10" ht="38.25" customHeight="1">
      <c r="A994" s="817" t="s">
        <v>13491</v>
      </c>
      <c r="B994" s="816" t="s">
        <v>13574</v>
      </c>
      <c r="C994" s="817" t="s">
        <v>6</v>
      </c>
      <c r="D994" s="817" t="s">
        <v>34</v>
      </c>
      <c r="E994" s="1021" t="s">
        <v>13490</v>
      </c>
      <c r="F994" s="1021"/>
      <c r="G994" s="818" t="s">
        <v>19</v>
      </c>
      <c r="H994" s="819">
        <v>7.0000000000000007E-2</v>
      </c>
      <c r="I994" s="820">
        <v>18.72</v>
      </c>
      <c r="J994" s="820">
        <v>1.31</v>
      </c>
    </row>
    <row r="995" spans="1:10">
      <c r="A995" s="822" t="s">
        <v>13493</v>
      </c>
      <c r="B995" s="821" t="s">
        <v>13910</v>
      </c>
      <c r="C995" s="822" t="s">
        <v>6</v>
      </c>
      <c r="D995" s="822" t="s">
        <v>8519</v>
      </c>
      <c r="E995" s="1017" t="s">
        <v>13514</v>
      </c>
      <c r="F995" s="1017"/>
      <c r="G995" s="823" t="s">
        <v>24</v>
      </c>
      <c r="H995" s="824">
        <v>4.8999999999999998E-3</v>
      </c>
      <c r="I995" s="825">
        <v>76.94</v>
      </c>
      <c r="J995" s="825">
        <v>0.37</v>
      </c>
    </row>
    <row r="996" spans="1:10">
      <c r="A996" s="822" t="s">
        <v>13493</v>
      </c>
      <c r="B996" s="821" t="s">
        <v>13913</v>
      </c>
      <c r="C996" s="822" t="s">
        <v>6</v>
      </c>
      <c r="D996" s="822" t="s">
        <v>4706</v>
      </c>
      <c r="E996" s="1017" t="s">
        <v>13514</v>
      </c>
      <c r="F996" s="1017"/>
      <c r="G996" s="823" t="s">
        <v>24</v>
      </c>
      <c r="H996" s="824">
        <v>1.7000000000000001E-2</v>
      </c>
      <c r="I996" s="825">
        <v>2.2000000000000002</v>
      </c>
      <c r="J996" s="825">
        <v>0.03</v>
      </c>
    </row>
    <row r="997" spans="1:10" ht="25.5">
      <c r="A997" s="822" t="s">
        <v>13493</v>
      </c>
      <c r="B997" s="821" t="s">
        <v>13922</v>
      </c>
      <c r="C997" s="822" t="s">
        <v>6</v>
      </c>
      <c r="D997" s="822" t="s">
        <v>12065</v>
      </c>
      <c r="E997" s="1017" t="s">
        <v>13514</v>
      </c>
      <c r="F997" s="1017"/>
      <c r="G997" s="823" t="s">
        <v>24</v>
      </c>
      <c r="H997" s="824">
        <v>1</v>
      </c>
      <c r="I997" s="825">
        <v>12.03</v>
      </c>
      <c r="J997" s="825">
        <v>12.03</v>
      </c>
    </row>
    <row r="998" spans="1:10" ht="13.5" customHeight="1">
      <c r="A998" s="822" t="s">
        <v>13493</v>
      </c>
      <c r="B998" s="821" t="s">
        <v>13915</v>
      </c>
      <c r="C998" s="822" t="s">
        <v>6</v>
      </c>
      <c r="D998" s="822" t="s">
        <v>12249</v>
      </c>
      <c r="E998" s="1017" t="s">
        <v>13514</v>
      </c>
      <c r="F998" s="1017"/>
      <c r="G998" s="823" t="s">
        <v>24</v>
      </c>
      <c r="H998" s="824">
        <v>7.4999999999999997E-3</v>
      </c>
      <c r="I998" s="825">
        <v>87.17</v>
      </c>
      <c r="J998" s="825">
        <v>0.65</v>
      </c>
    </row>
    <row r="999" spans="1:10" ht="25.5">
      <c r="A999" s="827"/>
      <c r="B999" s="827"/>
      <c r="C999" s="827"/>
      <c r="D999" s="827"/>
      <c r="E999" s="827" t="s">
        <v>13503</v>
      </c>
      <c r="F999" s="826">
        <v>1.78</v>
      </c>
      <c r="G999" s="827" t="s">
        <v>13504</v>
      </c>
      <c r="H999" s="826">
        <v>0</v>
      </c>
      <c r="I999" s="827" t="s">
        <v>13505</v>
      </c>
      <c r="J999" s="826">
        <v>1.78</v>
      </c>
    </row>
    <row r="1000" spans="1:10" ht="13.5" customHeight="1" thickBot="1">
      <c r="A1000" s="827"/>
      <c r="B1000" s="827"/>
      <c r="C1000" s="827"/>
      <c r="D1000" s="827"/>
      <c r="E1000" s="827" t="s">
        <v>13506</v>
      </c>
      <c r="F1000" s="826">
        <v>4.3600000000000003</v>
      </c>
      <c r="G1000" s="827"/>
      <c r="H1000" s="1018" t="s">
        <v>13507</v>
      </c>
      <c r="I1000" s="1018"/>
      <c r="J1000" s="826">
        <v>19.829999999999998</v>
      </c>
    </row>
    <row r="1001" spans="1:10" ht="38.25" customHeight="1" thickTop="1">
      <c r="A1001" s="828"/>
      <c r="B1001" s="828"/>
      <c r="C1001" s="828"/>
      <c r="D1001" s="828"/>
      <c r="E1001" s="828"/>
      <c r="F1001" s="828"/>
      <c r="G1001" s="828"/>
      <c r="H1001" s="828"/>
      <c r="I1001" s="828"/>
      <c r="J1001" s="828"/>
    </row>
    <row r="1002" spans="1:10" ht="25.5" customHeight="1">
      <c r="A1002" s="809" t="s">
        <v>13923</v>
      </c>
      <c r="B1002" s="808" t="s">
        <v>13481</v>
      </c>
      <c r="C1002" s="809" t="s">
        <v>13482</v>
      </c>
      <c r="D1002" s="809" t="s">
        <v>13483</v>
      </c>
      <c r="E1002" s="1019" t="s">
        <v>13484</v>
      </c>
      <c r="F1002" s="1019"/>
      <c r="G1002" s="810" t="s">
        <v>13485</v>
      </c>
      <c r="H1002" s="808" t="s">
        <v>13486</v>
      </c>
      <c r="I1002" s="808" t="s">
        <v>13487</v>
      </c>
      <c r="J1002" s="808" t="s">
        <v>4867</v>
      </c>
    </row>
    <row r="1003" spans="1:10" ht="25.5" customHeight="1">
      <c r="A1003" s="812" t="s">
        <v>13488</v>
      </c>
      <c r="B1003" s="811" t="s">
        <v>13924</v>
      </c>
      <c r="C1003" s="812" t="s">
        <v>6</v>
      </c>
      <c r="D1003" s="812" t="s">
        <v>4421</v>
      </c>
      <c r="E1003" s="1020" t="s">
        <v>13898</v>
      </c>
      <c r="F1003" s="1020"/>
      <c r="G1003" s="813" t="s">
        <v>24</v>
      </c>
      <c r="H1003" s="814">
        <v>1</v>
      </c>
      <c r="I1003" s="815">
        <v>13.13</v>
      </c>
      <c r="J1003" s="815">
        <v>13.13</v>
      </c>
    </row>
    <row r="1004" spans="1:10" ht="25.5" customHeight="1">
      <c r="A1004" s="817" t="s">
        <v>13491</v>
      </c>
      <c r="B1004" s="816" t="s">
        <v>13553</v>
      </c>
      <c r="C1004" s="817" t="s">
        <v>6</v>
      </c>
      <c r="D1004" s="817" t="s">
        <v>21</v>
      </c>
      <c r="E1004" s="1021" t="s">
        <v>13490</v>
      </c>
      <c r="F1004" s="1021"/>
      <c r="G1004" s="818" t="s">
        <v>19</v>
      </c>
      <c r="H1004" s="819">
        <v>2.6599999999999999E-2</v>
      </c>
      <c r="I1004" s="820">
        <v>15.16</v>
      </c>
      <c r="J1004" s="820">
        <v>0.4</v>
      </c>
    </row>
    <row r="1005" spans="1:10" ht="25.5" customHeight="1">
      <c r="A1005" s="817" t="s">
        <v>13491</v>
      </c>
      <c r="B1005" s="816" t="s">
        <v>13574</v>
      </c>
      <c r="C1005" s="817" t="s">
        <v>6</v>
      </c>
      <c r="D1005" s="817" t="s">
        <v>34</v>
      </c>
      <c r="E1005" s="1021" t="s">
        <v>13490</v>
      </c>
      <c r="F1005" s="1021"/>
      <c r="G1005" s="818" t="s">
        <v>19</v>
      </c>
      <c r="H1005" s="819">
        <v>8.4500000000000006E-2</v>
      </c>
      <c r="I1005" s="820">
        <v>18.72</v>
      </c>
      <c r="J1005" s="820">
        <v>1.58</v>
      </c>
    </row>
    <row r="1006" spans="1:10">
      <c r="A1006" s="822" t="s">
        <v>13493</v>
      </c>
      <c r="B1006" s="821" t="s">
        <v>13925</v>
      </c>
      <c r="C1006" s="822" t="s">
        <v>6</v>
      </c>
      <c r="D1006" s="822" t="s">
        <v>4681</v>
      </c>
      <c r="E1006" s="1017" t="s">
        <v>13514</v>
      </c>
      <c r="F1006" s="1017"/>
      <c r="G1006" s="823" t="s">
        <v>24</v>
      </c>
      <c r="H1006" s="824">
        <v>3.32E-2</v>
      </c>
      <c r="I1006" s="825">
        <v>5</v>
      </c>
      <c r="J1006" s="825">
        <v>0.16</v>
      </c>
    </row>
    <row r="1007" spans="1:10" ht="25.5">
      <c r="A1007" s="822" t="s">
        <v>13493</v>
      </c>
      <c r="B1007" s="821" t="s">
        <v>13926</v>
      </c>
      <c r="C1007" s="822" t="s">
        <v>6</v>
      </c>
      <c r="D1007" s="822" t="s">
        <v>4783</v>
      </c>
      <c r="E1007" s="1017" t="s">
        <v>13514</v>
      </c>
      <c r="F1007" s="1017"/>
      <c r="G1007" s="823" t="s">
        <v>24</v>
      </c>
      <c r="H1007" s="824">
        <v>1</v>
      </c>
      <c r="I1007" s="825">
        <v>10.99</v>
      </c>
      <c r="J1007" s="825">
        <v>10.99</v>
      </c>
    </row>
    <row r="1008" spans="1:10" ht="25.5">
      <c r="A1008" s="827"/>
      <c r="B1008" s="827"/>
      <c r="C1008" s="827"/>
      <c r="D1008" s="827"/>
      <c r="E1008" s="827" t="s">
        <v>13503</v>
      </c>
      <c r="F1008" s="826">
        <v>1.48</v>
      </c>
      <c r="G1008" s="827" t="s">
        <v>13504</v>
      </c>
      <c r="H1008" s="826">
        <v>0</v>
      </c>
      <c r="I1008" s="827" t="s">
        <v>13505</v>
      </c>
      <c r="J1008" s="826">
        <v>1.48</v>
      </c>
    </row>
    <row r="1009" spans="1:10" ht="13.5" customHeight="1" thickBot="1">
      <c r="A1009" s="827"/>
      <c r="B1009" s="827"/>
      <c r="C1009" s="827"/>
      <c r="D1009" s="827"/>
      <c r="E1009" s="827" t="s">
        <v>13506</v>
      </c>
      <c r="F1009" s="826">
        <v>3.7</v>
      </c>
      <c r="G1009" s="827"/>
      <c r="H1009" s="1018" t="s">
        <v>13507</v>
      </c>
      <c r="I1009" s="1018"/>
      <c r="J1009" s="826">
        <v>16.829999999999998</v>
      </c>
    </row>
    <row r="1010" spans="1:10" ht="13.5" thickTop="1">
      <c r="A1010" s="828"/>
      <c r="B1010" s="828"/>
      <c r="C1010" s="828"/>
      <c r="D1010" s="828"/>
      <c r="E1010" s="828"/>
      <c r="F1010" s="828"/>
      <c r="G1010" s="828"/>
      <c r="H1010" s="828"/>
      <c r="I1010" s="828"/>
      <c r="J1010" s="828"/>
    </row>
    <row r="1011" spans="1:10" ht="15">
      <c r="A1011" s="809" t="s">
        <v>13927</v>
      </c>
      <c r="B1011" s="808" t="s">
        <v>13481</v>
      </c>
      <c r="C1011" s="809" t="s">
        <v>13482</v>
      </c>
      <c r="D1011" s="809" t="s">
        <v>13483</v>
      </c>
      <c r="E1011" s="1019" t="s">
        <v>13484</v>
      </c>
      <c r="F1011" s="1019"/>
      <c r="G1011" s="810" t="s">
        <v>13485</v>
      </c>
      <c r="H1011" s="808" t="s">
        <v>13486</v>
      </c>
      <c r="I1011" s="808" t="s">
        <v>13487</v>
      </c>
      <c r="J1011" s="808" t="s">
        <v>4867</v>
      </c>
    </row>
    <row r="1012" spans="1:10" ht="13.5" customHeight="1">
      <c r="A1012" s="812" t="s">
        <v>13488</v>
      </c>
      <c r="B1012" s="811" t="s">
        <v>13928</v>
      </c>
      <c r="C1012" s="812" t="s">
        <v>6</v>
      </c>
      <c r="D1012" s="812" t="s">
        <v>4417</v>
      </c>
      <c r="E1012" s="1020" t="s">
        <v>13898</v>
      </c>
      <c r="F1012" s="1020"/>
      <c r="G1012" s="813" t="s">
        <v>24</v>
      </c>
      <c r="H1012" s="814">
        <v>1</v>
      </c>
      <c r="I1012" s="815">
        <v>7</v>
      </c>
      <c r="J1012" s="815">
        <v>7</v>
      </c>
    </row>
    <row r="1013" spans="1:10" ht="38.25" customHeight="1">
      <c r="A1013" s="817" t="s">
        <v>13491</v>
      </c>
      <c r="B1013" s="816" t="s">
        <v>13574</v>
      </c>
      <c r="C1013" s="817" t="s">
        <v>6</v>
      </c>
      <c r="D1013" s="817" t="s">
        <v>34</v>
      </c>
      <c r="E1013" s="1021" t="s">
        <v>13490</v>
      </c>
      <c r="F1013" s="1021"/>
      <c r="G1013" s="818" t="s">
        <v>19</v>
      </c>
      <c r="H1013" s="819">
        <v>0.1232</v>
      </c>
      <c r="I1013" s="820">
        <v>18.72</v>
      </c>
      <c r="J1013" s="820">
        <v>2.2999999999999998</v>
      </c>
    </row>
    <row r="1014" spans="1:10" ht="38.25" customHeight="1">
      <c r="A1014" s="817" t="s">
        <v>13491</v>
      </c>
      <c r="B1014" s="816" t="s">
        <v>13553</v>
      </c>
      <c r="C1014" s="817" t="s">
        <v>6</v>
      </c>
      <c r="D1014" s="817" t="s">
        <v>21</v>
      </c>
      <c r="E1014" s="1021" t="s">
        <v>13490</v>
      </c>
      <c r="F1014" s="1021"/>
      <c r="G1014" s="818" t="s">
        <v>19</v>
      </c>
      <c r="H1014" s="819">
        <v>3.8800000000000001E-2</v>
      </c>
      <c r="I1014" s="820">
        <v>15.16</v>
      </c>
      <c r="J1014" s="820">
        <v>0.57999999999999996</v>
      </c>
    </row>
    <row r="1015" spans="1:10" ht="38.25" customHeight="1">
      <c r="A1015" s="822" t="s">
        <v>13493</v>
      </c>
      <c r="B1015" s="821" t="s">
        <v>13925</v>
      </c>
      <c r="C1015" s="822" t="s">
        <v>6</v>
      </c>
      <c r="D1015" s="822" t="s">
        <v>4681</v>
      </c>
      <c r="E1015" s="1017" t="s">
        <v>13514</v>
      </c>
      <c r="F1015" s="1017"/>
      <c r="G1015" s="823" t="s">
        <v>24</v>
      </c>
      <c r="H1015" s="824">
        <v>3.32E-2</v>
      </c>
      <c r="I1015" s="825">
        <v>5</v>
      </c>
      <c r="J1015" s="825">
        <v>0.16</v>
      </c>
    </row>
    <row r="1016" spans="1:10" ht="25.5">
      <c r="A1016" s="822" t="s">
        <v>13493</v>
      </c>
      <c r="B1016" s="821" t="s">
        <v>13929</v>
      </c>
      <c r="C1016" s="822" t="s">
        <v>6</v>
      </c>
      <c r="D1016" s="822" t="s">
        <v>4818</v>
      </c>
      <c r="E1016" s="1017" t="s">
        <v>13514</v>
      </c>
      <c r="F1016" s="1017"/>
      <c r="G1016" s="823" t="s">
        <v>24</v>
      </c>
      <c r="H1016" s="824">
        <v>1</v>
      </c>
      <c r="I1016" s="825">
        <v>3.96</v>
      </c>
      <c r="J1016" s="825">
        <v>3.96</v>
      </c>
    </row>
    <row r="1017" spans="1:10" ht="25.5">
      <c r="A1017" s="827"/>
      <c r="B1017" s="827"/>
      <c r="C1017" s="827"/>
      <c r="D1017" s="827"/>
      <c r="E1017" s="827" t="s">
        <v>13503</v>
      </c>
      <c r="F1017" s="826">
        <v>2.17</v>
      </c>
      <c r="G1017" s="827" t="s">
        <v>13504</v>
      </c>
      <c r="H1017" s="826">
        <v>0</v>
      </c>
      <c r="I1017" s="827" t="s">
        <v>13505</v>
      </c>
      <c r="J1017" s="826">
        <v>2.17</v>
      </c>
    </row>
    <row r="1018" spans="1:10" ht="13.5" customHeight="1" thickBot="1">
      <c r="A1018" s="827"/>
      <c r="B1018" s="827"/>
      <c r="C1018" s="827"/>
      <c r="D1018" s="827"/>
      <c r="E1018" s="827" t="s">
        <v>13506</v>
      </c>
      <c r="F1018" s="826">
        <v>1.97</v>
      </c>
      <c r="G1018" s="827"/>
      <c r="H1018" s="1018" t="s">
        <v>13507</v>
      </c>
      <c r="I1018" s="1018"/>
      <c r="J1018" s="826">
        <v>8.9700000000000006</v>
      </c>
    </row>
    <row r="1019" spans="1:10" ht="13.5" thickTop="1">
      <c r="A1019" s="828"/>
      <c r="B1019" s="828"/>
      <c r="C1019" s="828"/>
      <c r="D1019" s="828"/>
      <c r="E1019" s="828"/>
      <c r="F1019" s="828"/>
      <c r="G1019" s="828"/>
      <c r="H1019" s="828"/>
      <c r="I1019" s="828"/>
      <c r="J1019" s="828"/>
    </row>
    <row r="1020" spans="1:10" ht="15">
      <c r="A1020" s="809" t="s">
        <v>13930</v>
      </c>
      <c r="B1020" s="808" t="s">
        <v>13481</v>
      </c>
      <c r="C1020" s="809" t="s">
        <v>13482</v>
      </c>
      <c r="D1020" s="809" t="s">
        <v>13483</v>
      </c>
      <c r="E1020" s="1019" t="s">
        <v>13484</v>
      </c>
      <c r="F1020" s="1019"/>
      <c r="G1020" s="810" t="s">
        <v>13485</v>
      </c>
      <c r="H1020" s="808" t="s">
        <v>13486</v>
      </c>
      <c r="I1020" s="808" t="s">
        <v>13487</v>
      </c>
      <c r="J1020" s="808" t="s">
        <v>4867</v>
      </c>
    </row>
    <row r="1021" spans="1:10" ht="25.5" customHeight="1">
      <c r="A1021" s="812" t="s">
        <v>13488</v>
      </c>
      <c r="B1021" s="811" t="s">
        <v>13931</v>
      </c>
      <c r="C1021" s="812" t="s">
        <v>6</v>
      </c>
      <c r="D1021" s="812" t="s">
        <v>1440</v>
      </c>
      <c r="E1021" s="1020" t="s">
        <v>13898</v>
      </c>
      <c r="F1021" s="1020"/>
      <c r="G1021" s="813" t="s">
        <v>24</v>
      </c>
      <c r="H1021" s="814">
        <v>1</v>
      </c>
      <c r="I1021" s="815">
        <v>10.87</v>
      </c>
      <c r="J1021" s="815">
        <v>10.87</v>
      </c>
    </row>
    <row r="1022" spans="1:10" ht="25.5" customHeight="1">
      <c r="A1022" s="817" t="s">
        <v>13491</v>
      </c>
      <c r="B1022" s="816" t="s">
        <v>13909</v>
      </c>
      <c r="C1022" s="817" t="s">
        <v>6</v>
      </c>
      <c r="D1022" s="817" t="s">
        <v>986</v>
      </c>
      <c r="E1022" s="1021" t="s">
        <v>13490</v>
      </c>
      <c r="F1022" s="1021"/>
      <c r="G1022" s="818" t="s">
        <v>19</v>
      </c>
      <c r="H1022" s="819">
        <v>0.1</v>
      </c>
      <c r="I1022" s="820">
        <v>15.54</v>
      </c>
      <c r="J1022" s="820">
        <v>1.55</v>
      </c>
    </row>
    <row r="1023" spans="1:10" ht="25.5" customHeight="1">
      <c r="A1023" s="817" t="s">
        <v>13491</v>
      </c>
      <c r="B1023" s="816" t="s">
        <v>13574</v>
      </c>
      <c r="C1023" s="817" t="s">
        <v>6</v>
      </c>
      <c r="D1023" s="817" t="s">
        <v>34</v>
      </c>
      <c r="E1023" s="1021" t="s">
        <v>13490</v>
      </c>
      <c r="F1023" s="1021"/>
      <c r="G1023" s="818" t="s">
        <v>19</v>
      </c>
      <c r="H1023" s="819">
        <v>0.1</v>
      </c>
      <c r="I1023" s="820">
        <v>18.72</v>
      </c>
      <c r="J1023" s="820">
        <v>1.87</v>
      </c>
    </row>
    <row r="1024" spans="1:10" ht="25.5" customHeight="1">
      <c r="A1024" s="822" t="s">
        <v>13493</v>
      </c>
      <c r="B1024" s="821" t="s">
        <v>13910</v>
      </c>
      <c r="C1024" s="822" t="s">
        <v>6</v>
      </c>
      <c r="D1024" s="822" t="s">
        <v>8519</v>
      </c>
      <c r="E1024" s="1017" t="s">
        <v>13514</v>
      </c>
      <c r="F1024" s="1017"/>
      <c r="G1024" s="823" t="s">
        <v>24</v>
      </c>
      <c r="H1024" s="824">
        <v>9.9000000000000008E-3</v>
      </c>
      <c r="I1024" s="825">
        <v>76.94</v>
      </c>
      <c r="J1024" s="825">
        <v>0.76</v>
      </c>
    </row>
    <row r="1025" spans="1:10">
      <c r="A1025" s="822" t="s">
        <v>13493</v>
      </c>
      <c r="B1025" s="821" t="s">
        <v>13932</v>
      </c>
      <c r="C1025" s="822" t="s">
        <v>6</v>
      </c>
      <c r="D1025" s="822" t="s">
        <v>4635</v>
      </c>
      <c r="E1025" s="1017" t="s">
        <v>13514</v>
      </c>
      <c r="F1025" s="1017"/>
      <c r="G1025" s="823" t="s">
        <v>24</v>
      </c>
      <c r="H1025" s="824">
        <v>1</v>
      </c>
      <c r="I1025" s="825">
        <v>5.35</v>
      </c>
      <c r="J1025" s="825">
        <v>5.35</v>
      </c>
    </row>
    <row r="1026" spans="1:10">
      <c r="A1026" s="822" t="s">
        <v>13493</v>
      </c>
      <c r="B1026" s="821" t="s">
        <v>13913</v>
      </c>
      <c r="C1026" s="822" t="s">
        <v>6</v>
      </c>
      <c r="D1026" s="822" t="s">
        <v>4706</v>
      </c>
      <c r="E1026" s="1017" t="s">
        <v>13514</v>
      </c>
      <c r="F1026" s="1017"/>
      <c r="G1026" s="823" t="s">
        <v>24</v>
      </c>
      <c r="H1026" s="824">
        <v>2.1000000000000001E-2</v>
      </c>
      <c r="I1026" s="825">
        <v>2.2000000000000002</v>
      </c>
      <c r="J1026" s="825">
        <v>0.04</v>
      </c>
    </row>
    <row r="1027" spans="1:10" ht="25.5">
      <c r="A1027" s="822" t="s">
        <v>13493</v>
      </c>
      <c r="B1027" s="821" t="s">
        <v>13915</v>
      </c>
      <c r="C1027" s="822" t="s">
        <v>6</v>
      </c>
      <c r="D1027" s="822" t="s">
        <v>12249</v>
      </c>
      <c r="E1027" s="1017" t="s">
        <v>13514</v>
      </c>
      <c r="F1027" s="1017"/>
      <c r="G1027" s="823" t="s">
        <v>24</v>
      </c>
      <c r="H1027" s="824">
        <v>1.4999999999999999E-2</v>
      </c>
      <c r="I1027" s="825">
        <v>87.17</v>
      </c>
      <c r="J1027" s="825">
        <v>1.3</v>
      </c>
    </row>
    <row r="1028" spans="1:10" ht="25.5">
      <c r="A1028" s="827"/>
      <c r="B1028" s="827"/>
      <c r="C1028" s="827"/>
      <c r="D1028" s="827"/>
      <c r="E1028" s="827" t="s">
        <v>13503</v>
      </c>
      <c r="F1028" s="826">
        <v>2.5499999999999998</v>
      </c>
      <c r="G1028" s="827" t="s">
        <v>13504</v>
      </c>
      <c r="H1028" s="826">
        <v>0</v>
      </c>
      <c r="I1028" s="827" t="s">
        <v>13505</v>
      </c>
      <c r="J1028" s="826">
        <v>2.5499999999999998</v>
      </c>
    </row>
    <row r="1029" spans="1:10" ht="13.5" customHeight="1" thickBot="1">
      <c r="A1029" s="827"/>
      <c r="B1029" s="827"/>
      <c r="C1029" s="827"/>
      <c r="D1029" s="827"/>
      <c r="E1029" s="827" t="s">
        <v>13506</v>
      </c>
      <c r="F1029" s="826">
        <v>3.06</v>
      </c>
      <c r="G1029" s="827"/>
      <c r="H1029" s="1018" t="s">
        <v>13507</v>
      </c>
      <c r="I1029" s="1018"/>
      <c r="J1029" s="826">
        <v>13.93</v>
      </c>
    </row>
    <row r="1030" spans="1:10" ht="13.5" thickTop="1">
      <c r="A1030" s="828"/>
      <c r="B1030" s="828"/>
      <c r="C1030" s="828"/>
      <c r="D1030" s="828"/>
      <c r="E1030" s="828"/>
      <c r="F1030" s="828"/>
      <c r="G1030" s="828"/>
      <c r="H1030" s="828"/>
      <c r="I1030" s="828"/>
      <c r="J1030" s="828"/>
    </row>
    <row r="1031" spans="1:10" ht="13.5" customHeight="1">
      <c r="A1031" s="809" t="s">
        <v>13933</v>
      </c>
      <c r="B1031" s="808" t="s">
        <v>13481</v>
      </c>
      <c r="C1031" s="809" t="s">
        <v>13482</v>
      </c>
      <c r="D1031" s="809" t="s">
        <v>13483</v>
      </c>
      <c r="E1031" s="1019" t="s">
        <v>13484</v>
      </c>
      <c r="F1031" s="1019"/>
      <c r="G1031" s="810" t="s">
        <v>13485</v>
      </c>
      <c r="H1031" s="808" t="s">
        <v>13486</v>
      </c>
      <c r="I1031" s="808" t="s">
        <v>13487</v>
      </c>
      <c r="J1031" s="808" t="s">
        <v>4867</v>
      </c>
    </row>
    <row r="1032" spans="1:10" ht="38.25" customHeight="1">
      <c r="A1032" s="812" t="s">
        <v>13488</v>
      </c>
      <c r="B1032" s="811" t="s">
        <v>13934</v>
      </c>
      <c r="C1032" s="812" t="s">
        <v>6</v>
      </c>
      <c r="D1032" s="812" t="s">
        <v>1456</v>
      </c>
      <c r="E1032" s="1020" t="s">
        <v>13898</v>
      </c>
      <c r="F1032" s="1020"/>
      <c r="G1032" s="813" t="s">
        <v>24</v>
      </c>
      <c r="H1032" s="814">
        <v>1</v>
      </c>
      <c r="I1032" s="815">
        <v>25.12</v>
      </c>
      <c r="J1032" s="815">
        <v>25.12</v>
      </c>
    </row>
    <row r="1033" spans="1:10" ht="38.25" customHeight="1">
      <c r="A1033" s="817" t="s">
        <v>13491</v>
      </c>
      <c r="B1033" s="816" t="s">
        <v>13909</v>
      </c>
      <c r="C1033" s="817" t="s">
        <v>6</v>
      </c>
      <c r="D1033" s="817" t="s">
        <v>986</v>
      </c>
      <c r="E1033" s="1021" t="s">
        <v>13490</v>
      </c>
      <c r="F1033" s="1021"/>
      <c r="G1033" s="818" t="s">
        <v>19</v>
      </c>
      <c r="H1033" s="819">
        <v>0.25</v>
      </c>
      <c r="I1033" s="820">
        <v>15.54</v>
      </c>
      <c r="J1033" s="820">
        <v>3.88</v>
      </c>
    </row>
    <row r="1034" spans="1:10" ht="38.25" customHeight="1">
      <c r="A1034" s="817" t="s">
        <v>13491</v>
      </c>
      <c r="B1034" s="816" t="s">
        <v>13574</v>
      </c>
      <c r="C1034" s="817" t="s">
        <v>6</v>
      </c>
      <c r="D1034" s="817" t="s">
        <v>34</v>
      </c>
      <c r="E1034" s="1021" t="s">
        <v>13490</v>
      </c>
      <c r="F1034" s="1021"/>
      <c r="G1034" s="818" t="s">
        <v>19</v>
      </c>
      <c r="H1034" s="819">
        <v>0.25</v>
      </c>
      <c r="I1034" s="820">
        <v>18.72</v>
      </c>
      <c r="J1034" s="820">
        <v>4.68</v>
      </c>
    </row>
    <row r="1035" spans="1:10">
      <c r="A1035" s="822" t="s">
        <v>13493</v>
      </c>
      <c r="B1035" s="821" t="s">
        <v>13935</v>
      </c>
      <c r="C1035" s="822" t="s">
        <v>6</v>
      </c>
      <c r="D1035" s="822" t="s">
        <v>4583</v>
      </c>
      <c r="E1035" s="1017" t="s">
        <v>13514</v>
      </c>
      <c r="F1035" s="1017"/>
      <c r="G1035" s="823" t="s">
        <v>24</v>
      </c>
      <c r="H1035" s="824">
        <v>1</v>
      </c>
      <c r="I1035" s="825">
        <v>4.84</v>
      </c>
      <c r="J1035" s="825">
        <v>4.84</v>
      </c>
    </row>
    <row r="1036" spans="1:10" ht="25.5">
      <c r="A1036" s="822" t="s">
        <v>13493</v>
      </c>
      <c r="B1036" s="821" t="s">
        <v>13936</v>
      </c>
      <c r="C1036" s="822" t="s">
        <v>6</v>
      </c>
      <c r="D1036" s="822" t="s">
        <v>4693</v>
      </c>
      <c r="E1036" s="1017" t="s">
        <v>13514</v>
      </c>
      <c r="F1036" s="1017"/>
      <c r="G1036" s="823" t="s">
        <v>24</v>
      </c>
      <c r="H1036" s="824">
        <v>1</v>
      </c>
      <c r="I1036" s="825">
        <v>10.26</v>
      </c>
      <c r="J1036" s="825">
        <v>10.26</v>
      </c>
    </row>
    <row r="1037" spans="1:10" ht="38.25">
      <c r="A1037" s="822" t="s">
        <v>13493</v>
      </c>
      <c r="B1037" s="821" t="s">
        <v>13914</v>
      </c>
      <c r="C1037" s="822" t="s">
        <v>6</v>
      </c>
      <c r="D1037" s="822" t="s">
        <v>11643</v>
      </c>
      <c r="E1037" s="1017" t="s">
        <v>13514</v>
      </c>
      <c r="F1037" s="1017"/>
      <c r="G1037" s="823" t="s">
        <v>24</v>
      </c>
      <c r="H1037" s="824">
        <v>4.5999999999999999E-2</v>
      </c>
      <c r="I1037" s="825">
        <v>31.75</v>
      </c>
      <c r="J1037" s="825">
        <v>1.46</v>
      </c>
    </row>
    <row r="1038" spans="1:10" ht="25.5">
      <c r="A1038" s="827"/>
      <c r="B1038" s="827"/>
      <c r="C1038" s="827"/>
      <c r="D1038" s="827"/>
      <c r="E1038" s="827" t="s">
        <v>13503</v>
      </c>
      <c r="F1038" s="826">
        <v>6.39</v>
      </c>
      <c r="G1038" s="827" t="s">
        <v>13504</v>
      </c>
      <c r="H1038" s="826">
        <v>0</v>
      </c>
      <c r="I1038" s="827" t="s">
        <v>13505</v>
      </c>
      <c r="J1038" s="826">
        <v>6.39</v>
      </c>
    </row>
    <row r="1039" spans="1:10" ht="13.5" customHeight="1" thickBot="1">
      <c r="A1039" s="827"/>
      <c r="B1039" s="827"/>
      <c r="C1039" s="827"/>
      <c r="D1039" s="827"/>
      <c r="E1039" s="827" t="s">
        <v>13506</v>
      </c>
      <c r="F1039" s="826">
        <v>7.09</v>
      </c>
      <c r="G1039" s="827"/>
      <c r="H1039" s="1018" t="s">
        <v>13507</v>
      </c>
      <c r="I1039" s="1018"/>
      <c r="J1039" s="826">
        <v>32.21</v>
      </c>
    </row>
    <row r="1040" spans="1:10" ht="13.5" thickTop="1">
      <c r="A1040" s="828"/>
      <c r="B1040" s="828"/>
      <c r="C1040" s="828"/>
      <c r="D1040" s="828"/>
      <c r="E1040" s="828"/>
      <c r="F1040" s="828"/>
      <c r="G1040" s="828"/>
      <c r="H1040" s="828"/>
      <c r="I1040" s="828"/>
      <c r="J1040" s="828"/>
    </row>
    <row r="1041" spans="1:10" ht="15">
      <c r="A1041" s="809" t="s">
        <v>13937</v>
      </c>
      <c r="B1041" s="808" t="s">
        <v>13481</v>
      </c>
      <c r="C1041" s="809" t="s">
        <v>13482</v>
      </c>
      <c r="D1041" s="809" t="s">
        <v>13483</v>
      </c>
      <c r="E1041" s="1019" t="s">
        <v>13484</v>
      </c>
      <c r="F1041" s="1019"/>
      <c r="G1041" s="810" t="s">
        <v>13485</v>
      </c>
      <c r="H1041" s="808" t="s">
        <v>13486</v>
      </c>
      <c r="I1041" s="808" t="s">
        <v>13487</v>
      </c>
      <c r="J1041" s="808" t="s">
        <v>4867</v>
      </c>
    </row>
    <row r="1042" spans="1:10" ht="38.25" customHeight="1">
      <c r="A1042" s="812" t="s">
        <v>13488</v>
      </c>
      <c r="B1042" s="811" t="s">
        <v>13938</v>
      </c>
      <c r="C1042" s="812" t="s">
        <v>6</v>
      </c>
      <c r="D1042" s="812" t="s">
        <v>1438</v>
      </c>
      <c r="E1042" s="1020" t="s">
        <v>13898</v>
      </c>
      <c r="F1042" s="1020"/>
      <c r="G1042" s="813" t="s">
        <v>24</v>
      </c>
      <c r="H1042" s="814">
        <v>1</v>
      </c>
      <c r="I1042" s="815">
        <v>6.82</v>
      </c>
      <c r="J1042" s="815">
        <v>6.82</v>
      </c>
    </row>
    <row r="1043" spans="1:10" ht="38.25" customHeight="1">
      <c r="A1043" s="817" t="s">
        <v>13491</v>
      </c>
      <c r="B1043" s="816" t="s">
        <v>13909</v>
      </c>
      <c r="C1043" s="817" t="s">
        <v>6</v>
      </c>
      <c r="D1043" s="817" t="s">
        <v>986</v>
      </c>
      <c r="E1043" s="1021" t="s">
        <v>13490</v>
      </c>
      <c r="F1043" s="1021"/>
      <c r="G1043" s="818" t="s">
        <v>19</v>
      </c>
      <c r="H1043" s="819">
        <v>0.1</v>
      </c>
      <c r="I1043" s="820">
        <v>15.54</v>
      </c>
      <c r="J1043" s="820">
        <v>1.55</v>
      </c>
    </row>
    <row r="1044" spans="1:10" ht="13.5" customHeight="1">
      <c r="A1044" s="817" t="s">
        <v>13491</v>
      </c>
      <c r="B1044" s="816" t="s">
        <v>13574</v>
      </c>
      <c r="C1044" s="817" t="s">
        <v>6</v>
      </c>
      <c r="D1044" s="817" t="s">
        <v>34</v>
      </c>
      <c r="E1044" s="1021" t="s">
        <v>13490</v>
      </c>
      <c r="F1044" s="1021"/>
      <c r="G1044" s="818" t="s">
        <v>19</v>
      </c>
      <c r="H1044" s="819">
        <v>0.1</v>
      </c>
      <c r="I1044" s="820">
        <v>18.72</v>
      </c>
      <c r="J1044" s="820">
        <v>1.87</v>
      </c>
    </row>
    <row r="1045" spans="1:10">
      <c r="A1045" s="822" t="s">
        <v>13493</v>
      </c>
      <c r="B1045" s="821" t="s">
        <v>13910</v>
      </c>
      <c r="C1045" s="822" t="s">
        <v>6</v>
      </c>
      <c r="D1045" s="822" t="s">
        <v>8519</v>
      </c>
      <c r="E1045" s="1017" t="s">
        <v>13514</v>
      </c>
      <c r="F1045" s="1017"/>
      <c r="G1045" s="823" t="s">
        <v>24</v>
      </c>
      <c r="H1045" s="824">
        <v>9.9000000000000008E-3</v>
      </c>
      <c r="I1045" s="825">
        <v>76.94</v>
      </c>
      <c r="J1045" s="825">
        <v>0.76</v>
      </c>
    </row>
    <row r="1046" spans="1:10" ht="25.5">
      <c r="A1046" s="822" t="s">
        <v>13493</v>
      </c>
      <c r="B1046" s="821" t="s">
        <v>13939</v>
      </c>
      <c r="C1046" s="822" t="s">
        <v>6</v>
      </c>
      <c r="D1046" s="822" t="s">
        <v>4691</v>
      </c>
      <c r="E1046" s="1017" t="s">
        <v>13514</v>
      </c>
      <c r="F1046" s="1017"/>
      <c r="G1046" s="823" t="s">
        <v>24</v>
      </c>
      <c r="H1046" s="824">
        <v>1</v>
      </c>
      <c r="I1046" s="825">
        <v>1.3</v>
      </c>
      <c r="J1046" s="825">
        <v>1.3</v>
      </c>
    </row>
    <row r="1047" spans="1:10" ht="38.25" customHeight="1">
      <c r="A1047" s="822" t="s">
        <v>13493</v>
      </c>
      <c r="B1047" s="821" t="s">
        <v>13913</v>
      </c>
      <c r="C1047" s="822" t="s">
        <v>6</v>
      </c>
      <c r="D1047" s="822" t="s">
        <v>4706</v>
      </c>
      <c r="E1047" s="1017" t="s">
        <v>13514</v>
      </c>
      <c r="F1047" s="1017"/>
      <c r="G1047" s="823" t="s">
        <v>24</v>
      </c>
      <c r="H1047" s="824">
        <v>2.1000000000000001E-2</v>
      </c>
      <c r="I1047" s="825">
        <v>2.2000000000000002</v>
      </c>
      <c r="J1047" s="825">
        <v>0.04</v>
      </c>
    </row>
    <row r="1048" spans="1:10" ht="25.5">
      <c r="A1048" s="822" t="s">
        <v>13493</v>
      </c>
      <c r="B1048" s="821" t="s">
        <v>13915</v>
      </c>
      <c r="C1048" s="822" t="s">
        <v>6</v>
      </c>
      <c r="D1048" s="822" t="s">
        <v>12249</v>
      </c>
      <c r="E1048" s="1017" t="s">
        <v>13514</v>
      </c>
      <c r="F1048" s="1017"/>
      <c r="G1048" s="823" t="s">
        <v>24</v>
      </c>
      <c r="H1048" s="824">
        <v>1.4999999999999999E-2</v>
      </c>
      <c r="I1048" s="825">
        <v>87.17</v>
      </c>
      <c r="J1048" s="825">
        <v>1.3</v>
      </c>
    </row>
    <row r="1049" spans="1:10" ht="25.5">
      <c r="A1049" s="827"/>
      <c r="B1049" s="827"/>
      <c r="C1049" s="827"/>
      <c r="D1049" s="827"/>
      <c r="E1049" s="827" t="s">
        <v>13503</v>
      </c>
      <c r="F1049" s="826">
        <v>2.5499999999999998</v>
      </c>
      <c r="G1049" s="827" t="s">
        <v>13504</v>
      </c>
      <c r="H1049" s="826">
        <v>0</v>
      </c>
      <c r="I1049" s="827" t="s">
        <v>13505</v>
      </c>
      <c r="J1049" s="826">
        <v>2.5499999999999998</v>
      </c>
    </row>
    <row r="1050" spans="1:10" ht="13.5" customHeight="1" thickBot="1">
      <c r="A1050" s="827"/>
      <c r="B1050" s="827"/>
      <c r="C1050" s="827"/>
      <c r="D1050" s="827"/>
      <c r="E1050" s="827" t="s">
        <v>13506</v>
      </c>
      <c r="F1050" s="826">
        <v>1.92</v>
      </c>
      <c r="G1050" s="827"/>
      <c r="H1050" s="1018" t="s">
        <v>13507</v>
      </c>
      <c r="I1050" s="1018"/>
      <c r="J1050" s="826">
        <v>8.74</v>
      </c>
    </row>
    <row r="1051" spans="1:10" ht="13.5" thickTop="1">
      <c r="A1051" s="828"/>
      <c r="B1051" s="828"/>
      <c r="C1051" s="828"/>
      <c r="D1051" s="828"/>
      <c r="E1051" s="828"/>
      <c r="F1051" s="828"/>
      <c r="G1051" s="828"/>
      <c r="H1051" s="828"/>
      <c r="I1051" s="828"/>
      <c r="J1051" s="828"/>
    </row>
    <row r="1052" spans="1:10" ht="15">
      <c r="A1052" s="809" t="s">
        <v>13940</v>
      </c>
      <c r="B1052" s="808" t="s">
        <v>13481</v>
      </c>
      <c r="C1052" s="809" t="s">
        <v>13482</v>
      </c>
      <c r="D1052" s="809" t="s">
        <v>13483</v>
      </c>
      <c r="E1052" s="1019" t="s">
        <v>13484</v>
      </c>
      <c r="F1052" s="1019"/>
      <c r="G1052" s="810" t="s">
        <v>13485</v>
      </c>
      <c r="H1052" s="808" t="s">
        <v>13486</v>
      </c>
      <c r="I1052" s="808" t="s">
        <v>13487</v>
      </c>
      <c r="J1052" s="808" t="s">
        <v>4867</v>
      </c>
    </row>
    <row r="1053" spans="1:10" ht="38.25" customHeight="1">
      <c r="A1053" s="812" t="s">
        <v>13488</v>
      </c>
      <c r="B1053" s="811" t="s">
        <v>13941</v>
      </c>
      <c r="C1053" s="812" t="s">
        <v>6</v>
      </c>
      <c r="D1053" s="812" t="s">
        <v>1444</v>
      </c>
      <c r="E1053" s="1020" t="s">
        <v>13898</v>
      </c>
      <c r="F1053" s="1020"/>
      <c r="G1053" s="813" t="s">
        <v>24</v>
      </c>
      <c r="H1053" s="814">
        <v>1</v>
      </c>
      <c r="I1053" s="815">
        <v>11.7</v>
      </c>
      <c r="J1053" s="815">
        <v>11.7</v>
      </c>
    </row>
    <row r="1054" spans="1:10" ht="38.25" customHeight="1">
      <c r="A1054" s="817" t="s">
        <v>13491</v>
      </c>
      <c r="B1054" s="816" t="s">
        <v>13909</v>
      </c>
      <c r="C1054" s="817" t="s">
        <v>6</v>
      </c>
      <c r="D1054" s="817" t="s">
        <v>986</v>
      </c>
      <c r="E1054" s="1021" t="s">
        <v>13490</v>
      </c>
      <c r="F1054" s="1021"/>
      <c r="G1054" s="818" t="s">
        <v>19</v>
      </c>
      <c r="H1054" s="819">
        <v>0.13</v>
      </c>
      <c r="I1054" s="820">
        <v>15.54</v>
      </c>
      <c r="J1054" s="820">
        <v>2.02</v>
      </c>
    </row>
    <row r="1055" spans="1:10" ht="38.25" customHeight="1">
      <c r="A1055" s="817" t="s">
        <v>13491</v>
      </c>
      <c r="B1055" s="816" t="s">
        <v>13574</v>
      </c>
      <c r="C1055" s="817" t="s">
        <v>6</v>
      </c>
      <c r="D1055" s="817" t="s">
        <v>34</v>
      </c>
      <c r="E1055" s="1021" t="s">
        <v>13490</v>
      </c>
      <c r="F1055" s="1021"/>
      <c r="G1055" s="818" t="s">
        <v>19</v>
      </c>
      <c r="H1055" s="819">
        <v>0.13</v>
      </c>
      <c r="I1055" s="820">
        <v>18.72</v>
      </c>
      <c r="J1055" s="820">
        <v>2.4300000000000002</v>
      </c>
    </row>
    <row r="1056" spans="1:10">
      <c r="A1056" s="822" t="s">
        <v>13493</v>
      </c>
      <c r="B1056" s="821" t="s">
        <v>13911</v>
      </c>
      <c r="C1056" s="822" t="s">
        <v>6</v>
      </c>
      <c r="D1056" s="822" t="s">
        <v>8562</v>
      </c>
      <c r="E1056" s="1017" t="s">
        <v>13514</v>
      </c>
      <c r="F1056" s="1017"/>
      <c r="G1056" s="823" t="s">
        <v>24</v>
      </c>
      <c r="H1056" s="824">
        <v>1</v>
      </c>
      <c r="I1056" s="825">
        <v>2.73</v>
      </c>
      <c r="J1056" s="825">
        <v>2.73</v>
      </c>
    </row>
    <row r="1057" spans="1:10" ht="13.5" customHeight="1">
      <c r="A1057" s="822" t="s">
        <v>13493</v>
      </c>
      <c r="B1057" s="821" t="s">
        <v>13942</v>
      </c>
      <c r="C1057" s="822" t="s">
        <v>6</v>
      </c>
      <c r="D1057" s="822" t="s">
        <v>4694</v>
      </c>
      <c r="E1057" s="1017" t="s">
        <v>13514</v>
      </c>
      <c r="F1057" s="1017"/>
      <c r="G1057" s="823" t="s">
        <v>24</v>
      </c>
      <c r="H1057" s="824">
        <v>1</v>
      </c>
      <c r="I1057" s="825">
        <v>3.89</v>
      </c>
      <c r="J1057" s="825">
        <v>3.89</v>
      </c>
    </row>
    <row r="1058" spans="1:10" ht="38.25">
      <c r="A1058" s="822" t="s">
        <v>13493</v>
      </c>
      <c r="B1058" s="821" t="s">
        <v>13914</v>
      </c>
      <c r="C1058" s="822" t="s">
        <v>6</v>
      </c>
      <c r="D1058" s="822" t="s">
        <v>11643</v>
      </c>
      <c r="E1058" s="1017" t="s">
        <v>13514</v>
      </c>
      <c r="F1058" s="1017"/>
      <c r="G1058" s="823" t="s">
        <v>24</v>
      </c>
      <c r="H1058" s="824">
        <v>0.02</v>
      </c>
      <c r="I1058" s="825">
        <v>31.75</v>
      </c>
      <c r="J1058" s="825">
        <v>0.63</v>
      </c>
    </row>
    <row r="1059" spans="1:10" ht="25.5">
      <c r="A1059" s="827"/>
      <c r="B1059" s="827"/>
      <c r="C1059" s="827"/>
      <c r="D1059" s="827"/>
      <c r="E1059" s="827" t="s">
        <v>13503</v>
      </c>
      <c r="F1059" s="826">
        <v>3.32</v>
      </c>
      <c r="G1059" s="827" t="s">
        <v>13504</v>
      </c>
      <c r="H1059" s="826">
        <v>0</v>
      </c>
      <c r="I1059" s="827" t="s">
        <v>13505</v>
      </c>
      <c r="J1059" s="826">
        <v>3.32</v>
      </c>
    </row>
    <row r="1060" spans="1:10" ht="38.25" customHeight="1" thickBot="1">
      <c r="A1060" s="827"/>
      <c r="B1060" s="827"/>
      <c r="C1060" s="827"/>
      <c r="D1060" s="827"/>
      <c r="E1060" s="827" t="s">
        <v>13506</v>
      </c>
      <c r="F1060" s="826">
        <v>3.3</v>
      </c>
      <c r="G1060" s="827"/>
      <c r="H1060" s="1018" t="s">
        <v>13507</v>
      </c>
      <c r="I1060" s="1018"/>
      <c r="J1060" s="826">
        <v>15</v>
      </c>
    </row>
    <row r="1061" spans="1:10" ht="13.5" thickTop="1">
      <c r="A1061" s="828"/>
      <c r="B1061" s="828"/>
      <c r="C1061" s="828"/>
      <c r="D1061" s="828"/>
      <c r="E1061" s="828"/>
      <c r="F1061" s="828"/>
      <c r="G1061" s="828"/>
      <c r="H1061" s="828"/>
      <c r="I1061" s="828"/>
      <c r="J1061" s="828"/>
    </row>
    <row r="1062" spans="1:10" ht="15">
      <c r="A1062" s="809" t="s">
        <v>13943</v>
      </c>
      <c r="B1062" s="808" t="s">
        <v>13481</v>
      </c>
      <c r="C1062" s="809" t="s">
        <v>13482</v>
      </c>
      <c r="D1062" s="809" t="s">
        <v>13483</v>
      </c>
      <c r="E1062" s="1019" t="s">
        <v>13484</v>
      </c>
      <c r="F1062" s="1019"/>
      <c r="G1062" s="810" t="s">
        <v>13485</v>
      </c>
      <c r="H1062" s="808" t="s">
        <v>13486</v>
      </c>
      <c r="I1062" s="808" t="s">
        <v>13487</v>
      </c>
      <c r="J1062" s="808" t="s">
        <v>4867</v>
      </c>
    </row>
    <row r="1063" spans="1:10" ht="38.25" customHeight="1">
      <c r="A1063" s="812" t="s">
        <v>13488</v>
      </c>
      <c r="B1063" s="811" t="s">
        <v>13944</v>
      </c>
      <c r="C1063" s="812" t="s">
        <v>6</v>
      </c>
      <c r="D1063" s="812" t="s">
        <v>1451</v>
      </c>
      <c r="E1063" s="1020" t="s">
        <v>13898</v>
      </c>
      <c r="F1063" s="1020"/>
      <c r="G1063" s="813" t="s">
        <v>24</v>
      </c>
      <c r="H1063" s="814">
        <v>1</v>
      </c>
      <c r="I1063" s="815">
        <v>20.69</v>
      </c>
      <c r="J1063" s="815">
        <v>20.69</v>
      </c>
    </row>
    <row r="1064" spans="1:10" ht="38.25" customHeight="1">
      <c r="A1064" s="817" t="s">
        <v>13491</v>
      </c>
      <c r="B1064" s="816" t="s">
        <v>13909</v>
      </c>
      <c r="C1064" s="817" t="s">
        <v>6</v>
      </c>
      <c r="D1064" s="817" t="s">
        <v>986</v>
      </c>
      <c r="E1064" s="1021" t="s">
        <v>13490</v>
      </c>
      <c r="F1064" s="1021"/>
      <c r="G1064" s="818" t="s">
        <v>19</v>
      </c>
      <c r="H1064" s="819">
        <v>0.19</v>
      </c>
      <c r="I1064" s="820">
        <v>15.54</v>
      </c>
      <c r="J1064" s="820">
        <v>2.95</v>
      </c>
    </row>
    <row r="1065" spans="1:10" ht="38.25" customHeight="1">
      <c r="A1065" s="817" t="s">
        <v>13491</v>
      </c>
      <c r="B1065" s="816" t="s">
        <v>13574</v>
      </c>
      <c r="C1065" s="817" t="s">
        <v>6</v>
      </c>
      <c r="D1065" s="817" t="s">
        <v>34</v>
      </c>
      <c r="E1065" s="1021" t="s">
        <v>13490</v>
      </c>
      <c r="F1065" s="1021"/>
      <c r="G1065" s="818" t="s">
        <v>19</v>
      </c>
      <c r="H1065" s="819">
        <v>0.19</v>
      </c>
      <c r="I1065" s="820">
        <v>18.72</v>
      </c>
      <c r="J1065" s="820">
        <v>3.55</v>
      </c>
    </row>
    <row r="1066" spans="1:10">
      <c r="A1066" s="822" t="s">
        <v>13493</v>
      </c>
      <c r="B1066" s="821" t="s">
        <v>13918</v>
      </c>
      <c r="C1066" s="822" t="s">
        <v>6</v>
      </c>
      <c r="D1066" s="822" t="s">
        <v>8563</v>
      </c>
      <c r="E1066" s="1017" t="s">
        <v>13514</v>
      </c>
      <c r="F1066" s="1017"/>
      <c r="G1066" s="823" t="s">
        <v>24</v>
      </c>
      <c r="H1066" s="824">
        <v>1</v>
      </c>
      <c r="I1066" s="825">
        <v>4.0199999999999996</v>
      </c>
      <c r="J1066" s="825">
        <v>4.0199999999999996</v>
      </c>
    </row>
    <row r="1067" spans="1:10" ht="25.5">
      <c r="A1067" s="822" t="s">
        <v>13493</v>
      </c>
      <c r="B1067" s="821" t="s">
        <v>13945</v>
      </c>
      <c r="C1067" s="822" t="s">
        <v>6</v>
      </c>
      <c r="D1067" s="822" t="s">
        <v>4695</v>
      </c>
      <c r="E1067" s="1017" t="s">
        <v>13514</v>
      </c>
      <c r="F1067" s="1017"/>
      <c r="G1067" s="823" t="s">
        <v>24</v>
      </c>
      <c r="H1067" s="824">
        <v>1</v>
      </c>
      <c r="I1067" s="825">
        <v>9.2200000000000006</v>
      </c>
      <c r="J1067" s="825">
        <v>9.2200000000000006</v>
      </c>
    </row>
    <row r="1068" spans="1:10" ht="13.5" customHeight="1">
      <c r="A1068" s="822" t="s">
        <v>13493</v>
      </c>
      <c r="B1068" s="821" t="s">
        <v>13914</v>
      </c>
      <c r="C1068" s="822" t="s">
        <v>6</v>
      </c>
      <c r="D1068" s="822" t="s">
        <v>11643</v>
      </c>
      <c r="E1068" s="1017" t="s">
        <v>13514</v>
      </c>
      <c r="F1068" s="1017"/>
      <c r="G1068" s="823" t="s">
        <v>24</v>
      </c>
      <c r="H1068" s="824">
        <v>0.03</v>
      </c>
      <c r="I1068" s="825">
        <v>31.75</v>
      </c>
      <c r="J1068" s="825">
        <v>0.95</v>
      </c>
    </row>
    <row r="1069" spans="1:10" ht="25.5">
      <c r="A1069" s="827"/>
      <c r="B1069" s="827"/>
      <c r="C1069" s="827"/>
      <c r="D1069" s="827"/>
      <c r="E1069" s="827" t="s">
        <v>13503</v>
      </c>
      <c r="F1069" s="826">
        <v>4.8499999999999996</v>
      </c>
      <c r="G1069" s="827" t="s">
        <v>13504</v>
      </c>
      <c r="H1069" s="826">
        <v>0</v>
      </c>
      <c r="I1069" s="827" t="s">
        <v>13505</v>
      </c>
      <c r="J1069" s="826">
        <v>4.8499999999999996</v>
      </c>
    </row>
    <row r="1070" spans="1:10" ht="13.5" customHeight="1" thickBot="1">
      <c r="A1070" s="827"/>
      <c r="B1070" s="827"/>
      <c r="C1070" s="827"/>
      <c r="D1070" s="827"/>
      <c r="E1070" s="827" t="s">
        <v>13506</v>
      </c>
      <c r="F1070" s="826">
        <v>5.84</v>
      </c>
      <c r="G1070" s="827"/>
      <c r="H1070" s="1018" t="s">
        <v>13507</v>
      </c>
      <c r="I1070" s="1018"/>
      <c r="J1070" s="826">
        <v>26.53</v>
      </c>
    </row>
    <row r="1071" spans="1:10" ht="25.5" customHeight="1" thickTop="1">
      <c r="A1071" s="828"/>
      <c r="B1071" s="828"/>
      <c r="C1071" s="828"/>
      <c r="D1071" s="828"/>
      <c r="E1071" s="828"/>
      <c r="F1071" s="828"/>
      <c r="G1071" s="828"/>
      <c r="H1071" s="828"/>
      <c r="I1071" s="828"/>
      <c r="J1071" s="828"/>
    </row>
    <row r="1072" spans="1:10" ht="15">
      <c r="A1072" s="809" t="s">
        <v>13946</v>
      </c>
      <c r="B1072" s="808" t="s">
        <v>13481</v>
      </c>
      <c r="C1072" s="809" t="s">
        <v>13482</v>
      </c>
      <c r="D1072" s="809" t="s">
        <v>13483</v>
      </c>
      <c r="E1072" s="1019" t="s">
        <v>13484</v>
      </c>
      <c r="F1072" s="1019"/>
      <c r="G1072" s="810" t="s">
        <v>13485</v>
      </c>
      <c r="H1072" s="808" t="s">
        <v>13486</v>
      </c>
      <c r="I1072" s="808" t="s">
        <v>13487</v>
      </c>
      <c r="J1072" s="808" t="s">
        <v>4867</v>
      </c>
    </row>
    <row r="1073" spans="1:10" ht="25.5" customHeight="1">
      <c r="A1073" s="812" t="s">
        <v>13488</v>
      </c>
      <c r="B1073" s="811" t="s">
        <v>13947</v>
      </c>
      <c r="C1073" s="812" t="s">
        <v>6</v>
      </c>
      <c r="D1073" s="812" t="s">
        <v>1512</v>
      </c>
      <c r="E1073" s="1020" t="s">
        <v>13898</v>
      </c>
      <c r="F1073" s="1020"/>
      <c r="G1073" s="813" t="s">
        <v>24</v>
      </c>
      <c r="H1073" s="814">
        <v>1</v>
      </c>
      <c r="I1073" s="815">
        <v>20.73</v>
      </c>
      <c r="J1073" s="815">
        <v>20.73</v>
      </c>
    </row>
    <row r="1074" spans="1:10" ht="38.25" customHeight="1">
      <c r="A1074" s="817" t="s">
        <v>13491</v>
      </c>
      <c r="B1074" s="816" t="s">
        <v>13909</v>
      </c>
      <c r="C1074" s="817" t="s">
        <v>6</v>
      </c>
      <c r="D1074" s="817" t="s">
        <v>986</v>
      </c>
      <c r="E1074" s="1021" t="s">
        <v>13490</v>
      </c>
      <c r="F1074" s="1021"/>
      <c r="G1074" s="818" t="s">
        <v>19</v>
      </c>
      <c r="H1074" s="819">
        <v>0.12</v>
      </c>
      <c r="I1074" s="820">
        <v>15.54</v>
      </c>
      <c r="J1074" s="820">
        <v>1.86</v>
      </c>
    </row>
    <row r="1075" spans="1:10" ht="38.25" customHeight="1">
      <c r="A1075" s="817" t="s">
        <v>13491</v>
      </c>
      <c r="B1075" s="816" t="s">
        <v>13574</v>
      </c>
      <c r="C1075" s="817" t="s">
        <v>6</v>
      </c>
      <c r="D1075" s="817" t="s">
        <v>34</v>
      </c>
      <c r="E1075" s="1021" t="s">
        <v>13490</v>
      </c>
      <c r="F1075" s="1021"/>
      <c r="G1075" s="818" t="s">
        <v>19</v>
      </c>
      <c r="H1075" s="819">
        <v>0.12</v>
      </c>
      <c r="I1075" s="820">
        <v>18.72</v>
      </c>
      <c r="J1075" s="820">
        <v>2.2400000000000002</v>
      </c>
    </row>
    <row r="1076" spans="1:10">
      <c r="A1076" s="822" t="s">
        <v>13493</v>
      </c>
      <c r="B1076" s="821" t="s">
        <v>13935</v>
      </c>
      <c r="C1076" s="822" t="s">
        <v>6</v>
      </c>
      <c r="D1076" s="822" t="s">
        <v>4583</v>
      </c>
      <c r="E1076" s="1017" t="s">
        <v>13514</v>
      </c>
      <c r="F1076" s="1017"/>
      <c r="G1076" s="823" t="s">
        <v>24</v>
      </c>
      <c r="H1076" s="824">
        <v>1</v>
      </c>
      <c r="I1076" s="825">
        <v>4.84</v>
      </c>
      <c r="J1076" s="825">
        <v>4.84</v>
      </c>
    </row>
    <row r="1077" spans="1:10" ht="13.5" customHeight="1">
      <c r="A1077" s="822" t="s">
        <v>13493</v>
      </c>
      <c r="B1077" s="821" t="s">
        <v>13948</v>
      </c>
      <c r="C1077" s="822" t="s">
        <v>6</v>
      </c>
      <c r="D1077" s="822" t="s">
        <v>4696</v>
      </c>
      <c r="E1077" s="1017" t="s">
        <v>13514</v>
      </c>
      <c r="F1077" s="1017"/>
      <c r="G1077" s="823" t="s">
        <v>24</v>
      </c>
      <c r="H1077" s="824">
        <v>1</v>
      </c>
      <c r="I1077" s="825">
        <v>10.33</v>
      </c>
      <c r="J1077" s="825">
        <v>10.33</v>
      </c>
    </row>
    <row r="1078" spans="1:10" ht="38.25">
      <c r="A1078" s="822" t="s">
        <v>13493</v>
      </c>
      <c r="B1078" s="821" t="s">
        <v>13914</v>
      </c>
      <c r="C1078" s="822" t="s">
        <v>6</v>
      </c>
      <c r="D1078" s="822" t="s">
        <v>11643</v>
      </c>
      <c r="E1078" s="1017" t="s">
        <v>13514</v>
      </c>
      <c r="F1078" s="1017"/>
      <c r="G1078" s="823" t="s">
        <v>24</v>
      </c>
      <c r="H1078" s="824">
        <v>4.5999999999999999E-2</v>
      </c>
      <c r="I1078" s="825">
        <v>31.75</v>
      </c>
      <c r="J1078" s="825">
        <v>1.46</v>
      </c>
    </row>
    <row r="1079" spans="1:10" ht="25.5">
      <c r="A1079" s="827"/>
      <c r="B1079" s="827"/>
      <c r="C1079" s="827"/>
      <c r="D1079" s="827"/>
      <c r="E1079" s="827" t="s">
        <v>13503</v>
      </c>
      <c r="F1079" s="826">
        <v>3.06</v>
      </c>
      <c r="G1079" s="827" t="s">
        <v>13504</v>
      </c>
      <c r="H1079" s="826">
        <v>0</v>
      </c>
      <c r="I1079" s="827" t="s">
        <v>13505</v>
      </c>
      <c r="J1079" s="826">
        <v>3.06</v>
      </c>
    </row>
    <row r="1080" spans="1:10" ht="25.5" customHeight="1" thickBot="1">
      <c r="A1080" s="827"/>
      <c r="B1080" s="827"/>
      <c r="C1080" s="827"/>
      <c r="D1080" s="827"/>
      <c r="E1080" s="827" t="s">
        <v>13506</v>
      </c>
      <c r="F1080" s="826">
        <v>5.85</v>
      </c>
      <c r="G1080" s="827"/>
      <c r="H1080" s="1018" t="s">
        <v>13507</v>
      </c>
      <c r="I1080" s="1018"/>
      <c r="J1080" s="826">
        <v>26.58</v>
      </c>
    </row>
    <row r="1081" spans="1:10" ht="13.5" thickTop="1">
      <c r="A1081" s="828"/>
      <c r="B1081" s="828"/>
      <c r="C1081" s="828"/>
      <c r="D1081" s="828"/>
      <c r="E1081" s="828"/>
      <c r="F1081" s="828"/>
      <c r="G1081" s="828"/>
      <c r="H1081" s="828"/>
      <c r="I1081" s="828"/>
      <c r="J1081" s="828"/>
    </row>
    <row r="1082" spans="1:10" ht="15">
      <c r="A1082" s="809" t="s">
        <v>13949</v>
      </c>
      <c r="B1082" s="808" t="s">
        <v>13481</v>
      </c>
      <c r="C1082" s="809" t="s">
        <v>13482</v>
      </c>
      <c r="D1082" s="809" t="s">
        <v>13483</v>
      </c>
      <c r="E1082" s="1019" t="s">
        <v>13484</v>
      </c>
      <c r="F1082" s="1019"/>
      <c r="G1082" s="810" t="s">
        <v>13485</v>
      </c>
      <c r="H1082" s="808" t="s">
        <v>13486</v>
      </c>
      <c r="I1082" s="808" t="s">
        <v>13487</v>
      </c>
      <c r="J1082" s="808" t="s">
        <v>4867</v>
      </c>
    </row>
    <row r="1083" spans="1:10" ht="25.5" customHeight="1">
      <c r="A1083" s="812" t="s">
        <v>13488</v>
      </c>
      <c r="B1083" s="811" t="s">
        <v>13950</v>
      </c>
      <c r="C1083" s="812" t="s">
        <v>6</v>
      </c>
      <c r="D1083" s="812" t="s">
        <v>1504</v>
      </c>
      <c r="E1083" s="1020" t="s">
        <v>13898</v>
      </c>
      <c r="F1083" s="1020"/>
      <c r="G1083" s="813" t="s">
        <v>24</v>
      </c>
      <c r="H1083" s="814">
        <v>1</v>
      </c>
      <c r="I1083" s="815">
        <v>7.84</v>
      </c>
      <c r="J1083" s="815">
        <v>7.84</v>
      </c>
    </row>
    <row r="1084" spans="1:10" ht="38.25" customHeight="1">
      <c r="A1084" s="817" t="s">
        <v>13491</v>
      </c>
      <c r="B1084" s="816" t="s">
        <v>13909</v>
      </c>
      <c r="C1084" s="817" t="s">
        <v>6</v>
      </c>
      <c r="D1084" s="817" t="s">
        <v>986</v>
      </c>
      <c r="E1084" s="1021" t="s">
        <v>13490</v>
      </c>
      <c r="F1084" s="1021"/>
      <c r="G1084" s="818" t="s">
        <v>19</v>
      </c>
      <c r="H1084" s="819">
        <v>0.04</v>
      </c>
      <c r="I1084" s="820">
        <v>15.54</v>
      </c>
      <c r="J1084" s="820">
        <v>0.62</v>
      </c>
    </row>
    <row r="1085" spans="1:10" ht="38.25" customHeight="1">
      <c r="A1085" s="817" t="s">
        <v>13491</v>
      </c>
      <c r="B1085" s="816" t="s">
        <v>13574</v>
      </c>
      <c r="C1085" s="817" t="s">
        <v>6</v>
      </c>
      <c r="D1085" s="817" t="s">
        <v>34</v>
      </c>
      <c r="E1085" s="1021" t="s">
        <v>13490</v>
      </c>
      <c r="F1085" s="1021"/>
      <c r="G1085" s="818" t="s">
        <v>19</v>
      </c>
      <c r="H1085" s="819">
        <v>0.04</v>
      </c>
      <c r="I1085" s="820">
        <v>18.72</v>
      </c>
      <c r="J1085" s="820">
        <v>0.74</v>
      </c>
    </row>
    <row r="1086" spans="1:10" ht="13.5" customHeight="1">
      <c r="A1086" s="822" t="s">
        <v>13493</v>
      </c>
      <c r="B1086" s="821" t="s">
        <v>13911</v>
      </c>
      <c r="C1086" s="822" t="s">
        <v>6</v>
      </c>
      <c r="D1086" s="822" t="s">
        <v>8562</v>
      </c>
      <c r="E1086" s="1017" t="s">
        <v>13514</v>
      </c>
      <c r="F1086" s="1017"/>
      <c r="G1086" s="823" t="s">
        <v>24</v>
      </c>
      <c r="H1086" s="824">
        <v>1</v>
      </c>
      <c r="I1086" s="825">
        <v>2.73</v>
      </c>
      <c r="J1086" s="825">
        <v>2.73</v>
      </c>
    </row>
    <row r="1087" spans="1:10" ht="25.5">
      <c r="A1087" s="822" t="s">
        <v>13493</v>
      </c>
      <c r="B1087" s="821" t="s">
        <v>13951</v>
      </c>
      <c r="C1087" s="822" t="s">
        <v>6</v>
      </c>
      <c r="D1087" s="822" t="s">
        <v>4697</v>
      </c>
      <c r="E1087" s="1017" t="s">
        <v>13514</v>
      </c>
      <c r="F1087" s="1017"/>
      <c r="G1087" s="823" t="s">
        <v>24</v>
      </c>
      <c r="H1087" s="824">
        <v>1</v>
      </c>
      <c r="I1087" s="825">
        <v>3.12</v>
      </c>
      <c r="J1087" s="825">
        <v>3.12</v>
      </c>
    </row>
    <row r="1088" spans="1:10" ht="38.25">
      <c r="A1088" s="822" t="s">
        <v>13493</v>
      </c>
      <c r="B1088" s="821" t="s">
        <v>13914</v>
      </c>
      <c r="C1088" s="822" t="s">
        <v>6</v>
      </c>
      <c r="D1088" s="822" t="s">
        <v>11643</v>
      </c>
      <c r="E1088" s="1017" t="s">
        <v>13514</v>
      </c>
      <c r="F1088" s="1017"/>
      <c r="G1088" s="823" t="s">
        <v>24</v>
      </c>
      <c r="H1088" s="824">
        <v>0.02</v>
      </c>
      <c r="I1088" s="825">
        <v>31.75</v>
      </c>
      <c r="J1088" s="825">
        <v>0.63</v>
      </c>
    </row>
    <row r="1089" spans="1:10" ht="25.5" customHeight="1">
      <c r="A1089" s="827"/>
      <c r="B1089" s="827"/>
      <c r="C1089" s="827"/>
      <c r="D1089" s="827"/>
      <c r="E1089" s="827" t="s">
        <v>13503</v>
      </c>
      <c r="F1089" s="826">
        <v>1.01</v>
      </c>
      <c r="G1089" s="827" t="s">
        <v>13504</v>
      </c>
      <c r="H1089" s="826">
        <v>0</v>
      </c>
      <c r="I1089" s="827" t="s">
        <v>13505</v>
      </c>
      <c r="J1089" s="826">
        <v>1.01</v>
      </c>
    </row>
    <row r="1090" spans="1:10" ht="13.5" customHeight="1" thickBot="1">
      <c r="A1090" s="827"/>
      <c r="B1090" s="827"/>
      <c r="C1090" s="827"/>
      <c r="D1090" s="827"/>
      <c r="E1090" s="827" t="s">
        <v>13506</v>
      </c>
      <c r="F1090" s="826">
        <v>2.21</v>
      </c>
      <c r="G1090" s="827"/>
      <c r="H1090" s="1018" t="s">
        <v>13507</v>
      </c>
      <c r="I1090" s="1018"/>
      <c r="J1090" s="826">
        <v>10.050000000000001</v>
      </c>
    </row>
    <row r="1091" spans="1:10" ht="13.5" thickTop="1">
      <c r="A1091" s="828"/>
      <c r="B1091" s="828"/>
      <c r="C1091" s="828"/>
      <c r="D1091" s="828"/>
      <c r="E1091" s="828"/>
      <c r="F1091" s="828"/>
      <c r="G1091" s="828"/>
      <c r="H1091" s="828"/>
      <c r="I1091" s="828"/>
      <c r="J1091" s="828"/>
    </row>
    <row r="1092" spans="1:10" ht="15">
      <c r="A1092" s="809" t="s">
        <v>13952</v>
      </c>
      <c r="B1092" s="808" t="s">
        <v>13481</v>
      </c>
      <c r="C1092" s="809" t="s">
        <v>13482</v>
      </c>
      <c r="D1092" s="809" t="s">
        <v>13483</v>
      </c>
      <c r="E1092" s="1019" t="s">
        <v>13484</v>
      </c>
      <c r="F1092" s="1019"/>
      <c r="G1092" s="810" t="s">
        <v>13485</v>
      </c>
      <c r="H1092" s="808" t="s">
        <v>13486</v>
      </c>
      <c r="I1092" s="808" t="s">
        <v>13487</v>
      </c>
      <c r="J1092" s="808" t="s">
        <v>4867</v>
      </c>
    </row>
    <row r="1093" spans="1:10" ht="38.25" customHeight="1">
      <c r="A1093" s="812" t="s">
        <v>13488</v>
      </c>
      <c r="B1093" s="811" t="s">
        <v>13953</v>
      </c>
      <c r="C1093" s="812" t="s">
        <v>6</v>
      </c>
      <c r="D1093" s="812" t="s">
        <v>1436</v>
      </c>
      <c r="E1093" s="1020" t="s">
        <v>13898</v>
      </c>
      <c r="F1093" s="1020"/>
      <c r="G1093" s="813" t="s">
        <v>24</v>
      </c>
      <c r="H1093" s="814">
        <v>1</v>
      </c>
      <c r="I1093" s="815">
        <v>10.06</v>
      </c>
      <c r="J1093" s="815">
        <v>10.06</v>
      </c>
    </row>
    <row r="1094" spans="1:10" ht="38.25" customHeight="1">
      <c r="A1094" s="817" t="s">
        <v>13491</v>
      </c>
      <c r="B1094" s="816" t="s">
        <v>13909</v>
      </c>
      <c r="C1094" s="817" t="s">
        <v>6</v>
      </c>
      <c r="D1094" s="817" t="s">
        <v>986</v>
      </c>
      <c r="E1094" s="1021" t="s">
        <v>13490</v>
      </c>
      <c r="F1094" s="1021"/>
      <c r="G1094" s="818" t="s">
        <v>19</v>
      </c>
      <c r="H1094" s="819">
        <v>0.1</v>
      </c>
      <c r="I1094" s="820">
        <v>15.54</v>
      </c>
      <c r="J1094" s="820">
        <v>1.55</v>
      </c>
    </row>
    <row r="1095" spans="1:10" ht="13.5" customHeight="1">
      <c r="A1095" s="817" t="s">
        <v>13491</v>
      </c>
      <c r="B1095" s="816" t="s">
        <v>13574</v>
      </c>
      <c r="C1095" s="817" t="s">
        <v>6</v>
      </c>
      <c r="D1095" s="817" t="s">
        <v>34</v>
      </c>
      <c r="E1095" s="1021" t="s">
        <v>13490</v>
      </c>
      <c r="F1095" s="1021"/>
      <c r="G1095" s="818" t="s">
        <v>19</v>
      </c>
      <c r="H1095" s="819">
        <v>0.1</v>
      </c>
      <c r="I1095" s="820">
        <v>18.72</v>
      </c>
      <c r="J1095" s="820">
        <v>1.87</v>
      </c>
    </row>
    <row r="1096" spans="1:10">
      <c r="A1096" s="822" t="s">
        <v>13493</v>
      </c>
      <c r="B1096" s="821" t="s">
        <v>13910</v>
      </c>
      <c r="C1096" s="822" t="s">
        <v>6</v>
      </c>
      <c r="D1096" s="822" t="s">
        <v>8519</v>
      </c>
      <c r="E1096" s="1017" t="s">
        <v>13514</v>
      </c>
      <c r="F1096" s="1017"/>
      <c r="G1096" s="823" t="s">
        <v>24</v>
      </c>
      <c r="H1096" s="824">
        <v>9.9000000000000008E-3</v>
      </c>
      <c r="I1096" s="825">
        <v>76.94</v>
      </c>
      <c r="J1096" s="825">
        <v>0.76</v>
      </c>
    </row>
    <row r="1097" spans="1:10" ht="25.5">
      <c r="A1097" s="822" t="s">
        <v>13493</v>
      </c>
      <c r="B1097" s="821" t="s">
        <v>13954</v>
      </c>
      <c r="C1097" s="822" t="s">
        <v>6</v>
      </c>
      <c r="D1097" s="822" t="s">
        <v>10762</v>
      </c>
      <c r="E1097" s="1017" t="s">
        <v>13514</v>
      </c>
      <c r="F1097" s="1017"/>
      <c r="G1097" s="823" t="s">
        <v>24</v>
      </c>
      <c r="H1097" s="824">
        <v>1</v>
      </c>
      <c r="I1097" s="825">
        <v>4.54</v>
      </c>
      <c r="J1097" s="825">
        <v>4.54</v>
      </c>
    </row>
    <row r="1098" spans="1:10" ht="25.5" customHeight="1">
      <c r="A1098" s="822" t="s">
        <v>13493</v>
      </c>
      <c r="B1098" s="821" t="s">
        <v>13913</v>
      </c>
      <c r="C1098" s="822" t="s">
        <v>6</v>
      </c>
      <c r="D1098" s="822" t="s">
        <v>4706</v>
      </c>
      <c r="E1098" s="1017" t="s">
        <v>13514</v>
      </c>
      <c r="F1098" s="1017"/>
      <c r="G1098" s="823" t="s">
        <v>24</v>
      </c>
      <c r="H1098" s="824">
        <v>2.1000000000000001E-2</v>
      </c>
      <c r="I1098" s="825">
        <v>2.2000000000000002</v>
      </c>
      <c r="J1098" s="825">
        <v>0.04</v>
      </c>
    </row>
    <row r="1099" spans="1:10" ht="25.5">
      <c r="A1099" s="822" t="s">
        <v>13493</v>
      </c>
      <c r="B1099" s="821" t="s">
        <v>13915</v>
      </c>
      <c r="C1099" s="822" t="s">
        <v>6</v>
      </c>
      <c r="D1099" s="822" t="s">
        <v>12249</v>
      </c>
      <c r="E1099" s="1017" t="s">
        <v>13514</v>
      </c>
      <c r="F1099" s="1017"/>
      <c r="G1099" s="823" t="s">
        <v>24</v>
      </c>
      <c r="H1099" s="824">
        <v>1.4999999999999999E-2</v>
      </c>
      <c r="I1099" s="825">
        <v>87.17</v>
      </c>
      <c r="J1099" s="825">
        <v>1.3</v>
      </c>
    </row>
    <row r="1100" spans="1:10" ht="25.5">
      <c r="A1100" s="827"/>
      <c r="B1100" s="827"/>
      <c r="C1100" s="827"/>
      <c r="D1100" s="827"/>
      <c r="E1100" s="827" t="s">
        <v>13503</v>
      </c>
      <c r="F1100" s="826">
        <v>2.5499999999999998</v>
      </c>
      <c r="G1100" s="827" t="s">
        <v>13504</v>
      </c>
      <c r="H1100" s="826">
        <v>0</v>
      </c>
      <c r="I1100" s="827" t="s">
        <v>13505</v>
      </c>
      <c r="J1100" s="826">
        <v>2.5499999999999998</v>
      </c>
    </row>
    <row r="1101" spans="1:10" ht="13.5" customHeight="1" thickBot="1">
      <c r="A1101" s="827"/>
      <c r="B1101" s="827"/>
      <c r="C1101" s="827"/>
      <c r="D1101" s="827"/>
      <c r="E1101" s="827" t="s">
        <v>13506</v>
      </c>
      <c r="F1101" s="826">
        <v>2.84</v>
      </c>
      <c r="G1101" s="827"/>
      <c r="H1101" s="1018" t="s">
        <v>13507</v>
      </c>
      <c r="I1101" s="1018"/>
      <c r="J1101" s="826">
        <v>12.9</v>
      </c>
    </row>
    <row r="1102" spans="1:10" ht="13.5" thickTop="1">
      <c r="A1102" s="828"/>
      <c r="B1102" s="828"/>
      <c r="C1102" s="828"/>
      <c r="D1102" s="828"/>
      <c r="E1102" s="828"/>
      <c r="F1102" s="828"/>
      <c r="G1102" s="828"/>
      <c r="H1102" s="828"/>
      <c r="I1102" s="828"/>
      <c r="J1102" s="828"/>
    </row>
    <row r="1103" spans="1:10" ht="15">
      <c r="A1103" s="809" t="s">
        <v>13955</v>
      </c>
      <c r="B1103" s="808" t="s">
        <v>13481</v>
      </c>
      <c r="C1103" s="809" t="s">
        <v>13482</v>
      </c>
      <c r="D1103" s="809" t="s">
        <v>13483</v>
      </c>
      <c r="E1103" s="1019" t="s">
        <v>13484</v>
      </c>
      <c r="F1103" s="1019"/>
      <c r="G1103" s="810" t="s">
        <v>13485</v>
      </c>
      <c r="H1103" s="808" t="s">
        <v>13486</v>
      </c>
      <c r="I1103" s="808" t="s">
        <v>13487</v>
      </c>
      <c r="J1103" s="808" t="s">
        <v>4867</v>
      </c>
    </row>
    <row r="1104" spans="1:10" ht="13.5" customHeight="1">
      <c r="A1104" s="812" t="s">
        <v>13488</v>
      </c>
      <c r="B1104" s="811" t="s">
        <v>13956</v>
      </c>
      <c r="C1104" s="812" t="s">
        <v>6</v>
      </c>
      <c r="D1104" s="812" t="s">
        <v>1500</v>
      </c>
      <c r="E1104" s="1020" t="s">
        <v>13898</v>
      </c>
      <c r="F1104" s="1020"/>
      <c r="G1104" s="813" t="s">
        <v>24</v>
      </c>
      <c r="H1104" s="814">
        <v>1</v>
      </c>
      <c r="I1104" s="815">
        <v>50.77</v>
      </c>
      <c r="J1104" s="815">
        <v>50.77</v>
      </c>
    </row>
    <row r="1105" spans="1:10" ht="38.25" customHeight="1">
      <c r="A1105" s="817" t="s">
        <v>13491</v>
      </c>
      <c r="B1105" s="816" t="s">
        <v>13909</v>
      </c>
      <c r="C1105" s="817" t="s">
        <v>6</v>
      </c>
      <c r="D1105" s="817" t="s">
        <v>986</v>
      </c>
      <c r="E1105" s="1021" t="s">
        <v>13490</v>
      </c>
      <c r="F1105" s="1021"/>
      <c r="G1105" s="818" t="s">
        <v>19</v>
      </c>
      <c r="H1105" s="819">
        <v>0.33</v>
      </c>
      <c r="I1105" s="820">
        <v>15.54</v>
      </c>
      <c r="J1105" s="820">
        <v>5.12</v>
      </c>
    </row>
    <row r="1106" spans="1:10" ht="38.25" customHeight="1">
      <c r="A1106" s="817" t="s">
        <v>13491</v>
      </c>
      <c r="B1106" s="816" t="s">
        <v>13574</v>
      </c>
      <c r="C1106" s="817" t="s">
        <v>6</v>
      </c>
      <c r="D1106" s="817" t="s">
        <v>34</v>
      </c>
      <c r="E1106" s="1021" t="s">
        <v>13490</v>
      </c>
      <c r="F1106" s="1021"/>
      <c r="G1106" s="818" t="s">
        <v>19</v>
      </c>
      <c r="H1106" s="819">
        <v>0.33</v>
      </c>
      <c r="I1106" s="820">
        <v>18.72</v>
      </c>
      <c r="J1106" s="820">
        <v>6.17</v>
      </c>
    </row>
    <row r="1107" spans="1:10" ht="38.25" customHeight="1">
      <c r="A1107" s="822" t="s">
        <v>13493</v>
      </c>
      <c r="B1107" s="821" t="s">
        <v>13935</v>
      </c>
      <c r="C1107" s="822" t="s">
        <v>6</v>
      </c>
      <c r="D1107" s="822" t="s">
        <v>4583</v>
      </c>
      <c r="E1107" s="1017" t="s">
        <v>13514</v>
      </c>
      <c r="F1107" s="1017"/>
      <c r="G1107" s="823" t="s">
        <v>24</v>
      </c>
      <c r="H1107" s="824">
        <v>2</v>
      </c>
      <c r="I1107" s="825">
        <v>4.84</v>
      </c>
      <c r="J1107" s="825">
        <v>9.68</v>
      </c>
    </row>
    <row r="1108" spans="1:10" ht="25.5">
      <c r="A1108" s="822" t="s">
        <v>13493</v>
      </c>
      <c r="B1108" s="821" t="s">
        <v>13957</v>
      </c>
      <c r="C1108" s="822" t="s">
        <v>6</v>
      </c>
      <c r="D1108" s="822" t="s">
        <v>4705</v>
      </c>
      <c r="E1108" s="1017" t="s">
        <v>13514</v>
      </c>
      <c r="F1108" s="1017"/>
      <c r="G1108" s="823" t="s">
        <v>24</v>
      </c>
      <c r="H1108" s="824">
        <v>1</v>
      </c>
      <c r="I1108" s="825">
        <v>26.88</v>
      </c>
      <c r="J1108" s="825">
        <v>26.88</v>
      </c>
    </row>
    <row r="1109" spans="1:10" ht="38.25">
      <c r="A1109" s="822" t="s">
        <v>13493</v>
      </c>
      <c r="B1109" s="821" t="s">
        <v>13914</v>
      </c>
      <c r="C1109" s="822" t="s">
        <v>6</v>
      </c>
      <c r="D1109" s="822" t="s">
        <v>11643</v>
      </c>
      <c r="E1109" s="1017" t="s">
        <v>13514</v>
      </c>
      <c r="F1109" s="1017"/>
      <c r="G1109" s="823" t="s">
        <v>24</v>
      </c>
      <c r="H1109" s="824">
        <v>9.1999999999999998E-2</v>
      </c>
      <c r="I1109" s="825">
        <v>31.75</v>
      </c>
      <c r="J1109" s="825">
        <v>2.92</v>
      </c>
    </row>
    <row r="1110" spans="1:10" ht="25.5">
      <c r="A1110" s="827"/>
      <c r="B1110" s="827"/>
      <c r="C1110" s="827"/>
      <c r="D1110" s="827"/>
      <c r="E1110" s="827" t="s">
        <v>13503</v>
      </c>
      <c r="F1110" s="826">
        <v>8.43</v>
      </c>
      <c r="G1110" s="827" t="s">
        <v>13504</v>
      </c>
      <c r="H1110" s="826">
        <v>0</v>
      </c>
      <c r="I1110" s="827" t="s">
        <v>13505</v>
      </c>
      <c r="J1110" s="826">
        <v>8.43</v>
      </c>
    </row>
    <row r="1111" spans="1:10" ht="13.5" customHeight="1" thickBot="1">
      <c r="A1111" s="827"/>
      <c r="B1111" s="827"/>
      <c r="C1111" s="827"/>
      <c r="D1111" s="827"/>
      <c r="E1111" s="827" t="s">
        <v>13506</v>
      </c>
      <c r="F1111" s="826">
        <v>14.33</v>
      </c>
      <c r="G1111" s="827"/>
      <c r="H1111" s="1018" t="s">
        <v>13507</v>
      </c>
      <c r="I1111" s="1018"/>
      <c r="J1111" s="826">
        <v>65.099999999999994</v>
      </c>
    </row>
    <row r="1112" spans="1:10" ht="13.5" thickTop="1">
      <c r="A1112" s="828"/>
      <c r="B1112" s="828"/>
      <c r="C1112" s="828"/>
      <c r="D1112" s="828"/>
      <c r="E1112" s="828"/>
      <c r="F1112" s="828"/>
      <c r="G1112" s="828"/>
      <c r="H1112" s="828"/>
      <c r="I1112" s="828"/>
      <c r="J1112" s="828"/>
    </row>
    <row r="1113" spans="1:10" ht="15">
      <c r="A1113" s="809" t="s">
        <v>13958</v>
      </c>
      <c r="B1113" s="808" t="s">
        <v>13481</v>
      </c>
      <c r="C1113" s="809" t="s">
        <v>13482</v>
      </c>
      <c r="D1113" s="809" t="s">
        <v>13483</v>
      </c>
      <c r="E1113" s="1019" t="s">
        <v>13484</v>
      </c>
      <c r="F1113" s="1019"/>
      <c r="G1113" s="810" t="s">
        <v>13485</v>
      </c>
      <c r="H1113" s="808" t="s">
        <v>13486</v>
      </c>
      <c r="I1113" s="808" t="s">
        <v>13487</v>
      </c>
      <c r="J1113" s="808" t="s">
        <v>4867</v>
      </c>
    </row>
    <row r="1114" spans="1:10" ht="25.5" customHeight="1">
      <c r="A1114" s="812" t="s">
        <v>13488</v>
      </c>
      <c r="B1114" s="811" t="s">
        <v>13959</v>
      </c>
      <c r="C1114" s="812" t="s">
        <v>6</v>
      </c>
      <c r="D1114" s="812" t="s">
        <v>1428</v>
      </c>
      <c r="E1114" s="1020" t="s">
        <v>13898</v>
      </c>
      <c r="F1114" s="1020"/>
      <c r="G1114" s="813" t="s">
        <v>14</v>
      </c>
      <c r="H1114" s="814">
        <v>1</v>
      </c>
      <c r="I1114" s="815">
        <v>52.9</v>
      </c>
      <c r="J1114" s="815">
        <v>52.9</v>
      </c>
    </row>
    <row r="1115" spans="1:10" ht="13.5" customHeight="1">
      <c r="A1115" s="817" t="s">
        <v>13491</v>
      </c>
      <c r="B1115" s="816" t="s">
        <v>13909</v>
      </c>
      <c r="C1115" s="817" t="s">
        <v>6</v>
      </c>
      <c r="D1115" s="817" t="s">
        <v>986</v>
      </c>
      <c r="E1115" s="1021" t="s">
        <v>13490</v>
      </c>
      <c r="F1115" s="1021"/>
      <c r="G1115" s="818" t="s">
        <v>19</v>
      </c>
      <c r="H1115" s="819">
        <v>0.74</v>
      </c>
      <c r="I1115" s="820">
        <v>15.54</v>
      </c>
      <c r="J1115" s="820">
        <v>11.49</v>
      </c>
    </row>
    <row r="1116" spans="1:10" ht="38.25" customHeight="1">
      <c r="A1116" s="817" t="s">
        <v>13491</v>
      </c>
      <c r="B1116" s="816" t="s">
        <v>13574</v>
      </c>
      <c r="C1116" s="817" t="s">
        <v>6</v>
      </c>
      <c r="D1116" s="817" t="s">
        <v>34</v>
      </c>
      <c r="E1116" s="1021" t="s">
        <v>13490</v>
      </c>
      <c r="F1116" s="1021"/>
      <c r="G1116" s="818" t="s">
        <v>19</v>
      </c>
      <c r="H1116" s="819">
        <v>0.74</v>
      </c>
      <c r="I1116" s="820">
        <v>18.72</v>
      </c>
      <c r="J1116" s="820">
        <v>13.85</v>
      </c>
    </row>
    <row r="1117" spans="1:10">
      <c r="A1117" s="822" t="s">
        <v>13493</v>
      </c>
      <c r="B1117" s="821" t="s">
        <v>13910</v>
      </c>
      <c r="C1117" s="822" t="s">
        <v>6</v>
      </c>
      <c r="D1117" s="822" t="s">
        <v>8519</v>
      </c>
      <c r="E1117" s="1017" t="s">
        <v>13514</v>
      </c>
      <c r="F1117" s="1017"/>
      <c r="G1117" s="823" t="s">
        <v>24</v>
      </c>
      <c r="H1117" s="824">
        <v>3.6299999999999999E-2</v>
      </c>
      <c r="I1117" s="825">
        <v>76.94</v>
      </c>
      <c r="J1117" s="825">
        <v>2.79</v>
      </c>
    </row>
    <row r="1118" spans="1:10" ht="38.25" customHeight="1">
      <c r="A1118" s="822" t="s">
        <v>13493</v>
      </c>
      <c r="B1118" s="821" t="s">
        <v>13913</v>
      </c>
      <c r="C1118" s="822" t="s">
        <v>6</v>
      </c>
      <c r="D1118" s="822" t="s">
        <v>4706</v>
      </c>
      <c r="E1118" s="1017" t="s">
        <v>13514</v>
      </c>
      <c r="F1118" s="1017"/>
      <c r="G1118" s="823" t="s">
        <v>24</v>
      </c>
      <c r="H1118" s="824">
        <v>0.247</v>
      </c>
      <c r="I1118" s="825">
        <v>2.2000000000000002</v>
      </c>
      <c r="J1118" s="825">
        <v>0.54</v>
      </c>
    </row>
    <row r="1119" spans="1:10" ht="25.5">
      <c r="A1119" s="822" t="s">
        <v>13493</v>
      </c>
      <c r="B1119" s="821" t="s">
        <v>13915</v>
      </c>
      <c r="C1119" s="822" t="s">
        <v>6</v>
      </c>
      <c r="D1119" s="822" t="s">
        <v>12249</v>
      </c>
      <c r="E1119" s="1017" t="s">
        <v>13514</v>
      </c>
      <c r="F1119" s="1017"/>
      <c r="G1119" s="823" t="s">
        <v>24</v>
      </c>
      <c r="H1119" s="824">
        <v>5.9299999999999999E-2</v>
      </c>
      <c r="I1119" s="825">
        <v>87.17</v>
      </c>
      <c r="J1119" s="825">
        <v>5.16</v>
      </c>
    </row>
    <row r="1120" spans="1:10" ht="25.5">
      <c r="A1120" s="822" t="s">
        <v>13493</v>
      </c>
      <c r="B1120" s="821" t="s">
        <v>13960</v>
      </c>
      <c r="C1120" s="822" t="s">
        <v>6</v>
      </c>
      <c r="D1120" s="822" t="s">
        <v>4811</v>
      </c>
      <c r="E1120" s="1017" t="s">
        <v>13514</v>
      </c>
      <c r="F1120" s="1017"/>
      <c r="G1120" s="823" t="s">
        <v>14</v>
      </c>
      <c r="H1120" s="824">
        <v>1.05</v>
      </c>
      <c r="I1120" s="825">
        <v>18.170000000000002</v>
      </c>
      <c r="J1120" s="825">
        <v>19.07</v>
      </c>
    </row>
    <row r="1121" spans="1:10" ht="25.5">
      <c r="A1121" s="827"/>
      <c r="B1121" s="827"/>
      <c r="C1121" s="827"/>
      <c r="D1121" s="827"/>
      <c r="E1121" s="827" t="s">
        <v>13503</v>
      </c>
      <c r="F1121" s="826">
        <v>18.93</v>
      </c>
      <c r="G1121" s="827" t="s">
        <v>13504</v>
      </c>
      <c r="H1121" s="826">
        <v>0</v>
      </c>
      <c r="I1121" s="827" t="s">
        <v>13505</v>
      </c>
      <c r="J1121" s="826">
        <v>18.93</v>
      </c>
    </row>
    <row r="1122" spans="1:10" ht="13.5" customHeight="1" thickBot="1">
      <c r="A1122" s="827"/>
      <c r="B1122" s="827"/>
      <c r="C1122" s="827"/>
      <c r="D1122" s="827"/>
      <c r="E1122" s="827" t="s">
        <v>13506</v>
      </c>
      <c r="F1122" s="826">
        <v>14.93</v>
      </c>
      <c r="G1122" s="827"/>
      <c r="H1122" s="1018" t="s">
        <v>13507</v>
      </c>
      <c r="I1122" s="1018"/>
      <c r="J1122" s="826">
        <v>67.83</v>
      </c>
    </row>
    <row r="1123" spans="1:10" ht="13.5" thickTop="1">
      <c r="A1123" s="828"/>
      <c r="B1123" s="828"/>
      <c r="C1123" s="828"/>
      <c r="D1123" s="828"/>
      <c r="E1123" s="828"/>
      <c r="F1123" s="828"/>
      <c r="G1123" s="828"/>
      <c r="H1123" s="828"/>
      <c r="I1123" s="828"/>
      <c r="J1123" s="828"/>
    </row>
    <row r="1124" spans="1:10" ht="15">
      <c r="A1124" s="809" t="s">
        <v>13961</v>
      </c>
      <c r="B1124" s="808" t="s">
        <v>13481</v>
      </c>
      <c r="C1124" s="809" t="s">
        <v>13482</v>
      </c>
      <c r="D1124" s="809" t="s">
        <v>13483</v>
      </c>
      <c r="E1124" s="1019" t="s">
        <v>13484</v>
      </c>
      <c r="F1124" s="1019"/>
      <c r="G1124" s="810" t="s">
        <v>13485</v>
      </c>
      <c r="H1124" s="808" t="s">
        <v>13486</v>
      </c>
      <c r="I1124" s="808" t="s">
        <v>13487</v>
      </c>
      <c r="J1124" s="808" t="s">
        <v>4867</v>
      </c>
    </row>
    <row r="1125" spans="1:10" ht="13.5" customHeight="1">
      <c r="A1125" s="812" t="s">
        <v>13488</v>
      </c>
      <c r="B1125" s="811" t="s">
        <v>13962</v>
      </c>
      <c r="C1125" s="812" t="s">
        <v>6</v>
      </c>
      <c r="D1125" s="812" t="s">
        <v>1425</v>
      </c>
      <c r="E1125" s="1020" t="s">
        <v>13898</v>
      </c>
      <c r="F1125" s="1020"/>
      <c r="G1125" s="813" t="s">
        <v>14</v>
      </c>
      <c r="H1125" s="814">
        <v>1</v>
      </c>
      <c r="I1125" s="815">
        <v>17.36</v>
      </c>
      <c r="J1125" s="815">
        <v>17.36</v>
      </c>
    </row>
    <row r="1126" spans="1:10" ht="38.25" customHeight="1">
      <c r="A1126" s="817" t="s">
        <v>13491</v>
      </c>
      <c r="B1126" s="816" t="s">
        <v>13909</v>
      </c>
      <c r="C1126" s="817" t="s">
        <v>6</v>
      </c>
      <c r="D1126" s="817" t="s">
        <v>986</v>
      </c>
      <c r="E1126" s="1021" t="s">
        <v>13490</v>
      </c>
      <c r="F1126" s="1021"/>
      <c r="G1126" s="818" t="s">
        <v>19</v>
      </c>
      <c r="H1126" s="819">
        <v>0.3</v>
      </c>
      <c r="I1126" s="820">
        <v>15.54</v>
      </c>
      <c r="J1126" s="820">
        <v>4.66</v>
      </c>
    </row>
    <row r="1127" spans="1:10" ht="38.25" customHeight="1">
      <c r="A1127" s="817" t="s">
        <v>13491</v>
      </c>
      <c r="B1127" s="816" t="s">
        <v>13574</v>
      </c>
      <c r="C1127" s="817" t="s">
        <v>6</v>
      </c>
      <c r="D1127" s="817" t="s">
        <v>34</v>
      </c>
      <c r="E1127" s="1021" t="s">
        <v>13490</v>
      </c>
      <c r="F1127" s="1021"/>
      <c r="G1127" s="818" t="s">
        <v>19</v>
      </c>
      <c r="H1127" s="819">
        <v>0.3</v>
      </c>
      <c r="I1127" s="820">
        <v>18.72</v>
      </c>
      <c r="J1127" s="820">
        <v>5.61</v>
      </c>
    </row>
    <row r="1128" spans="1:10" ht="38.25" customHeight="1">
      <c r="A1128" s="822" t="s">
        <v>13493</v>
      </c>
      <c r="B1128" s="821" t="s">
        <v>13913</v>
      </c>
      <c r="C1128" s="822" t="s">
        <v>6</v>
      </c>
      <c r="D1128" s="822" t="s">
        <v>4706</v>
      </c>
      <c r="E1128" s="1017" t="s">
        <v>13514</v>
      </c>
      <c r="F1128" s="1017"/>
      <c r="G1128" s="823" t="s">
        <v>24</v>
      </c>
      <c r="H1128" s="824">
        <v>0.1</v>
      </c>
      <c r="I1128" s="825">
        <v>2.2000000000000002</v>
      </c>
      <c r="J1128" s="825">
        <v>0.22</v>
      </c>
    </row>
    <row r="1129" spans="1:10" ht="25.5">
      <c r="A1129" s="822" t="s">
        <v>13493</v>
      </c>
      <c r="B1129" s="821" t="s">
        <v>13963</v>
      </c>
      <c r="C1129" s="822" t="s">
        <v>6</v>
      </c>
      <c r="D1129" s="822" t="s">
        <v>4812</v>
      </c>
      <c r="E1129" s="1017" t="s">
        <v>13514</v>
      </c>
      <c r="F1129" s="1017"/>
      <c r="G1129" s="823" t="s">
        <v>14</v>
      </c>
      <c r="H1129" s="824">
        <v>1.05</v>
      </c>
      <c r="I1129" s="825">
        <v>6.55</v>
      </c>
      <c r="J1129" s="825">
        <v>6.87</v>
      </c>
    </row>
    <row r="1130" spans="1:10" ht="25.5">
      <c r="A1130" s="827"/>
      <c r="B1130" s="827"/>
      <c r="C1130" s="827"/>
      <c r="D1130" s="827"/>
      <c r="E1130" s="827" t="s">
        <v>13503</v>
      </c>
      <c r="F1130" s="826">
        <v>7.67</v>
      </c>
      <c r="G1130" s="827" t="s">
        <v>13504</v>
      </c>
      <c r="H1130" s="826">
        <v>0</v>
      </c>
      <c r="I1130" s="827" t="s">
        <v>13505</v>
      </c>
      <c r="J1130" s="826">
        <v>7.67</v>
      </c>
    </row>
    <row r="1131" spans="1:10" ht="13.5" customHeight="1" thickBot="1">
      <c r="A1131" s="827"/>
      <c r="B1131" s="827"/>
      <c r="C1131" s="827"/>
      <c r="D1131" s="827"/>
      <c r="E1131" s="827" t="s">
        <v>13506</v>
      </c>
      <c r="F1131" s="826">
        <v>4.9000000000000004</v>
      </c>
      <c r="G1131" s="827"/>
      <c r="H1131" s="1018" t="s">
        <v>13507</v>
      </c>
      <c r="I1131" s="1018"/>
      <c r="J1131" s="826">
        <v>22.26</v>
      </c>
    </row>
    <row r="1132" spans="1:10" ht="13.5" thickTop="1">
      <c r="A1132" s="828"/>
      <c r="B1132" s="828"/>
      <c r="C1132" s="828"/>
      <c r="D1132" s="828"/>
      <c r="E1132" s="828"/>
      <c r="F1132" s="828"/>
      <c r="G1132" s="828"/>
      <c r="H1132" s="828"/>
      <c r="I1132" s="828"/>
      <c r="J1132" s="828"/>
    </row>
    <row r="1133" spans="1:10" ht="15">
      <c r="A1133" s="809" t="s">
        <v>13964</v>
      </c>
      <c r="B1133" s="808" t="s">
        <v>13481</v>
      </c>
      <c r="C1133" s="809" t="s">
        <v>13482</v>
      </c>
      <c r="D1133" s="809" t="s">
        <v>13483</v>
      </c>
      <c r="E1133" s="1019" t="s">
        <v>13484</v>
      </c>
      <c r="F1133" s="1019"/>
      <c r="G1133" s="810" t="s">
        <v>13485</v>
      </c>
      <c r="H1133" s="808" t="s">
        <v>13486</v>
      </c>
      <c r="I1133" s="808" t="s">
        <v>13487</v>
      </c>
      <c r="J1133" s="808" t="s">
        <v>4867</v>
      </c>
    </row>
    <row r="1134" spans="1:10" ht="25.5" customHeight="1">
      <c r="A1134" s="812" t="s">
        <v>13488</v>
      </c>
      <c r="B1134" s="811" t="s">
        <v>13965</v>
      </c>
      <c r="C1134" s="812" t="s">
        <v>6</v>
      </c>
      <c r="D1134" s="812" t="s">
        <v>1426</v>
      </c>
      <c r="E1134" s="1020" t="s">
        <v>13898</v>
      </c>
      <c r="F1134" s="1020"/>
      <c r="G1134" s="813" t="s">
        <v>14</v>
      </c>
      <c r="H1134" s="814">
        <v>1</v>
      </c>
      <c r="I1134" s="815">
        <v>27.23</v>
      </c>
      <c r="J1134" s="815">
        <v>27.23</v>
      </c>
    </row>
    <row r="1135" spans="1:10" ht="38.25" customHeight="1">
      <c r="A1135" s="817" t="s">
        <v>13491</v>
      </c>
      <c r="B1135" s="816" t="s">
        <v>13909</v>
      </c>
      <c r="C1135" s="817" t="s">
        <v>6</v>
      </c>
      <c r="D1135" s="817" t="s">
        <v>986</v>
      </c>
      <c r="E1135" s="1021" t="s">
        <v>13490</v>
      </c>
      <c r="F1135" s="1021"/>
      <c r="G1135" s="818" t="s">
        <v>19</v>
      </c>
      <c r="H1135" s="819">
        <v>0.38</v>
      </c>
      <c r="I1135" s="820">
        <v>15.54</v>
      </c>
      <c r="J1135" s="820">
        <v>5.9</v>
      </c>
    </row>
    <row r="1136" spans="1:10" ht="13.5" customHeight="1">
      <c r="A1136" s="817" t="s">
        <v>13491</v>
      </c>
      <c r="B1136" s="816" t="s">
        <v>13574</v>
      </c>
      <c r="C1136" s="817" t="s">
        <v>6</v>
      </c>
      <c r="D1136" s="817" t="s">
        <v>34</v>
      </c>
      <c r="E1136" s="1021" t="s">
        <v>13490</v>
      </c>
      <c r="F1136" s="1021"/>
      <c r="G1136" s="818" t="s">
        <v>19</v>
      </c>
      <c r="H1136" s="819">
        <v>0.38</v>
      </c>
      <c r="I1136" s="820">
        <v>18.72</v>
      </c>
      <c r="J1136" s="820">
        <v>7.11</v>
      </c>
    </row>
    <row r="1137" spans="1:10">
      <c r="A1137" s="822" t="s">
        <v>13493</v>
      </c>
      <c r="B1137" s="821" t="s">
        <v>13910</v>
      </c>
      <c r="C1137" s="822" t="s">
        <v>6</v>
      </c>
      <c r="D1137" s="822" t="s">
        <v>8519</v>
      </c>
      <c r="E1137" s="1017" t="s">
        <v>13514</v>
      </c>
      <c r="F1137" s="1017"/>
      <c r="G1137" s="823" t="s">
        <v>24</v>
      </c>
      <c r="H1137" s="824">
        <v>1.0800000000000001E-2</v>
      </c>
      <c r="I1137" s="825">
        <v>76.94</v>
      </c>
      <c r="J1137" s="825">
        <v>0.83</v>
      </c>
    </row>
    <row r="1138" spans="1:10">
      <c r="A1138" s="822" t="s">
        <v>13493</v>
      </c>
      <c r="B1138" s="821" t="s">
        <v>13913</v>
      </c>
      <c r="C1138" s="822" t="s">
        <v>6</v>
      </c>
      <c r="D1138" s="822" t="s">
        <v>4706</v>
      </c>
      <c r="E1138" s="1017" t="s">
        <v>13514</v>
      </c>
      <c r="F1138" s="1017"/>
      <c r="G1138" s="823" t="s">
        <v>24</v>
      </c>
      <c r="H1138" s="824">
        <v>0.127</v>
      </c>
      <c r="I1138" s="825">
        <v>2.2000000000000002</v>
      </c>
      <c r="J1138" s="825">
        <v>0.27</v>
      </c>
    </row>
    <row r="1139" spans="1:10" ht="38.25" customHeight="1">
      <c r="A1139" s="822" t="s">
        <v>13493</v>
      </c>
      <c r="B1139" s="821" t="s">
        <v>13915</v>
      </c>
      <c r="C1139" s="822" t="s">
        <v>6</v>
      </c>
      <c r="D1139" s="822" t="s">
        <v>12249</v>
      </c>
      <c r="E1139" s="1017" t="s">
        <v>13514</v>
      </c>
      <c r="F1139" s="1017"/>
      <c r="G1139" s="823" t="s">
        <v>24</v>
      </c>
      <c r="H1139" s="824">
        <v>1.6299999999999999E-2</v>
      </c>
      <c r="I1139" s="825">
        <v>87.17</v>
      </c>
      <c r="J1139" s="825">
        <v>1.42</v>
      </c>
    </row>
    <row r="1140" spans="1:10" ht="25.5">
      <c r="A1140" s="822" t="s">
        <v>13493</v>
      </c>
      <c r="B1140" s="821" t="s">
        <v>13966</v>
      </c>
      <c r="C1140" s="822" t="s">
        <v>6</v>
      </c>
      <c r="D1140" s="822" t="s">
        <v>4813</v>
      </c>
      <c r="E1140" s="1017" t="s">
        <v>13514</v>
      </c>
      <c r="F1140" s="1017"/>
      <c r="G1140" s="823" t="s">
        <v>14</v>
      </c>
      <c r="H1140" s="824">
        <v>1.05</v>
      </c>
      <c r="I1140" s="825">
        <v>11.15</v>
      </c>
      <c r="J1140" s="825">
        <v>11.7</v>
      </c>
    </row>
    <row r="1141" spans="1:10" ht="25.5">
      <c r="A1141" s="827"/>
      <c r="B1141" s="827"/>
      <c r="C1141" s="827"/>
      <c r="D1141" s="827"/>
      <c r="E1141" s="827" t="s">
        <v>13503</v>
      </c>
      <c r="F1141" s="826">
        <v>9.7100000000000009</v>
      </c>
      <c r="G1141" s="827" t="s">
        <v>13504</v>
      </c>
      <c r="H1141" s="826">
        <v>0</v>
      </c>
      <c r="I1141" s="827" t="s">
        <v>13505</v>
      </c>
      <c r="J1141" s="826">
        <v>9.7100000000000009</v>
      </c>
    </row>
    <row r="1142" spans="1:10" ht="13.5" customHeight="1" thickBot="1">
      <c r="A1142" s="827"/>
      <c r="B1142" s="827"/>
      <c r="C1142" s="827"/>
      <c r="D1142" s="827"/>
      <c r="E1142" s="827" t="s">
        <v>13506</v>
      </c>
      <c r="F1142" s="826">
        <v>7.68</v>
      </c>
      <c r="G1142" s="827"/>
      <c r="H1142" s="1018" t="s">
        <v>13507</v>
      </c>
      <c r="I1142" s="1018"/>
      <c r="J1142" s="826">
        <v>34.909999999999997</v>
      </c>
    </row>
    <row r="1143" spans="1:10" ht="13.5" thickTop="1">
      <c r="A1143" s="828"/>
      <c r="B1143" s="828"/>
      <c r="C1143" s="828"/>
      <c r="D1143" s="828"/>
      <c r="E1143" s="828"/>
      <c r="F1143" s="828"/>
      <c r="G1143" s="828"/>
      <c r="H1143" s="828"/>
      <c r="I1143" s="828"/>
      <c r="J1143" s="828"/>
    </row>
    <row r="1144" spans="1:10" ht="15">
      <c r="A1144" s="809" t="s">
        <v>13967</v>
      </c>
      <c r="B1144" s="808" t="s">
        <v>13481</v>
      </c>
      <c r="C1144" s="809" t="s">
        <v>13482</v>
      </c>
      <c r="D1144" s="809" t="s">
        <v>13483</v>
      </c>
      <c r="E1144" s="1019" t="s">
        <v>13484</v>
      </c>
      <c r="F1144" s="1019"/>
      <c r="G1144" s="810" t="s">
        <v>13485</v>
      </c>
      <c r="H1144" s="808" t="s">
        <v>13486</v>
      </c>
      <c r="I1144" s="808" t="s">
        <v>13487</v>
      </c>
      <c r="J1144" s="808" t="s">
        <v>4867</v>
      </c>
    </row>
    <row r="1145" spans="1:10" ht="25.5" customHeight="1">
      <c r="A1145" s="812" t="s">
        <v>13488</v>
      </c>
      <c r="B1145" s="811" t="s">
        <v>13968</v>
      </c>
      <c r="C1145" s="812" t="s">
        <v>6</v>
      </c>
      <c r="D1145" s="812" t="s">
        <v>1427</v>
      </c>
      <c r="E1145" s="1020" t="s">
        <v>13898</v>
      </c>
      <c r="F1145" s="1020"/>
      <c r="G1145" s="813" t="s">
        <v>14</v>
      </c>
      <c r="H1145" s="814">
        <v>1</v>
      </c>
      <c r="I1145" s="815">
        <v>41.74</v>
      </c>
      <c r="J1145" s="815">
        <v>41.74</v>
      </c>
    </row>
    <row r="1146" spans="1:10" ht="13.5" customHeight="1">
      <c r="A1146" s="817" t="s">
        <v>13491</v>
      </c>
      <c r="B1146" s="816" t="s">
        <v>13909</v>
      </c>
      <c r="C1146" s="817" t="s">
        <v>6</v>
      </c>
      <c r="D1146" s="817" t="s">
        <v>986</v>
      </c>
      <c r="E1146" s="1021" t="s">
        <v>13490</v>
      </c>
      <c r="F1146" s="1021"/>
      <c r="G1146" s="818" t="s">
        <v>19</v>
      </c>
      <c r="H1146" s="819">
        <v>0.56000000000000005</v>
      </c>
      <c r="I1146" s="820">
        <v>15.54</v>
      </c>
      <c r="J1146" s="820">
        <v>8.6999999999999993</v>
      </c>
    </row>
    <row r="1147" spans="1:10" ht="38.25" customHeight="1">
      <c r="A1147" s="817" t="s">
        <v>13491</v>
      </c>
      <c r="B1147" s="816" t="s">
        <v>13574</v>
      </c>
      <c r="C1147" s="817" t="s">
        <v>6</v>
      </c>
      <c r="D1147" s="817" t="s">
        <v>34</v>
      </c>
      <c r="E1147" s="1021" t="s">
        <v>13490</v>
      </c>
      <c r="F1147" s="1021"/>
      <c r="G1147" s="818" t="s">
        <v>19</v>
      </c>
      <c r="H1147" s="819">
        <v>0.56000000000000005</v>
      </c>
      <c r="I1147" s="820">
        <v>18.72</v>
      </c>
      <c r="J1147" s="820">
        <v>10.48</v>
      </c>
    </row>
    <row r="1148" spans="1:10">
      <c r="A1148" s="822" t="s">
        <v>13493</v>
      </c>
      <c r="B1148" s="821" t="s">
        <v>13910</v>
      </c>
      <c r="C1148" s="822" t="s">
        <v>6</v>
      </c>
      <c r="D1148" s="822" t="s">
        <v>8519</v>
      </c>
      <c r="E1148" s="1017" t="s">
        <v>13514</v>
      </c>
      <c r="F1148" s="1017"/>
      <c r="G1148" s="823" t="s">
        <v>24</v>
      </c>
      <c r="H1148" s="824">
        <v>2.47E-2</v>
      </c>
      <c r="I1148" s="825">
        <v>76.94</v>
      </c>
      <c r="J1148" s="825">
        <v>1.9</v>
      </c>
    </row>
    <row r="1149" spans="1:10" ht="38.25" customHeight="1">
      <c r="A1149" s="822" t="s">
        <v>13493</v>
      </c>
      <c r="B1149" s="821" t="s">
        <v>13913</v>
      </c>
      <c r="C1149" s="822" t="s">
        <v>6</v>
      </c>
      <c r="D1149" s="822" t="s">
        <v>4706</v>
      </c>
      <c r="E1149" s="1017" t="s">
        <v>13514</v>
      </c>
      <c r="F1149" s="1017"/>
      <c r="G1149" s="823" t="s">
        <v>24</v>
      </c>
      <c r="H1149" s="824">
        <v>0.187</v>
      </c>
      <c r="I1149" s="825">
        <v>2.2000000000000002</v>
      </c>
      <c r="J1149" s="825">
        <v>0.41</v>
      </c>
    </row>
    <row r="1150" spans="1:10" ht="25.5">
      <c r="A1150" s="822" t="s">
        <v>13493</v>
      </c>
      <c r="B1150" s="821" t="s">
        <v>13915</v>
      </c>
      <c r="C1150" s="822" t="s">
        <v>6</v>
      </c>
      <c r="D1150" s="822" t="s">
        <v>12249</v>
      </c>
      <c r="E1150" s="1017" t="s">
        <v>13514</v>
      </c>
      <c r="F1150" s="1017"/>
      <c r="G1150" s="823" t="s">
        <v>24</v>
      </c>
      <c r="H1150" s="824">
        <v>3.85E-2</v>
      </c>
      <c r="I1150" s="825">
        <v>87.17</v>
      </c>
      <c r="J1150" s="825">
        <v>3.35</v>
      </c>
    </row>
    <row r="1151" spans="1:10" ht="25.5">
      <c r="A1151" s="822" t="s">
        <v>13493</v>
      </c>
      <c r="B1151" s="821" t="s">
        <v>13969</v>
      </c>
      <c r="C1151" s="822" t="s">
        <v>6</v>
      </c>
      <c r="D1151" s="822" t="s">
        <v>4814</v>
      </c>
      <c r="E1151" s="1017" t="s">
        <v>13514</v>
      </c>
      <c r="F1151" s="1017"/>
      <c r="G1151" s="823" t="s">
        <v>14</v>
      </c>
      <c r="H1151" s="824">
        <v>1.05</v>
      </c>
      <c r="I1151" s="825">
        <v>16.100000000000001</v>
      </c>
      <c r="J1151" s="825">
        <v>16.899999999999999</v>
      </c>
    </row>
    <row r="1152" spans="1:10" ht="25.5">
      <c r="A1152" s="827"/>
      <c r="B1152" s="827"/>
      <c r="C1152" s="827"/>
      <c r="D1152" s="827"/>
      <c r="E1152" s="827" t="s">
        <v>13503</v>
      </c>
      <c r="F1152" s="826">
        <v>14.32</v>
      </c>
      <c r="G1152" s="827" t="s">
        <v>13504</v>
      </c>
      <c r="H1152" s="826">
        <v>0</v>
      </c>
      <c r="I1152" s="827" t="s">
        <v>13505</v>
      </c>
      <c r="J1152" s="826">
        <v>14.32</v>
      </c>
    </row>
    <row r="1153" spans="1:10" ht="13.5" customHeight="1" thickBot="1">
      <c r="A1153" s="827"/>
      <c r="B1153" s="827"/>
      <c r="C1153" s="827"/>
      <c r="D1153" s="827"/>
      <c r="E1153" s="827" t="s">
        <v>13506</v>
      </c>
      <c r="F1153" s="826">
        <v>11.78</v>
      </c>
      <c r="G1153" s="827"/>
      <c r="H1153" s="1018" t="s">
        <v>13507</v>
      </c>
      <c r="I1153" s="1018"/>
      <c r="J1153" s="826">
        <v>53.52</v>
      </c>
    </row>
    <row r="1154" spans="1:10" ht="13.5" thickTop="1">
      <c r="A1154" s="828"/>
      <c r="B1154" s="828"/>
      <c r="C1154" s="828"/>
      <c r="D1154" s="828"/>
      <c r="E1154" s="828"/>
      <c r="F1154" s="828"/>
      <c r="G1154" s="828"/>
      <c r="H1154" s="828"/>
      <c r="I1154" s="828"/>
      <c r="J1154" s="828"/>
    </row>
    <row r="1155" spans="1:10" ht="15">
      <c r="A1155" s="809" t="s">
        <v>13970</v>
      </c>
      <c r="B1155" s="808" t="s">
        <v>13481</v>
      </c>
      <c r="C1155" s="809" t="s">
        <v>13482</v>
      </c>
      <c r="D1155" s="809" t="s">
        <v>13483</v>
      </c>
      <c r="E1155" s="1019" t="s">
        <v>13484</v>
      </c>
      <c r="F1155" s="1019"/>
      <c r="G1155" s="810" t="s">
        <v>13485</v>
      </c>
      <c r="H1155" s="808" t="s">
        <v>13486</v>
      </c>
      <c r="I1155" s="808" t="s">
        <v>13487</v>
      </c>
      <c r="J1155" s="808" t="s">
        <v>4867</v>
      </c>
    </row>
    <row r="1156" spans="1:10" ht="13.5" customHeight="1">
      <c r="A1156" s="812" t="s">
        <v>13488</v>
      </c>
      <c r="B1156" s="811" t="s">
        <v>13971</v>
      </c>
      <c r="C1156" s="812" t="s">
        <v>6</v>
      </c>
      <c r="D1156" s="812" t="s">
        <v>6722</v>
      </c>
      <c r="E1156" s="1020" t="s">
        <v>13898</v>
      </c>
      <c r="F1156" s="1020"/>
      <c r="G1156" s="813" t="s">
        <v>24</v>
      </c>
      <c r="H1156" s="814">
        <v>1</v>
      </c>
      <c r="I1156" s="815">
        <v>6458.52</v>
      </c>
      <c r="J1156" s="815">
        <v>6458.52</v>
      </c>
    </row>
    <row r="1157" spans="1:10" ht="38.25" customHeight="1">
      <c r="A1157" s="817" t="s">
        <v>13491</v>
      </c>
      <c r="B1157" s="816" t="s">
        <v>13610</v>
      </c>
      <c r="C1157" s="817" t="s">
        <v>6</v>
      </c>
      <c r="D1157" s="817" t="s">
        <v>677</v>
      </c>
      <c r="E1157" s="1021" t="s">
        <v>13539</v>
      </c>
      <c r="F1157" s="1021"/>
      <c r="G1157" s="818" t="s">
        <v>28</v>
      </c>
      <c r="H1157" s="819">
        <v>0.83760000000000001</v>
      </c>
      <c r="I1157" s="820">
        <v>115.29</v>
      </c>
      <c r="J1157" s="820">
        <v>96.56</v>
      </c>
    </row>
    <row r="1158" spans="1:10" ht="38.25" customHeight="1">
      <c r="A1158" s="817" t="s">
        <v>13491</v>
      </c>
      <c r="B1158" s="816" t="s">
        <v>13611</v>
      </c>
      <c r="C1158" s="817" t="s">
        <v>6</v>
      </c>
      <c r="D1158" s="817" t="s">
        <v>678</v>
      </c>
      <c r="E1158" s="1021" t="s">
        <v>13539</v>
      </c>
      <c r="F1158" s="1021"/>
      <c r="G1158" s="818" t="s">
        <v>42</v>
      </c>
      <c r="H1158" s="819">
        <v>2.8172999999999999</v>
      </c>
      <c r="I1158" s="820">
        <v>40.15</v>
      </c>
      <c r="J1158" s="820">
        <v>113.11</v>
      </c>
    </row>
    <row r="1159" spans="1:10" ht="38.25" customHeight="1">
      <c r="A1159" s="817" t="s">
        <v>13491</v>
      </c>
      <c r="B1159" s="816" t="s">
        <v>13972</v>
      </c>
      <c r="C1159" s="817" t="s">
        <v>6</v>
      </c>
      <c r="D1159" s="817" t="s">
        <v>3312</v>
      </c>
      <c r="E1159" s="1021" t="s">
        <v>13542</v>
      </c>
      <c r="F1159" s="1021"/>
      <c r="G1159" s="818" t="s">
        <v>13543</v>
      </c>
      <c r="H1159" s="819">
        <v>0.54800000000000004</v>
      </c>
      <c r="I1159" s="820">
        <v>1978.76</v>
      </c>
      <c r="J1159" s="820">
        <v>1084.3599999999999</v>
      </c>
    </row>
    <row r="1160" spans="1:10" ht="38.25" customHeight="1">
      <c r="A1160" s="817" t="s">
        <v>13491</v>
      </c>
      <c r="B1160" s="816" t="s">
        <v>13973</v>
      </c>
      <c r="C1160" s="817" t="s">
        <v>6</v>
      </c>
      <c r="D1160" s="817" t="s">
        <v>3310</v>
      </c>
      <c r="E1160" s="1021" t="s">
        <v>13542</v>
      </c>
      <c r="F1160" s="1021"/>
      <c r="G1160" s="818" t="s">
        <v>13543</v>
      </c>
      <c r="H1160" s="819">
        <v>1.54E-2</v>
      </c>
      <c r="I1160" s="820">
        <v>4826.57</v>
      </c>
      <c r="J1160" s="820">
        <v>74.319999999999993</v>
      </c>
    </row>
    <row r="1161" spans="1:10" ht="38.25" customHeight="1">
      <c r="A1161" s="817" t="s">
        <v>13491</v>
      </c>
      <c r="B1161" s="816" t="s">
        <v>13974</v>
      </c>
      <c r="C1161" s="817" t="s">
        <v>6</v>
      </c>
      <c r="D1161" s="817" t="s">
        <v>5708</v>
      </c>
      <c r="E1161" s="1021" t="s">
        <v>13623</v>
      </c>
      <c r="F1161" s="1021"/>
      <c r="G1161" s="818" t="s">
        <v>13543</v>
      </c>
      <c r="H1161" s="819">
        <v>0.79420000000000002</v>
      </c>
      <c r="I1161" s="820">
        <v>130.97</v>
      </c>
      <c r="J1161" s="820">
        <v>104.01</v>
      </c>
    </row>
    <row r="1162" spans="1:10" ht="38.25" customHeight="1">
      <c r="A1162" s="817" t="s">
        <v>13491</v>
      </c>
      <c r="B1162" s="816" t="s">
        <v>13975</v>
      </c>
      <c r="C1162" s="817" t="s">
        <v>6</v>
      </c>
      <c r="D1162" s="817" t="s">
        <v>3941</v>
      </c>
      <c r="E1162" s="1021" t="s">
        <v>13490</v>
      </c>
      <c r="F1162" s="1021"/>
      <c r="G1162" s="818" t="s">
        <v>13543</v>
      </c>
      <c r="H1162" s="819">
        <v>8.9300000000000004E-2</v>
      </c>
      <c r="I1162" s="820">
        <v>486.93</v>
      </c>
      <c r="J1162" s="820">
        <v>43.48</v>
      </c>
    </row>
    <row r="1163" spans="1:10" ht="38.25" customHeight="1">
      <c r="A1163" s="817" t="s">
        <v>13491</v>
      </c>
      <c r="B1163" s="816" t="s">
        <v>13553</v>
      </c>
      <c r="C1163" s="817" t="s">
        <v>6</v>
      </c>
      <c r="D1163" s="817" t="s">
        <v>21</v>
      </c>
      <c r="E1163" s="1021" t="s">
        <v>13490</v>
      </c>
      <c r="F1163" s="1021"/>
      <c r="G1163" s="818" t="s">
        <v>19</v>
      </c>
      <c r="H1163" s="819">
        <v>2.9510999999999998</v>
      </c>
      <c r="I1163" s="820">
        <v>15.16</v>
      </c>
      <c r="J1163" s="820">
        <v>44.73</v>
      </c>
    </row>
    <row r="1164" spans="1:10" ht="38.25" customHeight="1">
      <c r="A1164" s="817" t="s">
        <v>13491</v>
      </c>
      <c r="B1164" s="816" t="s">
        <v>13577</v>
      </c>
      <c r="C1164" s="817" t="s">
        <v>6</v>
      </c>
      <c r="D1164" s="817" t="s">
        <v>31</v>
      </c>
      <c r="E1164" s="1021" t="s">
        <v>13490</v>
      </c>
      <c r="F1164" s="1021"/>
      <c r="G1164" s="818" t="s">
        <v>19</v>
      </c>
      <c r="H1164" s="819">
        <v>2.9510999999999998</v>
      </c>
      <c r="I1164" s="820">
        <v>18.86</v>
      </c>
      <c r="J1164" s="820">
        <v>55.65</v>
      </c>
    </row>
    <row r="1165" spans="1:10" ht="38.25">
      <c r="A1165" s="822" t="s">
        <v>13493</v>
      </c>
      <c r="B1165" s="821" t="s">
        <v>13976</v>
      </c>
      <c r="C1165" s="822" t="s">
        <v>6</v>
      </c>
      <c r="D1165" s="822" t="s">
        <v>8627</v>
      </c>
      <c r="E1165" s="1017" t="s">
        <v>13514</v>
      </c>
      <c r="F1165" s="1017"/>
      <c r="G1165" s="823" t="s">
        <v>24</v>
      </c>
      <c r="H1165" s="824">
        <v>6</v>
      </c>
      <c r="I1165" s="825">
        <v>807.05</v>
      </c>
      <c r="J1165" s="825">
        <v>4842.3</v>
      </c>
    </row>
    <row r="1166" spans="1:10" ht="13.5" customHeight="1">
      <c r="A1166" s="827"/>
      <c r="B1166" s="827"/>
      <c r="C1166" s="827"/>
      <c r="D1166" s="827"/>
      <c r="E1166" s="827" t="s">
        <v>13503</v>
      </c>
      <c r="F1166" s="826">
        <v>382.38</v>
      </c>
      <c r="G1166" s="827" t="s">
        <v>13504</v>
      </c>
      <c r="H1166" s="826">
        <v>0</v>
      </c>
      <c r="I1166" s="827" t="s">
        <v>13505</v>
      </c>
      <c r="J1166" s="826">
        <v>382.38</v>
      </c>
    </row>
    <row r="1167" spans="1:10" ht="13.5" customHeight="1" thickBot="1">
      <c r="A1167" s="827"/>
      <c r="B1167" s="827"/>
      <c r="C1167" s="827"/>
      <c r="D1167" s="827"/>
      <c r="E1167" s="827" t="s">
        <v>13506</v>
      </c>
      <c r="F1167" s="826">
        <v>1823.88</v>
      </c>
      <c r="G1167" s="827"/>
      <c r="H1167" s="1018" t="s">
        <v>13507</v>
      </c>
      <c r="I1167" s="1018"/>
      <c r="J1167" s="826">
        <v>8282.4</v>
      </c>
    </row>
    <row r="1168" spans="1:10" ht="13.5" thickTop="1">
      <c r="A1168" s="828"/>
      <c r="B1168" s="828"/>
      <c r="C1168" s="828"/>
      <c r="D1168" s="828"/>
      <c r="E1168" s="828"/>
      <c r="F1168" s="828"/>
      <c r="G1168" s="828"/>
      <c r="H1168" s="828"/>
      <c r="I1168" s="828"/>
      <c r="J1168" s="828"/>
    </row>
    <row r="1169" spans="1:10" ht="38.25" customHeight="1">
      <c r="A1169" s="809" t="s">
        <v>13977</v>
      </c>
      <c r="B1169" s="808" t="s">
        <v>13481</v>
      </c>
      <c r="C1169" s="809" t="s">
        <v>13482</v>
      </c>
      <c r="D1169" s="809" t="s">
        <v>13483</v>
      </c>
      <c r="E1169" s="1019" t="s">
        <v>13484</v>
      </c>
      <c r="F1169" s="1019"/>
      <c r="G1169" s="810" t="s">
        <v>13485</v>
      </c>
      <c r="H1169" s="808" t="s">
        <v>13486</v>
      </c>
      <c r="I1169" s="808" t="s">
        <v>13487</v>
      </c>
      <c r="J1169" s="808" t="s">
        <v>4867</v>
      </c>
    </row>
    <row r="1170" spans="1:10" ht="25.5" customHeight="1">
      <c r="A1170" s="812" t="s">
        <v>13488</v>
      </c>
      <c r="B1170" s="811" t="s">
        <v>13978</v>
      </c>
      <c r="C1170" s="812" t="s">
        <v>6</v>
      </c>
      <c r="D1170" s="812" t="s">
        <v>6718</v>
      </c>
      <c r="E1170" s="1020" t="s">
        <v>13898</v>
      </c>
      <c r="F1170" s="1020"/>
      <c r="G1170" s="813" t="s">
        <v>24</v>
      </c>
      <c r="H1170" s="814">
        <v>1</v>
      </c>
      <c r="I1170" s="815">
        <v>6640.52</v>
      </c>
      <c r="J1170" s="815">
        <v>6640.52</v>
      </c>
    </row>
    <row r="1171" spans="1:10" ht="38.25" customHeight="1">
      <c r="A1171" s="817" t="s">
        <v>13491</v>
      </c>
      <c r="B1171" s="816" t="s">
        <v>13610</v>
      </c>
      <c r="C1171" s="817" t="s">
        <v>6</v>
      </c>
      <c r="D1171" s="817" t="s">
        <v>677</v>
      </c>
      <c r="E1171" s="1021" t="s">
        <v>13539</v>
      </c>
      <c r="F1171" s="1021"/>
      <c r="G1171" s="818" t="s">
        <v>28</v>
      </c>
      <c r="H1171" s="819">
        <v>1.5450999999999999</v>
      </c>
      <c r="I1171" s="820">
        <v>115.29</v>
      </c>
      <c r="J1171" s="820">
        <v>178.13</v>
      </c>
    </row>
    <row r="1172" spans="1:10" ht="38.25" customHeight="1">
      <c r="A1172" s="817" t="s">
        <v>13491</v>
      </c>
      <c r="B1172" s="816" t="s">
        <v>13611</v>
      </c>
      <c r="C1172" s="817" t="s">
        <v>6</v>
      </c>
      <c r="D1172" s="817" t="s">
        <v>678</v>
      </c>
      <c r="E1172" s="1021" t="s">
        <v>13539</v>
      </c>
      <c r="F1172" s="1021"/>
      <c r="G1172" s="818" t="s">
        <v>42</v>
      </c>
      <c r="H1172" s="819">
        <v>5.1970999999999998</v>
      </c>
      <c r="I1172" s="820">
        <v>40.15</v>
      </c>
      <c r="J1172" s="820">
        <v>208.66</v>
      </c>
    </row>
    <row r="1173" spans="1:10" ht="38.25" customHeight="1">
      <c r="A1173" s="817" t="s">
        <v>13491</v>
      </c>
      <c r="B1173" s="816" t="s">
        <v>13972</v>
      </c>
      <c r="C1173" s="817" t="s">
        <v>6</v>
      </c>
      <c r="D1173" s="817" t="s">
        <v>3312</v>
      </c>
      <c r="E1173" s="1021" t="s">
        <v>13542</v>
      </c>
      <c r="F1173" s="1021"/>
      <c r="G1173" s="818" t="s">
        <v>13543</v>
      </c>
      <c r="H1173" s="819">
        <v>0.80910000000000004</v>
      </c>
      <c r="I1173" s="820">
        <v>1978.76</v>
      </c>
      <c r="J1173" s="820">
        <v>1601.01</v>
      </c>
    </row>
    <row r="1174" spans="1:10" ht="13.5" customHeight="1">
      <c r="A1174" s="817" t="s">
        <v>13491</v>
      </c>
      <c r="B1174" s="816" t="s">
        <v>13973</v>
      </c>
      <c r="C1174" s="817" t="s">
        <v>6</v>
      </c>
      <c r="D1174" s="817" t="s">
        <v>3310</v>
      </c>
      <c r="E1174" s="1021" t="s">
        <v>13542</v>
      </c>
      <c r="F1174" s="1021"/>
      <c r="G1174" s="818" t="s">
        <v>13543</v>
      </c>
      <c r="H1174" s="819">
        <v>1.54E-2</v>
      </c>
      <c r="I1174" s="820">
        <v>4826.57</v>
      </c>
      <c r="J1174" s="820">
        <v>74.319999999999993</v>
      </c>
    </row>
    <row r="1175" spans="1:10" ht="38.25" customHeight="1">
      <c r="A1175" s="817" t="s">
        <v>13491</v>
      </c>
      <c r="B1175" s="816" t="s">
        <v>13974</v>
      </c>
      <c r="C1175" s="817" t="s">
        <v>6</v>
      </c>
      <c r="D1175" s="817" t="s">
        <v>5708</v>
      </c>
      <c r="E1175" s="1021" t="s">
        <v>13623</v>
      </c>
      <c r="F1175" s="1021"/>
      <c r="G1175" s="818" t="s">
        <v>13543</v>
      </c>
      <c r="H1175" s="819">
        <v>0.79420000000000002</v>
      </c>
      <c r="I1175" s="820">
        <v>130.97</v>
      </c>
      <c r="J1175" s="820">
        <v>104.01</v>
      </c>
    </row>
    <row r="1176" spans="1:10" ht="38.25" customHeight="1">
      <c r="A1176" s="817" t="s">
        <v>13491</v>
      </c>
      <c r="B1176" s="816" t="s">
        <v>13902</v>
      </c>
      <c r="C1176" s="817" t="s">
        <v>6</v>
      </c>
      <c r="D1176" s="817" t="s">
        <v>3954</v>
      </c>
      <c r="E1176" s="1021" t="s">
        <v>13490</v>
      </c>
      <c r="F1176" s="1021"/>
      <c r="G1176" s="818" t="s">
        <v>13543</v>
      </c>
      <c r="H1176" s="819">
        <v>0.37569999999999998</v>
      </c>
      <c r="I1176" s="820">
        <v>600.33000000000004</v>
      </c>
      <c r="J1176" s="820">
        <v>225.54</v>
      </c>
    </row>
    <row r="1177" spans="1:10" ht="38.25" customHeight="1">
      <c r="A1177" s="817" t="s">
        <v>13491</v>
      </c>
      <c r="B1177" s="816" t="s">
        <v>13577</v>
      </c>
      <c r="C1177" s="817" t="s">
        <v>6</v>
      </c>
      <c r="D1177" s="817" t="s">
        <v>31</v>
      </c>
      <c r="E1177" s="1021" t="s">
        <v>13490</v>
      </c>
      <c r="F1177" s="1021"/>
      <c r="G1177" s="818" t="s">
        <v>19</v>
      </c>
      <c r="H1177" s="819">
        <v>5.7202000000000002</v>
      </c>
      <c r="I1177" s="820">
        <v>18.86</v>
      </c>
      <c r="J1177" s="820">
        <v>107.88</v>
      </c>
    </row>
    <row r="1178" spans="1:10" ht="38.25" customHeight="1">
      <c r="A1178" s="817" t="s">
        <v>13491</v>
      </c>
      <c r="B1178" s="816" t="s">
        <v>13553</v>
      </c>
      <c r="C1178" s="817" t="s">
        <v>6</v>
      </c>
      <c r="D1178" s="817" t="s">
        <v>21</v>
      </c>
      <c r="E1178" s="1021" t="s">
        <v>13490</v>
      </c>
      <c r="F1178" s="1021"/>
      <c r="G1178" s="818" t="s">
        <v>19</v>
      </c>
      <c r="H1178" s="819">
        <v>5.7202000000000002</v>
      </c>
      <c r="I1178" s="820">
        <v>15.16</v>
      </c>
      <c r="J1178" s="820">
        <v>86.71</v>
      </c>
    </row>
    <row r="1179" spans="1:10" ht="38.25">
      <c r="A1179" s="822" t="s">
        <v>13493</v>
      </c>
      <c r="B1179" s="821" t="s">
        <v>13979</v>
      </c>
      <c r="C1179" s="822" t="s">
        <v>6</v>
      </c>
      <c r="D1179" s="822" t="s">
        <v>8612</v>
      </c>
      <c r="E1179" s="1017" t="s">
        <v>13514</v>
      </c>
      <c r="F1179" s="1017"/>
      <c r="G1179" s="823" t="s">
        <v>24</v>
      </c>
      <c r="H1179" s="824">
        <v>3</v>
      </c>
      <c r="I1179" s="825">
        <v>1152.94</v>
      </c>
      <c r="J1179" s="825">
        <v>3458.82</v>
      </c>
    </row>
    <row r="1180" spans="1:10" ht="25.5">
      <c r="A1180" s="822" t="s">
        <v>13493</v>
      </c>
      <c r="B1180" s="821" t="s">
        <v>13980</v>
      </c>
      <c r="C1180" s="822" t="s">
        <v>6</v>
      </c>
      <c r="D1180" s="822" t="s">
        <v>8615</v>
      </c>
      <c r="E1180" s="1017" t="s">
        <v>13514</v>
      </c>
      <c r="F1180" s="1017"/>
      <c r="G1180" s="823" t="s">
        <v>24</v>
      </c>
      <c r="H1180" s="824">
        <v>1</v>
      </c>
      <c r="I1180" s="825">
        <v>106.68</v>
      </c>
      <c r="J1180" s="825">
        <v>106.68</v>
      </c>
    </row>
    <row r="1181" spans="1:10" ht="25.5">
      <c r="A1181" s="822" t="s">
        <v>13493</v>
      </c>
      <c r="B1181" s="821" t="s">
        <v>13981</v>
      </c>
      <c r="C1181" s="822" t="s">
        <v>6</v>
      </c>
      <c r="D1181" s="822" t="s">
        <v>4748</v>
      </c>
      <c r="E1181" s="1017" t="s">
        <v>13514</v>
      </c>
      <c r="F1181" s="1017"/>
      <c r="G1181" s="823" t="s">
        <v>13543</v>
      </c>
      <c r="H1181" s="824">
        <v>5.0160999999999998</v>
      </c>
      <c r="I1181" s="825">
        <v>97.44</v>
      </c>
      <c r="J1181" s="825">
        <v>488.76</v>
      </c>
    </row>
    <row r="1182" spans="1:10" ht="25.5">
      <c r="A1182" s="827"/>
      <c r="B1182" s="827"/>
      <c r="C1182" s="827"/>
      <c r="D1182" s="827"/>
      <c r="E1182" s="827" t="s">
        <v>13503</v>
      </c>
      <c r="F1182" s="826">
        <v>609.97</v>
      </c>
      <c r="G1182" s="827" t="s">
        <v>13504</v>
      </c>
      <c r="H1182" s="826">
        <v>0</v>
      </c>
      <c r="I1182" s="827" t="s">
        <v>13505</v>
      </c>
      <c r="J1182" s="826">
        <v>609.97</v>
      </c>
    </row>
    <row r="1183" spans="1:10" ht="13.5" customHeight="1" thickBot="1">
      <c r="A1183" s="827"/>
      <c r="B1183" s="827"/>
      <c r="C1183" s="827"/>
      <c r="D1183" s="827"/>
      <c r="E1183" s="827" t="s">
        <v>13506</v>
      </c>
      <c r="F1183" s="826">
        <v>1875.28</v>
      </c>
      <c r="G1183" s="827"/>
      <c r="H1183" s="1018" t="s">
        <v>13507</v>
      </c>
      <c r="I1183" s="1018"/>
      <c r="J1183" s="826">
        <v>8515.7999999999993</v>
      </c>
    </row>
    <row r="1184" spans="1:10" ht="13.5" customHeight="1" thickTop="1">
      <c r="A1184" s="828"/>
      <c r="B1184" s="828"/>
      <c r="C1184" s="828"/>
      <c r="D1184" s="828"/>
      <c r="E1184" s="828"/>
      <c r="F1184" s="828"/>
      <c r="G1184" s="828"/>
      <c r="H1184" s="828"/>
      <c r="I1184" s="828"/>
      <c r="J1184" s="828"/>
    </row>
    <row r="1185" spans="1:10" ht="15">
      <c r="A1185" s="809" t="s">
        <v>13982</v>
      </c>
      <c r="B1185" s="808" t="s">
        <v>13481</v>
      </c>
      <c r="C1185" s="809" t="s">
        <v>13482</v>
      </c>
      <c r="D1185" s="809" t="s">
        <v>13483</v>
      </c>
      <c r="E1185" s="1019" t="s">
        <v>13484</v>
      </c>
      <c r="F1185" s="1019"/>
      <c r="G1185" s="810" t="s">
        <v>13485</v>
      </c>
      <c r="H1185" s="808" t="s">
        <v>13486</v>
      </c>
      <c r="I1185" s="808" t="s">
        <v>13487</v>
      </c>
      <c r="J1185" s="808" t="s">
        <v>4867</v>
      </c>
    </row>
    <row r="1186" spans="1:10" ht="25.5" customHeight="1">
      <c r="A1186" s="812" t="s">
        <v>13488</v>
      </c>
      <c r="B1186" s="811" t="s">
        <v>13983</v>
      </c>
      <c r="C1186" s="812" t="s">
        <v>6</v>
      </c>
      <c r="D1186" s="812" t="s">
        <v>6714</v>
      </c>
      <c r="E1186" s="1020" t="s">
        <v>13898</v>
      </c>
      <c r="F1186" s="1020"/>
      <c r="G1186" s="813" t="s">
        <v>24</v>
      </c>
      <c r="H1186" s="814">
        <v>1</v>
      </c>
      <c r="I1186" s="815">
        <v>7779.22</v>
      </c>
      <c r="J1186" s="815">
        <v>7779.22</v>
      </c>
    </row>
    <row r="1187" spans="1:10" ht="38.25" customHeight="1">
      <c r="A1187" s="817" t="s">
        <v>13491</v>
      </c>
      <c r="B1187" s="816" t="s">
        <v>13610</v>
      </c>
      <c r="C1187" s="817" t="s">
        <v>6</v>
      </c>
      <c r="D1187" s="817" t="s">
        <v>677</v>
      </c>
      <c r="E1187" s="1021" t="s">
        <v>13539</v>
      </c>
      <c r="F1187" s="1021"/>
      <c r="G1187" s="818" t="s">
        <v>28</v>
      </c>
      <c r="H1187" s="819">
        <v>0.70040000000000002</v>
      </c>
      <c r="I1187" s="820">
        <v>115.29</v>
      </c>
      <c r="J1187" s="820">
        <v>80.739999999999995</v>
      </c>
    </row>
    <row r="1188" spans="1:10" ht="38.25" customHeight="1">
      <c r="A1188" s="817" t="s">
        <v>13491</v>
      </c>
      <c r="B1188" s="816" t="s">
        <v>13611</v>
      </c>
      <c r="C1188" s="817" t="s">
        <v>6</v>
      </c>
      <c r="D1188" s="817" t="s">
        <v>678</v>
      </c>
      <c r="E1188" s="1021" t="s">
        <v>13539</v>
      </c>
      <c r="F1188" s="1021"/>
      <c r="G1188" s="818" t="s">
        <v>42</v>
      </c>
      <c r="H1188" s="819">
        <v>2.3557000000000001</v>
      </c>
      <c r="I1188" s="820">
        <v>40.15</v>
      </c>
      <c r="J1188" s="820">
        <v>94.58</v>
      </c>
    </row>
    <row r="1189" spans="1:10" ht="38.25" customHeight="1">
      <c r="A1189" s="817" t="s">
        <v>13491</v>
      </c>
      <c r="B1189" s="816" t="s">
        <v>13972</v>
      </c>
      <c r="C1189" s="817" t="s">
        <v>6</v>
      </c>
      <c r="D1189" s="817" t="s">
        <v>3312</v>
      </c>
      <c r="E1189" s="1021" t="s">
        <v>13542</v>
      </c>
      <c r="F1189" s="1021"/>
      <c r="G1189" s="818" t="s">
        <v>13543</v>
      </c>
      <c r="H1189" s="819">
        <v>0.55420000000000003</v>
      </c>
      <c r="I1189" s="820">
        <v>1978.76</v>
      </c>
      <c r="J1189" s="820">
        <v>1096.6199999999999</v>
      </c>
    </row>
    <row r="1190" spans="1:10" ht="38.25" customHeight="1">
      <c r="A1190" s="817" t="s">
        <v>13491</v>
      </c>
      <c r="B1190" s="816" t="s">
        <v>13973</v>
      </c>
      <c r="C1190" s="817" t="s">
        <v>6</v>
      </c>
      <c r="D1190" s="817" t="s">
        <v>3310</v>
      </c>
      <c r="E1190" s="1021" t="s">
        <v>13542</v>
      </c>
      <c r="F1190" s="1021"/>
      <c r="G1190" s="818" t="s">
        <v>13543</v>
      </c>
      <c r="H1190" s="819">
        <v>1.54E-2</v>
      </c>
      <c r="I1190" s="820">
        <v>4826.57</v>
      </c>
      <c r="J1190" s="820">
        <v>74.319999999999993</v>
      </c>
    </row>
    <row r="1191" spans="1:10" ht="38.25" customHeight="1">
      <c r="A1191" s="817" t="s">
        <v>13491</v>
      </c>
      <c r="B1191" s="816" t="s">
        <v>13974</v>
      </c>
      <c r="C1191" s="817" t="s">
        <v>6</v>
      </c>
      <c r="D1191" s="817" t="s">
        <v>5708</v>
      </c>
      <c r="E1191" s="1021" t="s">
        <v>13623</v>
      </c>
      <c r="F1191" s="1021"/>
      <c r="G1191" s="818" t="s">
        <v>13543</v>
      </c>
      <c r="H1191" s="819">
        <v>0.79420000000000002</v>
      </c>
      <c r="I1191" s="820">
        <v>130.97</v>
      </c>
      <c r="J1191" s="820">
        <v>104.01</v>
      </c>
    </row>
    <row r="1192" spans="1:10" ht="38.25" customHeight="1">
      <c r="A1192" s="817" t="s">
        <v>13491</v>
      </c>
      <c r="B1192" s="816" t="s">
        <v>13902</v>
      </c>
      <c r="C1192" s="817" t="s">
        <v>6</v>
      </c>
      <c r="D1192" s="817" t="s">
        <v>3954</v>
      </c>
      <c r="E1192" s="1021" t="s">
        <v>13490</v>
      </c>
      <c r="F1192" s="1021"/>
      <c r="G1192" s="818" t="s">
        <v>13543</v>
      </c>
      <c r="H1192" s="819">
        <v>0.53569999999999995</v>
      </c>
      <c r="I1192" s="820">
        <v>600.33000000000004</v>
      </c>
      <c r="J1192" s="820">
        <v>321.58999999999997</v>
      </c>
    </row>
    <row r="1193" spans="1:10" ht="38.25" customHeight="1">
      <c r="A1193" s="817" t="s">
        <v>13491</v>
      </c>
      <c r="B1193" s="816" t="s">
        <v>13553</v>
      </c>
      <c r="C1193" s="817" t="s">
        <v>6</v>
      </c>
      <c r="D1193" s="817" t="s">
        <v>21</v>
      </c>
      <c r="E1193" s="1021" t="s">
        <v>13490</v>
      </c>
      <c r="F1193" s="1021"/>
      <c r="G1193" s="818" t="s">
        <v>19</v>
      </c>
      <c r="H1193" s="819">
        <v>7.1330999999999998</v>
      </c>
      <c r="I1193" s="820">
        <v>15.16</v>
      </c>
      <c r="J1193" s="820">
        <v>108.13</v>
      </c>
    </row>
    <row r="1194" spans="1:10" ht="38.25" customHeight="1">
      <c r="A1194" s="817" t="s">
        <v>13491</v>
      </c>
      <c r="B1194" s="816" t="s">
        <v>13577</v>
      </c>
      <c r="C1194" s="817" t="s">
        <v>6</v>
      </c>
      <c r="D1194" s="817" t="s">
        <v>31</v>
      </c>
      <c r="E1194" s="1021" t="s">
        <v>13490</v>
      </c>
      <c r="F1194" s="1021"/>
      <c r="G1194" s="818" t="s">
        <v>19</v>
      </c>
      <c r="H1194" s="819">
        <v>7.1330999999999998</v>
      </c>
      <c r="I1194" s="820">
        <v>18.86</v>
      </c>
      <c r="J1194" s="820">
        <v>134.53</v>
      </c>
    </row>
    <row r="1195" spans="1:10" ht="13.5" customHeight="1">
      <c r="A1195" s="822" t="s">
        <v>13493</v>
      </c>
      <c r="B1195" s="821" t="s">
        <v>13979</v>
      </c>
      <c r="C1195" s="822" t="s">
        <v>6</v>
      </c>
      <c r="D1195" s="822" t="s">
        <v>8612</v>
      </c>
      <c r="E1195" s="1017" t="s">
        <v>13514</v>
      </c>
      <c r="F1195" s="1017"/>
      <c r="G1195" s="823" t="s">
        <v>24</v>
      </c>
      <c r="H1195" s="824">
        <v>5</v>
      </c>
      <c r="I1195" s="825">
        <v>1152.94</v>
      </c>
      <c r="J1195" s="825">
        <v>5764.7</v>
      </c>
    </row>
    <row r="1196" spans="1:10" ht="25.5">
      <c r="A1196" s="827"/>
      <c r="B1196" s="827"/>
      <c r="C1196" s="827"/>
      <c r="D1196" s="827"/>
      <c r="E1196" s="827" t="s">
        <v>13503</v>
      </c>
      <c r="F1196" s="826">
        <v>495.22</v>
      </c>
      <c r="G1196" s="827" t="s">
        <v>13504</v>
      </c>
      <c r="H1196" s="826">
        <v>0</v>
      </c>
      <c r="I1196" s="827" t="s">
        <v>13505</v>
      </c>
      <c r="J1196" s="826">
        <v>495.22</v>
      </c>
    </row>
    <row r="1197" spans="1:10" ht="13.5" customHeight="1" thickBot="1">
      <c r="A1197" s="827"/>
      <c r="B1197" s="827"/>
      <c r="C1197" s="827"/>
      <c r="D1197" s="827"/>
      <c r="E1197" s="827" t="s">
        <v>13506</v>
      </c>
      <c r="F1197" s="826">
        <v>2196.85</v>
      </c>
      <c r="G1197" s="827"/>
      <c r="H1197" s="1018" t="s">
        <v>13507</v>
      </c>
      <c r="I1197" s="1018"/>
      <c r="J1197" s="826">
        <v>9976.07</v>
      </c>
    </row>
    <row r="1198" spans="1:10" ht="38.25" customHeight="1" thickTop="1">
      <c r="A1198" s="828"/>
      <c r="B1198" s="828"/>
      <c r="C1198" s="828"/>
      <c r="D1198" s="828"/>
      <c r="E1198" s="828"/>
      <c r="F1198" s="828"/>
      <c r="G1198" s="828"/>
      <c r="H1198" s="828"/>
      <c r="I1198" s="828"/>
      <c r="J1198" s="828"/>
    </row>
    <row r="1199" spans="1:10" ht="15">
      <c r="A1199" s="809" t="s">
        <v>13984</v>
      </c>
      <c r="B1199" s="808" t="s">
        <v>13481</v>
      </c>
      <c r="C1199" s="809" t="s">
        <v>13482</v>
      </c>
      <c r="D1199" s="809" t="s">
        <v>13483</v>
      </c>
      <c r="E1199" s="1019" t="s">
        <v>13484</v>
      </c>
      <c r="F1199" s="1019"/>
      <c r="G1199" s="810" t="s">
        <v>13485</v>
      </c>
      <c r="H1199" s="808" t="s">
        <v>13486</v>
      </c>
      <c r="I1199" s="808" t="s">
        <v>13487</v>
      </c>
      <c r="J1199" s="808" t="s">
        <v>4867</v>
      </c>
    </row>
    <row r="1200" spans="1:10" ht="25.5" customHeight="1">
      <c r="A1200" s="812" t="s">
        <v>13488</v>
      </c>
      <c r="B1200" s="811" t="s">
        <v>13985</v>
      </c>
      <c r="C1200" s="812" t="s">
        <v>6</v>
      </c>
      <c r="D1200" s="812" t="s">
        <v>1506</v>
      </c>
      <c r="E1200" s="1020" t="s">
        <v>13898</v>
      </c>
      <c r="F1200" s="1020"/>
      <c r="G1200" s="813" t="s">
        <v>24</v>
      </c>
      <c r="H1200" s="814">
        <v>1</v>
      </c>
      <c r="I1200" s="815">
        <v>16.87</v>
      </c>
      <c r="J1200" s="815">
        <v>16.87</v>
      </c>
    </row>
    <row r="1201" spans="1:10" ht="38.25" customHeight="1">
      <c r="A1201" s="817" t="s">
        <v>13491</v>
      </c>
      <c r="B1201" s="816" t="s">
        <v>13909</v>
      </c>
      <c r="C1201" s="817" t="s">
        <v>6</v>
      </c>
      <c r="D1201" s="817" t="s">
        <v>986</v>
      </c>
      <c r="E1201" s="1021" t="s">
        <v>13490</v>
      </c>
      <c r="F1201" s="1021"/>
      <c r="G1201" s="818" t="s">
        <v>19</v>
      </c>
      <c r="H1201" s="819">
        <v>0.04</v>
      </c>
      <c r="I1201" s="820">
        <v>15.54</v>
      </c>
      <c r="J1201" s="820">
        <v>0.62</v>
      </c>
    </row>
    <row r="1202" spans="1:10" ht="38.25" customHeight="1">
      <c r="A1202" s="817" t="s">
        <v>13491</v>
      </c>
      <c r="B1202" s="816" t="s">
        <v>13574</v>
      </c>
      <c r="C1202" s="817" t="s">
        <v>6</v>
      </c>
      <c r="D1202" s="817" t="s">
        <v>34</v>
      </c>
      <c r="E1202" s="1021" t="s">
        <v>13490</v>
      </c>
      <c r="F1202" s="1021"/>
      <c r="G1202" s="818" t="s">
        <v>19</v>
      </c>
      <c r="H1202" s="819">
        <v>0.04</v>
      </c>
      <c r="I1202" s="820">
        <v>18.72</v>
      </c>
      <c r="J1202" s="820">
        <v>0.74</v>
      </c>
    </row>
    <row r="1203" spans="1:10">
      <c r="A1203" s="822" t="s">
        <v>13493</v>
      </c>
      <c r="B1203" s="821" t="s">
        <v>13911</v>
      </c>
      <c r="C1203" s="822" t="s">
        <v>6</v>
      </c>
      <c r="D1203" s="822" t="s">
        <v>8562</v>
      </c>
      <c r="E1203" s="1017" t="s">
        <v>13514</v>
      </c>
      <c r="F1203" s="1017"/>
      <c r="G1203" s="823" t="s">
        <v>24</v>
      </c>
      <c r="H1203" s="824">
        <v>1</v>
      </c>
      <c r="I1203" s="825">
        <v>2.73</v>
      </c>
      <c r="J1203" s="825">
        <v>2.73</v>
      </c>
    </row>
    <row r="1204" spans="1:10">
      <c r="A1204" s="822" t="s">
        <v>13493</v>
      </c>
      <c r="B1204" s="821" t="s">
        <v>13986</v>
      </c>
      <c r="C1204" s="822" t="s">
        <v>6</v>
      </c>
      <c r="D1204" s="822" t="s">
        <v>9923</v>
      </c>
      <c r="E1204" s="1017" t="s">
        <v>13514</v>
      </c>
      <c r="F1204" s="1017"/>
      <c r="G1204" s="823" t="s">
        <v>24</v>
      </c>
      <c r="H1204" s="824">
        <v>1</v>
      </c>
      <c r="I1204" s="825">
        <v>12.15</v>
      </c>
      <c r="J1204" s="825">
        <v>12.15</v>
      </c>
    </row>
    <row r="1205" spans="1:10" ht="13.5" customHeight="1">
      <c r="A1205" s="822" t="s">
        <v>13493</v>
      </c>
      <c r="B1205" s="821" t="s">
        <v>13914</v>
      </c>
      <c r="C1205" s="822" t="s">
        <v>6</v>
      </c>
      <c r="D1205" s="822" t="s">
        <v>11643</v>
      </c>
      <c r="E1205" s="1017" t="s">
        <v>13514</v>
      </c>
      <c r="F1205" s="1017"/>
      <c r="G1205" s="823" t="s">
        <v>24</v>
      </c>
      <c r="H1205" s="824">
        <v>0.02</v>
      </c>
      <c r="I1205" s="825">
        <v>31.75</v>
      </c>
      <c r="J1205" s="825">
        <v>0.63</v>
      </c>
    </row>
    <row r="1206" spans="1:10" ht="25.5">
      <c r="A1206" s="827"/>
      <c r="B1206" s="827"/>
      <c r="C1206" s="827"/>
      <c r="D1206" s="827"/>
      <c r="E1206" s="827" t="s">
        <v>13503</v>
      </c>
      <c r="F1206" s="826">
        <v>1.01</v>
      </c>
      <c r="G1206" s="827" t="s">
        <v>13504</v>
      </c>
      <c r="H1206" s="826">
        <v>0</v>
      </c>
      <c r="I1206" s="827" t="s">
        <v>13505</v>
      </c>
      <c r="J1206" s="826">
        <v>1.01</v>
      </c>
    </row>
    <row r="1207" spans="1:10" ht="13.5" customHeight="1" thickBot="1">
      <c r="A1207" s="827"/>
      <c r="B1207" s="827"/>
      <c r="C1207" s="827"/>
      <c r="D1207" s="827"/>
      <c r="E1207" s="827" t="s">
        <v>13506</v>
      </c>
      <c r="F1207" s="826">
        <v>4.76</v>
      </c>
      <c r="G1207" s="827"/>
      <c r="H1207" s="1018" t="s">
        <v>13507</v>
      </c>
      <c r="I1207" s="1018"/>
      <c r="J1207" s="826">
        <v>21.63</v>
      </c>
    </row>
    <row r="1208" spans="1:10" ht="38.25" customHeight="1" thickTop="1">
      <c r="A1208" s="828"/>
      <c r="B1208" s="828"/>
      <c r="C1208" s="828"/>
      <c r="D1208" s="828"/>
      <c r="E1208" s="828"/>
      <c r="F1208" s="828"/>
      <c r="G1208" s="828"/>
      <c r="H1208" s="828"/>
      <c r="I1208" s="828"/>
      <c r="J1208" s="828"/>
    </row>
    <row r="1209" spans="1:10" ht="15">
      <c r="A1209" s="809" t="s">
        <v>13987</v>
      </c>
      <c r="B1209" s="808" t="s">
        <v>13481</v>
      </c>
      <c r="C1209" s="809" t="s">
        <v>13482</v>
      </c>
      <c r="D1209" s="809" t="s">
        <v>13483</v>
      </c>
      <c r="E1209" s="1019" t="s">
        <v>13484</v>
      </c>
      <c r="F1209" s="1019"/>
      <c r="G1209" s="810" t="s">
        <v>13485</v>
      </c>
      <c r="H1209" s="808" t="s">
        <v>13486</v>
      </c>
      <c r="I1209" s="808" t="s">
        <v>13487</v>
      </c>
      <c r="J1209" s="808" t="s">
        <v>4867</v>
      </c>
    </row>
    <row r="1210" spans="1:10" ht="25.5" customHeight="1">
      <c r="A1210" s="812" t="s">
        <v>13488</v>
      </c>
      <c r="B1210" s="811" t="s">
        <v>13988</v>
      </c>
      <c r="C1210" s="812" t="s">
        <v>6</v>
      </c>
      <c r="D1210" s="812" t="s">
        <v>1501</v>
      </c>
      <c r="E1210" s="1020" t="s">
        <v>13898</v>
      </c>
      <c r="F1210" s="1020"/>
      <c r="G1210" s="813" t="s">
        <v>14</v>
      </c>
      <c r="H1210" s="814">
        <v>1</v>
      </c>
      <c r="I1210" s="815">
        <v>14.1</v>
      </c>
      <c r="J1210" s="815">
        <v>14.1</v>
      </c>
    </row>
    <row r="1211" spans="1:10" ht="38.25" customHeight="1">
      <c r="A1211" s="817" t="s">
        <v>13491</v>
      </c>
      <c r="B1211" s="816" t="s">
        <v>13909</v>
      </c>
      <c r="C1211" s="817" t="s">
        <v>6</v>
      </c>
      <c r="D1211" s="817" t="s">
        <v>986</v>
      </c>
      <c r="E1211" s="1021" t="s">
        <v>13490</v>
      </c>
      <c r="F1211" s="1021"/>
      <c r="G1211" s="818" t="s">
        <v>19</v>
      </c>
      <c r="H1211" s="819">
        <v>0.05</v>
      </c>
      <c r="I1211" s="820">
        <v>15.54</v>
      </c>
      <c r="J1211" s="820">
        <v>0.77</v>
      </c>
    </row>
    <row r="1212" spans="1:10" ht="38.25" customHeight="1">
      <c r="A1212" s="817" t="s">
        <v>13491</v>
      </c>
      <c r="B1212" s="816" t="s">
        <v>13574</v>
      </c>
      <c r="C1212" s="817" t="s">
        <v>6</v>
      </c>
      <c r="D1212" s="817" t="s">
        <v>34</v>
      </c>
      <c r="E1212" s="1021" t="s">
        <v>13490</v>
      </c>
      <c r="F1212" s="1021"/>
      <c r="G1212" s="818" t="s">
        <v>19</v>
      </c>
      <c r="H1212" s="819">
        <v>0.05</v>
      </c>
      <c r="I1212" s="820">
        <v>18.72</v>
      </c>
      <c r="J1212" s="820">
        <v>0.93</v>
      </c>
    </row>
    <row r="1213" spans="1:10">
      <c r="A1213" s="822" t="s">
        <v>13493</v>
      </c>
      <c r="B1213" s="821" t="s">
        <v>13910</v>
      </c>
      <c r="C1213" s="822" t="s">
        <v>6</v>
      </c>
      <c r="D1213" s="822" t="s">
        <v>8519</v>
      </c>
      <c r="E1213" s="1017" t="s">
        <v>13514</v>
      </c>
      <c r="F1213" s="1017"/>
      <c r="G1213" s="823" t="s">
        <v>24</v>
      </c>
      <c r="H1213" s="824">
        <v>3.5000000000000001E-3</v>
      </c>
      <c r="I1213" s="825">
        <v>76.94</v>
      </c>
      <c r="J1213" s="825">
        <v>0.26</v>
      </c>
    </row>
    <row r="1214" spans="1:10">
      <c r="A1214" s="822" t="s">
        <v>13493</v>
      </c>
      <c r="B1214" s="821" t="s">
        <v>13913</v>
      </c>
      <c r="C1214" s="822" t="s">
        <v>6</v>
      </c>
      <c r="D1214" s="822" t="s">
        <v>4706</v>
      </c>
      <c r="E1214" s="1017" t="s">
        <v>13514</v>
      </c>
      <c r="F1214" s="1017"/>
      <c r="G1214" s="823" t="s">
        <v>24</v>
      </c>
      <c r="H1214" s="824">
        <v>1.7000000000000001E-2</v>
      </c>
      <c r="I1214" s="825">
        <v>2.2000000000000002</v>
      </c>
      <c r="J1214" s="825">
        <v>0.03</v>
      </c>
    </row>
    <row r="1215" spans="1:10" ht="13.5" customHeight="1">
      <c r="A1215" s="822" t="s">
        <v>13493</v>
      </c>
      <c r="B1215" s="821" t="s">
        <v>13915</v>
      </c>
      <c r="C1215" s="822" t="s">
        <v>6</v>
      </c>
      <c r="D1215" s="822" t="s">
        <v>12249</v>
      </c>
      <c r="E1215" s="1017" t="s">
        <v>13514</v>
      </c>
      <c r="F1215" s="1017"/>
      <c r="G1215" s="823" t="s">
        <v>24</v>
      </c>
      <c r="H1215" s="824">
        <v>4.7999999999999996E-3</v>
      </c>
      <c r="I1215" s="825">
        <v>87.17</v>
      </c>
      <c r="J1215" s="825">
        <v>0.41</v>
      </c>
    </row>
    <row r="1216" spans="1:10" ht="25.5">
      <c r="A1216" s="822" t="s">
        <v>13493</v>
      </c>
      <c r="B1216" s="821" t="s">
        <v>13966</v>
      </c>
      <c r="C1216" s="822" t="s">
        <v>6</v>
      </c>
      <c r="D1216" s="822" t="s">
        <v>4813</v>
      </c>
      <c r="E1216" s="1017" t="s">
        <v>13514</v>
      </c>
      <c r="F1216" s="1017"/>
      <c r="G1216" s="823" t="s">
        <v>14</v>
      </c>
      <c r="H1216" s="824">
        <v>1.05</v>
      </c>
      <c r="I1216" s="825">
        <v>11.15</v>
      </c>
      <c r="J1216" s="825">
        <v>11.7</v>
      </c>
    </row>
    <row r="1217" spans="1:10" ht="25.5">
      <c r="A1217" s="827"/>
      <c r="B1217" s="827"/>
      <c r="C1217" s="827"/>
      <c r="D1217" s="827"/>
      <c r="E1217" s="827" t="s">
        <v>13503</v>
      </c>
      <c r="F1217" s="826">
        <v>1.27</v>
      </c>
      <c r="G1217" s="827" t="s">
        <v>13504</v>
      </c>
      <c r="H1217" s="826">
        <v>0</v>
      </c>
      <c r="I1217" s="827" t="s">
        <v>13505</v>
      </c>
      <c r="J1217" s="826">
        <v>1.27</v>
      </c>
    </row>
    <row r="1218" spans="1:10" ht="38.25" customHeight="1" thickBot="1">
      <c r="A1218" s="827"/>
      <c r="B1218" s="827"/>
      <c r="C1218" s="827"/>
      <c r="D1218" s="827"/>
      <c r="E1218" s="827" t="s">
        <v>13506</v>
      </c>
      <c r="F1218" s="826">
        <v>3.98</v>
      </c>
      <c r="G1218" s="827"/>
      <c r="H1218" s="1018" t="s">
        <v>13507</v>
      </c>
      <c r="I1218" s="1018"/>
      <c r="J1218" s="826">
        <v>18.079999999999998</v>
      </c>
    </row>
    <row r="1219" spans="1:10" ht="13.5" thickTop="1">
      <c r="A1219" s="828"/>
      <c r="B1219" s="828"/>
      <c r="C1219" s="828"/>
      <c r="D1219" s="828"/>
      <c r="E1219" s="828"/>
      <c r="F1219" s="828"/>
      <c r="G1219" s="828"/>
      <c r="H1219" s="828"/>
      <c r="I1219" s="828"/>
      <c r="J1219" s="828"/>
    </row>
    <row r="1220" spans="1:10" ht="15">
      <c r="A1220" s="809" t="s">
        <v>13989</v>
      </c>
      <c r="B1220" s="808" t="s">
        <v>13481</v>
      </c>
      <c r="C1220" s="809" t="s">
        <v>13482</v>
      </c>
      <c r="D1220" s="809" t="s">
        <v>13483</v>
      </c>
      <c r="E1220" s="1019" t="s">
        <v>13484</v>
      </c>
      <c r="F1220" s="1019"/>
      <c r="G1220" s="810" t="s">
        <v>13485</v>
      </c>
      <c r="H1220" s="808" t="s">
        <v>13486</v>
      </c>
      <c r="I1220" s="808" t="s">
        <v>13487</v>
      </c>
      <c r="J1220" s="808" t="s">
        <v>4867</v>
      </c>
    </row>
    <row r="1221" spans="1:10" ht="25.5" customHeight="1">
      <c r="A1221" s="812" t="s">
        <v>13488</v>
      </c>
      <c r="B1221" s="811" t="s">
        <v>13990</v>
      </c>
      <c r="C1221" s="812" t="s">
        <v>6</v>
      </c>
      <c r="D1221" s="812" t="s">
        <v>1528</v>
      </c>
      <c r="E1221" s="1020" t="s">
        <v>13898</v>
      </c>
      <c r="F1221" s="1020"/>
      <c r="G1221" s="813" t="s">
        <v>24</v>
      </c>
      <c r="H1221" s="814">
        <v>1</v>
      </c>
      <c r="I1221" s="815">
        <v>17.59</v>
      </c>
      <c r="J1221" s="815">
        <v>17.59</v>
      </c>
    </row>
    <row r="1222" spans="1:10" ht="38.25" customHeight="1">
      <c r="A1222" s="817" t="s">
        <v>13491</v>
      </c>
      <c r="B1222" s="816" t="s">
        <v>13909</v>
      </c>
      <c r="C1222" s="817" t="s">
        <v>6</v>
      </c>
      <c r="D1222" s="817" t="s">
        <v>986</v>
      </c>
      <c r="E1222" s="1021" t="s">
        <v>13490</v>
      </c>
      <c r="F1222" s="1021"/>
      <c r="G1222" s="818" t="s">
        <v>19</v>
      </c>
      <c r="H1222" s="819">
        <v>0.06</v>
      </c>
      <c r="I1222" s="820">
        <v>15.54</v>
      </c>
      <c r="J1222" s="820">
        <v>0.93</v>
      </c>
    </row>
    <row r="1223" spans="1:10" ht="38.25" customHeight="1">
      <c r="A1223" s="817" t="s">
        <v>13491</v>
      </c>
      <c r="B1223" s="816" t="s">
        <v>13574</v>
      </c>
      <c r="C1223" s="817" t="s">
        <v>6</v>
      </c>
      <c r="D1223" s="817" t="s">
        <v>34</v>
      </c>
      <c r="E1223" s="1021" t="s">
        <v>13490</v>
      </c>
      <c r="F1223" s="1021"/>
      <c r="G1223" s="818" t="s">
        <v>19</v>
      </c>
      <c r="H1223" s="819">
        <v>0.06</v>
      </c>
      <c r="I1223" s="820">
        <v>18.72</v>
      </c>
      <c r="J1223" s="820">
        <v>1.1200000000000001</v>
      </c>
    </row>
    <row r="1224" spans="1:10">
      <c r="A1224" s="822" t="s">
        <v>13493</v>
      </c>
      <c r="B1224" s="821" t="s">
        <v>13911</v>
      </c>
      <c r="C1224" s="822" t="s">
        <v>6</v>
      </c>
      <c r="D1224" s="822" t="s">
        <v>8562</v>
      </c>
      <c r="E1224" s="1017" t="s">
        <v>13514</v>
      </c>
      <c r="F1224" s="1017"/>
      <c r="G1224" s="823" t="s">
        <v>24</v>
      </c>
      <c r="H1224" s="824">
        <v>2</v>
      </c>
      <c r="I1224" s="825">
        <v>2.73</v>
      </c>
      <c r="J1224" s="825">
        <v>5.46</v>
      </c>
    </row>
    <row r="1225" spans="1:10" ht="38.25">
      <c r="A1225" s="822" t="s">
        <v>13493</v>
      </c>
      <c r="B1225" s="821" t="s">
        <v>13914</v>
      </c>
      <c r="C1225" s="822" t="s">
        <v>6</v>
      </c>
      <c r="D1225" s="822" t="s">
        <v>11643</v>
      </c>
      <c r="E1225" s="1017" t="s">
        <v>13514</v>
      </c>
      <c r="F1225" s="1017"/>
      <c r="G1225" s="823" t="s">
        <v>24</v>
      </c>
      <c r="H1225" s="824">
        <v>0.04</v>
      </c>
      <c r="I1225" s="825">
        <v>31.75</v>
      </c>
      <c r="J1225" s="825">
        <v>1.27</v>
      </c>
    </row>
    <row r="1226" spans="1:10" ht="13.5" customHeight="1">
      <c r="A1226" s="822" t="s">
        <v>13493</v>
      </c>
      <c r="B1226" s="821" t="s">
        <v>13991</v>
      </c>
      <c r="C1226" s="822" t="s">
        <v>6</v>
      </c>
      <c r="D1226" s="822" t="s">
        <v>12504</v>
      </c>
      <c r="E1226" s="1017" t="s">
        <v>13514</v>
      </c>
      <c r="F1226" s="1017"/>
      <c r="G1226" s="823" t="s">
        <v>24</v>
      </c>
      <c r="H1226" s="824">
        <v>1</v>
      </c>
      <c r="I1226" s="825">
        <v>8.81</v>
      </c>
      <c r="J1226" s="825">
        <v>8.81</v>
      </c>
    </row>
    <row r="1227" spans="1:10" ht="25.5">
      <c r="A1227" s="827"/>
      <c r="B1227" s="827"/>
      <c r="C1227" s="827"/>
      <c r="D1227" s="827"/>
      <c r="E1227" s="827" t="s">
        <v>13503</v>
      </c>
      <c r="F1227" s="826">
        <v>1.53</v>
      </c>
      <c r="G1227" s="827" t="s">
        <v>13504</v>
      </c>
      <c r="H1227" s="826">
        <v>0</v>
      </c>
      <c r="I1227" s="827" t="s">
        <v>13505</v>
      </c>
      <c r="J1227" s="826">
        <v>1.53</v>
      </c>
    </row>
    <row r="1228" spans="1:10" ht="13.5" customHeight="1" thickBot="1">
      <c r="A1228" s="827"/>
      <c r="B1228" s="827"/>
      <c r="C1228" s="827"/>
      <c r="D1228" s="827"/>
      <c r="E1228" s="827" t="s">
        <v>13506</v>
      </c>
      <c r="F1228" s="826">
        <v>4.96</v>
      </c>
      <c r="G1228" s="827"/>
      <c r="H1228" s="1018" t="s">
        <v>13507</v>
      </c>
      <c r="I1228" s="1018"/>
      <c r="J1228" s="826">
        <v>22.55</v>
      </c>
    </row>
    <row r="1229" spans="1:10" ht="38.25" customHeight="1" thickTop="1">
      <c r="A1229" s="828"/>
      <c r="B1229" s="828"/>
      <c r="C1229" s="828"/>
      <c r="D1229" s="828"/>
      <c r="E1229" s="828"/>
      <c r="F1229" s="828"/>
      <c r="G1229" s="828"/>
      <c r="H1229" s="828"/>
      <c r="I1229" s="828"/>
      <c r="J1229" s="828"/>
    </row>
    <row r="1230" spans="1:10" ht="15">
      <c r="A1230" s="809" t="s">
        <v>13992</v>
      </c>
      <c r="B1230" s="808" t="s">
        <v>13481</v>
      </c>
      <c r="C1230" s="809" t="s">
        <v>13482</v>
      </c>
      <c r="D1230" s="809" t="s">
        <v>13483</v>
      </c>
      <c r="E1230" s="1019" t="s">
        <v>13484</v>
      </c>
      <c r="F1230" s="1019"/>
      <c r="G1230" s="810" t="s">
        <v>13485</v>
      </c>
      <c r="H1230" s="808" t="s">
        <v>13486</v>
      </c>
      <c r="I1230" s="808" t="s">
        <v>13487</v>
      </c>
      <c r="J1230" s="808" t="s">
        <v>4867</v>
      </c>
    </row>
    <row r="1231" spans="1:10" ht="25.5" customHeight="1">
      <c r="A1231" s="812" t="s">
        <v>13488</v>
      </c>
      <c r="B1231" s="811" t="s">
        <v>13993</v>
      </c>
      <c r="C1231" s="812" t="s">
        <v>6</v>
      </c>
      <c r="D1231" s="812" t="s">
        <v>7587</v>
      </c>
      <c r="E1231" s="1020" t="s">
        <v>13898</v>
      </c>
      <c r="F1231" s="1020"/>
      <c r="G1231" s="813" t="s">
        <v>24</v>
      </c>
      <c r="H1231" s="814">
        <v>1</v>
      </c>
      <c r="I1231" s="815">
        <v>48.27</v>
      </c>
      <c r="J1231" s="815">
        <v>48.27</v>
      </c>
    </row>
    <row r="1232" spans="1:10" ht="38.25" customHeight="1">
      <c r="A1232" s="817" t="s">
        <v>13491</v>
      </c>
      <c r="B1232" s="816" t="s">
        <v>13909</v>
      </c>
      <c r="C1232" s="817" t="s">
        <v>6</v>
      </c>
      <c r="D1232" s="817" t="s">
        <v>986</v>
      </c>
      <c r="E1232" s="1021" t="s">
        <v>13490</v>
      </c>
      <c r="F1232" s="1021"/>
      <c r="G1232" s="818" t="s">
        <v>19</v>
      </c>
      <c r="H1232" s="819">
        <v>0.14849999999999999</v>
      </c>
      <c r="I1232" s="820">
        <v>15.54</v>
      </c>
      <c r="J1232" s="820">
        <v>2.2999999999999998</v>
      </c>
    </row>
    <row r="1233" spans="1:10" ht="38.25" customHeight="1">
      <c r="A1233" s="817" t="s">
        <v>13491</v>
      </c>
      <c r="B1233" s="816" t="s">
        <v>13574</v>
      </c>
      <c r="C1233" s="817" t="s">
        <v>6</v>
      </c>
      <c r="D1233" s="817" t="s">
        <v>34</v>
      </c>
      <c r="E1233" s="1021" t="s">
        <v>13490</v>
      </c>
      <c r="F1233" s="1021"/>
      <c r="G1233" s="818" t="s">
        <v>19</v>
      </c>
      <c r="H1233" s="819">
        <v>0.14849999999999999</v>
      </c>
      <c r="I1233" s="820">
        <v>18.72</v>
      </c>
      <c r="J1233" s="820">
        <v>2.77</v>
      </c>
    </row>
    <row r="1234" spans="1:10">
      <c r="A1234" s="822" t="s">
        <v>13493</v>
      </c>
      <c r="B1234" s="821" t="s">
        <v>13994</v>
      </c>
      <c r="C1234" s="822" t="s">
        <v>6</v>
      </c>
      <c r="D1234" s="822" t="s">
        <v>4682</v>
      </c>
      <c r="E1234" s="1017" t="s">
        <v>13514</v>
      </c>
      <c r="F1234" s="1017"/>
      <c r="G1234" s="823" t="s">
        <v>24</v>
      </c>
      <c r="H1234" s="824">
        <v>1.32E-2</v>
      </c>
      <c r="I1234" s="825">
        <v>18.440000000000001</v>
      </c>
      <c r="J1234" s="825">
        <v>0.24</v>
      </c>
    </row>
    <row r="1235" spans="1:10">
      <c r="A1235" s="822" t="s">
        <v>13493</v>
      </c>
      <c r="B1235" s="821" t="s">
        <v>13995</v>
      </c>
      <c r="C1235" s="822" t="s">
        <v>6</v>
      </c>
      <c r="D1235" s="822" t="s">
        <v>12119</v>
      </c>
      <c r="E1235" s="1017" t="s">
        <v>13514</v>
      </c>
      <c r="F1235" s="1017"/>
      <c r="G1235" s="823" t="s">
        <v>24</v>
      </c>
      <c r="H1235" s="824">
        <v>1</v>
      </c>
      <c r="I1235" s="825">
        <v>42.96</v>
      </c>
      <c r="J1235" s="825">
        <v>42.96</v>
      </c>
    </row>
    <row r="1236" spans="1:10" ht="25.5">
      <c r="A1236" s="827"/>
      <c r="B1236" s="827"/>
      <c r="C1236" s="827"/>
      <c r="D1236" s="827"/>
      <c r="E1236" s="827" t="s">
        <v>13503</v>
      </c>
      <c r="F1236" s="826">
        <v>3.79</v>
      </c>
      <c r="G1236" s="827" t="s">
        <v>13504</v>
      </c>
      <c r="H1236" s="826">
        <v>0</v>
      </c>
      <c r="I1236" s="827" t="s">
        <v>13505</v>
      </c>
      <c r="J1236" s="826">
        <v>3.79</v>
      </c>
    </row>
    <row r="1237" spans="1:10" ht="13.5" customHeight="1" thickBot="1">
      <c r="A1237" s="827"/>
      <c r="B1237" s="827"/>
      <c r="C1237" s="827"/>
      <c r="D1237" s="827"/>
      <c r="E1237" s="827" t="s">
        <v>13506</v>
      </c>
      <c r="F1237" s="826">
        <v>13.63</v>
      </c>
      <c r="G1237" s="827"/>
      <c r="H1237" s="1018" t="s">
        <v>13507</v>
      </c>
      <c r="I1237" s="1018"/>
      <c r="J1237" s="826">
        <v>61.9</v>
      </c>
    </row>
    <row r="1238" spans="1:10" ht="13.5" thickTop="1">
      <c r="A1238" s="828"/>
      <c r="B1238" s="828"/>
      <c r="C1238" s="828"/>
      <c r="D1238" s="828"/>
      <c r="E1238" s="828"/>
      <c r="F1238" s="828"/>
      <c r="G1238" s="828"/>
      <c r="H1238" s="828"/>
      <c r="I1238" s="828"/>
      <c r="J1238" s="828"/>
    </row>
    <row r="1239" spans="1:10" ht="15">
      <c r="A1239" s="809" t="s">
        <v>13996</v>
      </c>
      <c r="B1239" s="808" t="s">
        <v>13481</v>
      </c>
      <c r="C1239" s="809" t="s">
        <v>13482</v>
      </c>
      <c r="D1239" s="809" t="s">
        <v>13483</v>
      </c>
      <c r="E1239" s="1019" t="s">
        <v>13484</v>
      </c>
      <c r="F1239" s="1019"/>
      <c r="G1239" s="810" t="s">
        <v>13485</v>
      </c>
      <c r="H1239" s="808" t="s">
        <v>13486</v>
      </c>
      <c r="I1239" s="808" t="s">
        <v>13487</v>
      </c>
      <c r="J1239" s="808" t="s">
        <v>4867</v>
      </c>
    </row>
    <row r="1240" spans="1:10" ht="38.25" customHeight="1">
      <c r="A1240" s="812" t="s">
        <v>13488</v>
      </c>
      <c r="B1240" s="811" t="s">
        <v>13997</v>
      </c>
      <c r="C1240" s="812" t="s">
        <v>6</v>
      </c>
      <c r="D1240" s="812" t="s">
        <v>7589</v>
      </c>
      <c r="E1240" s="1020" t="s">
        <v>13898</v>
      </c>
      <c r="F1240" s="1020"/>
      <c r="G1240" s="813" t="s">
        <v>24</v>
      </c>
      <c r="H1240" s="814">
        <v>1</v>
      </c>
      <c r="I1240" s="815">
        <v>83.28</v>
      </c>
      <c r="J1240" s="815">
        <v>83.28</v>
      </c>
    </row>
    <row r="1241" spans="1:10" ht="38.25" customHeight="1">
      <c r="A1241" s="817" t="s">
        <v>13491</v>
      </c>
      <c r="B1241" s="816" t="s">
        <v>13909</v>
      </c>
      <c r="C1241" s="817" t="s">
        <v>6</v>
      </c>
      <c r="D1241" s="817" t="s">
        <v>986</v>
      </c>
      <c r="E1241" s="1021" t="s">
        <v>13490</v>
      </c>
      <c r="F1241" s="1021"/>
      <c r="G1241" s="818" t="s">
        <v>19</v>
      </c>
      <c r="H1241" s="819">
        <v>0.26329999999999998</v>
      </c>
      <c r="I1241" s="820">
        <v>15.54</v>
      </c>
      <c r="J1241" s="820">
        <v>4.09</v>
      </c>
    </row>
    <row r="1242" spans="1:10" ht="38.25" customHeight="1">
      <c r="A1242" s="817" t="s">
        <v>13491</v>
      </c>
      <c r="B1242" s="816" t="s">
        <v>13574</v>
      </c>
      <c r="C1242" s="817" t="s">
        <v>6</v>
      </c>
      <c r="D1242" s="817" t="s">
        <v>34</v>
      </c>
      <c r="E1242" s="1021" t="s">
        <v>13490</v>
      </c>
      <c r="F1242" s="1021"/>
      <c r="G1242" s="818" t="s">
        <v>19</v>
      </c>
      <c r="H1242" s="819">
        <v>0.26329999999999998</v>
      </c>
      <c r="I1242" s="820">
        <v>18.72</v>
      </c>
      <c r="J1242" s="820">
        <v>4.92</v>
      </c>
    </row>
    <row r="1243" spans="1:10">
      <c r="A1243" s="822" t="s">
        <v>13493</v>
      </c>
      <c r="B1243" s="821" t="s">
        <v>13994</v>
      </c>
      <c r="C1243" s="822" t="s">
        <v>6</v>
      </c>
      <c r="D1243" s="822" t="s">
        <v>4682</v>
      </c>
      <c r="E1243" s="1017" t="s">
        <v>13514</v>
      </c>
      <c r="F1243" s="1017"/>
      <c r="G1243" s="823" t="s">
        <v>24</v>
      </c>
      <c r="H1243" s="824">
        <v>1.9199999999999998E-2</v>
      </c>
      <c r="I1243" s="825">
        <v>18.440000000000001</v>
      </c>
      <c r="J1243" s="825">
        <v>0.35</v>
      </c>
    </row>
    <row r="1244" spans="1:10" ht="25.5">
      <c r="A1244" s="822" t="s">
        <v>13493</v>
      </c>
      <c r="B1244" s="821" t="s">
        <v>13998</v>
      </c>
      <c r="C1244" s="822" t="s">
        <v>6</v>
      </c>
      <c r="D1244" s="822" t="s">
        <v>4768</v>
      </c>
      <c r="E1244" s="1017" t="s">
        <v>13514</v>
      </c>
      <c r="F1244" s="1017"/>
      <c r="G1244" s="823" t="s">
        <v>24</v>
      </c>
      <c r="H1244" s="824">
        <v>1</v>
      </c>
      <c r="I1244" s="825">
        <v>73.92</v>
      </c>
      <c r="J1244" s="825">
        <v>73.92</v>
      </c>
    </row>
    <row r="1245" spans="1:10" ht="25.5">
      <c r="A1245" s="827"/>
      <c r="B1245" s="827"/>
      <c r="C1245" s="827"/>
      <c r="D1245" s="827"/>
      <c r="E1245" s="827" t="s">
        <v>13503</v>
      </c>
      <c r="F1245" s="826">
        <v>6.73</v>
      </c>
      <c r="G1245" s="827" t="s">
        <v>13504</v>
      </c>
      <c r="H1245" s="826">
        <v>0</v>
      </c>
      <c r="I1245" s="827" t="s">
        <v>13505</v>
      </c>
      <c r="J1245" s="826">
        <v>6.73</v>
      </c>
    </row>
    <row r="1246" spans="1:10" ht="13.5" customHeight="1" thickBot="1">
      <c r="A1246" s="827"/>
      <c r="B1246" s="827"/>
      <c r="C1246" s="827"/>
      <c r="D1246" s="827"/>
      <c r="E1246" s="827" t="s">
        <v>13506</v>
      </c>
      <c r="F1246" s="826">
        <v>23.51</v>
      </c>
      <c r="G1246" s="827"/>
      <c r="H1246" s="1018" t="s">
        <v>13507</v>
      </c>
      <c r="I1246" s="1018"/>
      <c r="J1246" s="826">
        <v>106.79</v>
      </c>
    </row>
    <row r="1247" spans="1:10" ht="13.5" thickTop="1">
      <c r="A1247" s="828"/>
      <c r="B1247" s="828"/>
      <c r="C1247" s="828"/>
      <c r="D1247" s="828"/>
      <c r="E1247" s="828"/>
      <c r="F1247" s="828"/>
      <c r="G1247" s="828"/>
      <c r="H1247" s="828"/>
      <c r="I1247" s="828"/>
      <c r="J1247" s="828"/>
    </row>
    <row r="1248" spans="1:10" ht="13.5" customHeight="1">
      <c r="A1248" s="809" t="s">
        <v>13999</v>
      </c>
      <c r="B1248" s="808" t="s">
        <v>13481</v>
      </c>
      <c r="C1248" s="809" t="s">
        <v>13482</v>
      </c>
      <c r="D1248" s="809" t="s">
        <v>13483</v>
      </c>
      <c r="E1248" s="1019" t="s">
        <v>13484</v>
      </c>
      <c r="F1248" s="1019"/>
      <c r="G1248" s="810" t="s">
        <v>13485</v>
      </c>
      <c r="H1248" s="808" t="s">
        <v>13486</v>
      </c>
      <c r="I1248" s="808" t="s">
        <v>13487</v>
      </c>
      <c r="J1248" s="808" t="s">
        <v>4867</v>
      </c>
    </row>
    <row r="1249" spans="1:10" ht="25.5" customHeight="1">
      <c r="A1249" s="812" t="s">
        <v>13488</v>
      </c>
      <c r="B1249" s="811" t="s">
        <v>14000</v>
      </c>
      <c r="C1249" s="812" t="s">
        <v>6</v>
      </c>
      <c r="D1249" s="812" t="s">
        <v>7590</v>
      </c>
      <c r="E1249" s="1020" t="s">
        <v>13898</v>
      </c>
      <c r="F1249" s="1020"/>
      <c r="G1249" s="813" t="s">
        <v>24</v>
      </c>
      <c r="H1249" s="814">
        <v>1</v>
      </c>
      <c r="I1249" s="815">
        <v>115.04</v>
      </c>
      <c r="J1249" s="815">
        <v>115.04</v>
      </c>
    </row>
    <row r="1250" spans="1:10" ht="38.25" customHeight="1">
      <c r="A1250" s="817" t="s">
        <v>13491</v>
      </c>
      <c r="B1250" s="816" t="s">
        <v>13909</v>
      </c>
      <c r="C1250" s="817" t="s">
        <v>6</v>
      </c>
      <c r="D1250" s="817" t="s">
        <v>986</v>
      </c>
      <c r="E1250" s="1021" t="s">
        <v>13490</v>
      </c>
      <c r="F1250" s="1021"/>
      <c r="G1250" s="818" t="s">
        <v>19</v>
      </c>
      <c r="H1250" s="819">
        <v>0.33979999999999999</v>
      </c>
      <c r="I1250" s="820">
        <v>15.54</v>
      </c>
      <c r="J1250" s="820">
        <v>5.28</v>
      </c>
    </row>
    <row r="1251" spans="1:10" ht="38.25" customHeight="1">
      <c r="A1251" s="817" t="s">
        <v>13491</v>
      </c>
      <c r="B1251" s="816" t="s">
        <v>13574</v>
      </c>
      <c r="C1251" s="817" t="s">
        <v>6</v>
      </c>
      <c r="D1251" s="817" t="s">
        <v>34</v>
      </c>
      <c r="E1251" s="1021" t="s">
        <v>13490</v>
      </c>
      <c r="F1251" s="1021"/>
      <c r="G1251" s="818" t="s">
        <v>19</v>
      </c>
      <c r="H1251" s="819">
        <v>0.33979999999999999</v>
      </c>
      <c r="I1251" s="820">
        <v>18.72</v>
      </c>
      <c r="J1251" s="820">
        <v>6.36</v>
      </c>
    </row>
    <row r="1252" spans="1:10">
      <c r="A1252" s="822" t="s">
        <v>13493</v>
      </c>
      <c r="B1252" s="821" t="s">
        <v>13994</v>
      </c>
      <c r="C1252" s="822" t="s">
        <v>6</v>
      </c>
      <c r="D1252" s="822" t="s">
        <v>4682</v>
      </c>
      <c r="E1252" s="1017" t="s">
        <v>13514</v>
      </c>
      <c r="F1252" s="1017"/>
      <c r="G1252" s="823" t="s">
        <v>24</v>
      </c>
      <c r="H1252" s="824">
        <v>2.4E-2</v>
      </c>
      <c r="I1252" s="825">
        <v>18.440000000000001</v>
      </c>
      <c r="J1252" s="825">
        <v>0.44</v>
      </c>
    </row>
    <row r="1253" spans="1:10">
      <c r="A1253" s="822" t="s">
        <v>13493</v>
      </c>
      <c r="B1253" s="821" t="s">
        <v>14001</v>
      </c>
      <c r="C1253" s="822" t="s">
        <v>6</v>
      </c>
      <c r="D1253" s="822" t="s">
        <v>4769</v>
      </c>
      <c r="E1253" s="1017" t="s">
        <v>13514</v>
      </c>
      <c r="F1253" s="1017"/>
      <c r="G1253" s="823" t="s">
        <v>24</v>
      </c>
      <c r="H1253" s="824">
        <v>1</v>
      </c>
      <c r="I1253" s="825">
        <v>102.96</v>
      </c>
      <c r="J1253" s="825">
        <v>102.96</v>
      </c>
    </row>
    <row r="1254" spans="1:10" ht="25.5">
      <c r="A1254" s="827"/>
      <c r="B1254" s="827"/>
      <c r="C1254" s="827"/>
      <c r="D1254" s="827"/>
      <c r="E1254" s="827" t="s">
        <v>13503</v>
      </c>
      <c r="F1254" s="826">
        <v>8.68</v>
      </c>
      <c r="G1254" s="827" t="s">
        <v>13504</v>
      </c>
      <c r="H1254" s="826">
        <v>0</v>
      </c>
      <c r="I1254" s="827" t="s">
        <v>13505</v>
      </c>
      <c r="J1254" s="826">
        <v>8.68</v>
      </c>
    </row>
    <row r="1255" spans="1:10" ht="13.5" customHeight="1" thickBot="1">
      <c r="A1255" s="827"/>
      <c r="B1255" s="827"/>
      <c r="C1255" s="827"/>
      <c r="D1255" s="827"/>
      <c r="E1255" s="827" t="s">
        <v>13506</v>
      </c>
      <c r="F1255" s="826">
        <v>32.479999999999997</v>
      </c>
      <c r="G1255" s="827"/>
      <c r="H1255" s="1018" t="s">
        <v>13507</v>
      </c>
      <c r="I1255" s="1018"/>
      <c r="J1255" s="826">
        <v>147.52000000000001</v>
      </c>
    </row>
    <row r="1256" spans="1:10" ht="13.5" thickTop="1">
      <c r="A1256" s="828"/>
      <c r="B1256" s="828"/>
      <c r="C1256" s="828"/>
      <c r="D1256" s="828"/>
      <c r="E1256" s="828"/>
      <c r="F1256" s="828"/>
      <c r="G1256" s="828"/>
      <c r="H1256" s="828"/>
      <c r="I1256" s="828"/>
      <c r="J1256" s="828"/>
    </row>
    <row r="1257" spans="1:10" ht="15">
      <c r="A1257" s="809" t="s">
        <v>14002</v>
      </c>
      <c r="B1257" s="808" t="s">
        <v>13481</v>
      </c>
      <c r="C1257" s="809" t="s">
        <v>13482</v>
      </c>
      <c r="D1257" s="809" t="s">
        <v>13483</v>
      </c>
      <c r="E1257" s="1019" t="s">
        <v>13484</v>
      </c>
      <c r="F1257" s="1019"/>
      <c r="G1257" s="810" t="s">
        <v>13485</v>
      </c>
      <c r="H1257" s="808" t="s">
        <v>13486</v>
      </c>
      <c r="I1257" s="808" t="s">
        <v>13487</v>
      </c>
      <c r="J1257" s="808" t="s">
        <v>4867</v>
      </c>
    </row>
    <row r="1258" spans="1:10" ht="25.5" customHeight="1">
      <c r="A1258" s="812" t="s">
        <v>13488</v>
      </c>
      <c r="B1258" s="811" t="s">
        <v>14003</v>
      </c>
      <c r="C1258" s="812" t="s">
        <v>6</v>
      </c>
      <c r="D1258" s="812" t="s">
        <v>7575</v>
      </c>
      <c r="E1258" s="1020" t="s">
        <v>13898</v>
      </c>
      <c r="F1258" s="1020"/>
      <c r="G1258" s="813" t="s">
        <v>24</v>
      </c>
      <c r="H1258" s="814">
        <v>1</v>
      </c>
      <c r="I1258" s="815">
        <v>31.17</v>
      </c>
      <c r="J1258" s="815">
        <v>31.17</v>
      </c>
    </row>
    <row r="1259" spans="1:10" ht="13.5" customHeight="1">
      <c r="A1259" s="817" t="s">
        <v>13491</v>
      </c>
      <c r="B1259" s="816" t="s">
        <v>13909</v>
      </c>
      <c r="C1259" s="817" t="s">
        <v>6</v>
      </c>
      <c r="D1259" s="817" t="s">
        <v>986</v>
      </c>
      <c r="E1259" s="1021" t="s">
        <v>13490</v>
      </c>
      <c r="F1259" s="1021"/>
      <c r="G1259" s="818" t="s">
        <v>19</v>
      </c>
      <c r="H1259" s="819">
        <v>0.11020000000000001</v>
      </c>
      <c r="I1259" s="820">
        <v>15.54</v>
      </c>
      <c r="J1259" s="820">
        <v>1.71</v>
      </c>
    </row>
    <row r="1260" spans="1:10" ht="38.25" customHeight="1">
      <c r="A1260" s="817" t="s">
        <v>13491</v>
      </c>
      <c r="B1260" s="816" t="s">
        <v>13574</v>
      </c>
      <c r="C1260" s="817" t="s">
        <v>6</v>
      </c>
      <c r="D1260" s="817" t="s">
        <v>34</v>
      </c>
      <c r="E1260" s="1021" t="s">
        <v>13490</v>
      </c>
      <c r="F1260" s="1021"/>
      <c r="G1260" s="818" t="s">
        <v>19</v>
      </c>
      <c r="H1260" s="819">
        <v>0.11020000000000001</v>
      </c>
      <c r="I1260" s="820">
        <v>18.72</v>
      </c>
      <c r="J1260" s="820">
        <v>2.06</v>
      </c>
    </row>
    <row r="1261" spans="1:10">
      <c r="A1261" s="822" t="s">
        <v>13493</v>
      </c>
      <c r="B1261" s="821" t="s">
        <v>13994</v>
      </c>
      <c r="C1261" s="822" t="s">
        <v>6</v>
      </c>
      <c r="D1261" s="822" t="s">
        <v>4682</v>
      </c>
      <c r="E1261" s="1017" t="s">
        <v>13514</v>
      </c>
      <c r="F1261" s="1017"/>
      <c r="G1261" s="823" t="s">
        <v>24</v>
      </c>
      <c r="H1261" s="824">
        <v>1.06E-2</v>
      </c>
      <c r="I1261" s="825">
        <v>18.440000000000001</v>
      </c>
      <c r="J1261" s="825">
        <v>0.19</v>
      </c>
    </row>
    <row r="1262" spans="1:10" ht="38.25" customHeight="1">
      <c r="A1262" s="822" t="s">
        <v>13493</v>
      </c>
      <c r="B1262" s="821" t="s">
        <v>14004</v>
      </c>
      <c r="C1262" s="822" t="s">
        <v>6</v>
      </c>
      <c r="D1262" s="822" t="s">
        <v>4771</v>
      </c>
      <c r="E1262" s="1017" t="s">
        <v>13514</v>
      </c>
      <c r="F1262" s="1017"/>
      <c r="G1262" s="823" t="s">
        <v>24</v>
      </c>
      <c r="H1262" s="824">
        <v>1</v>
      </c>
      <c r="I1262" s="825">
        <v>27.21</v>
      </c>
      <c r="J1262" s="825">
        <v>27.21</v>
      </c>
    </row>
    <row r="1263" spans="1:10" ht="25.5">
      <c r="A1263" s="827"/>
      <c r="B1263" s="827"/>
      <c r="C1263" s="827"/>
      <c r="D1263" s="827"/>
      <c r="E1263" s="827" t="s">
        <v>13503</v>
      </c>
      <c r="F1263" s="826">
        <v>2.81</v>
      </c>
      <c r="G1263" s="827" t="s">
        <v>13504</v>
      </c>
      <c r="H1263" s="826">
        <v>0</v>
      </c>
      <c r="I1263" s="827" t="s">
        <v>13505</v>
      </c>
      <c r="J1263" s="826">
        <v>2.81</v>
      </c>
    </row>
    <row r="1264" spans="1:10" ht="13.5" customHeight="1" thickBot="1">
      <c r="A1264" s="827"/>
      <c r="B1264" s="827"/>
      <c r="C1264" s="827"/>
      <c r="D1264" s="827"/>
      <c r="E1264" s="827" t="s">
        <v>13506</v>
      </c>
      <c r="F1264" s="826">
        <v>8.8000000000000007</v>
      </c>
      <c r="G1264" s="827"/>
      <c r="H1264" s="1018" t="s">
        <v>13507</v>
      </c>
      <c r="I1264" s="1018"/>
      <c r="J1264" s="826">
        <v>39.97</v>
      </c>
    </row>
    <row r="1265" spans="1:10" ht="13.5" thickTop="1">
      <c r="A1265" s="828"/>
      <c r="B1265" s="828"/>
      <c r="C1265" s="828"/>
      <c r="D1265" s="828"/>
      <c r="E1265" s="828"/>
      <c r="F1265" s="828"/>
      <c r="G1265" s="828"/>
      <c r="H1265" s="828"/>
      <c r="I1265" s="828"/>
      <c r="J1265" s="828"/>
    </row>
    <row r="1266" spans="1:10" ht="15">
      <c r="A1266" s="809" t="s">
        <v>14005</v>
      </c>
      <c r="B1266" s="808" t="s">
        <v>13481</v>
      </c>
      <c r="C1266" s="809" t="s">
        <v>13482</v>
      </c>
      <c r="D1266" s="809" t="s">
        <v>13483</v>
      </c>
      <c r="E1266" s="1019" t="s">
        <v>13484</v>
      </c>
      <c r="F1266" s="1019"/>
      <c r="G1266" s="810" t="s">
        <v>13485</v>
      </c>
      <c r="H1266" s="808" t="s">
        <v>13486</v>
      </c>
      <c r="I1266" s="808" t="s">
        <v>13487</v>
      </c>
      <c r="J1266" s="808" t="s">
        <v>4867</v>
      </c>
    </row>
    <row r="1267" spans="1:10" ht="25.5" customHeight="1">
      <c r="A1267" s="812" t="s">
        <v>13488</v>
      </c>
      <c r="B1267" s="811" t="s">
        <v>14006</v>
      </c>
      <c r="C1267" s="812" t="s">
        <v>6</v>
      </c>
      <c r="D1267" s="812" t="s">
        <v>7596</v>
      </c>
      <c r="E1267" s="1020" t="s">
        <v>13898</v>
      </c>
      <c r="F1267" s="1020"/>
      <c r="G1267" s="813" t="s">
        <v>24</v>
      </c>
      <c r="H1267" s="814">
        <v>1</v>
      </c>
      <c r="I1267" s="815">
        <v>131.36000000000001</v>
      </c>
      <c r="J1267" s="815">
        <v>131.36000000000001</v>
      </c>
    </row>
    <row r="1268" spans="1:10" ht="38.25" customHeight="1">
      <c r="A1268" s="817" t="s">
        <v>13491</v>
      </c>
      <c r="B1268" s="816" t="s">
        <v>13909</v>
      </c>
      <c r="C1268" s="817" t="s">
        <v>6</v>
      </c>
      <c r="D1268" s="817" t="s">
        <v>986</v>
      </c>
      <c r="E1268" s="1021" t="s">
        <v>13490</v>
      </c>
      <c r="F1268" s="1021"/>
      <c r="G1268" s="818" t="s">
        <v>19</v>
      </c>
      <c r="H1268" s="819">
        <v>0.37430000000000002</v>
      </c>
      <c r="I1268" s="820">
        <v>15.54</v>
      </c>
      <c r="J1268" s="820">
        <v>5.81</v>
      </c>
    </row>
    <row r="1269" spans="1:10" ht="13.5" customHeight="1">
      <c r="A1269" s="817" t="s">
        <v>13491</v>
      </c>
      <c r="B1269" s="816" t="s">
        <v>13574</v>
      </c>
      <c r="C1269" s="817" t="s">
        <v>6</v>
      </c>
      <c r="D1269" s="817" t="s">
        <v>34</v>
      </c>
      <c r="E1269" s="1021" t="s">
        <v>13490</v>
      </c>
      <c r="F1269" s="1021"/>
      <c r="G1269" s="818" t="s">
        <v>19</v>
      </c>
      <c r="H1269" s="819">
        <v>0.37430000000000002</v>
      </c>
      <c r="I1269" s="820">
        <v>18.72</v>
      </c>
      <c r="J1269" s="820">
        <v>7</v>
      </c>
    </row>
    <row r="1270" spans="1:10">
      <c r="A1270" s="822" t="s">
        <v>13493</v>
      </c>
      <c r="B1270" s="821" t="s">
        <v>13994</v>
      </c>
      <c r="C1270" s="822" t="s">
        <v>6</v>
      </c>
      <c r="D1270" s="822" t="s">
        <v>4682</v>
      </c>
      <c r="E1270" s="1017" t="s">
        <v>13514</v>
      </c>
      <c r="F1270" s="1017"/>
      <c r="G1270" s="823" t="s">
        <v>24</v>
      </c>
      <c r="H1270" s="824">
        <v>1.9199999999999998E-2</v>
      </c>
      <c r="I1270" s="825">
        <v>18.440000000000001</v>
      </c>
      <c r="J1270" s="825">
        <v>0.35</v>
      </c>
    </row>
    <row r="1271" spans="1:10" ht="25.5">
      <c r="A1271" s="822" t="s">
        <v>13493</v>
      </c>
      <c r="B1271" s="821" t="s">
        <v>14007</v>
      </c>
      <c r="C1271" s="822" t="s">
        <v>6</v>
      </c>
      <c r="D1271" s="822" t="s">
        <v>12125</v>
      </c>
      <c r="E1271" s="1017" t="s">
        <v>13514</v>
      </c>
      <c r="F1271" s="1017"/>
      <c r="G1271" s="823" t="s">
        <v>24</v>
      </c>
      <c r="H1271" s="824">
        <v>1</v>
      </c>
      <c r="I1271" s="825">
        <v>118.2</v>
      </c>
      <c r="J1271" s="825">
        <v>118.2</v>
      </c>
    </row>
    <row r="1272" spans="1:10" ht="38.25" customHeight="1">
      <c r="A1272" s="827"/>
      <c r="B1272" s="827"/>
      <c r="C1272" s="827"/>
      <c r="D1272" s="827"/>
      <c r="E1272" s="827" t="s">
        <v>13503</v>
      </c>
      <c r="F1272" s="826">
        <v>9.57</v>
      </c>
      <c r="G1272" s="827" t="s">
        <v>13504</v>
      </c>
      <c r="H1272" s="826">
        <v>0</v>
      </c>
      <c r="I1272" s="827" t="s">
        <v>13505</v>
      </c>
      <c r="J1272" s="826">
        <v>9.57</v>
      </c>
    </row>
    <row r="1273" spans="1:10" ht="13.5" customHeight="1" thickBot="1">
      <c r="A1273" s="827"/>
      <c r="B1273" s="827"/>
      <c r="C1273" s="827"/>
      <c r="D1273" s="827"/>
      <c r="E1273" s="827" t="s">
        <v>13506</v>
      </c>
      <c r="F1273" s="826">
        <v>37.090000000000003</v>
      </c>
      <c r="G1273" s="827"/>
      <c r="H1273" s="1018" t="s">
        <v>13507</v>
      </c>
      <c r="I1273" s="1018"/>
      <c r="J1273" s="826">
        <v>168.45</v>
      </c>
    </row>
    <row r="1274" spans="1:10" ht="13.5" thickTop="1">
      <c r="A1274" s="828"/>
      <c r="B1274" s="828"/>
      <c r="C1274" s="828"/>
      <c r="D1274" s="828"/>
      <c r="E1274" s="828"/>
      <c r="F1274" s="828"/>
      <c r="G1274" s="828"/>
      <c r="H1274" s="828"/>
      <c r="I1274" s="828"/>
      <c r="J1274" s="828"/>
    </row>
    <row r="1275" spans="1:10" ht="15">
      <c r="A1275" s="809" t="s">
        <v>14008</v>
      </c>
      <c r="B1275" s="808" t="s">
        <v>13481</v>
      </c>
      <c r="C1275" s="809" t="s">
        <v>13482</v>
      </c>
      <c r="D1275" s="809" t="s">
        <v>13483</v>
      </c>
      <c r="E1275" s="1019" t="s">
        <v>13484</v>
      </c>
      <c r="F1275" s="1019"/>
      <c r="G1275" s="810" t="s">
        <v>13485</v>
      </c>
      <c r="H1275" s="808" t="s">
        <v>13486</v>
      </c>
      <c r="I1275" s="808" t="s">
        <v>13487</v>
      </c>
      <c r="J1275" s="808" t="s">
        <v>4867</v>
      </c>
    </row>
    <row r="1276" spans="1:10" ht="25.5" customHeight="1">
      <c r="A1276" s="812" t="s">
        <v>13488</v>
      </c>
      <c r="B1276" s="811" t="s">
        <v>14009</v>
      </c>
      <c r="C1276" s="812" t="s">
        <v>6</v>
      </c>
      <c r="D1276" s="812" t="s">
        <v>7580</v>
      </c>
      <c r="E1276" s="1020" t="s">
        <v>13898</v>
      </c>
      <c r="F1276" s="1020"/>
      <c r="G1276" s="813" t="s">
        <v>24</v>
      </c>
      <c r="H1276" s="814">
        <v>1</v>
      </c>
      <c r="I1276" s="815">
        <v>74.16</v>
      </c>
      <c r="J1276" s="815">
        <v>74.16</v>
      </c>
    </row>
    <row r="1277" spans="1:10" ht="38.25" customHeight="1">
      <c r="A1277" s="817" t="s">
        <v>13491</v>
      </c>
      <c r="B1277" s="816" t="s">
        <v>13909</v>
      </c>
      <c r="C1277" s="817" t="s">
        <v>6</v>
      </c>
      <c r="D1277" s="817" t="s">
        <v>986</v>
      </c>
      <c r="E1277" s="1021" t="s">
        <v>13490</v>
      </c>
      <c r="F1277" s="1021"/>
      <c r="G1277" s="818" t="s">
        <v>19</v>
      </c>
      <c r="H1277" s="819">
        <v>0.22120000000000001</v>
      </c>
      <c r="I1277" s="820">
        <v>15.54</v>
      </c>
      <c r="J1277" s="820">
        <v>3.43</v>
      </c>
    </row>
    <row r="1278" spans="1:10" ht="38.25" customHeight="1">
      <c r="A1278" s="817" t="s">
        <v>13491</v>
      </c>
      <c r="B1278" s="816" t="s">
        <v>13574</v>
      </c>
      <c r="C1278" s="817" t="s">
        <v>6</v>
      </c>
      <c r="D1278" s="817" t="s">
        <v>34</v>
      </c>
      <c r="E1278" s="1021" t="s">
        <v>13490</v>
      </c>
      <c r="F1278" s="1021"/>
      <c r="G1278" s="818" t="s">
        <v>19</v>
      </c>
      <c r="H1278" s="819">
        <v>0.22120000000000001</v>
      </c>
      <c r="I1278" s="820">
        <v>18.72</v>
      </c>
      <c r="J1278" s="820">
        <v>4.1399999999999997</v>
      </c>
    </row>
    <row r="1279" spans="1:10" ht="13.5" customHeight="1">
      <c r="A1279" s="822" t="s">
        <v>13493</v>
      </c>
      <c r="B1279" s="821" t="s">
        <v>13994</v>
      </c>
      <c r="C1279" s="822" t="s">
        <v>6</v>
      </c>
      <c r="D1279" s="822" t="s">
        <v>4682</v>
      </c>
      <c r="E1279" s="1017" t="s">
        <v>13514</v>
      </c>
      <c r="F1279" s="1017"/>
      <c r="G1279" s="823" t="s">
        <v>24</v>
      </c>
      <c r="H1279" s="824">
        <v>1.06E-2</v>
      </c>
      <c r="I1279" s="825">
        <v>18.440000000000001</v>
      </c>
      <c r="J1279" s="825">
        <v>0.19</v>
      </c>
    </row>
    <row r="1280" spans="1:10" ht="25.5">
      <c r="A1280" s="822" t="s">
        <v>13493</v>
      </c>
      <c r="B1280" s="821" t="s">
        <v>14010</v>
      </c>
      <c r="C1280" s="822" t="s">
        <v>6</v>
      </c>
      <c r="D1280" s="822" t="s">
        <v>4772</v>
      </c>
      <c r="E1280" s="1017" t="s">
        <v>13514</v>
      </c>
      <c r="F1280" s="1017"/>
      <c r="G1280" s="823" t="s">
        <v>24</v>
      </c>
      <c r="H1280" s="824">
        <v>1</v>
      </c>
      <c r="I1280" s="825">
        <v>66.400000000000006</v>
      </c>
      <c r="J1280" s="825">
        <v>66.400000000000006</v>
      </c>
    </row>
    <row r="1281" spans="1:10" ht="25.5">
      <c r="A1281" s="827"/>
      <c r="B1281" s="827"/>
      <c r="C1281" s="827"/>
      <c r="D1281" s="827"/>
      <c r="E1281" s="827" t="s">
        <v>13503</v>
      </c>
      <c r="F1281" s="826">
        <v>5.65</v>
      </c>
      <c r="G1281" s="827" t="s">
        <v>13504</v>
      </c>
      <c r="H1281" s="826">
        <v>0</v>
      </c>
      <c r="I1281" s="827" t="s">
        <v>13505</v>
      </c>
      <c r="J1281" s="826">
        <v>5.65</v>
      </c>
    </row>
    <row r="1282" spans="1:10" ht="38.25" customHeight="1" thickBot="1">
      <c r="A1282" s="827"/>
      <c r="B1282" s="827"/>
      <c r="C1282" s="827"/>
      <c r="D1282" s="827"/>
      <c r="E1282" s="827" t="s">
        <v>13506</v>
      </c>
      <c r="F1282" s="826">
        <v>20.94</v>
      </c>
      <c r="G1282" s="827"/>
      <c r="H1282" s="1018" t="s">
        <v>13507</v>
      </c>
      <c r="I1282" s="1018"/>
      <c r="J1282" s="826">
        <v>95.1</v>
      </c>
    </row>
    <row r="1283" spans="1:10" ht="13.5" thickTop="1">
      <c r="A1283" s="828"/>
      <c r="B1283" s="828"/>
      <c r="C1283" s="828"/>
      <c r="D1283" s="828"/>
      <c r="E1283" s="828"/>
      <c r="F1283" s="828"/>
      <c r="G1283" s="828"/>
      <c r="H1283" s="828"/>
      <c r="I1283" s="828"/>
      <c r="J1283" s="828"/>
    </row>
    <row r="1284" spans="1:10" ht="15">
      <c r="A1284" s="809" t="s">
        <v>14011</v>
      </c>
      <c r="B1284" s="808" t="s">
        <v>13481</v>
      </c>
      <c r="C1284" s="809" t="s">
        <v>13482</v>
      </c>
      <c r="D1284" s="809" t="s">
        <v>13483</v>
      </c>
      <c r="E1284" s="1019" t="s">
        <v>13484</v>
      </c>
      <c r="F1284" s="1019"/>
      <c r="G1284" s="810" t="s">
        <v>13485</v>
      </c>
      <c r="H1284" s="808" t="s">
        <v>13486</v>
      </c>
      <c r="I1284" s="808" t="s">
        <v>13487</v>
      </c>
      <c r="J1284" s="808" t="s">
        <v>4867</v>
      </c>
    </row>
    <row r="1285" spans="1:10" ht="25.5" customHeight="1">
      <c r="A1285" s="812" t="s">
        <v>13488</v>
      </c>
      <c r="B1285" s="811" t="s">
        <v>14012</v>
      </c>
      <c r="C1285" s="812" t="s">
        <v>6</v>
      </c>
      <c r="D1285" s="812" t="s">
        <v>7578</v>
      </c>
      <c r="E1285" s="1020" t="s">
        <v>13898</v>
      </c>
      <c r="F1285" s="1020"/>
      <c r="G1285" s="813" t="s">
        <v>24</v>
      </c>
      <c r="H1285" s="814">
        <v>1</v>
      </c>
      <c r="I1285" s="815">
        <v>70.38</v>
      </c>
      <c r="J1285" s="815">
        <v>70.38</v>
      </c>
    </row>
    <row r="1286" spans="1:10" ht="38.25" customHeight="1">
      <c r="A1286" s="817" t="s">
        <v>13491</v>
      </c>
      <c r="B1286" s="816" t="s">
        <v>13909</v>
      </c>
      <c r="C1286" s="817" t="s">
        <v>6</v>
      </c>
      <c r="D1286" s="817" t="s">
        <v>986</v>
      </c>
      <c r="E1286" s="1021" t="s">
        <v>13490</v>
      </c>
      <c r="F1286" s="1021"/>
      <c r="G1286" s="818" t="s">
        <v>19</v>
      </c>
      <c r="H1286" s="819">
        <v>0.22120000000000001</v>
      </c>
      <c r="I1286" s="820">
        <v>15.54</v>
      </c>
      <c r="J1286" s="820">
        <v>3.43</v>
      </c>
    </row>
    <row r="1287" spans="1:10" ht="38.25" customHeight="1">
      <c r="A1287" s="817" t="s">
        <v>13491</v>
      </c>
      <c r="B1287" s="816" t="s">
        <v>13574</v>
      </c>
      <c r="C1287" s="817" t="s">
        <v>6</v>
      </c>
      <c r="D1287" s="817" t="s">
        <v>34</v>
      </c>
      <c r="E1287" s="1021" t="s">
        <v>13490</v>
      </c>
      <c r="F1287" s="1021"/>
      <c r="G1287" s="818" t="s">
        <v>19</v>
      </c>
      <c r="H1287" s="819">
        <v>0.22120000000000001</v>
      </c>
      <c r="I1287" s="820">
        <v>18.72</v>
      </c>
      <c r="J1287" s="820">
        <v>4.1399999999999997</v>
      </c>
    </row>
    <row r="1288" spans="1:10">
      <c r="A1288" s="822" t="s">
        <v>13493</v>
      </c>
      <c r="B1288" s="821" t="s">
        <v>13994</v>
      </c>
      <c r="C1288" s="822" t="s">
        <v>6</v>
      </c>
      <c r="D1288" s="822" t="s">
        <v>4682</v>
      </c>
      <c r="E1288" s="1017" t="s">
        <v>13514</v>
      </c>
      <c r="F1288" s="1017"/>
      <c r="G1288" s="823" t="s">
        <v>24</v>
      </c>
      <c r="H1288" s="824">
        <v>1.06E-2</v>
      </c>
      <c r="I1288" s="825">
        <v>18.440000000000001</v>
      </c>
      <c r="J1288" s="825">
        <v>0.19</v>
      </c>
    </row>
    <row r="1289" spans="1:10" ht="13.5" customHeight="1">
      <c r="A1289" s="822" t="s">
        <v>13493</v>
      </c>
      <c r="B1289" s="821" t="s">
        <v>14013</v>
      </c>
      <c r="C1289" s="822" t="s">
        <v>6</v>
      </c>
      <c r="D1289" s="822" t="s">
        <v>12133</v>
      </c>
      <c r="E1289" s="1017" t="s">
        <v>13514</v>
      </c>
      <c r="F1289" s="1017"/>
      <c r="G1289" s="823" t="s">
        <v>24</v>
      </c>
      <c r="H1289" s="824">
        <v>1</v>
      </c>
      <c r="I1289" s="825">
        <v>62.62</v>
      </c>
      <c r="J1289" s="825">
        <v>62.62</v>
      </c>
    </row>
    <row r="1290" spans="1:10" ht="25.5">
      <c r="A1290" s="827"/>
      <c r="B1290" s="827"/>
      <c r="C1290" s="827"/>
      <c r="D1290" s="827"/>
      <c r="E1290" s="827" t="s">
        <v>13503</v>
      </c>
      <c r="F1290" s="826">
        <v>5.65</v>
      </c>
      <c r="G1290" s="827" t="s">
        <v>13504</v>
      </c>
      <c r="H1290" s="826">
        <v>0</v>
      </c>
      <c r="I1290" s="827" t="s">
        <v>13505</v>
      </c>
      <c r="J1290" s="826">
        <v>5.65</v>
      </c>
    </row>
    <row r="1291" spans="1:10" ht="13.5" customHeight="1" thickBot="1">
      <c r="A1291" s="827"/>
      <c r="B1291" s="827"/>
      <c r="C1291" s="827"/>
      <c r="D1291" s="827"/>
      <c r="E1291" s="827" t="s">
        <v>13506</v>
      </c>
      <c r="F1291" s="826">
        <v>19.87</v>
      </c>
      <c r="G1291" s="827"/>
      <c r="H1291" s="1018" t="s">
        <v>13507</v>
      </c>
      <c r="I1291" s="1018"/>
      <c r="J1291" s="826">
        <v>90.25</v>
      </c>
    </row>
    <row r="1292" spans="1:10" ht="38.25" customHeight="1" thickTop="1">
      <c r="A1292" s="828"/>
      <c r="B1292" s="828"/>
      <c r="C1292" s="828"/>
      <c r="D1292" s="828"/>
      <c r="E1292" s="828"/>
      <c r="F1292" s="828"/>
      <c r="G1292" s="828"/>
      <c r="H1292" s="828"/>
      <c r="I1292" s="828"/>
      <c r="J1292" s="828"/>
    </row>
    <row r="1293" spans="1:10" ht="15">
      <c r="A1293" s="809" t="s">
        <v>14014</v>
      </c>
      <c r="B1293" s="808" t="s">
        <v>13481</v>
      </c>
      <c r="C1293" s="809" t="s">
        <v>13482</v>
      </c>
      <c r="D1293" s="809" t="s">
        <v>13483</v>
      </c>
      <c r="E1293" s="1019" t="s">
        <v>13484</v>
      </c>
      <c r="F1293" s="1019"/>
      <c r="G1293" s="810" t="s">
        <v>13485</v>
      </c>
      <c r="H1293" s="808" t="s">
        <v>13486</v>
      </c>
      <c r="I1293" s="808" t="s">
        <v>13487</v>
      </c>
      <c r="J1293" s="808" t="s">
        <v>4867</v>
      </c>
    </row>
    <row r="1294" spans="1:10" ht="25.5" customHeight="1">
      <c r="A1294" s="812" t="s">
        <v>13488</v>
      </c>
      <c r="B1294" s="811" t="s">
        <v>14015</v>
      </c>
      <c r="C1294" s="812" t="s">
        <v>6</v>
      </c>
      <c r="D1294" s="812" t="s">
        <v>7645</v>
      </c>
      <c r="E1294" s="1020" t="s">
        <v>13898</v>
      </c>
      <c r="F1294" s="1020"/>
      <c r="G1294" s="813" t="s">
        <v>24</v>
      </c>
      <c r="H1294" s="814">
        <v>1</v>
      </c>
      <c r="I1294" s="815">
        <v>17.72</v>
      </c>
      <c r="J1294" s="815">
        <v>17.72</v>
      </c>
    </row>
    <row r="1295" spans="1:10" ht="38.25" customHeight="1">
      <c r="A1295" s="817" t="s">
        <v>13491</v>
      </c>
      <c r="B1295" s="816" t="s">
        <v>13909</v>
      </c>
      <c r="C1295" s="817" t="s">
        <v>6</v>
      </c>
      <c r="D1295" s="817" t="s">
        <v>986</v>
      </c>
      <c r="E1295" s="1021" t="s">
        <v>13490</v>
      </c>
      <c r="F1295" s="1021"/>
      <c r="G1295" s="818" t="s">
        <v>19</v>
      </c>
      <c r="H1295" s="819">
        <v>0.11020000000000001</v>
      </c>
      <c r="I1295" s="820">
        <v>15.54</v>
      </c>
      <c r="J1295" s="820">
        <v>1.71</v>
      </c>
    </row>
    <row r="1296" spans="1:10" ht="38.25" customHeight="1">
      <c r="A1296" s="817" t="s">
        <v>13491</v>
      </c>
      <c r="B1296" s="816" t="s">
        <v>13574</v>
      </c>
      <c r="C1296" s="817" t="s">
        <v>6</v>
      </c>
      <c r="D1296" s="817" t="s">
        <v>34</v>
      </c>
      <c r="E1296" s="1021" t="s">
        <v>13490</v>
      </c>
      <c r="F1296" s="1021"/>
      <c r="G1296" s="818" t="s">
        <v>19</v>
      </c>
      <c r="H1296" s="819">
        <v>0.11020000000000001</v>
      </c>
      <c r="I1296" s="820">
        <v>18.72</v>
      </c>
      <c r="J1296" s="820">
        <v>2.06</v>
      </c>
    </row>
    <row r="1297" spans="1:10">
      <c r="A1297" s="822" t="s">
        <v>13493</v>
      </c>
      <c r="B1297" s="821" t="s">
        <v>13994</v>
      </c>
      <c r="C1297" s="822" t="s">
        <v>6</v>
      </c>
      <c r="D1297" s="822" t="s">
        <v>4682</v>
      </c>
      <c r="E1297" s="1017" t="s">
        <v>13514</v>
      </c>
      <c r="F1297" s="1017"/>
      <c r="G1297" s="823" t="s">
        <v>24</v>
      </c>
      <c r="H1297" s="824">
        <v>1.06E-2</v>
      </c>
      <c r="I1297" s="825">
        <v>18.440000000000001</v>
      </c>
      <c r="J1297" s="825">
        <v>0.19</v>
      </c>
    </row>
    <row r="1298" spans="1:10" ht="25.5">
      <c r="A1298" s="822" t="s">
        <v>13493</v>
      </c>
      <c r="B1298" s="821" t="s">
        <v>14016</v>
      </c>
      <c r="C1298" s="822" t="s">
        <v>6</v>
      </c>
      <c r="D1298" s="822" t="s">
        <v>12100</v>
      </c>
      <c r="E1298" s="1017" t="s">
        <v>13514</v>
      </c>
      <c r="F1298" s="1017"/>
      <c r="G1298" s="823" t="s">
        <v>24</v>
      </c>
      <c r="H1298" s="824">
        <v>1</v>
      </c>
      <c r="I1298" s="825">
        <v>13.76</v>
      </c>
      <c r="J1298" s="825">
        <v>13.76</v>
      </c>
    </row>
    <row r="1299" spans="1:10" ht="25.5">
      <c r="A1299" s="827"/>
      <c r="B1299" s="827"/>
      <c r="C1299" s="827"/>
      <c r="D1299" s="827"/>
      <c r="E1299" s="827" t="s">
        <v>13503</v>
      </c>
      <c r="F1299" s="826">
        <v>2.81</v>
      </c>
      <c r="G1299" s="827" t="s">
        <v>13504</v>
      </c>
      <c r="H1299" s="826">
        <v>0</v>
      </c>
      <c r="I1299" s="827" t="s">
        <v>13505</v>
      </c>
      <c r="J1299" s="826">
        <v>2.81</v>
      </c>
    </row>
    <row r="1300" spans="1:10" ht="13.5" customHeight="1" thickBot="1">
      <c r="A1300" s="827"/>
      <c r="B1300" s="827"/>
      <c r="C1300" s="827"/>
      <c r="D1300" s="827"/>
      <c r="E1300" s="827" t="s">
        <v>13506</v>
      </c>
      <c r="F1300" s="826">
        <v>5</v>
      </c>
      <c r="G1300" s="827"/>
      <c r="H1300" s="1018" t="s">
        <v>13507</v>
      </c>
      <c r="I1300" s="1018"/>
      <c r="J1300" s="826">
        <v>22.72</v>
      </c>
    </row>
    <row r="1301" spans="1:10" ht="13.5" thickTop="1">
      <c r="A1301" s="828"/>
      <c r="B1301" s="828"/>
      <c r="C1301" s="828"/>
      <c r="D1301" s="828"/>
      <c r="E1301" s="828"/>
      <c r="F1301" s="828"/>
      <c r="G1301" s="828"/>
      <c r="H1301" s="828"/>
      <c r="I1301" s="828"/>
      <c r="J1301" s="828"/>
    </row>
    <row r="1302" spans="1:10" ht="15">
      <c r="A1302" s="809" t="s">
        <v>14017</v>
      </c>
      <c r="B1302" s="808" t="s">
        <v>13481</v>
      </c>
      <c r="C1302" s="809" t="s">
        <v>13482</v>
      </c>
      <c r="D1302" s="809" t="s">
        <v>13483</v>
      </c>
      <c r="E1302" s="1019" t="s">
        <v>13484</v>
      </c>
      <c r="F1302" s="1019"/>
      <c r="G1302" s="810" t="s">
        <v>13485</v>
      </c>
      <c r="H1302" s="808" t="s">
        <v>13486</v>
      </c>
      <c r="I1302" s="808" t="s">
        <v>13487</v>
      </c>
      <c r="J1302" s="808" t="s">
        <v>4867</v>
      </c>
    </row>
    <row r="1303" spans="1:10" ht="38.25" customHeight="1">
      <c r="A1303" s="812" t="s">
        <v>13488</v>
      </c>
      <c r="B1303" s="811" t="s">
        <v>14018</v>
      </c>
      <c r="C1303" s="812" t="s">
        <v>6</v>
      </c>
      <c r="D1303" s="812" t="s">
        <v>7625</v>
      </c>
      <c r="E1303" s="1020" t="s">
        <v>13898</v>
      </c>
      <c r="F1303" s="1020"/>
      <c r="G1303" s="813" t="s">
        <v>24</v>
      </c>
      <c r="H1303" s="814">
        <v>1</v>
      </c>
      <c r="I1303" s="815">
        <v>187.52</v>
      </c>
      <c r="J1303" s="815">
        <v>187.52</v>
      </c>
    </row>
    <row r="1304" spans="1:10" ht="38.25" customHeight="1">
      <c r="A1304" s="817" t="s">
        <v>13491</v>
      </c>
      <c r="B1304" s="816" t="s">
        <v>13909</v>
      </c>
      <c r="C1304" s="817" t="s">
        <v>6</v>
      </c>
      <c r="D1304" s="817" t="s">
        <v>986</v>
      </c>
      <c r="E1304" s="1021" t="s">
        <v>13490</v>
      </c>
      <c r="F1304" s="1021"/>
      <c r="G1304" s="818" t="s">
        <v>19</v>
      </c>
      <c r="H1304" s="819">
        <v>0.92490000000000006</v>
      </c>
      <c r="I1304" s="820">
        <v>15.54</v>
      </c>
      <c r="J1304" s="820">
        <v>14.37</v>
      </c>
    </row>
    <row r="1305" spans="1:10" ht="38.25" customHeight="1">
      <c r="A1305" s="817" t="s">
        <v>13491</v>
      </c>
      <c r="B1305" s="816" t="s">
        <v>13574</v>
      </c>
      <c r="C1305" s="817" t="s">
        <v>6</v>
      </c>
      <c r="D1305" s="817" t="s">
        <v>34</v>
      </c>
      <c r="E1305" s="1021" t="s">
        <v>13490</v>
      </c>
      <c r="F1305" s="1021"/>
      <c r="G1305" s="818" t="s">
        <v>19</v>
      </c>
      <c r="H1305" s="819">
        <v>0.92490000000000006</v>
      </c>
      <c r="I1305" s="820">
        <v>18.72</v>
      </c>
      <c r="J1305" s="820">
        <v>17.309999999999999</v>
      </c>
    </row>
    <row r="1306" spans="1:10">
      <c r="A1306" s="822" t="s">
        <v>13493</v>
      </c>
      <c r="B1306" s="821" t="s">
        <v>13994</v>
      </c>
      <c r="C1306" s="822" t="s">
        <v>6</v>
      </c>
      <c r="D1306" s="822" t="s">
        <v>4682</v>
      </c>
      <c r="E1306" s="1017" t="s">
        <v>13514</v>
      </c>
      <c r="F1306" s="1017"/>
      <c r="G1306" s="823" t="s">
        <v>24</v>
      </c>
      <c r="H1306" s="824">
        <v>1.9199999999999998E-2</v>
      </c>
      <c r="I1306" s="825">
        <v>18.440000000000001</v>
      </c>
      <c r="J1306" s="825">
        <v>0.35</v>
      </c>
    </row>
    <row r="1307" spans="1:10" ht="25.5">
      <c r="A1307" s="822" t="s">
        <v>13493</v>
      </c>
      <c r="B1307" s="821" t="s">
        <v>14019</v>
      </c>
      <c r="C1307" s="822" t="s">
        <v>6</v>
      </c>
      <c r="D1307" s="822" t="s">
        <v>4817</v>
      </c>
      <c r="E1307" s="1017" t="s">
        <v>13514</v>
      </c>
      <c r="F1307" s="1017"/>
      <c r="G1307" s="823" t="s">
        <v>24</v>
      </c>
      <c r="H1307" s="824">
        <v>1</v>
      </c>
      <c r="I1307" s="825">
        <v>155.49</v>
      </c>
      <c r="J1307" s="825">
        <v>155.49</v>
      </c>
    </row>
    <row r="1308" spans="1:10" ht="25.5">
      <c r="A1308" s="827"/>
      <c r="B1308" s="827"/>
      <c r="C1308" s="827"/>
      <c r="D1308" s="827"/>
      <c r="E1308" s="827" t="s">
        <v>13503</v>
      </c>
      <c r="F1308" s="826">
        <v>23.66</v>
      </c>
      <c r="G1308" s="827" t="s">
        <v>13504</v>
      </c>
      <c r="H1308" s="826">
        <v>0</v>
      </c>
      <c r="I1308" s="827" t="s">
        <v>13505</v>
      </c>
      <c r="J1308" s="826">
        <v>23.66</v>
      </c>
    </row>
    <row r="1309" spans="1:10" ht="13.5" customHeight="1" thickBot="1">
      <c r="A1309" s="827"/>
      <c r="B1309" s="827"/>
      <c r="C1309" s="827"/>
      <c r="D1309" s="827"/>
      <c r="E1309" s="827" t="s">
        <v>13506</v>
      </c>
      <c r="F1309" s="826">
        <v>52.95</v>
      </c>
      <c r="G1309" s="827"/>
      <c r="H1309" s="1018" t="s">
        <v>13507</v>
      </c>
      <c r="I1309" s="1018"/>
      <c r="J1309" s="826">
        <v>240.47</v>
      </c>
    </row>
    <row r="1310" spans="1:10" ht="13.5" thickTop="1">
      <c r="A1310" s="828"/>
      <c r="B1310" s="828"/>
      <c r="C1310" s="828"/>
      <c r="D1310" s="828"/>
      <c r="E1310" s="828"/>
      <c r="F1310" s="828"/>
      <c r="G1310" s="828"/>
      <c r="H1310" s="828"/>
      <c r="I1310" s="828"/>
      <c r="J1310" s="828"/>
    </row>
    <row r="1311" spans="1:10" ht="13.5" customHeight="1">
      <c r="A1311" s="809" t="s">
        <v>14020</v>
      </c>
      <c r="B1311" s="808" t="s">
        <v>13481</v>
      </c>
      <c r="C1311" s="809" t="s">
        <v>13482</v>
      </c>
      <c r="D1311" s="809" t="s">
        <v>13483</v>
      </c>
      <c r="E1311" s="1019" t="s">
        <v>13484</v>
      </c>
      <c r="F1311" s="1019"/>
      <c r="G1311" s="810" t="s">
        <v>13485</v>
      </c>
      <c r="H1311" s="808" t="s">
        <v>13486</v>
      </c>
      <c r="I1311" s="808" t="s">
        <v>13487</v>
      </c>
      <c r="J1311" s="808" t="s">
        <v>4867</v>
      </c>
    </row>
    <row r="1312" spans="1:10" ht="25.5" customHeight="1">
      <c r="A1312" s="812" t="s">
        <v>13488</v>
      </c>
      <c r="B1312" s="811" t="s">
        <v>14021</v>
      </c>
      <c r="C1312" s="812" t="s">
        <v>6</v>
      </c>
      <c r="D1312" s="812" t="s">
        <v>4422</v>
      </c>
      <c r="E1312" s="1020" t="s">
        <v>13898</v>
      </c>
      <c r="F1312" s="1020"/>
      <c r="G1312" s="813" t="s">
        <v>24</v>
      </c>
      <c r="H1312" s="814">
        <v>1</v>
      </c>
      <c r="I1312" s="815">
        <v>8.61</v>
      </c>
      <c r="J1312" s="815">
        <v>8.61</v>
      </c>
    </row>
    <row r="1313" spans="1:10" ht="38.25" customHeight="1">
      <c r="A1313" s="817" t="s">
        <v>13491</v>
      </c>
      <c r="B1313" s="816" t="s">
        <v>13574</v>
      </c>
      <c r="C1313" s="817" t="s">
        <v>6</v>
      </c>
      <c r="D1313" s="817" t="s">
        <v>34</v>
      </c>
      <c r="E1313" s="1021" t="s">
        <v>13490</v>
      </c>
      <c r="F1313" s="1021"/>
      <c r="G1313" s="818" t="s">
        <v>19</v>
      </c>
      <c r="H1313" s="819">
        <v>0.1525</v>
      </c>
      <c r="I1313" s="820">
        <v>18.72</v>
      </c>
      <c r="J1313" s="820">
        <v>2.85</v>
      </c>
    </row>
    <row r="1314" spans="1:10" ht="38.25" customHeight="1">
      <c r="A1314" s="817" t="s">
        <v>13491</v>
      </c>
      <c r="B1314" s="816" t="s">
        <v>13553</v>
      </c>
      <c r="C1314" s="817" t="s">
        <v>6</v>
      </c>
      <c r="D1314" s="817" t="s">
        <v>21</v>
      </c>
      <c r="E1314" s="1021" t="s">
        <v>13490</v>
      </c>
      <c r="F1314" s="1021"/>
      <c r="G1314" s="818" t="s">
        <v>19</v>
      </c>
      <c r="H1314" s="819">
        <v>4.8099999999999997E-2</v>
      </c>
      <c r="I1314" s="820">
        <v>15.16</v>
      </c>
      <c r="J1314" s="820">
        <v>0.72</v>
      </c>
    </row>
    <row r="1315" spans="1:10" ht="25.5">
      <c r="A1315" s="822" t="s">
        <v>13493</v>
      </c>
      <c r="B1315" s="821" t="s">
        <v>14022</v>
      </c>
      <c r="C1315" s="822" t="s">
        <v>6</v>
      </c>
      <c r="D1315" s="822" t="s">
        <v>10270</v>
      </c>
      <c r="E1315" s="1017" t="s">
        <v>13514</v>
      </c>
      <c r="F1315" s="1017"/>
      <c r="G1315" s="823" t="s">
        <v>24</v>
      </c>
      <c r="H1315" s="824">
        <v>1</v>
      </c>
      <c r="I1315" s="825">
        <v>4.9400000000000004</v>
      </c>
      <c r="J1315" s="825">
        <v>4.9400000000000004</v>
      </c>
    </row>
    <row r="1316" spans="1:10">
      <c r="A1316" s="822" t="s">
        <v>13493</v>
      </c>
      <c r="B1316" s="821" t="s">
        <v>13925</v>
      </c>
      <c r="C1316" s="822" t="s">
        <v>6</v>
      </c>
      <c r="D1316" s="822" t="s">
        <v>4681</v>
      </c>
      <c r="E1316" s="1017" t="s">
        <v>13514</v>
      </c>
      <c r="F1316" s="1017"/>
      <c r="G1316" s="823" t="s">
        <v>24</v>
      </c>
      <c r="H1316" s="824">
        <v>2.1000000000000001E-2</v>
      </c>
      <c r="I1316" s="825">
        <v>5</v>
      </c>
      <c r="J1316" s="825">
        <v>0.1</v>
      </c>
    </row>
    <row r="1317" spans="1:10" ht="25.5">
      <c r="A1317" s="827"/>
      <c r="B1317" s="827"/>
      <c r="C1317" s="827"/>
      <c r="D1317" s="827"/>
      <c r="E1317" s="827" t="s">
        <v>13503</v>
      </c>
      <c r="F1317" s="826">
        <v>2.68</v>
      </c>
      <c r="G1317" s="827" t="s">
        <v>13504</v>
      </c>
      <c r="H1317" s="826">
        <v>0</v>
      </c>
      <c r="I1317" s="827" t="s">
        <v>13505</v>
      </c>
      <c r="J1317" s="826">
        <v>2.68</v>
      </c>
    </row>
    <row r="1318" spans="1:10" ht="13.5" customHeight="1" thickBot="1">
      <c r="A1318" s="827"/>
      <c r="B1318" s="827"/>
      <c r="C1318" s="827"/>
      <c r="D1318" s="827"/>
      <c r="E1318" s="827" t="s">
        <v>13506</v>
      </c>
      <c r="F1318" s="826">
        <v>2.4300000000000002</v>
      </c>
      <c r="G1318" s="827"/>
      <c r="H1318" s="1018" t="s">
        <v>13507</v>
      </c>
      <c r="I1318" s="1018"/>
      <c r="J1318" s="826">
        <v>11.04</v>
      </c>
    </row>
    <row r="1319" spans="1:10" ht="13.5" thickTop="1">
      <c r="A1319" s="828"/>
      <c r="B1319" s="828"/>
      <c r="C1319" s="828"/>
      <c r="D1319" s="828"/>
      <c r="E1319" s="828"/>
      <c r="F1319" s="828"/>
      <c r="G1319" s="828"/>
      <c r="H1319" s="828"/>
      <c r="I1319" s="828"/>
      <c r="J1319" s="828"/>
    </row>
    <row r="1320" spans="1:10" ht="13.5" customHeight="1">
      <c r="A1320" s="809" t="s">
        <v>14023</v>
      </c>
      <c r="B1320" s="808" t="s">
        <v>13481</v>
      </c>
      <c r="C1320" s="809" t="s">
        <v>13482</v>
      </c>
      <c r="D1320" s="809" t="s">
        <v>13483</v>
      </c>
      <c r="E1320" s="1019" t="s">
        <v>13484</v>
      </c>
      <c r="F1320" s="1019"/>
      <c r="G1320" s="810" t="s">
        <v>13485</v>
      </c>
      <c r="H1320" s="808" t="s">
        <v>13486</v>
      </c>
      <c r="I1320" s="808" t="s">
        <v>13487</v>
      </c>
      <c r="J1320" s="808" t="s">
        <v>4867</v>
      </c>
    </row>
    <row r="1321" spans="1:10" ht="38.25" customHeight="1">
      <c r="A1321" s="812" t="s">
        <v>13488</v>
      </c>
      <c r="B1321" s="811" t="s">
        <v>14024</v>
      </c>
      <c r="C1321" s="812" t="s">
        <v>6</v>
      </c>
      <c r="D1321" s="812" t="s">
        <v>506</v>
      </c>
      <c r="E1321" s="1020" t="s">
        <v>13898</v>
      </c>
      <c r="F1321" s="1020"/>
      <c r="G1321" s="813" t="s">
        <v>24</v>
      </c>
      <c r="H1321" s="814">
        <v>1</v>
      </c>
      <c r="I1321" s="815">
        <v>22.37</v>
      </c>
      <c r="J1321" s="815">
        <v>22.37</v>
      </c>
    </row>
    <row r="1322" spans="1:10" ht="38.25" customHeight="1">
      <c r="A1322" s="817" t="s">
        <v>13491</v>
      </c>
      <c r="B1322" s="816" t="s">
        <v>13909</v>
      </c>
      <c r="C1322" s="817" t="s">
        <v>6</v>
      </c>
      <c r="D1322" s="817" t="s">
        <v>986</v>
      </c>
      <c r="E1322" s="1021" t="s">
        <v>13490</v>
      </c>
      <c r="F1322" s="1021"/>
      <c r="G1322" s="818" t="s">
        <v>19</v>
      </c>
      <c r="H1322" s="819">
        <v>0.13600000000000001</v>
      </c>
      <c r="I1322" s="820">
        <v>15.54</v>
      </c>
      <c r="J1322" s="820">
        <v>2.11</v>
      </c>
    </row>
    <row r="1323" spans="1:10" ht="38.25" customHeight="1">
      <c r="A1323" s="817" t="s">
        <v>13491</v>
      </c>
      <c r="B1323" s="816" t="s">
        <v>13574</v>
      </c>
      <c r="C1323" s="817" t="s">
        <v>6</v>
      </c>
      <c r="D1323" s="817" t="s">
        <v>34</v>
      </c>
      <c r="E1323" s="1021" t="s">
        <v>13490</v>
      </c>
      <c r="F1323" s="1021"/>
      <c r="G1323" s="818" t="s">
        <v>19</v>
      </c>
      <c r="H1323" s="819">
        <v>0.13600000000000001</v>
      </c>
      <c r="I1323" s="820">
        <v>18.72</v>
      </c>
      <c r="J1323" s="820">
        <v>2.54</v>
      </c>
    </row>
    <row r="1324" spans="1:10" ht="25.5">
      <c r="A1324" s="822" t="s">
        <v>13493</v>
      </c>
      <c r="B1324" s="821" t="s">
        <v>14025</v>
      </c>
      <c r="C1324" s="822" t="s">
        <v>6</v>
      </c>
      <c r="D1324" s="822" t="s">
        <v>8474</v>
      </c>
      <c r="E1324" s="1017" t="s">
        <v>13514</v>
      </c>
      <c r="F1324" s="1017"/>
      <c r="G1324" s="823" t="s">
        <v>24</v>
      </c>
      <c r="H1324" s="824">
        <v>1</v>
      </c>
      <c r="I1324" s="825">
        <v>15.59</v>
      </c>
      <c r="J1324" s="825">
        <v>15.59</v>
      </c>
    </row>
    <row r="1325" spans="1:10">
      <c r="A1325" s="822" t="s">
        <v>13493</v>
      </c>
      <c r="B1325" s="821" t="s">
        <v>14026</v>
      </c>
      <c r="C1325" s="822" t="s">
        <v>6</v>
      </c>
      <c r="D1325" s="822" t="s">
        <v>4576</v>
      </c>
      <c r="E1325" s="1017" t="s">
        <v>13514</v>
      </c>
      <c r="F1325" s="1017"/>
      <c r="G1325" s="823" t="s">
        <v>24</v>
      </c>
      <c r="H1325" s="824">
        <v>4.5999999999999999E-2</v>
      </c>
      <c r="I1325" s="825">
        <v>25.11</v>
      </c>
      <c r="J1325" s="825">
        <v>1.1499999999999999</v>
      </c>
    </row>
    <row r="1326" spans="1:10">
      <c r="A1326" s="822" t="s">
        <v>13493</v>
      </c>
      <c r="B1326" s="821" t="s">
        <v>13913</v>
      </c>
      <c r="C1326" s="822" t="s">
        <v>6</v>
      </c>
      <c r="D1326" s="822" t="s">
        <v>4706</v>
      </c>
      <c r="E1326" s="1017" t="s">
        <v>13514</v>
      </c>
      <c r="F1326" s="1017"/>
      <c r="G1326" s="823" t="s">
        <v>24</v>
      </c>
      <c r="H1326" s="824">
        <v>1.4E-2</v>
      </c>
      <c r="I1326" s="825">
        <v>2.2000000000000002</v>
      </c>
      <c r="J1326" s="825">
        <v>0.03</v>
      </c>
    </row>
    <row r="1327" spans="1:10" ht="25.5">
      <c r="A1327" s="822" t="s">
        <v>13493</v>
      </c>
      <c r="B1327" s="821" t="s">
        <v>13915</v>
      </c>
      <c r="C1327" s="822" t="s">
        <v>6</v>
      </c>
      <c r="D1327" s="822" t="s">
        <v>12249</v>
      </c>
      <c r="E1327" s="1017" t="s">
        <v>13514</v>
      </c>
      <c r="F1327" s="1017"/>
      <c r="G1327" s="823" t="s">
        <v>24</v>
      </c>
      <c r="H1327" s="824">
        <v>1.0999999999999999E-2</v>
      </c>
      <c r="I1327" s="825">
        <v>87.17</v>
      </c>
      <c r="J1327" s="825">
        <v>0.95</v>
      </c>
    </row>
    <row r="1328" spans="1:10" ht="25.5">
      <c r="A1328" s="827"/>
      <c r="B1328" s="827"/>
      <c r="C1328" s="827"/>
      <c r="D1328" s="827"/>
      <c r="E1328" s="827" t="s">
        <v>13503</v>
      </c>
      <c r="F1328" s="826">
        <v>3.47</v>
      </c>
      <c r="G1328" s="827" t="s">
        <v>13504</v>
      </c>
      <c r="H1328" s="826">
        <v>0</v>
      </c>
      <c r="I1328" s="827" t="s">
        <v>13505</v>
      </c>
      <c r="J1328" s="826">
        <v>3.47</v>
      </c>
    </row>
    <row r="1329" spans="1:10" ht="13.5" customHeight="1" thickBot="1">
      <c r="A1329" s="827"/>
      <c r="B1329" s="827"/>
      <c r="C1329" s="827"/>
      <c r="D1329" s="827"/>
      <c r="E1329" s="827" t="s">
        <v>13506</v>
      </c>
      <c r="F1329" s="826">
        <v>6.31</v>
      </c>
      <c r="G1329" s="827"/>
      <c r="H1329" s="1018" t="s">
        <v>13507</v>
      </c>
      <c r="I1329" s="1018"/>
      <c r="J1329" s="826">
        <v>28.68</v>
      </c>
    </row>
    <row r="1330" spans="1:10" ht="13.5" thickTop="1">
      <c r="A1330" s="828"/>
      <c r="B1330" s="828"/>
      <c r="C1330" s="828"/>
      <c r="D1330" s="828"/>
      <c r="E1330" s="828"/>
      <c r="F1330" s="828"/>
      <c r="G1330" s="828"/>
      <c r="H1330" s="828"/>
      <c r="I1330" s="828"/>
      <c r="J1330" s="828"/>
    </row>
    <row r="1331" spans="1:10" ht="15">
      <c r="A1331" s="809" t="s">
        <v>14027</v>
      </c>
      <c r="B1331" s="808" t="s">
        <v>13481</v>
      </c>
      <c r="C1331" s="809" t="s">
        <v>13482</v>
      </c>
      <c r="D1331" s="809" t="s">
        <v>13483</v>
      </c>
      <c r="E1331" s="1019" t="s">
        <v>13484</v>
      </c>
      <c r="F1331" s="1019"/>
      <c r="G1331" s="810" t="s">
        <v>13485</v>
      </c>
      <c r="H1331" s="808" t="s">
        <v>13486</v>
      </c>
      <c r="I1331" s="808" t="s">
        <v>13487</v>
      </c>
      <c r="J1331" s="808" t="s">
        <v>4867</v>
      </c>
    </row>
    <row r="1332" spans="1:10" ht="25.5" customHeight="1">
      <c r="A1332" s="812" t="s">
        <v>13488</v>
      </c>
      <c r="B1332" s="811" t="s">
        <v>14028</v>
      </c>
      <c r="C1332" s="812" t="s">
        <v>6</v>
      </c>
      <c r="D1332" s="812" t="s">
        <v>2394</v>
      </c>
      <c r="E1332" s="1020" t="s">
        <v>13898</v>
      </c>
      <c r="F1332" s="1020"/>
      <c r="G1332" s="813" t="s">
        <v>24</v>
      </c>
      <c r="H1332" s="814">
        <v>1</v>
      </c>
      <c r="I1332" s="815">
        <v>41.11</v>
      </c>
      <c r="J1332" s="815">
        <v>41.11</v>
      </c>
    </row>
    <row r="1333" spans="1:10" ht="38.25" customHeight="1">
      <c r="A1333" s="817" t="s">
        <v>13491</v>
      </c>
      <c r="B1333" s="816" t="s">
        <v>13909</v>
      </c>
      <c r="C1333" s="817" t="s">
        <v>6</v>
      </c>
      <c r="D1333" s="817" t="s">
        <v>986</v>
      </c>
      <c r="E1333" s="1021" t="s">
        <v>13490</v>
      </c>
      <c r="F1333" s="1021"/>
      <c r="G1333" s="818" t="s">
        <v>19</v>
      </c>
      <c r="H1333" s="819">
        <v>0.18099999999999999</v>
      </c>
      <c r="I1333" s="820">
        <v>15.54</v>
      </c>
      <c r="J1333" s="820">
        <v>2.81</v>
      </c>
    </row>
    <row r="1334" spans="1:10" ht="38.25" customHeight="1">
      <c r="A1334" s="817" t="s">
        <v>13491</v>
      </c>
      <c r="B1334" s="816" t="s">
        <v>13574</v>
      </c>
      <c r="C1334" s="817" t="s">
        <v>6</v>
      </c>
      <c r="D1334" s="817" t="s">
        <v>34</v>
      </c>
      <c r="E1334" s="1021" t="s">
        <v>13490</v>
      </c>
      <c r="F1334" s="1021"/>
      <c r="G1334" s="818" t="s">
        <v>19</v>
      </c>
      <c r="H1334" s="819">
        <v>0.18099999999999999</v>
      </c>
      <c r="I1334" s="820">
        <v>18.72</v>
      </c>
      <c r="J1334" s="820">
        <v>3.38</v>
      </c>
    </row>
    <row r="1335" spans="1:10">
      <c r="A1335" s="822" t="s">
        <v>13493</v>
      </c>
      <c r="B1335" s="821" t="s">
        <v>14026</v>
      </c>
      <c r="C1335" s="822" t="s">
        <v>6</v>
      </c>
      <c r="D1335" s="822" t="s">
        <v>4576</v>
      </c>
      <c r="E1335" s="1017" t="s">
        <v>13514</v>
      </c>
      <c r="F1335" s="1017"/>
      <c r="G1335" s="823" t="s">
        <v>24</v>
      </c>
      <c r="H1335" s="824">
        <v>0.19400000000000001</v>
      </c>
      <c r="I1335" s="825">
        <v>25.11</v>
      </c>
      <c r="J1335" s="825">
        <v>4.87</v>
      </c>
    </row>
    <row r="1336" spans="1:10" ht="25.5">
      <c r="A1336" s="822" t="s">
        <v>13493</v>
      </c>
      <c r="B1336" s="821" t="s">
        <v>14029</v>
      </c>
      <c r="C1336" s="822" t="s">
        <v>6</v>
      </c>
      <c r="D1336" s="822" t="s">
        <v>8476</v>
      </c>
      <c r="E1336" s="1017" t="s">
        <v>13514</v>
      </c>
      <c r="F1336" s="1017"/>
      <c r="G1336" s="823" t="s">
        <v>24</v>
      </c>
      <c r="H1336" s="824">
        <v>1</v>
      </c>
      <c r="I1336" s="825">
        <v>25.49</v>
      </c>
      <c r="J1336" s="825">
        <v>25.49</v>
      </c>
    </row>
    <row r="1337" spans="1:10">
      <c r="A1337" s="822" t="s">
        <v>13493</v>
      </c>
      <c r="B1337" s="821" t="s">
        <v>13913</v>
      </c>
      <c r="C1337" s="822" t="s">
        <v>6</v>
      </c>
      <c r="D1337" s="822" t="s">
        <v>4706</v>
      </c>
      <c r="E1337" s="1017" t="s">
        <v>13514</v>
      </c>
      <c r="F1337" s="1017"/>
      <c r="G1337" s="823" t="s">
        <v>24</v>
      </c>
      <c r="H1337" s="824">
        <v>1.7999999999999999E-2</v>
      </c>
      <c r="I1337" s="825">
        <v>2.2000000000000002</v>
      </c>
      <c r="J1337" s="825">
        <v>0.03</v>
      </c>
    </row>
    <row r="1338" spans="1:10" ht="13.5" customHeight="1">
      <c r="A1338" s="822" t="s">
        <v>13493</v>
      </c>
      <c r="B1338" s="821" t="s">
        <v>13915</v>
      </c>
      <c r="C1338" s="822" t="s">
        <v>6</v>
      </c>
      <c r="D1338" s="822" t="s">
        <v>12249</v>
      </c>
      <c r="E1338" s="1017" t="s">
        <v>13514</v>
      </c>
      <c r="F1338" s="1017"/>
      <c r="G1338" s="823" t="s">
        <v>24</v>
      </c>
      <c r="H1338" s="824">
        <v>5.1999999999999998E-2</v>
      </c>
      <c r="I1338" s="825">
        <v>87.17</v>
      </c>
      <c r="J1338" s="825">
        <v>4.53</v>
      </c>
    </row>
    <row r="1339" spans="1:10" ht="25.5">
      <c r="A1339" s="827"/>
      <c r="B1339" s="827"/>
      <c r="C1339" s="827"/>
      <c r="D1339" s="827"/>
      <c r="E1339" s="827" t="s">
        <v>13503</v>
      </c>
      <c r="F1339" s="826">
        <v>4.62</v>
      </c>
      <c r="G1339" s="827" t="s">
        <v>13504</v>
      </c>
      <c r="H1339" s="826">
        <v>0</v>
      </c>
      <c r="I1339" s="827" t="s">
        <v>13505</v>
      </c>
      <c r="J1339" s="826">
        <v>4.62</v>
      </c>
    </row>
    <row r="1340" spans="1:10" ht="13.5" customHeight="1" thickBot="1">
      <c r="A1340" s="827"/>
      <c r="B1340" s="827"/>
      <c r="C1340" s="827"/>
      <c r="D1340" s="827"/>
      <c r="E1340" s="827" t="s">
        <v>13506</v>
      </c>
      <c r="F1340" s="826">
        <v>11.6</v>
      </c>
      <c r="G1340" s="827"/>
      <c r="H1340" s="1018" t="s">
        <v>13507</v>
      </c>
      <c r="I1340" s="1018"/>
      <c r="J1340" s="826">
        <v>52.71</v>
      </c>
    </row>
    <row r="1341" spans="1:10" ht="25.5" customHeight="1" thickTop="1">
      <c r="A1341" s="828"/>
      <c r="B1341" s="828"/>
      <c r="C1341" s="828"/>
      <c r="D1341" s="828"/>
      <c r="E1341" s="828"/>
      <c r="F1341" s="828"/>
      <c r="G1341" s="828"/>
      <c r="H1341" s="828"/>
      <c r="I1341" s="828"/>
      <c r="J1341" s="828"/>
    </row>
    <row r="1342" spans="1:10" ht="15">
      <c r="A1342" s="809" t="s">
        <v>14030</v>
      </c>
      <c r="B1342" s="808" t="s">
        <v>13481</v>
      </c>
      <c r="C1342" s="809" t="s">
        <v>13482</v>
      </c>
      <c r="D1342" s="809" t="s">
        <v>13483</v>
      </c>
      <c r="E1342" s="1019" t="s">
        <v>13484</v>
      </c>
      <c r="F1342" s="1019"/>
      <c r="G1342" s="810" t="s">
        <v>13485</v>
      </c>
      <c r="H1342" s="808" t="s">
        <v>13486</v>
      </c>
      <c r="I1342" s="808" t="s">
        <v>13487</v>
      </c>
      <c r="J1342" s="808" t="s">
        <v>4867</v>
      </c>
    </row>
    <row r="1343" spans="1:10" ht="38.25" customHeight="1">
      <c r="A1343" s="812" t="s">
        <v>13488</v>
      </c>
      <c r="B1343" s="811" t="s">
        <v>14031</v>
      </c>
      <c r="C1343" s="812" t="s">
        <v>6</v>
      </c>
      <c r="D1343" s="812" t="s">
        <v>507</v>
      </c>
      <c r="E1343" s="1020" t="s">
        <v>13898</v>
      </c>
      <c r="F1343" s="1020"/>
      <c r="G1343" s="813" t="s">
        <v>24</v>
      </c>
      <c r="H1343" s="814">
        <v>1</v>
      </c>
      <c r="I1343" s="815">
        <v>51.18</v>
      </c>
      <c r="J1343" s="815">
        <v>51.18</v>
      </c>
    </row>
    <row r="1344" spans="1:10" ht="38.25" customHeight="1">
      <c r="A1344" s="817" t="s">
        <v>13491</v>
      </c>
      <c r="B1344" s="816" t="s">
        <v>13909</v>
      </c>
      <c r="C1344" s="817" t="s">
        <v>6</v>
      </c>
      <c r="D1344" s="817" t="s">
        <v>986</v>
      </c>
      <c r="E1344" s="1021" t="s">
        <v>13490</v>
      </c>
      <c r="F1344" s="1021"/>
      <c r="G1344" s="818" t="s">
        <v>19</v>
      </c>
      <c r="H1344" s="819">
        <v>0.18099999999999999</v>
      </c>
      <c r="I1344" s="820">
        <v>15.54</v>
      </c>
      <c r="J1344" s="820">
        <v>2.81</v>
      </c>
    </row>
    <row r="1345" spans="1:10" ht="38.25" customHeight="1">
      <c r="A1345" s="817" t="s">
        <v>13491</v>
      </c>
      <c r="B1345" s="816" t="s">
        <v>13574</v>
      </c>
      <c r="C1345" s="817" t="s">
        <v>6</v>
      </c>
      <c r="D1345" s="817" t="s">
        <v>34</v>
      </c>
      <c r="E1345" s="1021" t="s">
        <v>13490</v>
      </c>
      <c r="F1345" s="1021"/>
      <c r="G1345" s="818" t="s">
        <v>19</v>
      </c>
      <c r="H1345" s="819">
        <v>0.18099999999999999</v>
      </c>
      <c r="I1345" s="820">
        <v>18.72</v>
      </c>
      <c r="J1345" s="820">
        <v>3.38</v>
      </c>
    </row>
    <row r="1346" spans="1:10">
      <c r="A1346" s="822" t="s">
        <v>13493</v>
      </c>
      <c r="B1346" s="821" t="s">
        <v>14026</v>
      </c>
      <c r="C1346" s="822" t="s">
        <v>6</v>
      </c>
      <c r="D1346" s="822" t="s">
        <v>4576</v>
      </c>
      <c r="E1346" s="1017" t="s">
        <v>13514</v>
      </c>
      <c r="F1346" s="1017"/>
      <c r="G1346" s="823" t="s">
        <v>24</v>
      </c>
      <c r="H1346" s="824">
        <v>0.19400000000000001</v>
      </c>
      <c r="I1346" s="825">
        <v>25.11</v>
      </c>
      <c r="J1346" s="825">
        <v>4.87</v>
      </c>
    </row>
    <row r="1347" spans="1:10" ht="13.5" customHeight="1">
      <c r="A1347" s="822" t="s">
        <v>13493</v>
      </c>
      <c r="B1347" s="821" t="s">
        <v>14032</v>
      </c>
      <c r="C1347" s="822" t="s">
        <v>6</v>
      </c>
      <c r="D1347" s="822" t="s">
        <v>8477</v>
      </c>
      <c r="E1347" s="1017" t="s">
        <v>13514</v>
      </c>
      <c r="F1347" s="1017"/>
      <c r="G1347" s="823" t="s">
        <v>24</v>
      </c>
      <c r="H1347" s="824">
        <v>1</v>
      </c>
      <c r="I1347" s="825">
        <v>35.56</v>
      </c>
      <c r="J1347" s="825">
        <v>35.56</v>
      </c>
    </row>
    <row r="1348" spans="1:10">
      <c r="A1348" s="822" t="s">
        <v>13493</v>
      </c>
      <c r="B1348" s="821" t="s">
        <v>13913</v>
      </c>
      <c r="C1348" s="822" t="s">
        <v>6</v>
      </c>
      <c r="D1348" s="822" t="s">
        <v>4706</v>
      </c>
      <c r="E1348" s="1017" t="s">
        <v>13514</v>
      </c>
      <c r="F1348" s="1017"/>
      <c r="G1348" s="823" t="s">
        <v>24</v>
      </c>
      <c r="H1348" s="824">
        <v>1.7999999999999999E-2</v>
      </c>
      <c r="I1348" s="825">
        <v>2.2000000000000002</v>
      </c>
      <c r="J1348" s="825">
        <v>0.03</v>
      </c>
    </row>
    <row r="1349" spans="1:10" ht="25.5">
      <c r="A1349" s="822" t="s">
        <v>13493</v>
      </c>
      <c r="B1349" s="821" t="s">
        <v>13915</v>
      </c>
      <c r="C1349" s="822" t="s">
        <v>6</v>
      </c>
      <c r="D1349" s="822" t="s">
        <v>12249</v>
      </c>
      <c r="E1349" s="1017" t="s">
        <v>13514</v>
      </c>
      <c r="F1349" s="1017"/>
      <c r="G1349" s="823" t="s">
        <v>24</v>
      </c>
      <c r="H1349" s="824">
        <v>5.1999999999999998E-2</v>
      </c>
      <c r="I1349" s="825">
        <v>87.17</v>
      </c>
      <c r="J1349" s="825">
        <v>4.53</v>
      </c>
    </row>
    <row r="1350" spans="1:10" ht="25.5" customHeight="1">
      <c r="A1350" s="827"/>
      <c r="B1350" s="827"/>
      <c r="C1350" s="827"/>
      <c r="D1350" s="827"/>
      <c r="E1350" s="827" t="s">
        <v>13503</v>
      </c>
      <c r="F1350" s="826">
        <v>4.62</v>
      </c>
      <c r="G1350" s="827" t="s">
        <v>13504</v>
      </c>
      <c r="H1350" s="826">
        <v>0</v>
      </c>
      <c r="I1350" s="827" t="s">
        <v>13505</v>
      </c>
      <c r="J1350" s="826">
        <v>4.62</v>
      </c>
    </row>
    <row r="1351" spans="1:10" ht="13.5" customHeight="1" thickBot="1">
      <c r="A1351" s="827"/>
      <c r="B1351" s="827"/>
      <c r="C1351" s="827"/>
      <c r="D1351" s="827"/>
      <c r="E1351" s="827" t="s">
        <v>13506</v>
      </c>
      <c r="F1351" s="826">
        <v>14.45</v>
      </c>
      <c r="G1351" s="827"/>
      <c r="H1351" s="1018" t="s">
        <v>13507</v>
      </c>
      <c r="I1351" s="1018"/>
      <c r="J1351" s="826">
        <v>65.63</v>
      </c>
    </row>
    <row r="1352" spans="1:10" ht="13.5" thickTop="1">
      <c r="A1352" s="828"/>
      <c r="B1352" s="828"/>
      <c r="C1352" s="828"/>
      <c r="D1352" s="828"/>
      <c r="E1352" s="828"/>
      <c r="F1352" s="828"/>
      <c r="G1352" s="828"/>
      <c r="H1352" s="828"/>
      <c r="I1352" s="828"/>
      <c r="J1352" s="828"/>
    </row>
    <row r="1353" spans="1:10" ht="15">
      <c r="A1353" s="809" t="s">
        <v>14033</v>
      </c>
      <c r="B1353" s="808" t="s">
        <v>13481</v>
      </c>
      <c r="C1353" s="809" t="s">
        <v>13482</v>
      </c>
      <c r="D1353" s="809" t="s">
        <v>13483</v>
      </c>
      <c r="E1353" s="1019" t="s">
        <v>13484</v>
      </c>
      <c r="F1353" s="1019"/>
      <c r="G1353" s="810" t="s">
        <v>13485</v>
      </c>
      <c r="H1353" s="808" t="s">
        <v>13486</v>
      </c>
      <c r="I1353" s="808" t="s">
        <v>13487</v>
      </c>
      <c r="J1353" s="808" t="s">
        <v>4867</v>
      </c>
    </row>
    <row r="1354" spans="1:10" ht="38.25" customHeight="1">
      <c r="A1354" s="812" t="s">
        <v>13488</v>
      </c>
      <c r="B1354" s="811" t="s">
        <v>14034</v>
      </c>
      <c r="C1354" s="812" t="s">
        <v>6</v>
      </c>
      <c r="D1354" s="812" t="s">
        <v>2395</v>
      </c>
      <c r="E1354" s="1020" t="s">
        <v>13898</v>
      </c>
      <c r="F1354" s="1020"/>
      <c r="G1354" s="813" t="s">
        <v>24</v>
      </c>
      <c r="H1354" s="814">
        <v>1</v>
      </c>
      <c r="I1354" s="815">
        <v>23.55</v>
      </c>
      <c r="J1354" s="815">
        <v>23.55</v>
      </c>
    </row>
    <row r="1355" spans="1:10" ht="38.25" customHeight="1">
      <c r="A1355" s="817" t="s">
        <v>13491</v>
      </c>
      <c r="B1355" s="816" t="s">
        <v>13909</v>
      </c>
      <c r="C1355" s="817" t="s">
        <v>6</v>
      </c>
      <c r="D1355" s="817" t="s">
        <v>986</v>
      </c>
      <c r="E1355" s="1021" t="s">
        <v>13490</v>
      </c>
      <c r="F1355" s="1021"/>
      <c r="G1355" s="818" t="s">
        <v>19</v>
      </c>
      <c r="H1355" s="819">
        <v>0.23100000000000001</v>
      </c>
      <c r="I1355" s="820">
        <v>15.54</v>
      </c>
      <c r="J1355" s="820">
        <v>3.58</v>
      </c>
    </row>
    <row r="1356" spans="1:10" ht="13.5" customHeight="1">
      <c r="A1356" s="817" t="s">
        <v>13491</v>
      </c>
      <c r="B1356" s="816" t="s">
        <v>13574</v>
      </c>
      <c r="C1356" s="817" t="s">
        <v>6</v>
      </c>
      <c r="D1356" s="817" t="s">
        <v>34</v>
      </c>
      <c r="E1356" s="1021" t="s">
        <v>13490</v>
      </c>
      <c r="F1356" s="1021"/>
      <c r="G1356" s="818" t="s">
        <v>19</v>
      </c>
      <c r="H1356" s="819">
        <v>0.23100000000000001</v>
      </c>
      <c r="I1356" s="820">
        <v>18.72</v>
      </c>
      <c r="J1356" s="820">
        <v>4.32</v>
      </c>
    </row>
    <row r="1357" spans="1:10">
      <c r="A1357" s="822" t="s">
        <v>13493</v>
      </c>
      <c r="B1357" s="821" t="s">
        <v>14026</v>
      </c>
      <c r="C1357" s="822" t="s">
        <v>6</v>
      </c>
      <c r="D1357" s="822" t="s">
        <v>4576</v>
      </c>
      <c r="E1357" s="1017" t="s">
        <v>13514</v>
      </c>
      <c r="F1357" s="1017"/>
      <c r="G1357" s="823" t="s">
        <v>24</v>
      </c>
      <c r="H1357" s="824">
        <v>4.5999999999999999E-2</v>
      </c>
      <c r="I1357" s="825">
        <v>25.11</v>
      </c>
      <c r="J1357" s="825">
        <v>1.1499999999999999</v>
      </c>
    </row>
    <row r="1358" spans="1:10" ht="25.5">
      <c r="A1358" s="822" t="s">
        <v>13493</v>
      </c>
      <c r="B1358" s="821" t="s">
        <v>14035</v>
      </c>
      <c r="C1358" s="822" t="s">
        <v>6</v>
      </c>
      <c r="D1358" s="822" t="s">
        <v>8479</v>
      </c>
      <c r="E1358" s="1017" t="s">
        <v>13514</v>
      </c>
      <c r="F1358" s="1017"/>
      <c r="G1358" s="823" t="s">
        <v>24</v>
      </c>
      <c r="H1358" s="824">
        <v>1</v>
      </c>
      <c r="I1358" s="825">
        <v>13.5</v>
      </c>
      <c r="J1358" s="825">
        <v>13.5</v>
      </c>
    </row>
    <row r="1359" spans="1:10" ht="25.5" customHeight="1">
      <c r="A1359" s="822" t="s">
        <v>13493</v>
      </c>
      <c r="B1359" s="821" t="s">
        <v>13913</v>
      </c>
      <c r="C1359" s="822" t="s">
        <v>6</v>
      </c>
      <c r="D1359" s="822" t="s">
        <v>4706</v>
      </c>
      <c r="E1359" s="1017" t="s">
        <v>13514</v>
      </c>
      <c r="F1359" s="1017"/>
      <c r="G1359" s="823" t="s">
        <v>24</v>
      </c>
      <c r="H1359" s="824">
        <v>2.3E-2</v>
      </c>
      <c r="I1359" s="825">
        <v>2.2000000000000002</v>
      </c>
      <c r="J1359" s="825">
        <v>0.05</v>
      </c>
    </row>
    <row r="1360" spans="1:10" ht="25.5">
      <c r="A1360" s="822" t="s">
        <v>13493</v>
      </c>
      <c r="B1360" s="821" t="s">
        <v>13915</v>
      </c>
      <c r="C1360" s="822" t="s">
        <v>6</v>
      </c>
      <c r="D1360" s="822" t="s">
        <v>12249</v>
      </c>
      <c r="E1360" s="1017" t="s">
        <v>13514</v>
      </c>
      <c r="F1360" s="1017"/>
      <c r="G1360" s="823" t="s">
        <v>24</v>
      </c>
      <c r="H1360" s="824">
        <v>1.0999999999999999E-2</v>
      </c>
      <c r="I1360" s="825">
        <v>87.17</v>
      </c>
      <c r="J1360" s="825">
        <v>0.95</v>
      </c>
    </row>
    <row r="1361" spans="1:10" ht="25.5">
      <c r="A1361" s="827"/>
      <c r="B1361" s="827"/>
      <c r="C1361" s="827"/>
      <c r="D1361" s="827"/>
      <c r="E1361" s="827" t="s">
        <v>13503</v>
      </c>
      <c r="F1361" s="826">
        <v>5.9</v>
      </c>
      <c r="G1361" s="827" t="s">
        <v>13504</v>
      </c>
      <c r="H1361" s="826">
        <v>0</v>
      </c>
      <c r="I1361" s="827" t="s">
        <v>13505</v>
      </c>
      <c r="J1361" s="826">
        <v>5.9</v>
      </c>
    </row>
    <row r="1362" spans="1:10" ht="13.5" customHeight="1" thickBot="1">
      <c r="A1362" s="827"/>
      <c r="B1362" s="827"/>
      <c r="C1362" s="827"/>
      <c r="D1362" s="827"/>
      <c r="E1362" s="827" t="s">
        <v>13506</v>
      </c>
      <c r="F1362" s="826">
        <v>6.65</v>
      </c>
      <c r="G1362" s="827"/>
      <c r="H1362" s="1018" t="s">
        <v>13507</v>
      </c>
      <c r="I1362" s="1018"/>
      <c r="J1362" s="826">
        <v>30.2</v>
      </c>
    </row>
    <row r="1363" spans="1:10" ht="13.5" thickTop="1">
      <c r="A1363" s="828"/>
      <c r="B1363" s="828"/>
      <c r="C1363" s="828"/>
      <c r="D1363" s="828"/>
      <c r="E1363" s="828"/>
      <c r="F1363" s="828"/>
      <c r="G1363" s="828"/>
      <c r="H1363" s="828"/>
      <c r="I1363" s="828"/>
      <c r="J1363" s="828"/>
    </row>
    <row r="1364" spans="1:10" ht="15">
      <c r="A1364" s="809" t="s">
        <v>14036</v>
      </c>
      <c r="B1364" s="808" t="s">
        <v>13481</v>
      </c>
      <c r="C1364" s="809" t="s">
        <v>13482</v>
      </c>
      <c r="D1364" s="809" t="s">
        <v>13483</v>
      </c>
      <c r="E1364" s="1019" t="s">
        <v>13484</v>
      </c>
      <c r="F1364" s="1019"/>
      <c r="G1364" s="810" t="s">
        <v>13485</v>
      </c>
      <c r="H1364" s="808" t="s">
        <v>13486</v>
      </c>
      <c r="I1364" s="808" t="s">
        <v>13487</v>
      </c>
      <c r="J1364" s="808" t="s">
        <v>4867</v>
      </c>
    </row>
    <row r="1365" spans="1:10" ht="13.5" customHeight="1">
      <c r="A1365" s="812" t="s">
        <v>13488</v>
      </c>
      <c r="B1365" s="811" t="s">
        <v>14037</v>
      </c>
      <c r="C1365" s="812" t="s">
        <v>6</v>
      </c>
      <c r="D1365" s="812" t="s">
        <v>2396</v>
      </c>
      <c r="E1365" s="1020" t="s">
        <v>13898</v>
      </c>
      <c r="F1365" s="1020"/>
      <c r="G1365" s="813" t="s">
        <v>24</v>
      </c>
      <c r="H1365" s="814">
        <v>1</v>
      </c>
      <c r="I1365" s="815">
        <v>30.7</v>
      </c>
      <c r="J1365" s="815">
        <v>30.7</v>
      </c>
    </row>
    <row r="1366" spans="1:10" ht="38.25" customHeight="1">
      <c r="A1366" s="817" t="s">
        <v>13491</v>
      </c>
      <c r="B1366" s="816" t="s">
        <v>13909</v>
      </c>
      <c r="C1366" s="817" t="s">
        <v>6</v>
      </c>
      <c r="D1366" s="817" t="s">
        <v>986</v>
      </c>
      <c r="E1366" s="1021" t="s">
        <v>13490</v>
      </c>
      <c r="F1366" s="1021"/>
      <c r="G1366" s="818" t="s">
        <v>19</v>
      </c>
      <c r="H1366" s="819">
        <v>0.23100000000000001</v>
      </c>
      <c r="I1366" s="820">
        <v>15.54</v>
      </c>
      <c r="J1366" s="820">
        <v>3.58</v>
      </c>
    </row>
    <row r="1367" spans="1:10" ht="38.25" customHeight="1">
      <c r="A1367" s="817" t="s">
        <v>13491</v>
      </c>
      <c r="B1367" s="816" t="s">
        <v>13574</v>
      </c>
      <c r="C1367" s="817" t="s">
        <v>6</v>
      </c>
      <c r="D1367" s="817" t="s">
        <v>34</v>
      </c>
      <c r="E1367" s="1021" t="s">
        <v>13490</v>
      </c>
      <c r="F1367" s="1021"/>
      <c r="G1367" s="818" t="s">
        <v>19</v>
      </c>
      <c r="H1367" s="819">
        <v>0.23100000000000001</v>
      </c>
      <c r="I1367" s="820">
        <v>18.72</v>
      </c>
      <c r="J1367" s="820">
        <v>4.32</v>
      </c>
    </row>
    <row r="1368" spans="1:10" ht="25.5" customHeight="1">
      <c r="A1368" s="822" t="s">
        <v>13493</v>
      </c>
      <c r="B1368" s="821" t="s">
        <v>14038</v>
      </c>
      <c r="C1368" s="822" t="s">
        <v>6</v>
      </c>
      <c r="D1368" s="822" t="s">
        <v>8480</v>
      </c>
      <c r="E1368" s="1017" t="s">
        <v>13514</v>
      </c>
      <c r="F1368" s="1017"/>
      <c r="G1368" s="823" t="s">
        <v>24</v>
      </c>
      <c r="H1368" s="824">
        <v>1</v>
      </c>
      <c r="I1368" s="825">
        <v>20.65</v>
      </c>
      <c r="J1368" s="825">
        <v>20.65</v>
      </c>
    </row>
    <row r="1369" spans="1:10" ht="38.25" customHeight="1">
      <c r="A1369" s="822" t="s">
        <v>13493</v>
      </c>
      <c r="B1369" s="821" t="s">
        <v>14026</v>
      </c>
      <c r="C1369" s="822" t="s">
        <v>6</v>
      </c>
      <c r="D1369" s="822" t="s">
        <v>4576</v>
      </c>
      <c r="E1369" s="1017" t="s">
        <v>13514</v>
      </c>
      <c r="F1369" s="1017"/>
      <c r="G1369" s="823" t="s">
        <v>24</v>
      </c>
      <c r="H1369" s="824">
        <v>4.5999999999999999E-2</v>
      </c>
      <c r="I1369" s="825">
        <v>25.11</v>
      </c>
      <c r="J1369" s="825">
        <v>1.1499999999999999</v>
      </c>
    </row>
    <row r="1370" spans="1:10" ht="25.5" customHeight="1">
      <c r="A1370" s="822" t="s">
        <v>13493</v>
      </c>
      <c r="B1370" s="821" t="s">
        <v>13913</v>
      </c>
      <c r="C1370" s="822" t="s">
        <v>6</v>
      </c>
      <c r="D1370" s="822" t="s">
        <v>4706</v>
      </c>
      <c r="E1370" s="1017" t="s">
        <v>13514</v>
      </c>
      <c r="F1370" s="1017"/>
      <c r="G1370" s="823" t="s">
        <v>24</v>
      </c>
      <c r="H1370" s="824">
        <v>2.3E-2</v>
      </c>
      <c r="I1370" s="825">
        <v>2.2000000000000002</v>
      </c>
      <c r="J1370" s="825">
        <v>0.05</v>
      </c>
    </row>
    <row r="1371" spans="1:10" ht="25.5">
      <c r="A1371" s="822" t="s">
        <v>13493</v>
      </c>
      <c r="B1371" s="821" t="s">
        <v>13915</v>
      </c>
      <c r="C1371" s="822" t="s">
        <v>6</v>
      </c>
      <c r="D1371" s="822" t="s">
        <v>12249</v>
      </c>
      <c r="E1371" s="1017" t="s">
        <v>13514</v>
      </c>
      <c r="F1371" s="1017"/>
      <c r="G1371" s="823" t="s">
        <v>24</v>
      </c>
      <c r="H1371" s="824">
        <v>1.0999999999999999E-2</v>
      </c>
      <c r="I1371" s="825">
        <v>87.17</v>
      </c>
      <c r="J1371" s="825">
        <v>0.95</v>
      </c>
    </row>
    <row r="1372" spans="1:10" ht="13.5" customHeight="1">
      <c r="A1372" s="827"/>
      <c r="B1372" s="827"/>
      <c r="C1372" s="827"/>
      <c r="D1372" s="827"/>
      <c r="E1372" s="827" t="s">
        <v>13503</v>
      </c>
      <c r="F1372" s="826">
        <v>5.9</v>
      </c>
      <c r="G1372" s="827" t="s">
        <v>13504</v>
      </c>
      <c r="H1372" s="826">
        <v>0</v>
      </c>
      <c r="I1372" s="827" t="s">
        <v>13505</v>
      </c>
      <c r="J1372" s="826">
        <v>5.9</v>
      </c>
    </row>
    <row r="1373" spans="1:10" ht="13.5" customHeight="1" thickBot="1">
      <c r="A1373" s="827"/>
      <c r="B1373" s="827"/>
      <c r="C1373" s="827"/>
      <c r="D1373" s="827"/>
      <c r="E1373" s="827" t="s">
        <v>13506</v>
      </c>
      <c r="F1373" s="826">
        <v>8.66</v>
      </c>
      <c r="G1373" s="827"/>
      <c r="H1373" s="1018" t="s">
        <v>13507</v>
      </c>
      <c r="I1373" s="1018"/>
      <c r="J1373" s="826">
        <v>39.36</v>
      </c>
    </row>
    <row r="1374" spans="1:10" ht="13.5" thickTop="1">
      <c r="A1374" s="828"/>
      <c r="B1374" s="828"/>
      <c r="C1374" s="828"/>
      <c r="D1374" s="828"/>
      <c r="E1374" s="828"/>
      <c r="F1374" s="828"/>
      <c r="G1374" s="828"/>
      <c r="H1374" s="828"/>
      <c r="I1374" s="828"/>
      <c r="J1374" s="828"/>
    </row>
    <row r="1375" spans="1:10" ht="38.25" customHeight="1">
      <c r="A1375" s="809" t="s">
        <v>14039</v>
      </c>
      <c r="B1375" s="808" t="s">
        <v>13481</v>
      </c>
      <c r="C1375" s="809" t="s">
        <v>13482</v>
      </c>
      <c r="D1375" s="809" t="s">
        <v>13483</v>
      </c>
      <c r="E1375" s="1019" t="s">
        <v>13484</v>
      </c>
      <c r="F1375" s="1019"/>
      <c r="G1375" s="810" t="s">
        <v>13485</v>
      </c>
      <c r="H1375" s="808" t="s">
        <v>13486</v>
      </c>
      <c r="I1375" s="808" t="s">
        <v>13487</v>
      </c>
      <c r="J1375" s="808" t="s">
        <v>4867</v>
      </c>
    </row>
    <row r="1376" spans="1:10" ht="38.25" customHeight="1">
      <c r="A1376" s="812" t="s">
        <v>13488</v>
      </c>
      <c r="B1376" s="811" t="s">
        <v>14040</v>
      </c>
      <c r="C1376" s="812" t="s">
        <v>6</v>
      </c>
      <c r="D1376" s="812" t="s">
        <v>2398</v>
      </c>
      <c r="E1376" s="1020" t="s">
        <v>13898</v>
      </c>
      <c r="F1376" s="1020"/>
      <c r="G1376" s="813" t="s">
        <v>24</v>
      </c>
      <c r="H1376" s="814">
        <v>1</v>
      </c>
      <c r="I1376" s="815">
        <v>58.52</v>
      </c>
      <c r="J1376" s="815">
        <v>58.52</v>
      </c>
    </row>
    <row r="1377" spans="1:10" ht="38.25" customHeight="1">
      <c r="A1377" s="817" t="s">
        <v>13491</v>
      </c>
      <c r="B1377" s="816" t="s">
        <v>13909</v>
      </c>
      <c r="C1377" s="817" t="s">
        <v>6</v>
      </c>
      <c r="D1377" s="817" t="s">
        <v>986</v>
      </c>
      <c r="E1377" s="1021" t="s">
        <v>13490</v>
      </c>
      <c r="F1377" s="1021"/>
      <c r="G1377" s="818" t="s">
        <v>19</v>
      </c>
      <c r="H1377" s="819">
        <v>0.308</v>
      </c>
      <c r="I1377" s="820">
        <v>15.54</v>
      </c>
      <c r="J1377" s="820">
        <v>4.78</v>
      </c>
    </row>
    <row r="1378" spans="1:10" ht="38.25" customHeight="1">
      <c r="A1378" s="817" t="s">
        <v>13491</v>
      </c>
      <c r="B1378" s="816" t="s">
        <v>13574</v>
      </c>
      <c r="C1378" s="817" t="s">
        <v>6</v>
      </c>
      <c r="D1378" s="817" t="s">
        <v>34</v>
      </c>
      <c r="E1378" s="1021" t="s">
        <v>13490</v>
      </c>
      <c r="F1378" s="1021"/>
      <c r="G1378" s="818" t="s">
        <v>19</v>
      </c>
      <c r="H1378" s="819">
        <v>0.308</v>
      </c>
      <c r="I1378" s="820">
        <v>18.72</v>
      </c>
      <c r="J1378" s="820">
        <v>5.76</v>
      </c>
    </row>
    <row r="1379" spans="1:10" ht="13.5" customHeight="1">
      <c r="A1379" s="822" t="s">
        <v>13493</v>
      </c>
      <c r="B1379" s="821" t="s">
        <v>14026</v>
      </c>
      <c r="C1379" s="822" t="s">
        <v>6</v>
      </c>
      <c r="D1379" s="822" t="s">
        <v>4576</v>
      </c>
      <c r="E1379" s="1017" t="s">
        <v>13514</v>
      </c>
      <c r="F1379" s="1017"/>
      <c r="G1379" s="823" t="s">
        <v>24</v>
      </c>
      <c r="H1379" s="824">
        <v>0.19400000000000001</v>
      </c>
      <c r="I1379" s="825">
        <v>25.11</v>
      </c>
      <c r="J1379" s="825">
        <v>4.87</v>
      </c>
    </row>
    <row r="1380" spans="1:10" ht="25.5">
      <c r="A1380" s="822" t="s">
        <v>13493</v>
      </c>
      <c r="B1380" s="821" t="s">
        <v>14041</v>
      </c>
      <c r="C1380" s="822" t="s">
        <v>6</v>
      </c>
      <c r="D1380" s="822" t="s">
        <v>8482</v>
      </c>
      <c r="E1380" s="1017" t="s">
        <v>13514</v>
      </c>
      <c r="F1380" s="1017"/>
      <c r="G1380" s="823" t="s">
        <v>24</v>
      </c>
      <c r="H1380" s="824">
        <v>1</v>
      </c>
      <c r="I1380" s="825">
        <v>38.520000000000003</v>
      </c>
      <c r="J1380" s="825">
        <v>38.520000000000003</v>
      </c>
    </row>
    <row r="1381" spans="1:10">
      <c r="A1381" s="822" t="s">
        <v>13493</v>
      </c>
      <c r="B1381" s="821" t="s">
        <v>13913</v>
      </c>
      <c r="C1381" s="822" t="s">
        <v>6</v>
      </c>
      <c r="D1381" s="822" t="s">
        <v>4706</v>
      </c>
      <c r="E1381" s="1017" t="s">
        <v>13514</v>
      </c>
      <c r="F1381" s="1017"/>
      <c r="G1381" s="823" t="s">
        <v>24</v>
      </c>
      <c r="H1381" s="824">
        <v>3.1E-2</v>
      </c>
      <c r="I1381" s="825">
        <v>2.2000000000000002</v>
      </c>
      <c r="J1381" s="825">
        <v>0.06</v>
      </c>
    </row>
    <row r="1382" spans="1:10" ht="25.5" customHeight="1">
      <c r="A1382" s="822" t="s">
        <v>13493</v>
      </c>
      <c r="B1382" s="821" t="s">
        <v>13915</v>
      </c>
      <c r="C1382" s="822" t="s">
        <v>6</v>
      </c>
      <c r="D1382" s="822" t="s">
        <v>12249</v>
      </c>
      <c r="E1382" s="1017" t="s">
        <v>13514</v>
      </c>
      <c r="F1382" s="1017"/>
      <c r="G1382" s="823" t="s">
        <v>24</v>
      </c>
      <c r="H1382" s="824">
        <v>5.1999999999999998E-2</v>
      </c>
      <c r="I1382" s="825">
        <v>87.17</v>
      </c>
      <c r="J1382" s="825">
        <v>4.53</v>
      </c>
    </row>
    <row r="1383" spans="1:10" ht="38.25" customHeight="1">
      <c r="A1383" s="827"/>
      <c r="B1383" s="827"/>
      <c r="C1383" s="827"/>
      <c r="D1383" s="827"/>
      <c r="E1383" s="827" t="s">
        <v>13503</v>
      </c>
      <c r="F1383" s="826">
        <v>7.88</v>
      </c>
      <c r="G1383" s="827" t="s">
        <v>13504</v>
      </c>
      <c r="H1383" s="826">
        <v>0</v>
      </c>
      <c r="I1383" s="827" t="s">
        <v>13505</v>
      </c>
      <c r="J1383" s="826">
        <v>7.88</v>
      </c>
    </row>
    <row r="1384" spans="1:10" ht="25.5" customHeight="1" thickBot="1">
      <c r="A1384" s="827"/>
      <c r="B1384" s="827"/>
      <c r="C1384" s="827"/>
      <c r="D1384" s="827"/>
      <c r="E1384" s="827" t="s">
        <v>13506</v>
      </c>
      <c r="F1384" s="826">
        <v>16.52</v>
      </c>
      <c r="G1384" s="827"/>
      <c r="H1384" s="1018" t="s">
        <v>13507</v>
      </c>
      <c r="I1384" s="1018"/>
      <c r="J1384" s="826">
        <v>75.040000000000006</v>
      </c>
    </row>
    <row r="1385" spans="1:10" ht="13.5" thickTop="1">
      <c r="A1385" s="828"/>
      <c r="B1385" s="828"/>
      <c r="C1385" s="828"/>
      <c r="D1385" s="828"/>
      <c r="E1385" s="828"/>
      <c r="F1385" s="828"/>
      <c r="G1385" s="828"/>
      <c r="H1385" s="828"/>
      <c r="I1385" s="828"/>
      <c r="J1385" s="828"/>
    </row>
    <row r="1386" spans="1:10" ht="13.5" customHeight="1">
      <c r="A1386" s="809" t="s">
        <v>14042</v>
      </c>
      <c r="B1386" s="808" t="s">
        <v>13481</v>
      </c>
      <c r="C1386" s="809" t="s">
        <v>13482</v>
      </c>
      <c r="D1386" s="809" t="s">
        <v>13483</v>
      </c>
      <c r="E1386" s="1019" t="s">
        <v>13484</v>
      </c>
      <c r="F1386" s="1019"/>
      <c r="G1386" s="810" t="s">
        <v>13485</v>
      </c>
      <c r="H1386" s="808" t="s">
        <v>13486</v>
      </c>
      <c r="I1386" s="808" t="s">
        <v>13487</v>
      </c>
      <c r="J1386" s="808" t="s">
        <v>4867</v>
      </c>
    </row>
    <row r="1387" spans="1:10" ht="38.25" customHeight="1">
      <c r="A1387" s="812" t="s">
        <v>13488</v>
      </c>
      <c r="B1387" s="811" t="s">
        <v>14043</v>
      </c>
      <c r="C1387" s="812" t="s">
        <v>6</v>
      </c>
      <c r="D1387" s="812" t="s">
        <v>2399</v>
      </c>
      <c r="E1387" s="1020" t="s">
        <v>13898</v>
      </c>
      <c r="F1387" s="1020"/>
      <c r="G1387" s="813" t="s">
        <v>24</v>
      </c>
      <c r="H1387" s="814">
        <v>1</v>
      </c>
      <c r="I1387" s="815">
        <v>78.88</v>
      </c>
      <c r="J1387" s="815">
        <v>78.88</v>
      </c>
    </row>
    <row r="1388" spans="1:10" ht="38.25" customHeight="1">
      <c r="A1388" s="817" t="s">
        <v>13491</v>
      </c>
      <c r="B1388" s="816" t="s">
        <v>13909</v>
      </c>
      <c r="C1388" s="817" t="s">
        <v>6</v>
      </c>
      <c r="D1388" s="817" t="s">
        <v>986</v>
      </c>
      <c r="E1388" s="1021" t="s">
        <v>13490</v>
      </c>
      <c r="F1388" s="1021"/>
      <c r="G1388" s="818" t="s">
        <v>19</v>
      </c>
      <c r="H1388" s="819">
        <v>0.308</v>
      </c>
      <c r="I1388" s="820">
        <v>15.54</v>
      </c>
      <c r="J1388" s="820">
        <v>4.78</v>
      </c>
    </row>
    <row r="1389" spans="1:10" ht="25.5" customHeight="1">
      <c r="A1389" s="817" t="s">
        <v>13491</v>
      </c>
      <c r="B1389" s="816" t="s">
        <v>13574</v>
      </c>
      <c r="C1389" s="817" t="s">
        <v>6</v>
      </c>
      <c r="D1389" s="817" t="s">
        <v>34</v>
      </c>
      <c r="E1389" s="1021" t="s">
        <v>13490</v>
      </c>
      <c r="F1389" s="1021"/>
      <c r="G1389" s="818" t="s">
        <v>19</v>
      </c>
      <c r="H1389" s="819">
        <v>0.308</v>
      </c>
      <c r="I1389" s="820">
        <v>18.72</v>
      </c>
      <c r="J1389" s="820">
        <v>5.76</v>
      </c>
    </row>
    <row r="1390" spans="1:10" ht="25.5" customHeight="1">
      <c r="A1390" s="822" t="s">
        <v>13493</v>
      </c>
      <c r="B1390" s="821" t="s">
        <v>14026</v>
      </c>
      <c r="C1390" s="822" t="s">
        <v>6</v>
      </c>
      <c r="D1390" s="822" t="s">
        <v>4576</v>
      </c>
      <c r="E1390" s="1017" t="s">
        <v>13514</v>
      </c>
      <c r="F1390" s="1017"/>
      <c r="G1390" s="823" t="s">
        <v>24</v>
      </c>
      <c r="H1390" s="824">
        <v>0.19400000000000001</v>
      </c>
      <c r="I1390" s="825">
        <v>25.11</v>
      </c>
      <c r="J1390" s="825">
        <v>4.87</v>
      </c>
    </row>
    <row r="1391" spans="1:10" ht="38.25" customHeight="1">
      <c r="A1391" s="822" t="s">
        <v>13493</v>
      </c>
      <c r="B1391" s="821" t="s">
        <v>14044</v>
      </c>
      <c r="C1391" s="822" t="s">
        <v>6</v>
      </c>
      <c r="D1391" s="822" t="s">
        <v>8483</v>
      </c>
      <c r="E1391" s="1017" t="s">
        <v>13514</v>
      </c>
      <c r="F1391" s="1017"/>
      <c r="G1391" s="823" t="s">
        <v>24</v>
      </c>
      <c r="H1391" s="824">
        <v>1</v>
      </c>
      <c r="I1391" s="825">
        <v>58.88</v>
      </c>
      <c r="J1391" s="825">
        <v>58.88</v>
      </c>
    </row>
    <row r="1392" spans="1:10">
      <c r="A1392" s="822" t="s">
        <v>13493</v>
      </c>
      <c r="B1392" s="821" t="s">
        <v>13913</v>
      </c>
      <c r="C1392" s="822" t="s">
        <v>6</v>
      </c>
      <c r="D1392" s="822" t="s">
        <v>4706</v>
      </c>
      <c r="E1392" s="1017" t="s">
        <v>13514</v>
      </c>
      <c r="F1392" s="1017"/>
      <c r="G1392" s="823" t="s">
        <v>24</v>
      </c>
      <c r="H1392" s="824">
        <v>3.1E-2</v>
      </c>
      <c r="I1392" s="825">
        <v>2.2000000000000002</v>
      </c>
      <c r="J1392" s="825">
        <v>0.06</v>
      </c>
    </row>
    <row r="1393" spans="1:10" ht="13.5" customHeight="1">
      <c r="A1393" s="822" t="s">
        <v>13493</v>
      </c>
      <c r="B1393" s="821" t="s">
        <v>13915</v>
      </c>
      <c r="C1393" s="822" t="s">
        <v>6</v>
      </c>
      <c r="D1393" s="822" t="s">
        <v>12249</v>
      </c>
      <c r="E1393" s="1017" t="s">
        <v>13514</v>
      </c>
      <c r="F1393" s="1017"/>
      <c r="G1393" s="823" t="s">
        <v>24</v>
      </c>
      <c r="H1393" s="824">
        <v>5.1999999999999998E-2</v>
      </c>
      <c r="I1393" s="825">
        <v>87.17</v>
      </c>
      <c r="J1393" s="825">
        <v>4.53</v>
      </c>
    </row>
    <row r="1394" spans="1:10" ht="25.5">
      <c r="A1394" s="827"/>
      <c r="B1394" s="827"/>
      <c r="C1394" s="827"/>
      <c r="D1394" s="827"/>
      <c r="E1394" s="827" t="s">
        <v>13503</v>
      </c>
      <c r="F1394" s="826">
        <v>7.88</v>
      </c>
      <c r="G1394" s="827" t="s">
        <v>13504</v>
      </c>
      <c r="H1394" s="826">
        <v>0</v>
      </c>
      <c r="I1394" s="827" t="s">
        <v>13505</v>
      </c>
      <c r="J1394" s="826">
        <v>7.88</v>
      </c>
    </row>
    <row r="1395" spans="1:10" ht="13.5" customHeight="1" thickBot="1">
      <c r="A1395" s="827"/>
      <c r="B1395" s="827"/>
      <c r="C1395" s="827"/>
      <c r="D1395" s="827"/>
      <c r="E1395" s="827" t="s">
        <v>13506</v>
      </c>
      <c r="F1395" s="826">
        <v>22.27</v>
      </c>
      <c r="G1395" s="827"/>
      <c r="H1395" s="1018" t="s">
        <v>13507</v>
      </c>
      <c r="I1395" s="1018"/>
      <c r="J1395" s="826">
        <v>101.15</v>
      </c>
    </row>
    <row r="1396" spans="1:10" ht="25.5" customHeight="1" thickTop="1">
      <c r="A1396" s="828"/>
      <c r="B1396" s="828"/>
      <c r="C1396" s="828"/>
      <c r="D1396" s="828"/>
      <c r="E1396" s="828"/>
      <c r="F1396" s="828"/>
      <c r="G1396" s="828"/>
      <c r="H1396" s="828"/>
      <c r="I1396" s="828"/>
      <c r="J1396" s="828"/>
    </row>
    <row r="1397" spans="1:10" ht="25.5" customHeight="1">
      <c r="A1397" s="809" t="s">
        <v>14045</v>
      </c>
      <c r="B1397" s="808" t="s">
        <v>13481</v>
      </c>
      <c r="C1397" s="809" t="s">
        <v>13482</v>
      </c>
      <c r="D1397" s="809" t="s">
        <v>13483</v>
      </c>
      <c r="E1397" s="1019" t="s">
        <v>13484</v>
      </c>
      <c r="F1397" s="1019"/>
      <c r="G1397" s="810" t="s">
        <v>13485</v>
      </c>
      <c r="H1397" s="808" t="s">
        <v>13486</v>
      </c>
      <c r="I1397" s="808" t="s">
        <v>13487</v>
      </c>
      <c r="J1397" s="808" t="s">
        <v>4867</v>
      </c>
    </row>
    <row r="1398" spans="1:10" ht="38.25" customHeight="1">
      <c r="A1398" s="812" t="s">
        <v>13488</v>
      </c>
      <c r="B1398" s="811" t="s">
        <v>14046</v>
      </c>
      <c r="C1398" s="812" t="s">
        <v>6</v>
      </c>
      <c r="D1398" s="812" t="s">
        <v>2345</v>
      </c>
      <c r="E1398" s="1020" t="s">
        <v>13898</v>
      </c>
      <c r="F1398" s="1020"/>
      <c r="G1398" s="813" t="s">
        <v>24</v>
      </c>
      <c r="H1398" s="814">
        <v>1</v>
      </c>
      <c r="I1398" s="815">
        <v>5.56</v>
      </c>
      <c r="J1398" s="815">
        <v>5.56</v>
      </c>
    </row>
    <row r="1399" spans="1:10" ht="38.25" customHeight="1">
      <c r="A1399" s="817" t="s">
        <v>13491</v>
      </c>
      <c r="B1399" s="816" t="s">
        <v>13909</v>
      </c>
      <c r="C1399" s="817" t="s">
        <v>6</v>
      </c>
      <c r="D1399" s="817" t="s">
        <v>986</v>
      </c>
      <c r="E1399" s="1021" t="s">
        <v>13490</v>
      </c>
      <c r="F1399" s="1021"/>
      <c r="G1399" s="818" t="s">
        <v>19</v>
      </c>
      <c r="H1399" s="819">
        <v>0.08</v>
      </c>
      <c r="I1399" s="820">
        <v>15.54</v>
      </c>
      <c r="J1399" s="820">
        <v>1.24</v>
      </c>
    </row>
    <row r="1400" spans="1:10" ht="13.5" customHeight="1">
      <c r="A1400" s="817" t="s">
        <v>13491</v>
      </c>
      <c r="B1400" s="816" t="s">
        <v>13574</v>
      </c>
      <c r="C1400" s="817" t="s">
        <v>6</v>
      </c>
      <c r="D1400" s="817" t="s">
        <v>34</v>
      </c>
      <c r="E1400" s="1021" t="s">
        <v>13490</v>
      </c>
      <c r="F1400" s="1021"/>
      <c r="G1400" s="818" t="s">
        <v>19</v>
      </c>
      <c r="H1400" s="819">
        <v>0.08</v>
      </c>
      <c r="I1400" s="820">
        <v>18.72</v>
      </c>
      <c r="J1400" s="820">
        <v>1.49</v>
      </c>
    </row>
    <row r="1401" spans="1:10" ht="25.5">
      <c r="A1401" s="822" t="s">
        <v>13493</v>
      </c>
      <c r="B1401" s="821" t="s">
        <v>14047</v>
      </c>
      <c r="C1401" s="822" t="s">
        <v>6</v>
      </c>
      <c r="D1401" s="822" t="s">
        <v>4573</v>
      </c>
      <c r="E1401" s="1017" t="s">
        <v>13514</v>
      </c>
      <c r="F1401" s="1017"/>
      <c r="G1401" s="823" t="s">
        <v>24</v>
      </c>
      <c r="H1401" s="824">
        <v>1</v>
      </c>
      <c r="I1401" s="825">
        <v>0.95</v>
      </c>
      <c r="J1401" s="825">
        <v>0.95</v>
      </c>
    </row>
    <row r="1402" spans="1:10">
      <c r="A1402" s="822" t="s">
        <v>13493</v>
      </c>
      <c r="B1402" s="821" t="s">
        <v>14026</v>
      </c>
      <c r="C1402" s="822" t="s">
        <v>6</v>
      </c>
      <c r="D1402" s="822" t="s">
        <v>4576</v>
      </c>
      <c r="E1402" s="1017" t="s">
        <v>13514</v>
      </c>
      <c r="F1402" s="1017"/>
      <c r="G1402" s="823" t="s">
        <v>24</v>
      </c>
      <c r="H1402" s="824">
        <v>0.04</v>
      </c>
      <c r="I1402" s="825">
        <v>25.11</v>
      </c>
      <c r="J1402" s="825">
        <v>1</v>
      </c>
    </row>
    <row r="1403" spans="1:10" ht="25.5" customHeight="1">
      <c r="A1403" s="822" t="s">
        <v>13493</v>
      </c>
      <c r="B1403" s="821" t="s">
        <v>13913</v>
      </c>
      <c r="C1403" s="822" t="s">
        <v>6</v>
      </c>
      <c r="D1403" s="822" t="s">
        <v>4706</v>
      </c>
      <c r="E1403" s="1017" t="s">
        <v>13514</v>
      </c>
      <c r="F1403" s="1017"/>
      <c r="G1403" s="823" t="s">
        <v>24</v>
      </c>
      <c r="H1403" s="824">
        <v>8.0000000000000002E-3</v>
      </c>
      <c r="I1403" s="825">
        <v>2.2000000000000002</v>
      </c>
      <c r="J1403" s="825">
        <v>0.01</v>
      </c>
    </row>
    <row r="1404" spans="1:10" ht="38.25" customHeight="1">
      <c r="A1404" s="822" t="s">
        <v>13493</v>
      </c>
      <c r="B1404" s="821" t="s">
        <v>13915</v>
      </c>
      <c r="C1404" s="822" t="s">
        <v>6</v>
      </c>
      <c r="D1404" s="822" t="s">
        <v>12249</v>
      </c>
      <c r="E1404" s="1017" t="s">
        <v>13514</v>
      </c>
      <c r="F1404" s="1017"/>
      <c r="G1404" s="823" t="s">
        <v>24</v>
      </c>
      <c r="H1404" s="824">
        <v>0.01</v>
      </c>
      <c r="I1404" s="825">
        <v>87.17</v>
      </c>
      <c r="J1404" s="825">
        <v>0.87</v>
      </c>
    </row>
    <row r="1405" spans="1:10" ht="25.5" customHeight="1">
      <c r="A1405" s="827"/>
      <c r="B1405" s="827"/>
      <c r="C1405" s="827"/>
      <c r="D1405" s="827"/>
      <c r="E1405" s="827" t="s">
        <v>13503</v>
      </c>
      <c r="F1405" s="826">
        <v>2.04</v>
      </c>
      <c r="G1405" s="827" t="s">
        <v>13504</v>
      </c>
      <c r="H1405" s="826">
        <v>0</v>
      </c>
      <c r="I1405" s="827" t="s">
        <v>13505</v>
      </c>
      <c r="J1405" s="826">
        <v>2.04</v>
      </c>
    </row>
    <row r="1406" spans="1:10" ht="13.5" customHeight="1" thickBot="1">
      <c r="A1406" s="827"/>
      <c r="B1406" s="827"/>
      <c r="C1406" s="827"/>
      <c r="D1406" s="827"/>
      <c r="E1406" s="827" t="s">
        <v>13506</v>
      </c>
      <c r="F1406" s="826">
        <v>1.57</v>
      </c>
      <c r="G1406" s="827"/>
      <c r="H1406" s="1018" t="s">
        <v>13507</v>
      </c>
      <c r="I1406" s="1018"/>
      <c r="J1406" s="826">
        <v>7.13</v>
      </c>
    </row>
    <row r="1407" spans="1:10" ht="13.5" customHeight="1" thickTop="1">
      <c r="A1407" s="828"/>
      <c r="B1407" s="828"/>
      <c r="C1407" s="828"/>
      <c r="D1407" s="828"/>
      <c r="E1407" s="828"/>
      <c r="F1407" s="828"/>
      <c r="G1407" s="828"/>
      <c r="H1407" s="828"/>
      <c r="I1407" s="828"/>
      <c r="J1407" s="828"/>
    </row>
    <row r="1408" spans="1:10" ht="15">
      <c r="A1408" s="809" t="s">
        <v>14048</v>
      </c>
      <c r="B1408" s="808" t="s">
        <v>13481</v>
      </c>
      <c r="C1408" s="809" t="s">
        <v>13482</v>
      </c>
      <c r="D1408" s="809" t="s">
        <v>13483</v>
      </c>
      <c r="E1408" s="1019" t="s">
        <v>13484</v>
      </c>
      <c r="F1408" s="1019"/>
      <c r="G1408" s="810" t="s">
        <v>13485</v>
      </c>
      <c r="H1408" s="808" t="s">
        <v>13486</v>
      </c>
      <c r="I1408" s="808" t="s">
        <v>13487</v>
      </c>
      <c r="J1408" s="808" t="s">
        <v>4867</v>
      </c>
    </row>
    <row r="1409" spans="1:10" ht="38.25" customHeight="1">
      <c r="A1409" s="812" t="s">
        <v>13488</v>
      </c>
      <c r="B1409" s="811" t="s">
        <v>14049</v>
      </c>
      <c r="C1409" s="812" t="s">
        <v>6</v>
      </c>
      <c r="D1409" s="812" t="s">
        <v>2347</v>
      </c>
      <c r="E1409" s="1020" t="s">
        <v>13898</v>
      </c>
      <c r="F1409" s="1020"/>
      <c r="G1409" s="813" t="s">
        <v>24</v>
      </c>
      <c r="H1409" s="814">
        <v>1</v>
      </c>
      <c r="I1409" s="815">
        <v>6.57</v>
      </c>
      <c r="J1409" s="815">
        <v>6.57</v>
      </c>
    </row>
    <row r="1410" spans="1:10" ht="25.5" customHeight="1">
      <c r="A1410" s="817" t="s">
        <v>13491</v>
      </c>
      <c r="B1410" s="816" t="s">
        <v>13909</v>
      </c>
      <c r="C1410" s="817" t="s">
        <v>6</v>
      </c>
      <c r="D1410" s="817" t="s">
        <v>986</v>
      </c>
      <c r="E1410" s="1021" t="s">
        <v>13490</v>
      </c>
      <c r="F1410" s="1021"/>
      <c r="G1410" s="818" t="s">
        <v>19</v>
      </c>
      <c r="H1410" s="819">
        <v>0.08</v>
      </c>
      <c r="I1410" s="820">
        <v>15.54</v>
      </c>
      <c r="J1410" s="820">
        <v>1.24</v>
      </c>
    </row>
    <row r="1411" spans="1:10" ht="25.5" customHeight="1">
      <c r="A1411" s="817" t="s">
        <v>13491</v>
      </c>
      <c r="B1411" s="816" t="s">
        <v>13574</v>
      </c>
      <c r="C1411" s="817" t="s">
        <v>6</v>
      </c>
      <c r="D1411" s="817" t="s">
        <v>34</v>
      </c>
      <c r="E1411" s="1021" t="s">
        <v>13490</v>
      </c>
      <c r="F1411" s="1021"/>
      <c r="G1411" s="818" t="s">
        <v>19</v>
      </c>
      <c r="H1411" s="819">
        <v>0.08</v>
      </c>
      <c r="I1411" s="820">
        <v>18.72</v>
      </c>
      <c r="J1411" s="820">
        <v>1.49</v>
      </c>
    </row>
    <row r="1412" spans="1:10" ht="38.25" customHeight="1">
      <c r="A1412" s="822" t="s">
        <v>13493</v>
      </c>
      <c r="B1412" s="821" t="s">
        <v>14026</v>
      </c>
      <c r="C1412" s="822" t="s">
        <v>6</v>
      </c>
      <c r="D1412" s="822" t="s">
        <v>4576</v>
      </c>
      <c r="E1412" s="1017" t="s">
        <v>13514</v>
      </c>
      <c r="F1412" s="1017"/>
      <c r="G1412" s="823" t="s">
        <v>24</v>
      </c>
      <c r="H1412" s="824">
        <v>0.04</v>
      </c>
      <c r="I1412" s="825">
        <v>25.11</v>
      </c>
      <c r="J1412" s="825">
        <v>1</v>
      </c>
    </row>
    <row r="1413" spans="1:10" ht="25.5">
      <c r="A1413" s="822" t="s">
        <v>13493</v>
      </c>
      <c r="B1413" s="821" t="s">
        <v>14050</v>
      </c>
      <c r="C1413" s="822" t="s">
        <v>6</v>
      </c>
      <c r="D1413" s="822" t="s">
        <v>8466</v>
      </c>
      <c r="E1413" s="1017" t="s">
        <v>13514</v>
      </c>
      <c r="F1413" s="1017"/>
      <c r="G1413" s="823" t="s">
        <v>24</v>
      </c>
      <c r="H1413" s="824">
        <v>1</v>
      </c>
      <c r="I1413" s="825">
        <v>1.96</v>
      </c>
      <c r="J1413" s="825">
        <v>1.96</v>
      </c>
    </row>
    <row r="1414" spans="1:10" ht="13.5" customHeight="1">
      <c r="A1414" s="822" t="s">
        <v>13493</v>
      </c>
      <c r="B1414" s="821" t="s">
        <v>13913</v>
      </c>
      <c r="C1414" s="822" t="s">
        <v>6</v>
      </c>
      <c r="D1414" s="822" t="s">
        <v>4706</v>
      </c>
      <c r="E1414" s="1017" t="s">
        <v>13514</v>
      </c>
      <c r="F1414" s="1017"/>
      <c r="G1414" s="823" t="s">
        <v>24</v>
      </c>
      <c r="H1414" s="824">
        <v>8.0000000000000002E-3</v>
      </c>
      <c r="I1414" s="825">
        <v>2.2000000000000002</v>
      </c>
      <c r="J1414" s="825">
        <v>0.01</v>
      </c>
    </row>
    <row r="1415" spans="1:10" ht="25.5">
      <c r="A1415" s="822" t="s">
        <v>13493</v>
      </c>
      <c r="B1415" s="821" t="s">
        <v>13915</v>
      </c>
      <c r="C1415" s="822" t="s">
        <v>6</v>
      </c>
      <c r="D1415" s="822" t="s">
        <v>12249</v>
      </c>
      <c r="E1415" s="1017" t="s">
        <v>13514</v>
      </c>
      <c r="F1415" s="1017"/>
      <c r="G1415" s="823" t="s">
        <v>24</v>
      </c>
      <c r="H1415" s="824">
        <v>0.01</v>
      </c>
      <c r="I1415" s="825">
        <v>87.17</v>
      </c>
      <c r="J1415" s="825">
        <v>0.87</v>
      </c>
    </row>
    <row r="1416" spans="1:10" ht="25.5">
      <c r="A1416" s="827"/>
      <c r="B1416" s="827"/>
      <c r="C1416" s="827"/>
      <c r="D1416" s="827"/>
      <c r="E1416" s="827" t="s">
        <v>13503</v>
      </c>
      <c r="F1416" s="826">
        <v>2.04</v>
      </c>
      <c r="G1416" s="827" t="s">
        <v>13504</v>
      </c>
      <c r="H1416" s="826">
        <v>0</v>
      </c>
      <c r="I1416" s="827" t="s">
        <v>13505</v>
      </c>
      <c r="J1416" s="826">
        <v>2.04</v>
      </c>
    </row>
    <row r="1417" spans="1:10" ht="25.5" customHeight="1" thickBot="1">
      <c r="A1417" s="827"/>
      <c r="B1417" s="827"/>
      <c r="C1417" s="827"/>
      <c r="D1417" s="827"/>
      <c r="E1417" s="827" t="s">
        <v>13506</v>
      </c>
      <c r="F1417" s="826">
        <v>1.85</v>
      </c>
      <c r="G1417" s="827"/>
      <c r="H1417" s="1018" t="s">
        <v>13507</v>
      </c>
      <c r="I1417" s="1018"/>
      <c r="J1417" s="826">
        <v>8.42</v>
      </c>
    </row>
    <row r="1418" spans="1:10" ht="38.25" customHeight="1" thickTop="1">
      <c r="A1418" s="828"/>
      <c r="B1418" s="828"/>
      <c r="C1418" s="828"/>
      <c r="D1418" s="828"/>
      <c r="E1418" s="828"/>
      <c r="F1418" s="828"/>
      <c r="G1418" s="828"/>
      <c r="H1418" s="828"/>
      <c r="I1418" s="828"/>
      <c r="J1418" s="828"/>
    </row>
    <row r="1419" spans="1:10" ht="25.5" customHeight="1">
      <c r="A1419" s="809" t="s">
        <v>14051</v>
      </c>
      <c r="B1419" s="808" t="s">
        <v>13481</v>
      </c>
      <c r="C1419" s="809" t="s">
        <v>13482</v>
      </c>
      <c r="D1419" s="809" t="s">
        <v>13483</v>
      </c>
      <c r="E1419" s="1019" t="s">
        <v>13484</v>
      </c>
      <c r="F1419" s="1019"/>
      <c r="G1419" s="810" t="s">
        <v>13485</v>
      </c>
      <c r="H1419" s="808" t="s">
        <v>13486</v>
      </c>
      <c r="I1419" s="808" t="s">
        <v>13487</v>
      </c>
      <c r="J1419" s="808" t="s">
        <v>4867</v>
      </c>
    </row>
    <row r="1420" spans="1:10" ht="38.25" customHeight="1">
      <c r="A1420" s="812" t="s">
        <v>13488</v>
      </c>
      <c r="B1420" s="811" t="s">
        <v>14052</v>
      </c>
      <c r="C1420" s="812" t="s">
        <v>6</v>
      </c>
      <c r="D1420" s="812" t="s">
        <v>2351</v>
      </c>
      <c r="E1420" s="1020" t="s">
        <v>13898</v>
      </c>
      <c r="F1420" s="1020"/>
      <c r="G1420" s="813" t="s">
        <v>24</v>
      </c>
      <c r="H1420" s="814">
        <v>1</v>
      </c>
      <c r="I1420" s="815">
        <v>12.02</v>
      </c>
      <c r="J1420" s="815">
        <v>12.02</v>
      </c>
    </row>
    <row r="1421" spans="1:10" ht="13.5" customHeight="1">
      <c r="A1421" s="817" t="s">
        <v>13491</v>
      </c>
      <c r="B1421" s="816" t="s">
        <v>13909</v>
      </c>
      <c r="C1421" s="817" t="s">
        <v>6</v>
      </c>
      <c r="D1421" s="817" t="s">
        <v>986</v>
      </c>
      <c r="E1421" s="1021" t="s">
        <v>13490</v>
      </c>
      <c r="F1421" s="1021"/>
      <c r="G1421" s="818" t="s">
        <v>19</v>
      </c>
      <c r="H1421" s="819">
        <v>0.114</v>
      </c>
      <c r="I1421" s="820">
        <v>15.54</v>
      </c>
      <c r="J1421" s="820">
        <v>1.77</v>
      </c>
    </row>
    <row r="1422" spans="1:10" ht="38.25" customHeight="1">
      <c r="A1422" s="817" t="s">
        <v>13491</v>
      </c>
      <c r="B1422" s="816" t="s">
        <v>13574</v>
      </c>
      <c r="C1422" s="817" t="s">
        <v>6</v>
      </c>
      <c r="D1422" s="817" t="s">
        <v>34</v>
      </c>
      <c r="E1422" s="1021" t="s">
        <v>13490</v>
      </c>
      <c r="F1422" s="1021"/>
      <c r="G1422" s="818" t="s">
        <v>19</v>
      </c>
      <c r="H1422" s="819">
        <v>0.114</v>
      </c>
      <c r="I1422" s="820">
        <v>18.72</v>
      </c>
      <c r="J1422" s="820">
        <v>2.13</v>
      </c>
    </row>
    <row r="1423" spans="1:10">
      <c r="A1423" s="822" t="s">
        <v>13493</v>
      </c>
      <c r="B1423" s="821" t="s">
        <v>14026</v>
      </c>
      <c r="C1423" s="822" t="s">
        <v>6</v>
      </c>
      <c r="D1423" s="822" t="s">
        <v>4576</v>
      </c>
      <c r="E1423" s="1017" t="s">
        <v>13514</v>
      </c>
      <c r="F1423" s="1017"/>
      <c r="G1423" s="823" t="s">
        <v>24</v>
      </c>
      <c r="H1423" s="824">
        <v>7.0999999999999994E-2</v>
      </c>
      <c r="I1423" s="825">
        <v>25.11</v>
      </c>
      <c r="J1423" s="825">
        <v>1.78</v>
      </c>
    </row>
    <row r="1424" spans="1:10" ht="25.5" customHeight="1">
      <c r="A1424" s="822" t="s">
        <v>13493</v>
      </c>
      <c r="B1424" s="821" t="s">
        <v>14053</v>
      </c>
      <c r="C1424" s="822" t="s">
        <v>6</v>
      </c>
      <c r="D1424" s="822" t="s">
        <v>4574</v>
      </c>
      <c r="E1424" s="1017" t="s">
        <v>13514</v>
      </c>
      <c r="F1424" s="1017"/>
      <c r="G1424" s="823" t="s">
        <v>24</v>
      </c>
      <c r="H1424" s="824">
        <v>1</v>
      </c>
      <c r="I1424" s="825">
        <v>4.76</v>
      </c>
      <c r="J1424" s="825">
        <v>4.76</v>
      </c>
    </row>
    <row r="1425" spans="1:10" ht="38.25" customHeight="1">
      <c r="A1425" s="822" t="s">
        <v>13493</v>
      </c>
      <c r="B1425" s="821" t="s">
        <v>13913</v>
      </c>
      <c r="C1425" s="822" t="s">
        <v>6</v>
      </c>
      <c r="D1425" s="822" t="s">
        <v>4706</v>
      </c>
      <c r="E1425" s="1017" t="s">
        <v>13514</v>
      </c>
      <c r="F1425" s="1017"/>
      <c r="G1425" s="823" t="s">
        <v>24</v>
      </c>
      <c r="H1425" s="824">
        <v>1.0999999999999999E-2</v>
      </c>
      <c r="I1425" s="825">
        <v>2.2000000000000002</v>
      </c>
      <c r="J1425" s="825">
        <v>0.02</v>
      </c>
    </row>
    <row r="1426" spans="1:10" ht="25.5" customHeight="1">
      <c r="A1426" s="822" t="s">
        <v>13493</v>
      </c>
      <c r="B1426" s="821" t="s">
        <v>13915</v>
      </c>
      <c r="C1426" s="822" t="s">
        <v>6</v>
      </c>
      <c r="D1426" s="822" t="s">
        <v>12249</v>
      </c>
      <c r="E1426" s="1017" t="s">
        <v>13514</v>
      </c>
      <c r="F1426" s="1017"/>
      <c r="G1426" s="823" t="s">
        <v>24</v>
      </c>
      <c r="H1426" s="824">
        <v>1.7999999999999999E-2</v>
      </c>
      <c r="I1426" s="825">
        <v>87.17</v>
      </c>
      <c r="J1426" s="825">
        <v>1.56</v>
      </c>
    </row>
    <row r="1427" spans="1:10" ht="25.5">
      <c r="A1427" s="827"/>
      <c r="B1427" s="827"/>
      <c r="C1427" s="827"/>
      <c r="D1427" s="827"/>
      <c r="E1427" s="827" t="s">
        <v>13503</v>
      </c>
      <c r="F1427" s="826">
        <v>2.91</v>
      </c>
      <c r="G1427" s="827" t="s">
        <v>13504</v>
      </c>
      <c r="H1427" s="826">
        <v>0</v>
      </c>
      <c r="I1427" s="827" t="s">
        <v>13505</v>
      </c>
      <c r="J1427" s="826">
        <v>2.91</v>
      </c>
    </row>
    <row r="1428" spans="1:10" ht="13.5" customHeight="1" thickBot="1">
      <c r="A1428" s="827"/>
      <c r="B1428" s="827"/>
      <c r="C1428" s="827"/>
      <c r="D1428" s="827"/>
      <c r="E1428" s="827" t="s">
        <v>13506</v>
      </c>
      <c r="F1428" s="826">
        <v>3.39</v>
      </c>
      <c r="G1428" s="827"/>
      <c r="H1428" s="1018" t="s">
        <v>13507</v>
      </c>
      <c r="I1428" s="1018"/>
      <c r="J1428" s="826">
        <v>15.41</v>
      </c>
    </row>
    <row r="1429" spans="1:10" ht="13.5" thickTop="1">
      <c r="A1429" s="828"/>
      <c r="B1429" s="828"/>
      <c r="C1429" s="828"/>
      <c r="D1429" s="828"/>
      <c r="E1429" s="828"/>
      <c r="F1429" s="828"/>
      <c r="G1429" s="828"/>
      <c r="H1429" s="828"/>
      <c r="I1429" s="828"/>
      <c r="J1429" s="828"/>
    </row>
    <row r="1430" spans="1:10" ht="15">
      <c r="A1430" s="809" t="s">
        <v>14054</v>
      </c>
      <c r="B1430" s="808" t="s">
        <v>13481</v>
      </c>
      <c r="C1430" s="809" t="s">
        <v>13482</v>
      </c>
      <c r="D1430" s="809" t="s">
        <v>13483</v>
      </c>
      <c r="E1430" s="1019" t="s">
        <v>13484</v>
      </c>
      <c r="F1430" s="1019"/>
      <c r="G1430" s="810" t="s">
        <v>13485</v>
      </c>
      <c r="H1430" s="808" t="s">
        <v>13486</v>
      </c>
      <c r="I1430" s="808" t="s">
        <v>13487</v>
      </c>
      <c r="J1430" s="808" t="s">
        <v>4867</v>
      </c>
    </row>
    <row r="1431" spans="1:10" ht="25.5" customHeight="1">
      <c r="A1431" s="812" t="s">
        <v>13488</v>
      </c>
      <c r="B1431" s="811" t="s">
        <v>14055</v>
      </c>
      <c r="C1431" s="812" t="s">
        <v>6</v>
      </c>
      <c r="D1431" s="812" t="s">
        <v>2353</v>
      </c>
      <c r="E1431" s="1020" t="s">
        <v>13898</v>
      </c>
      <c r="F1431" s="1020"/>
      <c r="G1431" s="813" t="s">
        <v>24</v>
      </c>
      <c r="H1431" s="814">
        <v>1</v>
      </c>
      <c r="I1431" s="815">
        <v>26.67</v>
      </c>
      <c r="J1431" s="815">
        <v>26.67</v>
      </c>
    </row>
    <row r="1432" spans="1:10" ht="38.25" customHeight="1">
      <c r="A1432" s="817" t="s">
        <v>13491</v>
      </c>
      <c r="B1432" s="816" t="s">
        <v>13909</v>
      </c>
      <c r="C1432" s="817" t="s">
        <v>6</v>
      </c>
      <c r="D1432" s="817" t="s">
        <v>986</v>
      </c>
      <c r="E1432" s="1021" t="s">
        <v>13490</v>
      </c>
      <c r="F1432" s="1021"/>
      <c r="G1432" s="818" t="s">
        <v>19</v>
      </c>
      <c r="H1432" s="819">
        <v>0.184</v>
      </c>
      <c r="I1432" s="820">
        <v>15.54</v>
      </c>
      <c r="J1432" s="820">
        <v>2.85</v>
      </c>
    </row>
    <row r="1433" spans="1:10" ht="38.25" customHeight="1">
      <c r="A1433" s="817" t="s">
        <v>13491</v>
      </c>
      <c r="B1433" s="816" t="s">
        <v>13574</v>
      </c>
      <c r="C1433" s="817" t="s">
        <v>6</v>
      </c>
      <c r="D1433" s="817" t="s">
        <v>34</v>
      </c>
      <c r="E1433" s="1021" t="s">
        <v>13490</v>
      </c>
      <c r="F1433" s="1021"/>
      <c r="G1433" s="818" t="s">
        <v>19</v>
      </c>
      <c r="H1433" s="819">
        <v>0.184</v>
      </c>
      <c r="I1433" s="820">
        <v>18.72</v>
      </c>
      <c r="J1433" s="820">
        <v>3.44</v>
      </c>
    </row>
    <row r="1434" spans="1:10">
      <c r="A1434" s="822" t="s">
        <v>13493</v>
      </c>
      <c r="B1434" s="821" t="s">
        <v>14026</v>
      </c>
      <c r="C1434" s="822" t="s">
        <v>6</v>
      </c>
      <c r="D1434" s="822" t="s">
        <v>4576</v>
      </c>
      <c r="E1434" s="1017" t="s">
        <v>13514</v>
      </c>
      <c r="F1434" s="1017"/>
      <c r="G1434" s="823" t="s">
        <v>24</v>
      </c>
      <c r="H1434" s="824">
        <v>0.154</v>
      </c>
      <c r="I1434" s="825">
        <v>25.11</v>
      </c>
      <c r="J1434" s="825">
        <v>3.86</v>
      </c>
    </row>
    <row r="1435" spans="1:10" ht="25.5">
      <c r="A1435" s="822" t="s">
        <v>13493</v>
      </c>
      <c r="B1435" s="821" t="s">
        <v>14056</v>
      </c>
      <c r="C1435" s="822" t="s">
        <v>6</v>
      </c>
      <c r="D1435" s="822" t="s">
        <v>4575</v>
      </c>
      <c r="E1435" s="1017" t="s">
        <v>13514</v>
      </c>
      <c r="F1435" s="1017"/>
      <c r="G1435" s="823" t="s">
        <v>24</v>
      </c>
      <c r="H1435" s="824">
        <v>1</v>
      </c>
      <c r="I1435" s="825">
        <v>12.92</v>
      </c>
      <c r="J1435" s="825">
        <v>12.92</v>
      </c>
    </row>
    <row r="1436" spans="1:10">
      <c r="A1436" s="822" t="s">
        <v>13493</v>
      </c>
      <c r="B1436" s="821" t="s">
        <v>13913</v>
      </c>
      <c r="C1436" s="822" t="s">
        <v>6</v>
      </c>
      <c r="D1436" s="822" t="s">
        <v>4706</v>
      </c>
      <c r="E1436" s="1017" t="s">
        <v>13514</v>
      </c>
      <c r="F1436" s="1017"/>
      <c r="G1436" s="823" t="s">
        <v>24</v>
      </c>
      <c r="H1436" s="824">
        <v>1.7999999999999999E-2</v>
      </c>
      <c r="I1436" s="825">
        <v>2.2000000000000002</v>
      </c>
      <c r="J1436" s="825">
        <v>0.03</v>
      </c>
    </row>
    <row r="1437" spans="1:10" ht="13.5" customHeight="1">
      <c r="A1437" s="822" t="s">
        <v>13493</v>
      </c>
      <c r="B1437" s="821" t="s">
        <v>13915</v>
      </c>
      <c r="C1437" s="822" t="s">
        <v>6</v>
      </c>
      <c r="D1437" s="822" t="s">
        <v>12249</v>
      </c>
      <c r="E1437" s="1017" t="s">
        <v>13514</v>
      </c>
      <c r="F1437" s="1017"/>
      <c r="G1437" s="823" t="s">
        <v>24</v>
      </c>
      <c r="H1437" s="824">
        <v>4.1000000000000002E-2</v>
      </c>
      <c r="I1437" s="825">
        <v>87.17</v>
      </c>
      <c r="J1437" s="825">
        <v>3.57</v>
      </c>
    </row>
    <row r="1438" spans="1:10" ht="25.5">
      <c r="A1438" s="827"/>
      <c r="B1438" s="827"/>
      <c r="C1438" s="827"/>
      <c r="D1438" s="827"/>
      <c r="E1438" s="827" t="s">
        <v>13503</v>
      </c>
      <c r="F1438" s="826">
        <v>4.7</v>
      </c>
      <c r="G1438" s="827" t="s">
        <v>13504</v>
      </c>
      <c r="H1438" s="826">
        <v>0</v>
      </c>
      <c r="I1438" s="827" t="s">
        <v>13505</v>
      </c>
      <c r="J1438" s="826">
        <v>4.7</v>
      </c>
    </row>
    <row r="1439" spans="1:10" ht="13.5" customHeight="1" thickBot="1">
      <c r="A1439" s="827"/>
      <c r="B1439" s="827"/>
      <c r="C1439" s="827"/>
      <c r="D1439" s="827"/>
      <c r="E1439" s="827" t="s">
        <v>13506</v>
      </c>
      <c r="F1439" s="826">
        <v>7.53</v>
      </c>
      <c r="G1439" s="827"/>
      <c r="H1439" s="1018" t="s">
        <v>13507</v>
      </c>
      <c r="I1439" s="1018"/>
      <c r="J1439" s="826">
        <v>34.200000000000003</v>
      </c>
    </row>
    <row r="1440" spans="1:10" ht="25.5" customHeight="1" thickTop="1">
      <c r="A1440" s="828"/>
      <c r="B1440" s="828"/>
      <c r="C1440" s="828"/>
      <c r="D1440" s="828"/>
      <c r="E1440" s="828"/>
      <c r="F1440" s="828"/>
      <c r="G1440" s="828"/>
      <c r="H1440" s="828"/>
      <c r="I1440" s="828"/>
      <c r="J1440" s="828"/>
    </row>
    <row r="1441" spans="1:10" ht="15">
      <c r="A1441" s="809" t="s">
        <v>14057</v>
      </c>
      <c r="B1441" s="808" t="s">
        <v>13481</v>
      </c>
      <c r="C1441" s="809" t="s">
        <v>13482</v>
      </c>
      <c r="D1441" s="809" t="s">
        <v>13483</v>
      </c>
      <c r="E1441" s="1019" t="s">
        <v>13484</v>
      </c>
      <c r="F1441" s="1019"/>
      <c r="G1441" s="810" t="s">
        <v>13485</v>
      </c>
      <c r="H1441" s="808" t="s">
        <v>13486</v>
      </c>
      <c r="I1441" s="808" t="s">
        <v>13487</v>
      </c>
      <c r="J1441" s="808" t="s">
        <v>4867</v>
      </c>
    </row>
    <row r="1442" spans="1:10" ht="25.5" customHeight="1">
      <c r="A1442" s="812" t="s">
        <v>13488</v>
      </c>
      <c r="B1442" s="811" t="s">
        <v>14058</v>
      </c>
      <c r="C1442" s="812" t="s">
        <v>6</v>
      </c>
      <c r="D1442" s="812" t="s">
        <v>1177</v>
      </c>
      <c r="E1442" s="1020" t="s">
        <v>13898</v>
      </c>
      <c r="F1442" s="1020"/>
      <c r="G1442" s="813" t="s">
        <v>24</v>
      </c>
      <c r="H1442" s="814">
        <v>1</v>
      </c>
      <c r="I1442" s="815">
        <v>9.77</v>
      </c>
      <c r="J1442" s="815">
        <v>9.77</v>
      </c>
    </row>
    <row r="1443" spans="1:10" ht="38.25" customHeight="1">
      <c r="A1443" s="817" t="s">
        <v>13491</v>
      </c>
      <c r="B1443" s="816" t="s">
        <v>13909</v>
      </c>
      <c r="C1443" s="817" t="s">
        <v>6</v>
      </c>
      <c r="D1443" s="817" t="s">
        <v>986</v>
      </c>
      <c r="E1443" s="1021" t="s">
        <v>13490</v>
      </c>
      <c r="F1443" s="1021"/>
      <c r="G1443" s="818" t="s">
        <v>19</v>
      </c>
      <c r="H1443" s="819">
        <v>0.15</v>
      </c>
      <c r="I1443" s="820">
        <v>15.54</v>
      </c>
      <c r="J1443" s="820">
        <v>2.33</v>
      </c>
    </row>
    <row r="1444" spans="1:10" ht="38.25" customHeight="1">
      <c r="A1444" s="817" t="s">
        <v>13491</v>
      </c>
      <c r="B1444" s="816" t="s">
        <v>13574</v>
      </c>
      <c r="C1444" s="817" t="s">
        <v>6</v>
      </c>
      <c r="D1444" s="817" t="s">
        <v>34</v>
      </c>
      <c r="E1444" s="1021" t="s">
        <v>13490</v>
      </c>
      <c r="F1444" s="1021"/>
      <c r="G1444" s="818" t="s">
        <v>19</v>
      </c>
      <c r="H1444" s="819">
        <v>0.15</v>
      </c>
      <c r="I1444" s="820">
        <v>18.72</v>
      </c>
      <c r="J1444" s="820">
        <v>2.8</v>
      </c>
    </row>
    <row r="1445" spans="1:10">
      <c r="A1445" s="822" t="s">
        <v>13493</v>
      </c>
      <c r="B1445" s="821" t="s">
        <v>13910</v>
      </c>
      <c r="C1445" s="822" t="s">
        <v>6</v>
      </c>
      <c r="D1445" s="822" t="s">
        <v>8519</v>
      </c>
      <c r="E1445" s="1017" t="s">
        <v>13514</v>
      </c>
      <c r="F1445" s="1017"/>
      <c r="G1445" s="823" t="s">
        <v>24</v>
      </c>
      <c r="H1445" s="824">
        <v>7.0000000000000001E-3</v>
      </c>
      <c r="I1445" s="825">
        <v>76.94</v>
      </c>
      <c r="J1445" s="825">
        <v>0.53</v>
      </c>
    </row>
    <row r="1446" spans="1:10" ht="13.5" customHeight="1">
      <c r="A1446" s="822" t="s">
        <v>13493</v>
      </c>
      <c r="B1446" s="821" t="s">
        <v>14059</v>
      </c>
      <c r="C1446" s="822" t="s">
        <v>6</v>
      </c>
      <c r="D1446" s="822" t="s">
        <v>9899</v>
      </c>
      <c r="E1446" s="1017" t="s">
        <v>13514</v>
      </c>
      <c r="F1446" s="1017"/>
      <c r="G1446" s="823" t="s">
        <v>24</v>
      </c>
      <c r="H1446" s="824">
        <v>1</v>
      </c>
      <c r="I1446" s="825">
        <v>3.31</v>
      </c>
      <c r="J1446" s="825">
        <v>3.31</v>
      </c>
    </row>
    <row r="1447" spans="1:10">
      <c r="A1447" s="822" t="s">
        <v>13493</v>
      </c>
      <c r="B1447" s="821" t="s">
        <v>13913</v>
      </c>
      <c r="C1447" s="822" t="s">
        <v>6</v>
      </c>
      <c r="D1447" s="822" t="s">
        <v>4706</v>
      </c>
      <c r="E1447" s="1017" t="s">
        <v>13514</v>
      </c>
      <c r="F1447" s="1017"/>
      <c r="G1447" s="823" t="s">
        <v>24</v>
      </c>
      <c r="H1447" s="824">
        <v>0.05</v>
      </c>
      <c r="I1447" s="825">
        <v>2.2000000000000002</v>
      </c>
      <c r="J1447" s="825">
        <v>0.11</v>
      </c>
    </row>
    <row r="1448" spans="1:10" ht="25.5">
      <c r="A1448" s="822" t="s">
        <v>13493</v>
      </c>
      <c r="B1448" s="821" t="s">
        <v>13915</v>
      </c>
      <c r="C1448" s="822" t="s">
        <v>6</v>
      </c>
      <c r="D1448" s="822" t="s">
        <v>12249</v>
      </c>
      <c r="E1448" s="1017" t="s">
        <v>13514</v>
      </c>
      <c r="F1448" s="1017"/>
      <c r="G1448" s="823" t="s">
        <v>24</v>
      </c>
      <c r="H1448" s="824">
        <v>8.0000000000000002E-3</v>
      </c>
      <c r="I1448" s="825">
        <v>87.17</v>
      </c>
      <c r="J1448" s="825">
        <v>0.69</v>
      </c>
    </row>
    <row r="1449" spans="1:10" ht="25.5" customHeight="1">
      <c r="A1449" s="827"/>
      <c r="B1449" s="827"/>
      <c r="C1449" s="827"/>
      <c r="D1449" s="827"/>
      <c r="E1449" s="827" t="s">
        <v>13503</v>
      </c>
      <c r="F1449" s="826">
        <v>3.83</v>
      </c>
      <c r="G1449" s="827" t="s">
        <v>13504</v>
      </c>
      <c r="H1449" s="826">
        <v>0</v>
      </c>
      <c r="I1449" s="827" t="s">
        <v>13505</v>
      </c>
      <c r="J1449" s="826">
        <v>3.83</v>
      </c>
    </row>
    <row r="1450" spans="1:10" ht="13.5" customHeight="1" thickBot="1">
      <c r="A1450" s="827"/>
      <c r="B1450" s="827"/>
      <c r="C1450" s="827"/>
      <c r="D1450" s="827"/>
      <c r="E1450" s="827" t="s">
        <v>13506</v>
      </c>
      <c r="F1450" s="826">
        <v>2.75</v>
      </c>
      <c r="G1450" s="827"/>
      <c r="H1450" s="1018" t="s">
        <v>13507</v>
      </c>
      <c r="I1450" s="1018"/>
      <c r="J1450" s="826">
        <v>12.52</v>
      </c>
    </row>
    <row r="1451" spans="1:10" ht="13.5" thickTop="1">
      <c r="A1451" s="828"/>
      <c r="B1451" s="828"/>
      <c r="C1451" s="828"/>
      <c r="D1451" s="828"/>
      <c r="E1451" s="828"/>
      <c r="F1451" s="828"/>
      <c r="G1451" s="828"/>
      <c r="H1451" s="828"/>
      <c r="I1451" s="828"/>
      <c r="J1451" s="828"/>
    </row>
    <row r="1452" spans="1:10" ht="15">
      <c r="A1452" s="809" t="s">
        <v>14060</v>
      </c>
      <c r="B1452" s="808" t="s">
        <v>13481</v>
      </c>
      <c r="C1452" s="809" t="s">
        <v>13482</v>
      </c>
      <c r="D1452" s="809" t="s">
        <v>13483</v>
      </c>
      <c r="E1452" s="1019" t="s">
        <v>13484</v>
      </c>
      <c r="F1452" s="1019"/>
      <c r="G1452" s="810" t="s">
        <v>13485</v>
      </c>
      <c r="H1452" s="808" t="s">
        <v>13486</v>
      </c>
      <c r="I1452" s="808" t="s">
        <v>13487</v>
      </c>
      <c r="J1452" s="808" t="s">
        <v>4867</v>
      </c>
    </row>
    <row r="1453" spans="1:10" ht="25.5" customHeight="1">
      <c r="A1453" s="812" t="s">
        <v>13488</v>
      </c>
      <c r="B1453" s="811" t="s">
        <v>14061</v>
      </c>
      <c r="C1453" s="812" t="s">
        <v>6</v>
      </c>
      <c r="D1453" s="812" t="s">
        <v>1216</v>
      </c>
      <c r="E1453" s="1020" t="s">
        <v>13898</v>
      </c>
      <c r="F1453" s="1020"/>
      <c r="G1453" s="813" t="s">
        <v>24</v>
      </c>
      <c r="H1453" s="814">
        <v>1</v>
      </c>
      <c r="I1453" s="815">
        <v>12.9</v>
      </c>
      <c r="J1453" s="815">
        <v>12.9</v>
      </c>
    </row>
    <row r="1454" spans="1:10" ht="38.25" customHeight="1">
      <c r="A1454" s="817" t="s">
        <v>13491</v>
      </c>
      <c r="B1454" s="816" t="s">
        <v>13909</v>
      </c>
      <c r="C1454" s="817" t="s">
        <v>6</v>
      </c>
      <c r="D1454" s="817" t="s">
        <v>986</v>
      </c>
      <c r="E1454" s="1021" t="s">
        <v>13490</v>
      </c>
      <c r="F1454" s="1021"/>
      <c r="G1454" s="818" t="s">
        <v>19</v>
      </c>
      <c r="H1454" s="819">
        <v>0.107</v>
      </c>
      <c r="I1454" s="820">
        <v>15.54</v>
      </c>
      <c r="J1454" s="820">
        <v>1.66</v>
      </c>
    </row>
    <row r="1455" spans="1:10" ht="13.5" customHeight="1">
      <c r="A1455" s="817" t="s">
        <v>13491</v>
      </c>
      <c r="B1455" s="816" t="s">
        <v>13574</v>
      </c>
      <c r="C1455" s="817" t="s">
        <v>6</v>
      </c>
      <c r="D1455" s="817" t="s">
        <v>34</v>
      </c>
      <c r="E1455" s="1021" t="s">
        <v>13490</v>
      </c>
      <c r="F1455" s="1021"/>
      <c r="G1455" s="818" t="s">
        <v>19</v>
      </c>
      <c r="H1455" s="819">
        <v>0.107</v>
      </c>
      <c r="I1455" s="820">
        <v>18.72</v>
      </c>
      <c r="J1455" s="820">
        <v>2</v>
      </c>
    </row>
    <row r="1456" spans="1:10">
      <c r="A1456" s="822" t="s">
        <v>13493</v>
      </c>
      <c r="B1456" s="821" t="s">
        <v>13910</v>
      </c>
      <c r="C1456" s="822" t="s">
        <v>6</v>
      </c>
      <c r="D1456" s="822" t="s">
        <v>8519</v>
      </c>
      <c r="E1456" s="1017" t="s">
        <v>13514</v>
      </c>
      <c r="F1456" s="1017"/>
      <c r="G1456" s="823" t="s">
        <v>24</v>
      </c>
      <c r="H1456" s="824">
        <v>8.9999999999999993E-3</v>
      </c>
      <c r="I1456" s="825">
        <v>76.94</v>
      </c>
      <c r="J1456" s="825">
        <v>0.69</v>
      </c>
    </row>
    <row r="1457" spans="1:10" ht="25.5">
      <c r="A1457" s="822" t="s">
        <v>13493</v>
      </c>
      <c r="B1457" s="821" t="s">
        <v>14062</v>
      </c>
      <c r="C1457" s="822" t="s">
        <v>6</v>
      </c>
      <c r="D1457" s="822" t="s">
        <v>9900</v>
      </c>
      <c r="E1457" s="1017" t="s">
        <v>13514</v>
      </c>
      <c r="F1457" s="1017"/>
      <c r="G1457" s="823" t="s">
        <v>24</v>
      </c>
      <c r="H1457" s="824">
        <v>1</v>
      </c>
      <c r="I1457" s="825">
        <v>7.53</v>
      </c>
      <c r="J1457" s="825">
        <v>7.53</v>
      </c>
    </row>
    <row r="1458" spans="1:10" ht="12.75" customHeight="1">
      <c r="A1458" s="822" t="s">
        <v>13493</v>
      </c>
      <c r="B1458" s="821" t="s">
        <v>13913</v>
      </c>
      <c r="C1458" s="822" t="s">
        <v>6</v>
      </c>
      <c r="D1458" s="822" t="s">
        <v>4706</v>
      </c>
      <c r="E1458" s="1017" t="s">
        <v>13514</v>
      </c>
      <c r="F1458" s="1017"/>
      <c r="G1458" s="823" t="s">
        <v>24</v>
      </c>
      <c r="H1458" s="824">
        <v>3.5999999999999997E-2</v>
      </c>
      <c r="I1458" s="825">
        <v>2.2000000000000002</v>
      </c>
      <c r="J1458" s="825">
        <v>7.0000000000000007E-2</v>
      </c>
    </row>
    <row r="1459" spans="1:10" ht="25.5">
      <c r="A1459" s="822" t="s">
        <v>13493</v>
      </c>
      <c r="B1459" s="821" t="s">
        <v>13915</v>
      </c>
      <c r="C1459" s="822" t="s">
        <v>6</v>
      </c>
      <c r="D1459" s="822" t="s">
        <v>12249</v>
      </c>
      <c r="E1459" s="1017" t="s">
        <v>13514</v>
      </c>
      <c r="F1459" s="1017"/>
      <c r="G1459" s="823" t="s">
        <v>24</v>
      </c>
      <c r="H1459" s="824">
        <v>1.0999999999999999E-2</v>
      </c>
      <c r="I1459" s="825">
        <v>87.17</v>
      </c>
      <c r="J1459" s="825">
        <v>0.95</v>
      </c>
    </row>
    <row r="1460" spans="1:10" ht="25.5">
      <c r="A1460" s="827"/>
      <c r="B1460" s="827"/>
      <c r="C1460" s="827"/>
      <c r="D1460" s="827"/>
      <c r="E1460" s="827" t="s">
        <v>13503</v>
      </c>
      <c r="F1460" s="826">
        <v>2.72</v>
      </c>
      <c r="G1460" s="827" t="s">
        <v>13504</v>
      </c>
      <c r="H1460" s="826">
        <v>0</v>
      </c>
      <c r="I1460" s="827" t="s">
        <v>13505</v>
      </c>
      <c r="J1460" s="826">
        <v>2.72</v>
      </c>
    </row>
    <row r="1461" spans="1:10" ht="13.5" customHeight="1" thickBot="1">
      <c r="A1461" s="827"/>
      <c r="B1461" s="827"/>
      <c r="C1461" s="827"/>
      <c r="D1461" s="827"/>
      <c r="E1461" s="827" t="s">
        <v>13506</v>
      </c>
      <c r="F1461" s="826">
        <v>3.64</v>
      </c>
      <c r="G1461" s="827"/>
      <c r="H1461" s="1018" t="s">
        <v>13507</v>
      </c>
      <c r="I1461" s="1018"/>
      <c r="J1461" s="826">
        <v>16.54</v>
      </c>
    </row>
    <row r="1462" spans="1:10" ht="13.5" thickTop="1">
      <c r="A1462" s="828"/>
      <c r="B1462" s="828"/>
      <c r="C1462" s="828"/>
      <c r="D1462" s="828"/>
      <c r="E1462" s="828"/>
      <c r="F1462" s="828"/>
      <c r="G1462" s="828"/>
      <c r="H1462" s="828"/>
      <c r="I1462" s="828"/>
      <c r="J1462" s="828"/>
    </row>
    <row r="1463" spans="1:10" ht="15">
      <c r="A1463" s="809" t="s">
        <v>14063</v>
      </c>
      <c r="B1463" s="808" t="s">
        <v>13481</v>
      </c>
      <c r="C1463" s="809" t="s">
        <v>13482</v>
      </c>
      <c r="D1463" s="809" t="s">
        <v>13483</v>
      </c>
      <c r="E1463" s="1019" t="s">
        <v>13484</v>
      </c>
      <c r="F1463" s="1019"/>
      <c r="G1463" s="810" t="s">
        <v>13485</v>
      </c>
      <c r="H1463" s="808" t="s">
        <v>13486</v>
      </c>
      <c r="I1463" s="808" t="s">
        <v>13487</v>
      </c>
      <c r="J1463" s="808" t="s">
        <v>4867</v>
      </c>
    </row>
    <row r="1464" spans="1:10" ht="25.5" customHeight="1">
      <c r="A1464" s="812" t="s">
        <v>13488</v>
      </c>
      <c r="B1464" s="811" t="s">
        <v>14064</v>
      </c>
      <c r="C1464" s="812" t="s">
        <v>6</v>
      </c>
      <c r="D1464" s="812" t="s">
        <v>249</v>
      </c>
      <c r="E1464" s="1020" t="s">
        <v>13898</v>
      </c>
      <c r="F1464" s="1020"/>
      <c r="G1464" s="813" t="s">
        <v>24</v>
      </c>
      <c r="H1464" s="814">
        <v>1</v>
      </c>
      <c r="I1464" s="815">
        <v>49.15</v>
      </c>
      <c r="J1464" s="815">
        <v>49.15</v>
      </c>
    </row>
    <row r="1465" spans="1:10" ht="38.25" customHeight="1">
      <c r="A1465" s="817" t="s">
        <v>13491</v>
      </c>
      <c r="B1465" s="816" t="s">
        <v>13909</v>
      </c>
      <c r="C1465" s="817" t="s">
        <v>6</v>
      </c>
      <c r="D1465" s="817" t="s">
        <v>986</v>
      </c>
      <c r="E1465" s="1021" t="s">
        <v>13490</v>
      </c>
      <c r="F1465" s="1021"/>
      <c r="G1465" s="818" t="s">
        <v>19</v>
      </c>
      <c r="H1465" s="819">
        <v>0.128</v>
      </c>
      <c r="I1465" s="820">
        <v>15.54</v>
      </c>
      <c r="J1465" s="820">
        <v>1.98</v>
      </c>
    </row>
    <row r="1466" spans="1:10" ht="38.25" customHeight="1">
      <c r="A1466" s="817" t="s">
        <v>13491</v>
      </c>
      <c r="B1466" s="816" t="s">
        <v>13574</v>
      </c>
      <c r="C1466" s="817" t="s">
        <v>6</v>
      </c>
      <c r="D1466" s="817" t="s">
        <v>34</v>
      </c>
      <c r="E1466" s="1021" t="s">
        <v>13490</v>
      </c>
      <c r="F1466" s="1021"/>
      <c r="G1466" s="818" t="s">
        <v>19</v>
      </c>
      <c r="H1466" s="819">
        <v>0.128</v>
      </c>
      <c r="I1466" s="820">
        <v>18.72</v>
      </c>
      <c r="J1466" s="820">
        <v>2.39</v>
      </c>
    </row>
    <row r="1467" spans="1:10">
      <c r="A1467" s="822" t="s">
        <v>13493</v>
      </c>
      <c r="B1467" s="821" t="s">
        <v>13910</v>
      </c>
      <c r="C1467" s="822" t="s">
        <v>6</v>
      </c>
      <c r="D1467" s="822" t="s">
        <v>8519</v>
      </c>
      <c r="E1467" s="1017" t="s">
        <v>13514</v>
      </c>
      <c r="F1467" s="1017"/>
      <c r="G1467" s="823" t="s">
        <v>24</v>
      </c>
      <c r="H1467" s="824">
        <v>2.4E-2</v>
      </c>
      <c r="I1467" s="825">
        <v>76.94</v>
      </c>
      <c r="J1467" s="825">
        <v>1.84</v>
      </c>
    </row>
    <row r="1468" spans="1:10" ht="25.5">
      <c r="A1468" s="822" t="s">
        <v>13493</v>
      </c>
      <c r="B1468" s="821" t="s">
        <v>14065</v>
      </c>
      <c r="C1468" s="822" t="s">
        <v>6</v>
      </c>
      <c r="D1468" s="822" t="s">
        <v>4634</v>
      </c>
      <c r="E1468" s="1017" t="s">
        <v>13514</v>
      </c>
      <c r="F1468" s="1017"/>
      <c r="G1468" s="823" t="s">
        <v>24</v>
      </c>
      <c r="H1468" s="824">
        <v>1</v>
      </c>
      <c r="I1468" s="825">
        <v>40.270000000000003</v>
      </c>
      <c r="J1468" s="825">
        <v>40.270000000000003</v>
      </c>
    </row>
    <row r="1469" spans="1:10">
      <c r="A1469" s="822" t="s">
        <v>13493</v>
      </c>
      <c r="B1469" s="821" t="s">
        <v>13913</v>
      </c>
      <c r="C1469" s="822" t="s">
        <v>6</v>
      </c>
      <c r="D1469" s="822" t="s">
        <v>4706</v>
      </c>
      <c r="E1469" s="1017" t="s">
        <v>13514</v>
      </c>
      <c r="F1469" s="1017"/>
      <c r="G1469" s="823" t="s">
        <v>24</v>
      </c>
      <c r="H1469" s="824">
        <v>2.8000000000000001E-2</v>
      </c>
      <c r="I1469" s="825">
        <v>2.2000000000000002</v>
      </c>
      <c r="J1469" s="825">
        <v>0.06</v>
      </c>
    </row>
    <row r="1470" spans="1:10" ht="13.5" customHeight="1">
      <c r="A1470" s="822" t="s">
        <v>13493</v>
      </c>
      <c r="B1470" s="821" t="s">
        <v>13915</v>
      </c>
      <c r="C1470" s="822" t="s">
        <v>6</v>
      </c>
      <c r="D1470" s="822" t="s">
        <v>12249</v>
      </c>
      <c r="E1470" s="1017" t="s">
        <v>13514</v>
      </c>
      <c r="F1470" s="1017"/>
      <c r="G1470" s="823" t="s">
        <v>24</v>
      </c>
      <c r="H1470" s="824">
        <v>0.03</v>
      </c>
      <c r="I1470" s="825">
        <v>87.17</v>
      </c>
      <c r="J1470" s="825">
        <v>2.61</v>
      </c>
    </row>
    <row r="1471" spans="1:10" ht="25.5">
      <c r="A1471" s="827"/>
      <c r="B1471" s="827"/>
      <c r="C1471" s="827"/>
      <c r="D1471" s="827"/>
      <c r="E1471" s="827" t="s">
        <v>13503</v>
      </c>
      <c r="F1471" s="826">
        <v>3.27</v>
      </c>
      <c r="G1471" s="827" t="s">
        <v>13504</v>
      </c>
      <c r="H1471" s="826">
        <v>0</v>
      </c>
      <c r="I1471" s="827" t="s">
        <v>13505</v>
      </c>
      <c r="J1471" s="826">
        <v>3.27</v>
      </c>
    </row>
    <row r="1472" spans="1:10" ht="13.5" customHeight="1" thickBot="1">
      <c r="A1472" s="827"/>
      <c r="B1472" s="827"/>
      <c r="C1472" s="827"/>
      <c r="D1472" s="827"/>
      <c r="E1472" s="827" t="s">
        <v>13506</v>
      </c>
      <c r="F1472" s="826">
        <v>13.87</v>
      </c>
      <c r="G1472" s="827"/>
      <c r="H1472" s="1018" t="s">
        <v>13507</v>
      </c>
      <c r="I1472" s="1018"/>
      <c r="J1472" s="826">
        <v>63.02</v>
      </c>
    </row>
    <row r="1473" spans="1:10" ht="25.5" customHeight="1" thickTop="1">
      <c r="A1473" s="828"/>
      <c r="B1473" s="828"/>
      <c r="C1473" s="828"/>
      <c r="D1473" s="828"/>
      <c r="E1473" s="828"/>
      <c r="F1473" s="828"/>
      <c r="G1473" s="828"/>
      <c r="H1473" s="828"/>
      <c r="I1473" s="828"/>
      <c r="J1473" s="828"/>
    </row>
    <row r="1474" spans="1:10" ht="15">
      <c r="A1474" s="809" t="s">
        <v>14066</v>
      </c>
      <c r="B1474" s="808" t="s">
        <v>13481</v>
      </c>
      <c r="C1474" s="809" t="s">
        <v>13482</v>
      </c>
      <c r="D1474" s="809" t="s">
        <v>13483</v>
      </c>
      <c r="E1474" s="1019" t="s">
        <v>13484</v>
      </c>
      <c r="F1474" s="1019"/>
      <c r="G1474" s="810" t="s">
        <v>13485</v>
      </c>
      <c r="H1474" s="808" t="s">
        <v>13486</v>
      </c>
      <c r="I1474" s="808" t="s">
        <v>13487</v>
      </c>
      <c r="J1474" s="808" t="s">
        <v>4867</v>
      </c>
    </row>
    <row r="1475" spans="1:10" ht="25.5" customHeight="1">
      <c r="A1475" s="812" t="s">
        <v>13488</v>
      </c>
      <c r="B1475" s="811" t="s">
        <v>14067</v>
      </c>
      <c r="C1475" s="812" t="s">
        <v>6</v>
      </c>
      <c r="D1475" s="812" t="s">
        <v>1210</v>
      </c>
      <c r="E1475" s="1020" t="s">
        <v>13898</v>
      </c>
      <c r="F1475" s="1020"/>
      <c r="G1475" s="813" t="s">
        <v>24</v>
      </c>
      <c r="H1475" s="814">
        <v>1</v>
      </c>
      <c r="I1475" s="815">
        <v>5.96</v>
      </c>
      <c r="J1475" s="815">
        <v>5.96</v>
      </c>
    </row>
    <row r="1476" spans="1:10" ht="38.25" customHeight="1">
      <c r="A1476" s="817" t="s">
        <v>13491</v>
      </c>
      <c r="B1476" s="816" t="s">
        <v>13909</v>
      </c>
      <c r="C1476" s="817" t="s">
        <v>6</v>
      </c>
      <c r="D1476" s="817" t="s">
        <v>986</v>
      </c>
      <c r="E1476" s="1021" t="s">
        <v>13490</v>
      </c>
      <c r="F1476" s="1021"/>
      <c r="G1476" s="818" t="s">
        <v>19</v>
      </c>
      <c r="H1476" s="819">
        <v>0.09</v>
      </c>
      <c r="I1476" s="820">
        <v>15.54</v>
      </c>
      <c r="J1476" s="820">
        <v>1.39</v>
      </c>
    </row>
    <row r="1477" spans="1:10" ht="13.5" customHeight="1">
      <c r="A1477" s="817" t="s">
        <v>13491</v>
      </c>
      <c r="B1477" s="816" t="s">
        <v>13574</v>
      </c>
      <c r="C1477" s="817" t="s">
        <v>6</v>
      </c>
      <c r="D1477" s="817" t="s">
        <v>34</v>
      </c>
      <c r="E1477" s="1021" t="s">
        <v>13490</v>
      </c>
      <c r="F1477" s="1021"/>
      <c r="G1477" s="818" t="s">
        <v>19</v>
      </c>
      <c r="H1477" s="819">
        <v>0.09</v>
      </c>
      <c r="I1477" s="820">
        <v>18.72</v>
      </c>
      <c r="J1477" s="820">
        <v>1.68</v>
      </c>
    </row>
    <row r="1478" spans="1:10">
      <c r="A1478" s="822" t="s">
        <v>13493</v>
      </c>
      <c r="B1478" s="821" t="s">
        <v>13910</v>
      </c>
      <c r="C1478" s="822" t="s">
        <v>6</v>
      </c>
      <c r="D1478" s="822" t="s">
        <v>8519</v>
      </c>
      <c r="E1478" s="1017" t="s">
        <v>13514</v>
      </c>
      <c r="F1478" s="1017"/>
      <c r="G1478" s="823" t="s">
        <v>24</v>
      </c>
      <c r="H1478" s="824">
        <v>7.0000000000000001E-3</v>
      </c>
      <c r="I1478" s="825">
        <v>76.94</v>
      </c>
      <c r="J1478" s="825">
        <v>0.53</v>
      </c>
    </row>
    <row r="1479" spans="1:10">
      <c r="A1479" s="822" t="s">
        <v>13493</v>
      </c>
      <c r="B1479" s="821" t="s">
        <v>13913</v>
      </c>
      <c r="C1479" s="822" t="s">
        <v>6</v>
      </c>
      <c r="D1479" s="822" t="s">
        <v>4706</v>
      </c>
      <c r="E1479" s="1017" t="s">
        <v>13514</v>
      </c>
      <c r="F1479" s="1017"/>
      <c r="G1479" s="823" t="s">
        <v>24</v>
      </c>
      <c r="H1479" s="824">
        <v>0.03</v>
      </c>
      <c r="I1479" s="825">
        <v>2.2000000000000002</v>
      </c>
      <c r="J1479" s="825">
        <v>0.06</v>
      </c>
    </row>
    <row r="1480" spans="1:10" ht="25.5" customHeight="1">
      <c r="A1480" s="822" t="s">
        <v>13493</v>
      </c>
      <c r="B1480" s="821" t="s">
        <v>14068</v>
      </c>
      <c r="C1480" s="822" t="s">
        <v>6</v>
      </c>
      <c r="D1480" s="822" t="s">
        <v>4702</v>
      </c>
      <c r="E1480" s="1017" t="s">
        <v>13514</v>
      </c>
      <c r="F1480" s="1017"/>
      <c r="G1480" s="823" t="s">
        <v>24</v>
      </c>
      <c r="H1480" s="824">
        <v>1</v>
      </c>
      <c r="I1480" s="825">
        <v>1.61</v>
      </c>
      <c r="J1480" s="825">
        <v>1.61</v>
      </c>
    </row>
    <row r="1481" spans="1:10" ht="25.5">
      <c r="A1481" s="822" t="s">
        <v>13493</v>
      </c>
      <c r="B1481" s="821" t="s">
        <v>13915</v>
      </c>
      <c r="C1481" s="822" t="s">
        <v>6</v>
      </c>
      <c r="D1481" s="822" t="s">
        <v>12249</v>
      </c>
      <c r="E1481" s="1017" t="s">
        <v>13514</v>
      </c>
      <c r="F1481" s="1017"/>
      <c r="G1481" s="823" t="s">
        <v>24</v>
      </c>
      <c r="H1481" s="824">
        <v>8.0000000000000002E-3</v>
      </c>
      <c r="I1481" s="825">
        <v>87.17</v>
      </c>
      <c r="J1481" s="825">
        <v>0.69</v>
      </c>
    </row>
    <row r="1482" spans="1:10" ht="25.5">
      <c r="A1482" s="827"/>
      <c r="B1482" s="827"/>
      <c r="C1482" s="827"/>
      <c r="D1482" s="827"/>
      <c r="E1482" s="827" t="s">
        <v>13503</v>
      </c>
      <c r="F1482" s="826">
        <v>2.29</v>
      </c>
      <c r="G1482" s="827" t="s">
        <v>13504</v>
      </c>
      <c r="H1482" s="826">
        <v>0</v>
      </c>
      <c r="I1482" s="827" t="s">
        <v>13505</v>
      </c>
      <c r="J1482" s="826">
        <v>2.29</v>
      </c>
    </row>
    <row r="1483" spans="1:10" ht="13.5" customHeight="1" thickBot="1">
      <c r="A1483" s="827"/>
      <c r="B1483" s="827"/>
      <c r="C1483" s="827"/>
      <c r="D1483" s="827"/>
      <c r="E1483" s="827" t="s">
        <v>13506</v>
      </c>
      <c r="F1483" s="826">
        <v>1.68</v>
      </c>
      <c r="G1483" s="827"/>
      <c r="H1483" s="1018" t="s">
        <v>13507</v>
      </c>
      <c r="I1483" s="1018"/>
      <c r="J1483" s="826">
        <v>7.64</v>
      </c>
    </row>
    <row r="1484" spans="1:10" ht="13.5" customHeight="1" thickTop="1">
      <c r="A1484" s="828"/>
      <c r="B1484" s="828"/>
      <c r="C1484" s="828"/>
      <c r="D1484" s="828"/>
      <c r="E1484" s="828"/>
      <c r="F1484" s="828"/>
      <c r="G1484" s="828"/>
      <c r="H1484" s="828"/>
      <c r="I1484" s="828"/>
      <c r="J1484" s="828"/>
    </row>
    <row r="1485" spans="1:10" ht="15">
      <c r="A1485" s="809" t="s">
        <v>14069</v>
      </c>
      <c r="B1485" s="808" t="s">
        <v>13481</v>
      </c>
      <c r="C1485" s="809" t="s">
        <v>13482</v>
      </c>
      <c r="D1485" s="809" t="s">
        <v>13483</v>
      </c>
      <c r="E1485" s="1019" t="s">
        <v>13484</v>
      </c>
      <c r="F1485" s="1019"/>
      <c r="G1485" s="810" t="s">
        <v>13485</v>
      </c>
      <c r="H1485" s="808" t="s">
        <v>13486</v>
      </c>
      <c r="I1485" s="808" t="s">
        <v>13487</v>
      </c>
      <c r="J1485" s="808" t="s">
        <v>4867</v>
      </c>
    </row>
    <row r="1486" spans="1:10" ht="25.5" customHeight="1">
      <c r="A1486" s="812" t="s">
        <v>13488</v>
      </c>
      <c r="B1486" s="811" t="s">
        <v>14070</v>
      </c>
      <c r="C1486" s="812" t="s">
        <v>6</v>
      </c>
      <c r="D1486" s="812" t="s">
        <v>248</v>
      </c>
      <c r="E1486" s="1020" t="s">
        <v>13898</v>
      </c>
      <c r="F1486" s="1020"/>
      <c r="G1486" s="813" t="s">
        <v>24</v>
      </c>
      <c r="H1486" s="814">
        <v>1</v>
      </c>
      <c r="I1486" s="815">
        <v>39.67</v>
      </c>
      <c r="J1486" s="815">
        <v>39.67</v>
      </c>
    </row>
    <row r="1487" spans="1:10" ht="25.5" customHeight="1">
      <c r="A1487" s="817" t="s">
        <v>13491</v>
      </c>
      <c r="B1487" s="816" t="s">
        <v>13909</v>
      </c>
      <c r="C1487" s="817" t="s">
        <v>6</v>
      </c>
      <c r="D1487" s="817" t="s">
        <v>986</v>
      </c>
      <c r="E1487" s="1021" t="s">
        <v>13490</v>
      </c>
      <c r="F1487" s="1021"/>
      <c r="G1487" s="818" t="s">
        <v>19</v>
      </c>
      <c r="H1487" s="819">
        <v>0.128</v>
      </c>
      <c r="I1487" s="820">
        <v>15.54</v>
      </c>
      <c r="J1487" s="820">
        <v>1.98</v>
      </c>
    </row>
    <row r="1488" spans="1:10" ht="38.25" customHeight="1">
      <c r="A1488" s="817" t="s">
        <v>13491</v>
      </c>
      <c r="B1488" s="816" t="s">
        <v>13574</v>
      </c>
      <c r="C1488" s="817" t="s">
        <v>6</v>
      </c>
      <c r="D1488" s="817" t="s">
        <v>34</v>
      </c>
      <c r="E1488" s="1021" t="s">
        <v>13490</v>
      </c>
      <c r="F1488" s="1021"/>
      <c r="G1488" s="818" t="s">
        <v>19</v>
      </c>
      <c r="H1488" s="819">
        <v>0.128</v>
      </c>
      <c r="I1488" s="820">
        <v>18.72</v>
      </c>
      <c r="J1488" s="820">
        <v>2.39</v>
      </c>
    </row>
    <row r="1489" spans="1:10">
      <c r="A1489" s="822" t="s">
        <v>13493</v>
      </c>
      <c r="B1489" s="821" t="s">
        <v>13910</v>
      </c>
      <c r="C1489" s="822" t="s">
        <v>6</v>
      </c>
      <c r="D1489" s="822" t="s">
        <v>8519</v>
      </c>
      <c r="E1489" s="1017" t="s">
        <v>13514</v>
      </c>
      <c r="F1489" s="1017"/>
      <c r="G1489" s="823" t="s">
        <v>24</v>
      </c>
      <c r="H1489" s="824">
        <v>2.4E-2</v>
      </c>
      <c r="I1489" s="825">
        <v>76.94</v>
      </c>
      <c r="J1489" s="825">
        <v>1.84</v>
      </c>
    </row>
    <row r="1490" spans="1:10">
      <c r="A1490" s="822" t="s">
        <v>13493</v>
      </c>
      <c r="B1490" s="821" t="s">
        <v>13913</v>
      </c>
      <c r="C1490" s="822" t="s">
        <v>6</v>
      </c>
      <c r="D1490" s="822" t="s">
        <v>4706</v>
      </c>
      <c r="E1490" s="1017" t="s">
        <v>13514</v>
      </c>
      <c r="F1490" s="1017"/>
      <c r="G1490" s="823" t="s">
        <v>24</v>
      </c>
      <c r="H1490" s="824">
        <v>2.8000000000000001E-2</v>
      </c>
      <c r="I1490" s="825">
        <v>2.2000000000000002</v>
      </c>
      <c r="J1490" s="825">
        <v>0.06</v>
      </c>
    </row>
    <row r="1491" spans="1:10" ht="13.5" customHeight="1">
      <c r="A1491" s="822" t="s">
        <v>13493</v>
      </c>
      <c r="B1491" s="821" t="s">
        <v>14071</v>
      </c>
      <c r="C1491" s="822" t="s">
        <v>6</v>
      </c>
      <c r="D1491" s="822" t="s">
        <v>10834</v>
      </c>
      <c r="E1491" s="1017" t="s">
        <v>13514</v>
      </c>
      <c r="F1491" s="1017"/>
      <c r="G1491" s="823" t="s">
        <v>24</v>
      </c>
      <c r="H1491" s="824">
        <v>1</v>
      </c>
      <c r="I1491" s="825">
        <v>30.79</v>
      </c>
      <c r="J1491" s="825">
        <v>30.79</v>
      </c>
    </row>
    <row r="1492" spans="1:10" ht="25.5">
      <c r="A1492" s="822" t="s">
        <v>13493</v>
      </c>
      <c r="B1492" s="821" t="s">
        <v>13915</v>
      </c>
      <c r="C1492" s="822" t="s">
        <v>6</v>
      </c>
      <c r="D1492" s="822" t="s">
        <v>12249</v>
      </c>
      <c r="E1492" s="1017" t="s">
        <v>13514</v>
      </c>
      <c r="F1492" s="1017"/>
      <c r="G1492" s="823" t="s">
        <v>24</v>
      </c>
      <c r="H1492" s="824">
        <v>0.03</v>
      </c>
      <c r="I1492" s="825">
        <v>87.17</v>
      </c>
      <c r="J1492" s="825">
        <v>2.61</v>
      </c>
    </row>
    <row r="1493" spans="1:10" ht="25.5">
      <c r="A1493" s="827"/>
      <c r="B1493" s="827"/>
      <c r="C1493" s="827"/>
      <c r="D1493" s="827"/>
      <c r="E1493" s="827" t="s">
        <v>13503</v>
      </c>
      <c r="F1493" s="826">
        <v>3.27</v>
      </c>
      <c r="G1493" s="827" t="s">
        <v>13504</v>
      </c>
      <c r="H1493" s="826">
        <v>0</v>
      </c>
      <c r="I1493" s="827" t="s">
        <v>13505</v>
      </c>
      <c r="J1493" s="826">
        <v>3.27</v>
      </c>
    </row>
    <row r="1494" spans="1:10" ht="25.5" customHeight="1" thickBot="1">
      <c r="A1494" s="827"/>
      <c r="B1494" s="827"/>
      <c r="C1494" s="827"/>
      <c r="D1494" s="827"/>
      <c r="E1494" s="827" t="s">
        <v>13506</v>
      </c>
      <c r="F1494" s="826">
        <v>11.2</v>
      </c>
      <c r="G1494" s="827"/>
      <c r="H1494" s="1018" t="s">
        <v>13507</v>
      </c>
      <c r="I1494" s="1018"/>
      <c r="J1494" s="826">
        <v>50.87</v>
      </c>
    </row>
    <row r="1495" spans="1:10" ht="13.5" thickTop="1">
      <c r="A1495" s="828"/>
      <c r="B1495" s="828"/>
      <c r="C1495" s="828"/>
      <c r="D1495" s="828"/>
      <c r="E1495" s="828"/>
      <c r="F1495" s="828"/>
      <c r="G1495" s="828"/>
      <c r="H1495" s="828"/>
      <c r="I1495" s="828"/>
      <c r="J1495" s="828"/>
    </row>
    <row r="1496" spans="1:10" ht="15">
      <c r="A1496" s="809" t="s">
        <v>14072</v>
      </c>
      <c r="B1496" s="808" t="s">
        <v>13481</v>
      </c>
      <c r="C1496" s="809" t="s">
        <v>13482</v>
      </c>
      <c r="D1496" s="809" t="s">
        <v>13483</v>
      </c>
      <c r="E1496" s="1019" t="s">
        <v>13484</v>
      </c>
      <c r="F1496" s="1019"/>
      <c r="G1496" s="810" t="s">
        <v>13485</v>
      </c>
      <c r="H1496" s="808" t="s">
        <v>13486</v>
      </c>
      <c r="I1496" s="808" t="s">
        <v>13487</v>
      </c>
      <c r="J1496" s="808" t="s">
        <v>4867</v>
      </c>
    </row>
    <row r="1497" spans="1:10" ht="25.5" customHeight="1">
      <c r="A1497" s="812" t="s">
        <v>13488</v>
      </c>
      <c r="B1497" s="811" t="s">
        <v>14073</v>
      </c>
      <c r="C1497" s="812" t="s">
        <v>6</v>
      </c>
      <c r="D1497" s="812" t="s">
        <v>1209</v>
      </c>
      <c r="E1497" s="1020" t="s">
        <v>13898</v>
      </c>
      <c r="F1497" s="1020"/>
      <c r="G1497" s="813" t="s">
        <v>24</v>
      </c>
      <c r="H1497" s="814">
        <v>1</v>
      </c>
      <c r="I1497" s="815">
        <v>5.14</v>
      </c>
      <c r="J1497" s="815">
        <v>5.14</v>
      </c>
    </row>
    <row r="1498" spans="1:10" ht="13.5" customHeight="1">
      <c r="A1498" s="817" t="s">
        <v>13491</v>
      </c>
      <c r="B1498" s="816" t="s">
        <v>13909</v>
      </c>
      <c r="C1498" s="817" t="s">
        <v>6</v>
      </c>
      <c r="D1498" s="817" t="s">
        <v>986</v>
      </c>
      <c r="E1498" s="1021" t="s">
        <v>13490</v>
      </c>
      <c r="F1498" s="1021"/>
      <c r="G1498" s="818" t="s">
        <v>19</v>
      </c>
      <c r="H1498" s="819">
        <v>0.09</v>
      </c>
      <c r="I1498" s="820">
        <v>15.54</v>
      </c>
      <c r="J1498" s="820">
        <v>1.39</v>
      </c>
    </row>
    <row r="1499" spans="1:10" ht="38.25" customHeight="1">
      <c r="A1499" s="817" t="s">
        <v>13491</v>
      </c>
      <c r="B1499" s="816" t="s">
        <v>13574</v>
      </c>
      <c r="C1499" s="817" t="s">
        <v>6</v>
      </c>
      <c r="D1499" s="817" t="s">
        <v>34</v>
      </c>
      <c r="E1499" s="1021" t="s">
        <v>13490</v>
      </c>
      <c r="F1499" s="1021"/>
      <c r="G1499" s="818" t="s">
        <v>19</v>
      </c>
      <c r="H1499" s="819">
        <v>0.09</v>
      </c>
      <c r="I1499" s="820">
        <v>18.72</v>
      </c>
      <c r="J1499" s="820">
        <v>1.68</v>
      </c>
    </row>
    <row r="1500" spans="1:10">
      <c r="A1500" s="822" t="s">
        <v>13493</v>
      </c>
      <c r="B1500" s="821" t="s">
        <v>13910</v>
      </c>
      <c r="C1500" s="822" t="s">
        <v>6</v>
      </c>
      <c r="D1500" s="822" t="s">
        <v>8519</v>
      </c>
      <c r="E1500" s="1017" t="s">
        <v>13514</v>
      </c>
      <c r="F1500" s="1017"/>
      <c r="G1500" s="823" t="s">
        <v>24</v>
      </c>
      <c r="H1500" s="824">
        <v>7.0000000000000001E-3</v>
      </c>
      <c r="I1500" s="825">
        <v>76.94</v>
      </c>
      <c r="J1500" s="825">
        <v>0.53</v>
      </c>
    </row>
    <row r="1501" spans="1:10" ht="25.5" customHeight="1">
      <c r="A1501" s="822" t="s">
        <v>13493</v>
      </c>
      <c r="B1501" s="821" t="s">
        <v>13913</v>
      </c>
      <c r="C1501" s="822" t="s">
        <v>6</v>
      </c>
      <c r="D1501" s="822" t="s">
        <v>4706</v>
      </c>
      <c r="E1501" s="1017" t="s">
        <v>13514</v>
      </c>
      <c r="F1501" s="1017"/>
      <c r="G1501" s="823" t="s">
        <v>24</v>
      </c>
      <c r="H1501" s="824">
        <v>0.03</v>
      </c>
      <c r="I1501" s="825">
        <v>2.2000000000000002</v>
      </c>
      <c r="J1501" s="825">
        <v>0.06</v>
      </c>
    </row>
    <row r="1502" spans="1:10" ht="25.5" customHeight="1">
      <c r="A1502" s="822" t="s">
        <v>13493</v>
      </c>
      <c r="B1502" s="821" t="s">
        <v>14074</v>
      </c>
      <c r="C1502" s="822" t="s">
        <v>6</v>
      </c>
      <c r="D1502" s="822" t="s">
        <v>4698</v>
      </c>
      <c r="E1502" s="1017" t="s">
        <v>13514</v>
      </c>
      <c r="F1502" s="1017"/>
      <c r="G1502" s="823" t="s">
        <v>24</v>
      </c>
      <c r="H1502" s="824">
        <v>1</v>
      </c>
      <c r="I1502" s="825">
        <v>0.79</v>
      </c>
      <c r="J1502" s="825">
        <v>0.79</v>
      </c>
    </row>
    <row r="1503" spans="1:10" ht="25.5" customHeight="1">
      <c r="A1503" s="822" t="s">
        <v>13493</v>
      </c>
      <c r="B1503" s="821" t="s">
        <v>13915</v>
      </c>
      <c r="C1503" s="822" t="s">
        <v>6</v>
      </c>
      <c r="D1503" s="822" t="s">
        <v>12249</v>
      </c>
      <c r="E1503" s="1017" t="s">
        <v>13514</v>
      </c>
      <c r="F1503" s="1017"/>
      <c r="G1503" s="823" t="s">
        <v>24</v>
      </c>
      <c r="H1503" s="824">
        <v>8.0000000000000002E-3</v>
      </c>
      <c r="I1503" s="825">
        <v>87.17</v>
      </c>
      <c r="J1503" s="825">
        <v>0.69</v>
      </c>
    </row>
    <row r="1504" spans="1:10" ht="25.5">
      <c r="A1504" s="827"/>
      <c r="B1504" s="827"/>
      <c r="C1504" s="827"/>
      <c r="D1504" s="827"/>
      <c r="E1504" s="827" t="s">
        <v>13503</v>
      </c>
      <c r="F1504" s="826">
        <v>2.29</v>
      </c>
      <c r="G1504" s="827" t="s">
        <v>13504</v>
      </c>
      <c r="H1504" s="826">
        <v>0</v>
      </c>
      <c r="I1504" s="827" t="s">
        <v>13505</v>
      </c>
      <c r="J1504" s="826">
        <v>2.29</v>
      </c>
    </row>
    <row r="1505" spans="1:10" ht="13.5" customHeight="1" thickBot="1">
      <c r="A1505" s="827"/>
      <c r="B1505" s="827"/>
      <c r="C1505" s="827"/>
      <c r="D1505" s="827"/>
      <c r="E1505" s="827" t="s">
        <v>13506</v>
      </c>
      <c r="F1505" s="826">
        <v>1.45</v>
      </c>
      <c r="G1505" s="827"/>
      <c r="H1505" s="1018" t="s">
        <v>13507</v>
      </c>
      <c r="I1505" s="1018"/>
      <c r="J1505" s="826">
        <v>6.59</v>
      </c>
    </row>
    <row r="1506" spans="1:10" ht="13.5" thickTop="1">
      <c r="A1506" s="828"/>
      <c r="B1506" s="828"/>
      <c r="C1506" s="828"/>
      <c r="D1506" s="828"/>
      <c r="E1506" s="828"/>
      <c r="F1506" s="828"/>
      <c r="G1506" s="828"/>
      <c r="H1506" s="828"/>
      <c r="I1506" s="828"/>
      <c r="J1506" s="828"/>
    </row>
    <row r="1507" spans="1:10" ht="13.5" customHeight="1">
      <c r="A1507" s="809" t="s">
        <v>14075</v>
      </c>
      <c r="B1507" s="808" t="s">
        <v>13481</v>
      </c>
      <c r="C1507" s="809" t="s">
        <v>13482</v>
      </c>
      <c r="D1507" s="809" t="s">
        <v>13483</v>
      </c>
      <c r="E1507" s="1019" t="s">
        <v>13484</v>
      </c>
      <c r="F1507" s="1019"/>
      <c r="G1507" s="810" t="s">
        <v>13485</v>
      </c>
      <c r="H1507" s="808" t="s">
        <v>13486</v>
      </c>
      <c r="I1507" s="808" t="s">
        <v>13487</v>
      </c>
      <c r="J1507" s="808" t="s">
        <v>4867</v>
      </c>
    </row>
    <row r="1508" spans="1:10" ht="25.5" customHeight="1">
      <c r="A1508" s="812" t="s">
        <v>13488</v>
      </c>
      <c r="B1508" s="811" t="s">
        <v>14076</v>
      </c>
      <c r="C1508" s="812" t="s">
        <v>6</v>
      </c>
      <c r="D1508" s="812" t="s">
        <v>243</v>
      </c>
      <c r="E1508" s="1020" t="s">
        <v>13898</v>
      </c>
      <c r="F1508" s="1020"/>
      <c r="G1508" s="813" t="s">
        <v>24</v>
      </c>
      <c r="H1508" s="814">
        <v>1</v>
      </c>
      <c r="I1508" s="815">
        <v>13.07</v>
      </c>
      <c r="J1508" s="815">
        <v>13.07</v>
      </c>
    </row>
    <row r="1509" spans="1:10" ht="38.25" customHeight="1">
      <c r="A1509" s="817" t="s">
        <v>13491</v>
      </c>
      <c r="B1509" s="816" t="s">
        <v>13909</v>
      </c>
      <c r="C1509" s="817" t="s">
        <v>6</v>
      </c>
      <c r="D1509" s="817" t="s">
        <v>986</v>
      </c>
      <c r="E1509" s="1021" t="s">
        <v>13490</v>
      </c>
      <c r="F1509" s="1021"/>
      <c r="G1509" s="818" t="s">
        <v>19</v>
      </c>
      <c r="H1509" s="819">
        <v>0.108</v>
      </c>
      <c r="I1509" s="820">
        <v>15.54</v>
      </c>
      <c r="J1509" s="820">
        <v>1.67</v>
      </c>
    </row>
    <row r="1510" spans="1:10" ht="25.5" customHeight="1">
      <c r="A1510" s="817" t="s">
        <v>13491</v>
      </c>
      <c r="B1510" s="816" t="s">
        <v>13574</v>
      </c>
      <c r="C1510" s="817" t="s">
        <v>6</v>
      </c>
      <c r="D1510" s="817" t="s">
        <v>34</v>
      </c>
      <c r="E1510" s="1021" t="s">
        <v>13490</v>
      </c>
      <c r="F1510" s="1021"/>
      <c r="G1510" s="818" t="s">
        <v>19</v>
      </c>
      <c r="H1510" s="819">
        <v>0.108</v>
      </c>
      <c r="I1510" s="820">
        <v>18.72</v>
      </c>
      <c r="J1510" s="820">
        <v>2.02</v>
      </c>
    </row>
    <row r="1511" spans="1:10">
      <c r="A1511" s="822" t="s">
        <v>13493</v>
      </c>
      <c r="B1511" s="821" t="s">
        <v>13910</v>
      </c>
      <c r="C1511" s="822" t="s">
        <v>6</v>
      </c>
      <c r="D1511" s="822" t="s">
        <v>8519</v>
      </c>
      <c r="E1511" s="1017" t="s">
        <v>13514</v>
      </c>
      <c r="F1511" s="1017"/>
      <c r="G1511" s="823" t="s">
        <v>24</v>
      </c>
      <c r="H1511" s="824">
        <v>1.7999999999999999E-2</v>
      </c>
      <c r="I1511" s="825">
        <v>76.94</v>
      </c>
      <c r="J1511" s="825">
        <v>1.38</v>
      </c>
    </row>
    <row r="1512" spans="1:10">
      <c r="A1512" s="822" t="s">
        <v>13493</v>
      </c>
      <c r="B1512" s="821" t="s">
        <v>14077</v>
      </c>
      <c r="C1512" s="822" t="s">
        <v>6</v>
      </c>
      <c r="D1512" s="822" t="s">
        <v>4699</v>
      </c>
      <c r="E1512" s="1017" t="s">
        <v>13514</v>
      </c>
      <c r="F1512" s="1017"/>
      <c r="G1512" s="823" t="s">
        <v>24</v>
      </c>
      <c r="H1512" s="824">
        <v>1</v>
      </c>
      <c r="I1512" s="825">
        <v>6.04</v>
      </c>
      <c r="J1512" s="825">
        <v>6.04</v>
      </c>
    </row>
    <row r="1513" spans="1:10">
      <c r="A1513" s="822" t="s">
        <v>13493</v>
      </c>
      <c r="B1513" s="821" t="s">
        <v>13913</v>
      </c>
      <c r="C1513" s="822" t="s">
        <v>6</v>
      </c>
      <c r="D1513" s="822" t="s">
        <v>4706</v>
      </c>
      <c r="E1513" s="1017" t="s">
        <v>13514</v>
      </c>
      <c r="F1513" s="1017"/>
      <c r="G1513" s="823" t="s">
        <v>24</v>
      </c>
      <c r="H1513" s="824">
        <v>2.4E-2</v>
      </c>
      <c r="I1513" s="825">
        <v>2.2000000000000002</v>
      </c>
      <c r="J1513" s="825">
        <v>0.05</v>
      </c>
    </row>
    <row r="1514" spans="1:10" ht="13.5" customHeight="1">
      <c r="A1514" s="822" t="s">
        <v>13493</v>
      </c>
      <c r="B1514" s="821" t="s">
        <v>13915</v>
      </c>
      <c r="C1514" s="822" t="s">
        <v>6</v>
      </c>
      <c r="D1514" s="822" t="s">
        <v>12249</v>
      </c>
      <c r="E1514" s="1017" t="s">
        <v>13514</v>
      </c>
      <c r="F1514" s="1017"/>
      <c r="G1514" s="823" t="s">
        <v>24</v>
      </c>
      <c r="H1514" s="824">
        <v>2.1999999999999999E-2</v>
      </c>
      <c r="I1514" s="825">
        <v>87.17</v>
      </c>
      <c r="J1514" s="825">
        <v>1.91</v>
      </c>
    </row>
    <row r="1515" spans="1:10" ht="25.5">
      <c r="A1515" s="827"/>
      <c r="B1515" s="827"/>
      <c r="C1515" s="827"/>
      <c r="D1515" s="827"/>
      <c r="E1515" s="827" t="s">
        <v>13503</v>
      </c>
      <c r="F1515" s="826">
        <v>2.76</v>
      </c>
      <c r="G1515" s="827" t="s">
        <v>13504</v>
      </c>
      <c r="H1515" s="826">
        <v>0</v>
      </c>
      <c r="I1515" s="827" t="s">
        <v>13505</v>
      </c>
      <c r="J1515" s="826">
        <v>2.76</v>
      </c>
    </row>
    <row r="1516" spans="1:10" ht="13.5" customHeight="1" thickBot="1">
      <c r="A1516" s="827"/>
      <c r="B1516" s="827"/>
      <c r="C1516" s="827"/>
      <c r="D1516" s="827"/>
      <c r="E1516" s="827" t="s">
        <v>13506</v>
      </c>
      <c r="F1516" s="826">
        <v>3.69</v>
      </c>
      <c r="G1516" s="827"/>
      <c r="H1516" s="1018" t="s">
        <v>13507</v>
      </c>
      <c r="I1516" s="1018"/>
      <c r="J1516" s="826">
        <v>16.760000000000002</v>
      </c>
    </row>
    <row r="1517" spans="1:10" ht="25.5" customHeight="1" thickTop="1">
      <c r="A1517" s="828"/>
      <c r="B1517" s="828"/>
      <c r="C1517" s="828"/>
      <c r="D1517" s="828"/>
      <c r="E1517" s="828"/>
      <c r="F1517" s="828"/>
      <c r="G1517" s="828"/>
      <c r="H1517" s="828"/>
      <c r="I1517" s="828"/>
      <c r="J1517" s="828"/>
    </row>
    <row r="1518" spans="1:10" ht="15">
      <c r="A1518" s="809" t="s">
        <v>14078</v>
      </c>
      <c r="B1518" s="808" t="s">
        <v>13481</v>
      </c>
      <c r="C1518" s="809" t="s">
        <v>13482</v>
      </c>
      <c r="D1518" s="809" t="s">
        <v>13483</v>
      </c>
      <c r="E1518" s="1019" t="s">
        <v>13484</v>
      </c>
      <c r="F1518" s="1019"/>
      <c r="G1518" s="810" t="s">
        <v>13485</v>
      </c>
      <c r="H1518" s="808" t="s">
        <v>13486</v>
      </c>
      <c r="I1518" s="808" t="s">
        <v>13487</v>
      </c>
      <c r="J1518" s="808" t="s">
        <v>4867</v>
      </c>
    </row>
    <row r="1519" spans="1:10" ht="25.5" customHeight="1">
      <c r="A1519" s="812" t="s">
        <v>13488</v>
      </c>
      <c r="B1519" s="811" t="s">
        <v>14079</v>
      </c>
      <c r="C1519" s="812" t="s">
        <v>6</v>
      </c>
      <c r="D1519" s="812" t="s">
        <v>247</v>
      </c>
      <c r="E1519" s="1020" t="s">
        <v>13898</v>
      </c>
      <c r="F1519" s="1020"/>
      <c r="G1519" s="813" t="s">
        <v>24</v>
      </c>
      <c r="H1519" s="814">
        <v>1</v>
      </c>
      <c r="I1519" s="815">
        <v>35.11</v>
      </c>
      <c r="J1519" s="815">
        <v>35.11</v>
      </c>
    </row>
    <row r="1520" spans="1:10" ht="38.25" customHeight="1">
      <c r="A1520" s="817" t="s">
        <v>13491</v>
      </c>
      <c r="B1520" s="816" t="s">
        <v>13909</v>
      </c>
      <c r="C1520" s="817" t="s">
        <v>6</v>
      </c>
      <c r="D1520" s="817" t="s">
        <v>986</v>
      </c>
      <c r="E1520" s="1021" t="s">
        <v>13490</v>
      </c>
      <c r="F1520" s="1021"/>
      <c r="G1520" s="818" t="s">
        <v>19</v>
      </c>
      <c r="H1520" s="819">
        <v>0.128</v>
      </c>
      <c r="I1520" s="820">
        <v>15.54</v>
      </c>
      <c r="J1520" s="820">
        <v>1.98</v>
      </c>
    </row>
    <row r="1521" spans="1:10" ht="38.25" customHeight="1">
      <c r="A1521" s="817" t="s">
        <v>13491</v>
      </c>
      <c r="B1521" s="816" t="s">
        <v>13574</v>
      </c>
      <c r="C1521" s="817" t="s">
        <v>6</v>
      </c>
      <c r="D1521" s="817" t="s">
        <v>34</v>
      </c>
      <c r="E1521" s="1021" t="s">
        <v>13490</v>
      </c>
      <c r="F1521" s="1021"/>
      <c r="G1521" s="818" t="s">
        <v>19</v>
      </c>
      <c r="H1521" s="819">
        <v>0.128</v>
      </c>
      <c r="I1521" s="820">
        <v>18.72</v>
      </c>
      <c r="J1521" s="820">
        <v>2.39</v>
      </c>
    </row>
    <row r="1522" spans="1:10">
      <c r="A1522" s="822" t="s">
        <v>13493</v>
      </c>
      <c r="B1522" s="821" t="s">
        <v>13910</v>
      </c>
      <c r="C1522" s="822" t="s">
        <v>6</v>
      </c>
      <c r="D1522" s="822" t="s">
        <v>8519</v>
      </c>
      <c r="E1522" s="1017" t="s">
        <v>13514</v>
      </c>
      <c r="F1522" s="1017"/>
      <c r="G1522" s="823" t="s">
        <v>24</v>
      </c>
      <c r="H1522" s="824">
        <v>2.4E-2</v>
      </c>
      <c r="I1522" s="825">
        <v>76.94</v>
      </c>
      <c r="J1522" s="825">
        <v>1.84</v>
      </c>
    </row>
    <row r="1523" spans="1:10" ht="13.5" customHeight="1">
      <c r="A1523" s="822" t="s">
        <v>13493</v>
      </c>
      <c r="B1523" s="821" t="s">
        <v>13913</v>
      </c>
      <c r="C1523" s="822" t="s">
        <v>6</v>
      </c>
      <c r="D1523" s="822" t="s">
        <v>4706</v>
      </c>
      <c r="E1523" s="1017" t="s">
        <v>13514</v>
      </c>
      <c r="F1523" s="1017"/>
      <c r="G1523" s="823" t="s">
        <v>24</v>
      </c>
      <c r="H1523" s="824">
        <v>2.8000000000000001E-2</v>
      </c>
      <c r="I1523" s="825">
        <v>2.2000000000000002</v>
      </c>
      <c r="J1523" s="825">
        <v>0.06</v>
      </c>
    </row>
    <row r="1524" spans="1:10">
      <c r="A1524" s="822" t="s">
        <v>13493</v>
      </c>
      <c r="B1524" s="821" t="s">
        <v>14080</v>
      </c>
      <c r="C1524" s="822" t="s">
        <v>6</v>
      </c>
      <c r="D1524" s="822" t="s">
        <v>4700</v>
      </c>
      <c r="E1524" s="1017" t="s">
        <v>13514</v>
      </c>
      <c r="F1524" s="1017"/>
      <c r="G1524" s="823" t="s">
        <v>24</v>
      </c>
      <c r="H1524" s="824">
        <v>1</v>
      </c>
      <c r="I1524" s="825">
        <v>26.23</v>
      </c>
      <c r="J1524" s="825">
        <v>26.23</v>
      </c>
    </row>
    <row r="1525" spans="1:10" ht="25.5">
      <c r="A1525" s="822" t="s">
        <v>13493</v>
      </c>
      <c r="B1525" s="821" t="s">
        <v>13915</v>
      </c>
      <c r="C1525" s="822" t="s">
        <v>6</v>
      </c>
      <c r="D1525" s="822" t="s">
        <v>12249</v>
      </c>
      <c r="E1525" s="1017" t="s">
        <v>13514</v>
      </c>
      <c r="F1525" s="1017"/>
      <c r="G1525" s="823" t="s">
        <v>24</v>
      </c>
      <c r="H1525" s="824">
        <v>0.03</v>
      </c>
      <c r="I1525" s="825">
        <v>87.17</v>
      </c>
      <c r="J1525" s="825">
        <v>2.61</v>
      </c>
    </row>
    <row r="1526" spans="1:10" ht="25.5" customHeight="1">
      <c r="A1526" s="827"/>
      <c r="B1526" s="827"/>
      <c r="C1526" s="827"/>
      <c r="D1526" s="827"/>
      <c r="E1526" s="827" t="s">
        <v>13503</v>
      </c>
      <c r="F1526" s="826">
        <v>3.27</v>
      </c>
      <c r="G1526" s="827" t="s">
        <v>13504</v>
      </c>
      <c r="H1526" s="826">
        <v>0</v>
      </c>
      <c r="I1526" s="827" t="s">
        <v>13505</v>
      </c>
      <c r="J1526" s="826">
        <v>3.27</v>
      </c>
    </row>
    <row r="1527" spans="1:10" ht="13.5" customHeight="1" thickBot="1">
      <c r="A1527" s="827"/>
      <c r="B1527" s="827"/>
      <c r="C1527" s="827"/>
      <c r="D1527" s="827"/>
      <c r="E1527" s="827" t="s">
        <v>13506</v>
      </c>
      <c r="F1527" s="826">
        <v>9.91</v>
      </c>
      <c r="G1527" s="827"/>
      <c r="H1527" s="1018" t="s">
        <v>13507</v>
      </c>
      <c r="I1527" s="1018"/>
      <c r="J1527" s="826">
        <v>45.02</v>
      </c>
    </row>
    <row r="1528" spans="1:10" ht="13.5" thickTop="1">
      <c r="A1528" s="828"/>
      <c r="B1528" s="828"/>
      <c r="C1528" s="828"/>
      <c r="D1528" s="828"/>
      <c r="E1528" s="828"/>
      <c r="F1528" s="828"/>
      <c r="G1528" s="828"/>
      <c r="H1528" s="828"/>
      <c r="I1528" s="828"/>
      <c r="J1528" s="828"/>
    </row>
    <row r="1529" spans="1:10" ht="15">
      <c r="A1529" s="809" t="s">
        <v>14081</v>
      </c>
      <c r="B1529" s="808" t="s">
        <v>13481</v>
      </c>
      <c r="C1529" s="809" t="s">
        <v>13482</v>
      </c>
      <c r="D1529" s="809" t="s">
        <v>13483</v>
      </c>
      <c r="E1529" s="1019" t="s">
        <v>13484</v>
      </c>
      <c r="F1529" s="1019"/>
      <c r="G1529" s="810" t="s">
        <v>13485</v>
      </c>
      <c r="H1529" s="808" t="s">
        <v>13486</v>
      </c>
      <c r="I1529" s="808" t="s">
        <v>13487</v>
      </c>
      <c r="J1529" s="808" t="s">
        <v>4867</v>
      </c>
    </row>
    <row r="1530" spans="1:10" ht="25.5" customHeight="1">
      <c r="A1530" s="812" t="s">
        <v>13488</v>
      </c>
      <c r="B1530" s="811" t="s">
        <v>14082</v>
      </c>
      <c r="C1530" s="812" t="s">
        <v>6</v>
      </c>
      <c r="D1530" s="812" t="s">
        <v>1241</v>
      </c>
      <c r="E1530" s="1020" t="s">
        <v>13898</v>
      </c>
      <c r="F1530" s="1020"/>
      <c r="G1530" s="813" t="s">
        <v>14</v>
      </c>
      <c r="H1530" s="814">
        <v>1</v>
      </c>
      <c r="I1530" s="815">
        <v>4.7699999999999996</v>
      </c>
      <c r="J1530" s="815">
        <v>4.7699999999999996</v>
      </c>
    </row>
    <row r="1531" spans="1:10" ht="38.25" customHeight="1">
      <c r="A1531" s="817" t="s">
        <v>13491</v>
      </c>
      <c r="B1531" s="816" t="s">
        <v>13909</v>
      </c>
      <c r="C1531" s="817" t="s">
        <v>6</v>
      </c>
      <c r="D1531" s="817" t="s">
        <v>986</v>
      </c>
      <c r="E1531" s="1021" t="s">
        <v>13490</v>
      </c>
      <c r="F1531" s="1021"/>
      <c r="G1531" s="818" t="s">
        <v>19</v>
      </c>
      <c r="H1531" s="819">
        <v>1.6E-2</v>
      </c>
      <c r="I1531" s="820">
        <v>15.54</v>
      </c>
      <c r="J1531" s="820">
        <v>0.24</v>
      </c>
    </row>
    <row r="1532" spans="1:10" ht="13.5" customHeight="1">
      <c r="A1532" s="817" t="s">
        <v>13491</v>
      </c>
      <c r="B1532" s="816" t="s">
        <v>13574</v>
      </c>
      <c r="C1532" s="817" t="s">
        <v>6</v>
      </c>
      <c r="D1532" s="817" t="s">
        <v>34</v>
      </c>
      <c r="E1532" s="1021" t="s">
        <v>13490</v>
      </c>
      <c r="F1532" s="1021"/>
      <c r="G1532" s="818" t="s">
        <v>19</v>
      </c>
      <c r="H1532" s="819">
        <v>1.6E-2</v>
      </c>
      <c r="I1532" s="820">
        <v>18.72</v>
      </c>
      <c r="J1532" s="820">
        <v>0.28999999999999998</v>
      </c>
    </row>
    <row r="1533" spans="1:10">
      <c r="A1533" s="822" t="s">
        <v>13493</v>
      </c>
      <c r="B1533" s="821" t="s">
        <v>14083</v>
      </c>
      <c r="C1533" s="822" t="s">
        <v>6</v>
      </c>
      <c r="D1533" s="822" t="s">
        <v>4815</v>
      </c>
      <c r="E1533" s="1017" t="s">
        <v>13514</v>
      </c>
      <c r="F1533" s="1017"/>
      <c r="G1533" s="823" t="s">
        <v>14</v>
      </c>
      <c r="H1533" s="824">
        <v>1.0609999999999999</v>
      </c>
      <c r="I1533" s="825">
        <v>4</v>
      </c>
      <c r="J1533" s="825">
        <v>4.24</v>
      </c>
    </row>
    <row r="1534" spans="1:10" ht="25.5">
      <c r="A1534" s="827"/>
      <c r="B1534" s="827"/>
      <c r="C1534" s="827"/>
      <c r="D1534" s="827"/>
      <c r="E1534" s="827" t="s">
        <v>13503</v>
      </c>
      <c r="F1534" s="826">
        <v>0.4</v>
      </c>
      <c r="G1534" s="827" t="s">
        <v>13504</v>
      </c>
      <c r="H1534" s="826">
        <v>0</v>
      </c>
      <c r="I1534" s="827" t="s">
        <v>13505</v>
      </c>
      <c r="J1534" s="826">
        <v>0.4</v>
      </c>
    </row>
    <row r="1535" spans="1:10" ht="25.5" customHeight="1" thickBot="1">
      <c r="A1535" s="827"/>
      <c r="B1535" s="827"/>
      <c r="C1535" s="827"/>
      <c r="D1535" s="827"/>
      <c r="E1535" s="827" t="s">
        <v>13506</v>
      </c>
      <c r="F1535" s="826">
        <v>1.34</v>
      </c>
      <c r="G1535" s="827"/>
      <c r="H1535" s="1018" t="s">
        <v>13507</v>
      </c>
      <c r="I1535" s="1018"/>
      <c r="J1535" s="826">
        <v>6.11</v>
      </c>
    </row>
    <row r="1536" spans="1:10" ht="13.5" thickTop="1">
      <c r="A1536" s="828"/>
      <c r="B1536" s="828"/>
      <c r="C1536" s="828"/>
      <c r="D1536" s="828"/>
      <c r="E1536" s="828"/>
      <c r="F1536" s="828"/>
      <c r="G1536" s="828"/>
      <c r="H1536" s="828"/>
      <c r="I1536" s="828"/>
      <c r="J1536" s="828"/>
    </row>
    <row r="1537" spans="1:10" ht="15">
      <c r="A1537" s="809" t="s">
        <v>14084</v>
      </c>
      <c r="B1537" s="808" t="s">
        <v>13481</v>
      </c>
      <c r="C1537" s="809" t="s">
        <v>13482</v>
      </c>
      <c r="D1537" s="809" t="s">
        <v>13483</v>
      </c>
      <c r="E1537" s="1019" t="s">
        <v>13484</v>
      </c>
      <c r="F1537" s="1019"/>
      <c r="G1537" s="810" t="s">
        <v>13485</v>
      </c>
      <c r="H1537" s="808" t="s">
        <v>13486</v>
      </c>
      <c r="I1537" s="808" t="s">
        <v>13487</v>
      </c>
      <c r="J1537" s="808" t="s">
        <v>4867</v>
      </c>
    </row>
    <row r="1538" spans="1:10" ht="25.5" customHeight="1">
      <c r="A1538" s="812" t="s">
        <v>13488</v>
      </c>
      <c r="B1538" s="811" t="s">
        <v>14085</v>
      </c>
      <c r="C1538" s="812" t="s">
        <v>6</v>
      </c>
      <c r="D1538" s="812" t="s">
        <v>1204</v>
      </c>
      <c r="E1538" s="1020" t="s">
        <v>13898</v>
      </c>
      <c r="F1538" s="1020"/>
      <c r="G1538" s="813" t="s">
        <v>14</v>
      </c>
      <c r="H1538" s="814">
        <v>1</v>
      </c>
      <c r="I1538" s="815">
        <v>14.19</v>
      </c>
      <c r="J1538" s="815">
        <v>14.19</v>
      </c>
    </row>
    <row r="1539" spans="1:10" ht="38.25" customHeight="1">
      <c r="A1539" s="817" t="s">
        <v>13491</v>
      </c>
      <c r="B1539" s="816" t="s">
        <v>13909</v>
      </c>
      <c r="C1539" s="817" t="s">
        <v>6</v>
      </c>
      <c r="D1539" s="817" t="s">
        <v>986</v>
      </c>
      <c r="E1539" s="1021" t="s">
        <v>13490</v>
      </c>
      <c r="F1539" s="1021"/>
      <c r="G1539" s="818" t="s">
        <v>19</v>
      </c>
      <c r="H1539" s="819">
        <v>0.13400000000000001</v>
      </c>
      <c r="I1539" s="820">
        <v>15.54</v>
      </c>
      <c r="J1539" s="820">
        <v>2.08</v>
      </c>
    </row>
    <row r="1540" spans="1:10" ht="38.25" customHeight="1">
      <c r="A1540" s="817" t="s">
        <v>13491</v>
      </c>
      <c r="B1540" s="816" t="s">
        <v>13574</v>
      </c>
      <c r="C1540" s="817" t="s">
        <v>6</v>
      </c>
      <c r="D1540" s="817" t="s">
        <v>34</v>
      </c>
      <c r="E1540" s="1021" t="s">
        <v>13490</v>
      </c>
      <c r="F1540" s="1021"/>
      <c r="G1540" s="818" t="s">
        <v>19</v>
      </c>
      <c r="H1540" s="819">
        <v>0.13400000000000001</v>
      </c>
      <c r="I1540" s="820">
        <v>18.72</v>
      </c>
      <c r="J1540" s="820">
        <v>2.5</v>
      </c>
    </row>
    <row r="1541" spans="1:10" ht="13.5" customHeight="1">
      <c r="A1541" s="822" t="s">
        <v>13493</v>
      </c>
      <c r="B1541" s="821" t="s">
        <v>13913</v>
      </c>
      <c r="C1541" s="822" t="s">
        <v>6</v>
      </c>
      <c r="D1541" s="822" t="s">
        <v>4706</v>
      </c>
      <c r="E1541" s="1017" t="s">
        <v>13514</v>
      </c>
      <c r="F1541" s="1017"/>
      <c r="G1541" s="823" t="s">
        <v>24</v>
      </c>
      <c r="H1541" s="824">
        <v>4.4999999999999998E-2</v>
      </c>
      <c r="I1541" s="825">
        <v>2.2000000000000002</v>
      </c>
      <c r="J1541" s="825">
        <v>0.09</v>
      </c>
    </row>
    <row r="1542" spans="1:10">
      <c r="A1542" s="822" t="s">
        <v>13493</v>
      </c>
      <c r="B1542" s="821" t="s">
        <v>14086</v>
      </c>
      <c r="C1542" s="822" t="s">
        <v>6</v>
      </c>
      <c r="D1542" s="822" t="s">
        <v>13093</v>
      </c>
      <c r="E1542" s="1017" t="s">
        <v>13514</v>
      </c>
      <c r="F1542" s="1017"/>
      <c r="G1542" s="823" t="s">
        <v>14</v>
      </c>
      <c r="H1542" s="824">
        <v>1.0609999999999999</v>
      </c>
      <c r="I1542" s="825">
        <v>8.98</v>
      </c>
      <c r="J1542" s="825">
        <v>9.52</v>
      </c>
    </row>
    <row r="1543" spans="1:10" ht="25.5">
      <c r="A1543" s="827"/>
      <c r="B1543" s="827"/>
      <c r="C1543" s="827"/>
      <c r="D1543" s="827"/>
      <c r="E1543" s="827" t="s">
        <v>13503</v>
      </c>
      <c r="F1543" s="826">
        <v>3.42</v>
      </c>
      <c r="G1543" s="827" t="s">
        <v>13504</v>
      </c>
      <c r="H1543" s="826">
        <v>0</v>
      </c>
      <c r="I1543" s="827" t="s">
        <v>13505</v>
      </c>
      <c r="J1543" s="826">
        <v>3.42</v>
      </c>
    </row>
    <row r="1544" spans="1:10" ht="25.5" customHeight="1" thickBot="1">
      <c r="A1544" s="827"/>
      <c r="B1544" s="827"/>
      <c r="C1544" s="827"/>
      <c r="D1544" s="827"/>
      <c r="E1544" s="827" t="s">
        <v>13506</v>
      </c>
      <c r="F1544" s="826">
        <v>4</v>
      </c>
      <c r="G1544" s="827"/>
      <c r="H1544" s="1018" t="s">
        <v>13507</v>
      </c>
      <c r="I1544" s="1018"/>
      <c r="J1544" s="826">
        <v>18.190000000000001</v>
      </c>
    </row>
    <row r="1545" spans="1:10" ht="13.5" thickTop="1">
      <c r="A1545" s="828"/>
      <c r="B1545" s="828"/>
      <c r="C1545" s="828"/>
      <c r="D1545" s="828"/>
      <c r="E1545" s="828"/>
      <c r="F1545" s="828"/>
      <c r="G1545" s="828"/>
      <c r="H1545" s="828"/>
      <c r="I1545" s="828"/>
      <c r="J1545" s="828"/>
    </row>
    <row r="1546" spans="1:10" ht="15">
      <c r="A1546" s="809" t="s">
        <v>14087</v>
      </c>
      <c r="B1546" s="808" t="s">
        <v>13481</v>
      </c>
      <c r="C1546" s="809" t="s">
        <v>13482</v>
      </c>
      <c r="D1546" s="809" t="s">
        <v>13483</v>
      </c>
      <c r="E1546" s="1019" t="s">
        <v>13484</v>
      </c>
      <c r="F1546" s="1019"/>
      <c r="G1546" s="810" t="s">
        <v>13485</v>
      </c>
      <c r="H1546" s="808" t="s">
        <v>13486</v>
      </c>
      <c r="I1546" s="808" t="s">
        <v>13487</v>
      </c>
      <c r="J1546" s="808" t="s">
        <v>4867</v>
      </c>
    </row>
    <row r="1547" spans="1:10" ht="25.5" customHeight="1">
      <c r="A1547" s="812" t="s">
        <v>13488</v>
      </c>
      <c r="B1547" s="811" t="s">
        <v>14088</v>
      </c>
      <c r="C1547" s="812" t="s">
        <v>6</v>
      </c>
      <c r="D1547" s="812" t="s">
        <v>1244</v>
      </c>
      <c r="E1547" s="1020" t="s">
        <v>13898</v>
      </c>
      <c r="F1547" s="1020"/>
      <c r="G1547" s="813" t="s">
        <v>14</v>
      </c>
      <c r="H1547" s="814">
        <v>1</v>
      </c>
      <c r="I1547" s="815">
        <v>16.899999999999999</v>
      </c>
      <c r="J1547" s="815">
        <v>16.899999999999999</v>
      </c>
    </row>
    <row r="1548" spans="1:10" ht="38.25" customHeight="1">
      <c r="A1548" s="817" t="s">
        <v>13491</v>
      </c>
      <c r="B1548" s="816" t="s">
        <v>13909</v>
      </c>
      <c r="C1548" s="817" t="s">
        <v>6</v>
      </c>
      <c r="D1548" s="817" t="s">
        <v>986</v>
      </c>
      <c r="E1548" s="1021" t="s">
        <v>13490</v>
      </c>
      <c r="F1548" s="1021"/>
      <c r="G1548" s="818" t="s">
        <v>19</v>
      </c>
      <c r="H1548" s="819">
        <v>2.9000000000000001E-2</v>
      </c>
      <c r="I1548" s="820">
        <v>15.54</v>
      </c>
      <c r="J1548" s="820">
        <v>0.45</v>
      </c>
    </row>
    <row r="1549" spans="1:10" ht="38.25" customHeight="1">
      <c r="A1549" s="817" t="s">
        <v>13491</v>
      </c>
      <c r="B1549" s="816" t="s">
        <v>13574</v>
      </c>
      <c r="C1549" s="817" t="s">
        <v>6</v>
      </c>
      <c r="D1549" s="817" t="s">
        <v>34</v>
      </c>
      <c r="E1549" s="1021" t="s">
        <v>13490</v>
      </c>
      <c r="F1549" s="1021"/>
      <c r="G1549" s="818" t="s">
        <v>19</v>
      </c>
      <c r="H1549" s="819">
        <v>2.9000000000000001E-2</v>
      </c>
      <c r="I1549" s="820">
        <v>18.72</v>
      </c>
      <c r="J1549" s="820">
        <v>0.54</v>
      </c>
    </row>
    <row r="1550" spans="1:10" ht="13.5" customHeight="1">
      <c r="A1550" s="822" t="s">
        <v>13493</v>
      </c>
      <c r="B1550" s="821" t="s">
        <v>13913</v>
      </c>
      <c r="C1550" s="822" t="s">
        <v>6</v>
      </c>
      <c r="D1550" s="822" t="s">
        <v>4706</v>
      </c>
      <c r="E1550" s="1017" t="s">
        <v>13514</v>
      </c>
      <c r="F1550" s="1017"/>
      <c r="G1550" s="823" t="s">
        <v>24</v>
      </c>
      <c r="H1550" s="824">
        <v>0.01</v>
      </c>
      <c r="I1550" s="825">
        <v>2.2000000000000002</v>
      </c>
      <c r="J1550" s="825">
        <v>0.02</v>
      </c>
    </row>
    <row r="1551" spans="1:10">
      <c r="A1551" s="822" t="s">
        <v>13493</v>
      </c>
      <c r="B1551" s="821" t="s">
        <v>14089</v>
      </c>
      <c r="C1551" s="822" t="s">
        <v>6</v>
      </c>
      <c r="D1551" s="822" t="s">
        <v>13095</v>
      </c>
      <c r="E1551" s="1017" t="s">
        <v>13514</v>
      </c>
      <c r="F1551" s="1017"/>
      <c r="G1551" s="823" t="s">
        <v>14</v>
      </c>
      <c r="H1551" s="824">
        <v>1.0609999999999999</v>
      </c>
      <c r="I1551" s="825">
        <v>14.98</v>
      </c>
      <c r="J1551" s="825">
        <v>15.89</v>
      </c>
    </row>
    <row r="1552" spans="1:10" ht="25.5">
      <c r="A1552" s="827"/>
      <c r="B1552" s="827"/>
      <c r="C1552" s="827"/>
      <c r="D1552" s="827"/>
      <c r="E1552" s="827" t="s">
        <v>13503</v>
      </c>
      <c r="F1552" s="826">
        <v>0.73</v>
      </c>
      <c r="G1552" s="827" t="s">
        <v>13504</v>
      </c>
      <c r="H1552" s="826">
        <v>0</v>
      </c>
      <c r="I1552" s="827" t="s">
        <v>13505</v>
      </c>
      <c r="J1552" s="826">
        <v>0.73</v>
      </c>
    </row>
    <row r="1553" spans="1:10" ht="25.5" customHeight="1" thickBot="1">
      <c r="A1553" s="827"/>
      <c r="B1553" s="827"/>
      <c r="C1553" s="827"/>
      <c r="D1553" s="827"/>
      <c r="E1553" s="827" t="s">
        <v>13506</v>
      </c>
      <c r="F1553" s="826">
        <v>4.7699999999999996</v>
      </c>
      <c r="G1553" s="827"/>
      <c r="H1553" s="1018" t="s">
        <v>13507</v>
      </c>
      <c r="I1553" s="1018"/>
      <c r="J1553" s="826">
        <v>21.67</v>
      </c>
    </row>
    <row r="1554" spans="1:10" ht="13.5" thickTop="1">
      <c r="A1554" s="828"/>
      <c r="B1554" s="828"/>
      <c r="C1554" s="828"/>
      <c r="D1554" s="828"/>
      <c r="E1554" s="828"/>
      <c r="F1554" s="828"/>
      <c r="G1554" s="828"/>
      <c r="H1554" s="828"/>
      <c r="I1554" s="828"/>
      <c r="J1554" s="828"/>
    </row>
    <row r="1555" spans="1:10" ht="15">
      <c r="A1555" s="809" t="s">
        <v>14090</v>
      </c>
      <c r="B1555" s="808" t="s">
        <v>13481</v>
      </c>
      <c r="C1555" s="809" t="s">
        <v>13482</v>
      </c>
      <c r="D1555" s="809" t="s">
        <v>13483</v>
      </c>
      <c r="E1555" s="1019" t="s">
        <v>13484</v>
      </c>
      <c r="F1555" s="1019"/>
      <c r="G1555" s="810" t="s">
        <v>13485</v>
      </c>
      <c r="H1555" s="808" t="s">
        <v>13486</v>
      </c>
      <c r="I1555" s="808" t="s">
        <v>13487</v>
      </c>
      <c r="J1555" s="808" t="s">
        <v>4867</v>
      </c>
    </row>
    <row r="1556" spans="1:10" ht="25.5" customHeight="1">
      <c r="A1556" s="812" t="s">
        <v>13488</v>
      </c>
      <c r="B1556" s="811" t="s">
        <v>14091</v>
      </c>
      <c r="C1556" s="812" t="s">
        <v>6</v>
      </c>
      <c r="D1556" s="812" t="s">
        <v>1245</v>
      </c>
      <c r="E1556" s="1020" t="s">
        <v>13898</v>
      </c>
      <c r="F1556" s="1020"/>
      <c r="G1556" s="813" t="s">
        <v>14</v>
      </c>
      <c r="H1556" s="814">
        <v>1</v>
      </c>
      <c r="I1556" s="815">
        <v>27.98</v>
      </c>
      <c r="J1556" s="815">
        <v>27.98</v>
      </c>
    </row>
    <row r="1557" spans="1:10" ht="38.25" customHeight="1">
      <c r="A1557" s="817" t="s">
        <v>13491</v>
      </c>
      <c r="B1557" s="816" t="s">
        <v>13909</v>
      </c>
      <c r="C1557" s="817" t="s">
        <v>6</v>
      </c>
      <c r="D1557" s="817" t="s">
        <v>986</v>
      </c>
      <c r="E1557" s="1021" t="s">
        <v>13490</v>
      </c>
      <c r="F1557" s="1021"/>
      <c r="G1557" s="818" t="s">
        <v>19</v>
      </c>
      <c r="H1557" s="819">
        <v>3.4000000000000002E-2</v>
      </c>
      <c r="I1557" s="820">
        <v>15.54</v>
      </c>
      <c r="J1557" s="820">
        <v>0.52</v>
      </c>
    </row>
    <row r="1558" spans="1:10" ht="38.25" customHeight="1">
      <c r="A1558" s="817" t="s">
        <v>13491</v>
      </c>
      <c r="B1558" s="816" t="s">
        <v>13574</v>
      </c>
      <c r="C1558" s="817" t="s">
        <v>6</v>
      </c>
      <c r="D1558" s="817" t="s">
        <v>34</v>
      </c>
      <c r="E1558" s="1021" t="s">
        <v>13490</v>
      </c>
      <c r="F1558" s="1021"/>
      <c r="G1558" s="818" t="s">
        <v>19</v>
      </c>
      <c r="H1558" s="819">
        <v>3.4000000000000002E-2</v>
      </c>
      <c r="I1558" s="820">
        <v>18.72</v>
      </c>
      <c r="J1558" s="820">
        <v>0.63</v>
      </c>
    </row>
    <row r="1559" spans="1:10" ht="13.5" customHeight="1">
      <c r="A1559" s="822" t="s">
        <v>13493</v>
      </c>
      <c r="B1559" s="821" t="s">
        <v>13913</v>
      </c>
      <c r="C1559" s="822" t="s">
        <v>6</v>
      </c>
      <c r="D1559" s="822" t="s">
        <v>4706</v>
      </c>
      <c r="E1559" s="1017" t="s">
        <v>13514</v>
      </c>
      <c r="F1559" s="1017"/>
      <c r="G1559" s="823" t="s">
        <v>24</v>
      </c>
      <c r="H1559" s="824">
        <v>1.0999999999999999E-2</v>
      </c>
      <c r="I1559" s="825">
        <v>2.2000000000000002</v>
      </c>
      <c r="J1559" s="825">
        <v>0.02</v>
      </c>
    </row>
    <row r="1560" spans="1:10">
      <c r="A1560" s="822" t="s">
        <v>13493</v>
      </c>
      <c r="B1560" s="821" t="s">
        <v>14092</v>
      </c>
      <c r="C1560" s="822" t="s">
        <v>6</v>
      </c>
      <c r="D1560" s="822" t="s">
        <v>13096</v>
      </c>
      <c r="E1560" s="1017" t="s">
        <v>13514</v>
      </c>
      <c r="F1560" s="1017"/>
      <c r="G1560" s="823" t="s">
        <v>14</v>
      </c>
      <c r="H1560" s="824">
        <v>1.0609999999999999</v>
      </c>
      <c r="I1560" s="825">
        <v>25.27</v>
      </c>
      <c r="J1560" s="825">
        <v>26.81</v>
      </c>
    </row>
    <row r="1561" spans="1:10" ht="25.5">
      <c r="A1561" s="827"/>
      <c r="B1561" s="827"/>
      <c r="C1561" s="827"/>
      <c r="D1561" s="827"/>
      <c r="E1561" s="827" t="s">
        <v>13503</v>
      </c>
      <c r="F1561" s="826">
        <v>0.86</v>
      </c>
      <c r="G1561" s="827" t="s">
        <v>13504</v>
      </c>
      <c r="H1561" s="826">
        <v>0</v>
      </c>
      <c r="I1561" s="827" t="s">
        <v>13505</v>
      </c>
      <c r="J1561" s="826">
        <v>0.86</v>
      </c>
    </row>
    <row r="1562" spans="1:10" ht="38.25" customHeight="1" thickBot="1">
      <c r="A1562" s="827"/>
      <c r="B1562" s="827"/>
      <c r="C1562" s="827"/>
      <c r="D1562" s="827"/>
      <c r="E1562" s="827" t="s">
        <v>13506</v>
      </c>
      <c r="F1562" s="826">
        <v>7.9</v>
      </c>
      <c r="G1562" s="827"/>
      <c r="H1562" s="1018" t="s">
        <v>13507</v>
      </c>
      <c r="I1562" s="1018"/>
      <c r="J1562" s="826">
        <v>35.880000000000003</v>
      </c>
    </row>
    <row r="1563" spans="1:10" ht="13.5" thickTop="1">
      <c r="A1563" s="828"/>
      <c r="B1563" s="828"/>
      <c r="C1563" s="828"/>
      <c r="D1563" s="828"/>
      <c r="E1563" s="828"/>
      <c r="F1563" s="828"/>
      <c r="G1563" s="828"/>
      <c r="H1563" s="828"/>
      <c r="I1563" s="828"/>
      <c r="J1563" s="828"/>
    </row>
    <row r="1564" spans="1:10" ht="15">
      <c r="A1564" s="809" t="s">
        <v>14093</v>
      </c>
      <c r="B1564" s="808" t="s">
        <v>13481</v>
      </c>
      <c r="C1564" s="809" t="s">
        <v>13482</v>
      </c>
      <c r="D1564" s="809" t="s">
        <v>13483</v>
      </c>
      <c r="E1564" s="1019" t="s">
        <v>13484</v>
      </c>
      <c r="F1564" s="1019"/>
      <c r="G1564" s="810" t="s">
        <v>13485</v>
      </c>
      <c r="H1564" s="808" t="s">
        <v>13486</v>
      </c>
      <c r="I1564" s="808" t="s">
        <v>13487</v>
      </c>
      <c r="J1564" s="808" t="s">
        <v>4867</v>
      </c>
    </row>
    <row r="1565" spans="1:10" ht="25.5" customHeight="1">
      <c r="A1565" s="812" t="s">
        <v>13488</v>
      </c>
      <c r="B1565" s="811" t="s">
        <v>14094</v>
      </c>
      <c r="C1565" s="812" t="s">
        <v>6</v>
      </c>
      <c r="D1565" s="812" t="s">
        <v>229</v>
      </c>
      <c r="E1565" s="1020" t="s">
        <v>13898</v>
      </c>
      <c r="F1565" s="1020"/>
      <c r="G1565" s="813" t="s">
        <v>24</v>
      </c>
      <c r="H1565" s="814">
        <v>1</v>
      </c>
      <c r="I1565" s="815">
        <v>7.41</v>
      </c>
      <c r="J1565" s="815">
        <v>7.41</v>
      </c>
    </row>
    <row r="1566" spans="1:10" ht="38.25" customHeight="1">
      <c r="A1566" s="817" t="s">
        <v>13491</v>
      </c>
      <c r="B1566" s="816" t="s">
        <v>13909</v>
      </c>
      <c r="C1566" s="817" t="s">
        <v>6</v>
      </c>
      <c r="D1566" s="817" t="s">
        <v>986</v>
      </c>
      <c r="E1566" s="1021" t="s">
        <v>13490</v>
      </c>
      <c r="F1566" s="1021"/>
      <c r="G1566" s="818" t="s">
        <v>19</v>
      </c>
      <c r="H1566" s="819">
        <v>0.12</v>
      </c>
      <c r="I1566" s="820">
        <v>15.54</v>
      </c>
      <c r="J1566" s="820">
        <v>1.86</v>
      </c>
    </row>
    <row r="1567" spans="1:10" ht="38.25" customHeight="1">
      <c r="A1567" s="817" t="s">
        <v>13491</v>
      </c>
      <c r="B1567" s="816" t="s">
        <v>13574</v>
      </c>
      <c r="C1567" s="817" t="s">
        <v>6</v>
      </c>
      <c r="D1567" s="817" t="s">
        <v>34</v>
      </c>
      <c r="E1567" s="1021" t="s">
        <v>13490</v>
      </c>
      <c r="F1567" s="1021"/>
      <c r="G1567" s="818" t="s">
        <v>19</v>
      </c>
      <c r="H1567" s="819">
        <v>0.12</v>
      </c>
      <c r="I1567" s="820">
        <v>18.72</v>
      </c>
      <c r="J1567" s="820">
        <v>2.2400000000000002</v>
      </c>
    </row>
    <row r="1568" spans="1:10" ht="13.5" customHeight="1">
      <c r="A1568" s="822" t="s">
        <v>13493</v>
      </c>
      <c r="B1568" s="821" t="s">
        <v>13910</v>
      </c>
      <c r="C1568" s="822" t="s">
        <v>6</v>
      </c>
      <c r="D1568" s="822" t="s">
        <v>8519</v>
      </c>
      <c r="E1568" s="1017" t="s">
        <v>13514</v>
      </c>
      <c r="F1568" s="1017"/>
      <c r="G1568" s="823" t="s">
        <v>24</v>
      </c>
      <c r="H1568" s="824">
        <v>1.0999999999999999E-2</v>
      </c>
      <c r="I1568" s="825">
        <v>76.94</v>
      </c>
      <c r="J1568" s="825">
        <v>0.84</v>
      </c>
    </row>
    <row r="1569" spans="1:10">
      <c r="A1569" s="822" t="s">
        <v>13493</v>
      </c>
      <c r="B1569" s="821" t="s">
        <v>13913</v>
      </c>
      <c r="C1569" s="822" t="s">
        <v>6</v>
      </c>
      <c r="D1569" s="822" t="s">
        <v>4706</v>
      </c>
      <c r="E1569" s="1017" t="s">
        <v>13514</v>
      </c>
      <c r="F1569" s="1017"/>
      <c r="G1569" s="823" t="s">
        <v>24</v>
      </c>
      <c r="H1569" s="824">
        <v>4.4999999999999998E-2</v>
      </c>
      <c r="I1569" s="825">
        <v>2.2000000000000002</v>
      </c>
      <c r="J1569" s="825">
        <v>0.09</v>
      </c>
    </row>
    <row r="1570" spans="1:10" ht="25.5">
      <c r="A1570" s="822" t="s">
        <v>13493</v>
      </c>
      <c r="B1570" s="821" t="s">
        <v>13915</v>
      </c>
      <c r="C1570" s="822" t="s">
        <v>6</v>
      </c>
      <c r="D1570" s="822" t="s">
        <v>12249</v>
      </c>
      <c r="E1570" s="1017" t="s">
        <v>13514</v>
      </c>
      <c r="F1570" s="1017"/>
      <c r="G1570" s="823" t="s">
        <v>24</v>
      </c>
      <c r="H1570" s="824">
        <v>1.2E-2</v>
      </c>
      <c r="I1570" s="825">
        <v>87.17</v>
      </c>
      <c r="J1570" s="825">
        <v>1.04</v>
      </c>
    </row>
    <row r="1571" spans="1:10" ht="38.25" customHeight="1">
      <c r="A1571" s="822" t="s">
        <v>13493</v>
      </c>
      <c r="B1571" s="821" t="s">
        <v>14095</v>
      </c>
      <c r="C1571" s="822" t="s">
        <v>6</v>
      </c>
      <c r="D1571" s="822" t="s">
        <v>4795</v>
      </c>
      <c r="E1571" s="1017" t="s">
        <v>13514</v>
      </c>
      <c r="F1571" s="1017"/>
      <c r="G1571" s="823" t="s">
        <v>24</v>
      </c>
      <c r="H1571" s="824">
        <v>1</v>
      </c>
      <c r="I1571" s="825">
        <v>1.34</v>
      </c>
      <c r="J1571" s="825">
        <v>1.34</v>
      </c>
    </row>
    <row r="1572" spans="1:10" ht="25.5">
      <c r="A1572" s="827"/>
      <c r="B1572" s="827"/>
      <c r="C1572" s="827"/>
      <c r="D1572" s="827"/>
      <c r="E1572" s="827" t="s">
        <v>13503</v>
      </c>
      <c r="F1572" s="826">
        <v>3.06</v>
      </c>
      <c r="G1572" s="827" t="s">
        <v>13504</v>
      </c>
      <c r="H1572" s="826">
        <v>0</v>
      </c>
      <c r="I1572" s="827" t="s">
        <v>13505</v>
      </c>
      <c r="J1572" s="826">
        <v>3.06</v>
      </c>
    </row>
    <row r="1573" spans="1:10" ht="13.5" customHeight="1" thickBot="1">
      <c r="A1573" s="827"/>
      <c r="B1573" s="827"/>
      <c r="C1573" s="827"/>
      <c r="D1573" s="827"/>
      <c r="E1573" s="827" t="s">
        <v>13506</v>
      </c>
      <c r="F1573" s="826">
        <v>2.09</v>
      </c>
      <c r="G1573" s="827"/>
      <c r="H1573" s="1018" t="s">
        <v>13507</v>
      </c>
      <c r="I1573" s="1018"/>
      <c r="J1573" s="826">
        <v>9.5</v>
      </c>
    </row>
    <row r="1574" spans="1:10" ht="13.5" thickTop="1">
      <c r="A1574" s="828"/>
      <c r="B1574" s="828"/>
      <c r="C1574" s="828"/>
      <c r="D1574" s="828"/>
      <c r="E1574" s="828"/>
      <c r="F1574" s="828"/>
      <c r="G1574" s="828"/>
      <c r="H1574" s="828"/>
      <c r="I1574" s="828"/>
      <c r="J1574" s="828"/>
    </row>
    <row r="1575" spans="1:10" ht="15">
      <c r="A1575" s="809" t="s">
        <v>14096</v>
      </c>
      <c r="B1575" s="808" t="s">
        <v>13481</v>
      </c>
      <c r="C1575" s="809" t="s">
        <v>13482</v>
      </c>
      <c r="D1575" s="809" t="s">
        <v>13483</v>
      </c>
      <c r="E1575" s="1019" t="s">
        <v>13484</v>
      </c>
      <c r="F1575" s="1019"/>
      <c r="G1575" s="810" t="s">
        <v>13485</v>
      </c>
      <c r="H1575" s="808" t="s">
        <v>13486</v>
      </c>
      <c r="I1575" s="808" t="s">
        <v>13487</v>
      </c>
      <c r="J1575" s="808" t="s">
        <v>4867</v>
      </c>
    </row>
    <row r="1576" spans="1:10" ht="25.5" customHeight="1">
      <c r="A1576" s="812" t="s">
        <v>13488</v>
      </c>
      <c r="B1576" s="811" t="s">
        <v>14097</v>
      </c>
      <c r="C1576" s="812" t="s">
        <v>6</v>
      </c>
      <c r="D1576" s="812" t="s">
        <v>1355</v>
      </c>
      <c r="E1576" s="1020" t="s">
        <v>13898</v>
      </c>
      <c r="F1576" s="1020"/>
      <c r="G1576" s="813" t="s">
        <v>24</v>
      </c>
      <c r="H1576" s="814">
        <v>1</v>
      </c>
      <c r="I1576" s="815">
        <v>20.74</v>
      </c>
      <c r="J1576" s="815">
        <v>20.74</v>
      </c>
    </row>
    <row r="1577" spans="1:10" ht="13.5" customHeight="1">
      <c r="A1577" s="817" t="s">
        <v>13491</v>
      </c>
      <c r="B1577" s="816" t="s">
        <v>13909</v>
      </c>
      <c r="C1577" s="817" t="s">
        <v>6</v>
      </c>
      <c r="D1577" s="817" t="s">
        <v>986</v>
      </c>
      <c r="E1577" s="1021" t="s">
        <v>13490</v>
      </c>
      <c r="F1577" s="1021"/>
      <c r="G1577" s="818" t="s">
        <v>19</v>
      </c>
      <c r="H1577" s="819">
        <v>0.14399999999999999</v>
      </c>
      <c r="I1577" s="820">
        <v>15.54</v>
      </c>
      <c r="J1577" s="820">
        <v>2.23</v>
      </c>
    </row>
    <row r="1578" spans="1:10" ht="38.25" customHeight="1">
      <c r="A1578" s="817" t="s">
        <v>13491</v>
      </c>
      <c r="B1578" s="816" t="s">
        <v>13574</v>
      </c>
      <c r="C1578" s="817" t="s">
        <v>6</v>
      </c>
      <c r="D1578" s="817" t="s">
        <v>34</v>
      </c>
      <c r="E1578" s="1021" t="s">
        <v>13490</v>
      </c>
      <c r="F1578" s="1021"/>
      <c r="G1578" s="818" t="s">
        <v>19</v>
      </c>
      <c r="H1578" s="819">
        <v>0.14399999999999999</v>
      </c>
      <c r="I1578" s="820">
        <v>18.72</v>
      </c>
      <c r="J1578" s="820">
        <v>2.69</v>
      </c>
    </row>
    <row r="1579" spans="1:10">
      <c r="A1579" s="822" t="s">
        <v>13493</v>
      </c>
      <c r="B1579" s="821" t="s">
        <v>13910</v>
      </c>
      <c r="C1579" s="822" t="s">
        <v>6</v>
      </c>
      <c r="D1579" s="822" t="s">
        <v>8519</v>
      </c>
      <c r="E1579" s="1017" t="s">
        <v>13514</v>
      </c>
      <c r="F1579" s="1017"/>
      <c r="G1579" s="823" t="s">
        <v>24</v>
      </c>
      <c r="H1579" s="824">
        <v>2.5999999999999999E-2</v>
      </c>
      <c r="I1579" s="825">
        <v>76.94</v>
      </c>
      <c r="J1579" s="825">
        <v>2</v>
      </c>
    </row>
    <row r="1580" spans="1:10" ht="25.5" customHeight="1">
      <c r="A1580" s="822" t="s">
        <v>13493</v>
      </c>
      <c r="B1580" s="821" t="s">
        <v>13913</v>
      </c>
      <c r="C1580" s="822" t="s">
        <v>6</v>
      </c>
      <c r="D1580" s="822" t="s">
        <v>4706</v>
      </c>
      <c r="E1580" s="1017" t="s">
        <v>13514</v>
      </c>
      <c r="F1580" s="1017"/>
      <c r="G1580" s="823" t="s">
        <v>24</v>
      </c>
      <c r="H1580" s="824">
        <v>3.5999999999999997E-2</v>
      </c>
      <c r="I1580" s="825">
        <v>2.2000000000000002</v>
      </c>
      <c r="J1580" s="825">
        <v>7.0000000000000007E-2</v>
      </c>
    </row>
    <row r="1581" spans="1:10" ht="25.5">
      <c r="A1581" s="822" t="s">
        <v>13493</v>
      </c>
      <c r="B1581" s="821" t="s">
        <v>13915</v>
      </c>
      <c r="C1581" s="822" t="s">
        <v>6</v>
      </c>
      <c r="D1581" s="822" t="s">
        <v>12249</v>
      </c>
      <c r="E1581" s="1017" t="s">
        <v>13514</v>
      </c>
      <c r="F1581" s="1017"/>
      <c r="G1581" s="823" t="s">
        <v>24</v>
      </c>
      <c r="H1581" s="824">
        <v>3.3000000000000002E-2</v>
      </c>
      <c r="I1581" s="825">
        <v>87.17</v>
      </c>
      <c r="J1581" s="825">
        <v>2.87</v>
      </c>
    </row>
    <row r="1582" spans="1:10" ht="25.5">
      <c r="A1582" s="822" t="s">
        <v>13493</v>
      </c>
      <c r="B1582" s="821" t="s">
        <v>14098</v>
      </c>
      <c r="C1582" s="822" t="s">
        <v>6</v>
      </c>
      <c r="D1582" s="822" t="s">
        <v>4796</v>
      </c>
      <c r="E1582" s="1017" t="s">
        <v>13514</v>
      </c>
      <c r="F1582" s="1017"/>
      <c r="G1582" s="823" t="s">
        <v>24</v>
      </c>
      <c r="H1582" s="824">
        <v>1</v>
      </c>
      <c r="I1582" s="825">
        <v>10.88</v>
      </c>
      <c r="J1582" s="825">
        <v>10.88</v>
      </c>
    </row>
    <row r="1583" spans="1:10" ht="25.5">
      <c r="A1583" s="827"/>
      <c r="B1583" s="827"/>
      <c r="C1583" s="827"/>
      <c r="D1583" s="827"/>
      <c r="E1583" s="827" t="s">
        <v>13503</v>
      </c>
      <c r="F1583" s="826">
        <v>3.68</v>
      </c>
      <c r="G1583" s="827" t="s">
        <v>13504</v>
      </c>
      <c r="H1583" s="826">
        <v>0</v>
      </c>
      <c r="I1583" s="827" t="s">
        <v>13505</v>
      </c>
      <c r="J1583" s="826">
        <v>3.68</v>
      </c>
    </row>
    <row r="1584" spans="1:10" ht="13.5" customHeight="1" thickBot="1">
      <c r="A1584" s="827"/>
      <c r="B1584" s="827"/>
      <c r="C1584" s="827"/>
      <c r="D1584" s="827"/>
      <c r="E1584" s="827" t="s">
        <v>13506</v>
      </c>
      <c r="F1584" s="826">
        <v>5.85</v>
      </c>
      <c r="G1584" s="827"/>
      <c r="H1584" s="1018" t="s">
        <v>13507</v>
      </c>
      <c r="I1584" s="1018"/>
      <c r="J1584" s="826">
        <v>26.59</v>
      </c>
    </row>
    <row r="1585" spans="1:10" ht="13.5" customHeight="1" thickTop="1">
      <c r="A1585" s="828"/>
      <c r="B1585" s="828"/>
      <c r="C1585" s="828"/>
      <c r="D1585" s="828"/>
      <c r="E1585" s="828"/>
      <c r="F1585" s="828"/>
      <c r="G1585" s="828"/>
      <c r="H1585" s="828"/>
      <c r="I1585" s="828"/>
      <c r="J1585" s="828"/>
    </row>
    <row r="1586" spans="1:10" ht="15">
      <c r="A1586" s="809" t="s">
        <v>14099</v>
      </c>
      <c r="B1586" s="808" t="s">
        <v>13481</v>
      </c>
      <c r="C1586" s="809" t="s">
        <v>13482</v>
      </c>
      <c r="D1586" s="809" t="s">
        <v>13483</v>
      </c>
      <c r="E1586" s="1019" t="s">
        <v>13484</v>
      </c>
      <c r="F1586" s="1019"/>
      <c r="G1586" s="810" t="s">
        <v>13485</v>
      </c>
      <c r="H1586" s="808" t="s">
        <v>13486</v>
      </c>
      <c r="I1586" s="808" t="s">
        <v>13487</v>
      </c>
      <c r="J1586" s="808" t="s">
        <v>4867</v>
      </c>
    </row>
    <row r="1587" spans="1:10" ht="25.5" customHeight="1">
      <c r="A1587" s="812" t="s">
        <v>13488</v>
      </c>
      <c r="B1587" s="811" t="s">
        <v>14100</v>
      </c>
      <c r="C1587" s="812" t="s">
        <v>6</v>
      </c>
      <c r="D1587" s="812" t="s">
        <v>1356</v>
      </c>
      <c r="E1587" s="1020" t="s">
        <v>13898</v>
      </c>
      <c r="F1587" s="1020"/>
      <c r="G1587" s="813" t="s">
        <v>24</v>
      </c>
      <c r="H1587" s="814">
        <v>1</v>
      </c>
      <c r="I1587" s="815">
        <v>44.95</v>
      </c>
      <c r="J1587" s="815">
        <v>44.95</v>
      </c>
    </row>
    <row r="1588" spans="1:10" ht="25.5" customHeight="1">
      <c r="A1588" s="817" t="s">
        <v>13491</v>
      </c>
      <c r="B1588" s="816" t="s">
        <v>13909</v>
      </c>
      <c r="C1588" s="817" t="s">
        <v>6</v>
      </c>
      <c r="D1588" s="817" t="s">
        <v>986</v>
      </c>
      <c r="E1588" s="1021" t="s">
        <v>13490</v>
      </c>
      <c r="F1588" s="1021"/>
      <c r="G1588" s="818" t="s">
        <v>19</v>
      </c>
      <c r="H1588" s="819">
        <v>0.17</v>
      </c>
      <c r="I1588" s="820">
        <v>15.54</v>
      </c>
      <c r="J1588" s="820">
        <v>2.64</v>
      </c>
    </row>
    <row r="1589" spans="1:10" ht="38.25" customHeight="1">
      <c r="A1589" s="817" t="s">
        <v>13491</v>
      </c>
      <c r="B1589" s="816" t="s">
        <v>13574</v>
      </c>
      <c r="C1589" s="817" t="s">
        <v>6</v>
      </c>
      <c r="D1589" s="817" t="s">
        <v>34</v>
      </c>
      <c r="E1589" s="1021" t="s">
        <v>13490</v>
      </c>
      <c r="F1589" s="1021"/>
      <c r="G1589" s="818" t="s">
        <v>19</v>
      </c>
      <c r="H1589" s="819">
        <v>0.17</v>
      </c>
      <c r="I1589" s="820">
        <v>18.72</v>
      </c>
      <c r="J1589" s="820">
        <v>3.18</v>
      </c>
    </row>
    <row r="1590" spans="1:10">
      <c r="A1590" s="822" t="s">
        <v>13493</v>
      </c>
      <c r="B1590" s="821" t="s">
        <v>13910</v>
      </c>
      <c r="C1590" s="822" t="s">
        <v>6</v>
      </c>
      <c r="D1590" s="822" t="s">
        <v>8519</v>
      </c>
      <c r="E1590" s="1017" t="s">
        <v>13514</v>
      </c>
      <c r="F1590" s="1017"/>
      <c r="G1590" s="823" t="s">
        <v>24</v>
      </c>
      <c r="H1590" s="824">
        <v>3.5000000000000003E-2</v>
      </c>
      <c r="I1590" s="825">
        <v>76.94</v>
      </c>
      <c r="J1590" s="825">
        <v>2.69</v>
      </c>
    </row>
    <row r="1591" spans="1:10">
      <c r="A1591" s="822" t="s">
        <v>13493</v>
      </c>
      <c r="B1591" s="821" t="s">
        <v>13913</v>
      </c>
      <c r="C1591" s="822" t="s">
        <v>6</v>
      </c>
      <c r="D1591" s="822" t="s">
        <v>4706</v>
      </c>
      <c r="E1591" s="1017" t="s">
        <v>13514</v>
      </c>
      <c r="F1591" s="1017"/>
      <c r="G1591" s="823" t="s">
        <v>24</v>
      </c>
      <c r="H1591" s="824">
        <v>4.2999999999999997E-2</v>
      </c>
      <c r="I1591" s="825">
        <v>2.2000000000000002</v>
      </c>
      <c r="J1591" s="825">
        <v>0.09</v>
      </c>
    </row>
    <row r="1592" spans="1:10" ht="25.5">
      <c r="A1592" s="822" t="s">
        <v>13493</v>
      </c>
      <c r="B1592" s="821" t="s">
        <v>13915</v>
      </c>
      <c r="C1592" s="822" t="s">
        <v>6</v>
      </c>
      <c r="D1592" s="822" t="s">
        <v>12249</v>
      </c>
      <c r="E1592" s="1017" t="s">
        <v>13514</v>
      </c>
      <c r="F1592" s="1017"/>
      <c r="G1592" s="823" t="s">
        <v>24</v>
      </c>
      <c r="H1592" s="824">
        <v>4.4999999999999998E-2</v>
      </c>
      <c r="I1592" s="825">
        <v>87.17</v>
      </c>
      <c r="J1592" s="825">
        <v>3.92</v>
      </c>
    </row>
    <row r="1593" spans="1:10" ht="13.5" customHeight="1">
      <c r="A1593" s="822" t="s">
        <v>13493</v>
      </c>
      <c r="B1593" s="821" t="s">
        <v>14101</v>
      </c>
      <c r="C1593" s="822" t="s">
        <v>6</v>
      </c>
      <c r="D1593" s="822" t="s">
        <v>12511</v>
      </c>
      <c r="E1593" s="1017" t="s">
        <v>13514</v>
      </c>
      <c r="F1593" s="1017"/>
      <c r="G1593" s="823" t="s">
        <v>24</v>
      </c>
      <c r="H1593" s="824">
        <v>1</v>
      </c>
      <c r="I1593" s="825">
        <v>32.43</v>
      </c>
      <c r="J1593" s="825">
        <v>32.43</v>
      </c>
    </row>
    <row r="1594" spans="1:10" ht="25.5">
      <c r="A1594" s="827"/>
      <c r="B1594" s="827"/>
      <c r="C1594" s="827"/>
      <c r="D1594" s="827"/>
      <c r="E1594" s="827" t="s">
        <v>13503</v>
      </c>
      <c r="F1594" s="826">
        <v>4.34</v>
      </c>
      <c r="G1594" s="827" t="s">
        <v>13504</v>
      </c>
      <c r="H1594" s="826">
        <v>0</v>
      </c>
      <c r="I1594" s="827" t="s">
        <v>13505</v>
      </c>
      <c r="J1594" s="826">
        <v>4.34</v>
      </c>
    </row>
    <row r="1595" spans="1:10" ht="13.5" customHeight="1" thickBot="1">
      <c r="A1595" s="827"/>
      <c r="B1595" s="827"/>
      <c r="C1595" s="827"/>
      <c r="D1595" s="827"/>
      <c r="E1595" s="827" t="s">
        <v>13506</v>
      </c>
      <c r="F1595" s="826">
        <v>12.69</v>
      </c>
      <c r="G1595" s="827"/>
      <c r="H1595" s="1018" t="s">
        <v>13507</v>
      </c>
      <c r="I1595" s="1018"/>
      <c r="J1595" s="826">
        <v>57.64</v>
      </c>
    </row>
    <row r="1596" spans="1:10" ht="25.5" customHeight="1" thickTop="1">
      <c r="A1596" s="828"/>
      <c r="B1596" s="828"/>
      <c r="C1596" s="828"/>
      <c r="D1596" s="828"/>
      <c r="E1596" s="828"/>
      <c r="F1596" s="828"/>
      <c r="G1596" s="828"/>
      <c r="H1596" s="828"/>
      <c r="I1596" s="828"/>
      <c r="J1596" s="828"/>
    </row>
    <row r="1597" spans="1:10" ht="15">
      <c r="A1597" s="809" t="s">
        <v>14102</v>
      </c>
      <c r="B1597" s="808" t="s">
        <v>13481</v>
      </c>
      <c r="C1597" s="809" t="s">
        <v>13482</v>
      </c>
      <c r="D1597" s="809" t="s">
        <v>13483</v>
      </c>
      <c r="E1597" s="1019" t="s">
        <v>13484</v>
      </c>
      <c r="F1597" s="1019"/>
      <c r="G1597" s="810" t="s">
        <v>13485</v>
      </c>
      <c r="H1597" s="808" t="s">
        <v>13486</v>
      </c>
      <c r="I1597" s="808" t="s">
        <v>13487</v>
      </c>
      <c r="J1597" s="808" t="s">
        <v>4867</v>
      </c>
    </row>
    <row r="1598" spans="1:10" ht="25.5" customHeight="1">
      <c r="A1598" s="812" t="s">
        <v>13488</v>
      </c>
      <c r="B1598" s="811" t="s">
        <v>14103</v>
      </c>
      <c r="C1598" s="812" t="s">
        <v>6</v>
      </c>
      <c r="D1598" s="812" t="s">
        <v>1179</v>
      </c>
      <c r="E1598" s="1020" t="s">
        <v>13898</v>
      </c>
      <c r="F1598" s="1020"/>
      <c r="G1598" s="813" t="s">
        <v>24</v>
      </c>
      <c r="H1598" s="814">
        <v>1</v>
      </c>
      <c r="I1598" s="815">
        <v>14.27</v>
      </c>
      <c r="J1598" s="815">
        <v>14.27</v>
      </c>
    </row>
    <row r="1599" spans="1:10" ht="38.25" customHeight="1">
      <c r="A1599" s="817" t="s">
        <v>13491</v>
      </c>
      <c r="B1599" s="816" t="s">
        <v>13909</v>
      </c>
      <c r="C1599" s="817" t="s">
        <v>6</v>
      </c>
      <c r="D1599" s="817" t="s">
        <v>986</v>
      </c>
      <c r="E1599" s="1021" t="s">
        <v>13490</v>
      </c>
      <c r="F1599" s="1021"/>
      <c r="G1599" s="818" t="s">
        <v>19</v>
      </c>
      <c r="H1599" s="819">
        <v>0.15</v>
      </c>
      <c r="I1599" s="820">
        <v>15.54</v>
      </c>
      <c r="J1599" s="820">
        <v>2.33</v>
      </c>
    </row>
    <row r="1600" spans="1:10" ht="38.25" customHeight="1">
      <c r="A1600" s="817" t="s">
        <v>13491</v>
      </c>
      <c r="B1600" s="816" t="s">
        <v>13574</v>
      </c>
      <c r="C1600" s="817" t="s">
        <v>6</v>
      </c>
      <c r="D1600" s="817" t="s">
        <v>34</v>
      </c>
      <c r="E1600" s="1021" t="s">
        <v>13490</v>
      </c>
      <c r="F1600" s="1021"/>
      <c r="G1600" s="818" t="s">
        <v>19</v>
      </c>
      <c r="H1600" s="819">
        <v>0.15</v>
      </c>
      <c r="I1600" s="820">
        <v>18.72</v>
      </c>
      <c r="J1600" s="820">
        <v>2.8</v>
      </c>
    </row>
    <row r="1601" spans="1:10" ht="13.5" customHeight="1">
      <c r="A1601" s="822" t="s">
        <v>13493</v>
      </c>
      <c r="B1601" s="821" t="s">
        <v>13910</v>
      </c>
      <c r="C1601" s="822" t="s">
        <v>6</v>
      </c>
      <c r="D1601" s="822" t="s">
        <v>8519</v>
      </c>
      <c r="E1601" s="1017" t="s">
        <v>13514</v>
      </c>
      <c r="F1601" s="1017"/>
      <c r="G1601" s="823" t="s">
        <v>24</v>
      </c>
      <c r="H1601" s="824">
        <v>7.0000000000000001E-3</v>
      </c>
      <c r="I1601" s="825">
        <v>76.94</v>
      </c>
      <c r="J1601" s="825">
        <v>0.53</v>
      </c>
    </row>
    <row r="1602" spans="1:10" ht="25.5">
      <c r="A1602" s="822" t="s">
        <v>13493</v>
      </c>
      <c r="B1602" s="821" t="s">
        <v>14104</v>
      </c>
      <c r="C1602" s="822" t="s">
        <v>6</v>
      </c>
      <c r="D1602" s="822" t="s">
        <v>10764</v>
      </c>
      <c r="E1602" s="1017" t="s">
        <v>13514</v>
      </c>
      <c r="F1602" s="1017"/>
      <c r="G1602" s="823" t="s">
        <v>24</v>
      </c>
      <c r="H1602" s="824">
        <v>1</v>
      </c>
      <c r="I1602" s="825">
        <v>7.81</v>
      </c>
      <c r="J1602" s="825">
        <v>7.81</v>
      </c>
    </row>
    <row r="1603" spans="1:10">
      <c r="A1603" s="822" t="s">
        <v>13493</v>
      </c>
      <c r="B1603" s="821" t="s">
        <v>13913</v>
      </c>
      <c r="C1603" s="822" t="s">
        <v>6</v>
      </c>
      <c r="D1603" s="822" t="s">
        <v>4706</v>
      </c>
      <c r="E1603" s="1017" t="s">
        <v>13514</v>
      </c>
      <c r="F1603" s="1017"/>
      <c r="G1603" s="823" t="s">
        <v>24</v>
      </c>
      <c r="H1603" s="824">
        <v>0.05</v>
      </c>
      <c r="I1603" s="825">
        <v>2.2000000000000002</v>
      </c>
      <c r="J1603" s="825">
        <v>0.11</v>
      </c>
    </row>
    <row r="1604" spans="1:10" ht="38.25" customHeight="1">
      <c r="A1604" s="822" t="s">
        <v>13493</v>
      </c>
      <c r="B1604" s="821" t="s">
        <v>13915</v>
      </c>
      <c r="C1604" s="822" t="s">
        <v>6</v>
      </c>
      <c r="D1604" s="822" t="s">
        <v>12249</v>
      </c>
      <c r="E1604" s="1017" t="s">
        <v>13514</v>
      </c>
      <c r="F1604" s="1017"/>
      <c r="G1604" s="823" t="s">
        <v>24</v>
      </c>
      <c r="H1604" s="824">
        <v>8.0000000000000002E-3</v>
      </c>
      <c r="I1604" s="825">
        <v>87.17</v>
      </c>
      <c r="J1604" s="825">
        <v>0.69</v>
      </c>
    </row>
    <row r="1605" spans="1:10" ht="25.5">
      <c r="A1605" s="827"/>
      <c r="B1605" s="827"/>
      <c r="C1605" s="827"/>
      <c r="D1605" s="827"/>
      <c r="E1605" s="827" t="s">
        <v>13503</v>
      </c>
      <c r="F1605" s="826">
        <v>3.83</v>
      </c>
      <c r="G1605" s="827" t="s">
        <v>13504</v>
      </c>
      <c r="H1605" s="826">
        <v>0</v>
      </c>
      <c r="I1605" s="827" t="s">
        <v>13505</v>
      </c>
      <c r="J1605" s="826">
        <v>3.83</v>
      </c>
    </row>
    <row r="1606" spans="1:10" ht="13.5" customHeight="1" thickBot="1">
      <c r="A1606" s="827"/>
      <c r="B1606" s="827"/>
      <c r="C1606" s="827"/>
      <c r="D1606" s="827"/>
      <c r="E1606" s="827" t="s">
        <v>13506</v>
      </c>
      <c r="F1606" s="826">
        <v>4.0199999999999996</v>
      </c>
      <c r="G1606" s="827"/>
      <c r="H1606" s="1018" t="s">
        <v>13507</v>
      </c>
      <c r="I1606" s="1018"/>
      <c r="J1606" s="826">
        <v>18.29</v>
      </c>
    </row>
    <row r="1607" spans="1:10" ht="13.5" thickTop="1">
      <c r="A1607" s="828"/>
      <c r="B1607" s="828"/>
      <c r="C1607" s="828"/>
      <c r="D1607" s="828"/>
      <c r="E1607" s="828"/>
      <c r="F1607" s="828"/>
      <c r="G1607" s="828"/>
      <c r="H1607" s="828"/>
      <c r="I1607" s="828"/>
      <c r="J1607" s="828"/>
    </row>
    <row r="1608" spans="1:10" ht="15">
      <c r="A1608" s="809" t="s">
        <v>14105</v>
      </c>
      <c r="B1608" s="808" t="s">
        <v>13481</v>
      </c>
      <c r="C1608" s="809" t="s">
        <v>13482</v>
      </c>
      <c r="D1608" s="809" t="s">
        <v>13483</v>
      </c>
      <c r="E1608" s="1019" t="s">
        <v>13484</v>
      </c>
      <c r="F1608" s="1019"/>
      <c r="G1608" s="810" t="s">
        <v>13485</v>
      </c>
      <c r="H1608" s="808" t="s">
        <v>13486</v>
      </c>
      <c r="I1608" s="808" t="s">
        <v>13487</v>
      </c>
      <c r="J1608" s="808" t="s">
        <v>4867</v>
      </c>
    </row>
    <row r="1609" spans="1:10" ht="25.5" customHeight="1">
      <c r="A1609" s="812" t="s">
        <v>13488</v>
      </c>
      <c r="B1609" s="811" t="s">
        <v>14106</v>
      </c>
      <c r="C1609" s="812" t="s">
        <v>6</v>
      </c>
      <c r="D1609" s="812" t="s">
        <v>1579</v>
      </c>
      <c r="E1609" s="1020" t="s">
        <v>13898</v>
      </c>
      <c r="F1609" s="1020"/>
      <c r="G1609" s="813" t="s">
        <v>24</v>
      </c>
      <c r="H1609" s="814">
        <v>1</v>
      </c>
      <c r="I1609" s="815">
        <v>13.04</v>
      </c>
      <c r="J1609" s="815">
        <v>13.04</v>
      </c>
    </row>
    <row r="1610" spans="1:10" ht="13.5" customHeight="1">
      <c r="A1610" s="817" t="s">
        <v>13491</v>
      </c>
      <c r="B1610" s="816" t="s">
        <v>13909</v>
      </c>
      <c r="C1610" s="817" t="s">
        <v>6</v>
      </c>
      <c r="D1610" s="817" t="s">
        <v>986</v>
      </c>
      <c r="E1610" s="1021" t="s">
        <v>13490</v>
      </c>
      <c r="F1610" s="1021"/>
      <c r="G1610" s="818" t="s">
        <v>19</v>
      </c>
      <c r="H1610" s="819">
        <v>0.15</v>
      </c>
      <c r="I1610" s="820">
        <v>15.54</v>
      </c>
      <c r="J1610" s="820">
        <v>2.33</v>
      </c>
    </row>
    <row r="1611" spans="1:10" ht="38.25" customHeight="1">
      <c r="A1611" s="817" t="s">
        <v>13491</v>
      </c>
      <c r="B1611" s="816" t="s">
        <v>13574</v>
      </c>
      <c r="C1611" s="817" t="s">
        <v>6</v>
      </c>
      <c r="D1611" s="817" t="s">
        <v>34</v>
      </c>
      <c r="E1611" s="1021" t="s">
        <v>13490</v>
      </c>
      <c r="F1611" s="1021"/>
      <c r="G1611" s="818" t="s">
        <v>19</v>
      </c>
      <c r="H1611" s="819">
        <v>0.15</v>
      </c>
      <c r="I1611" s="820">
        <v>18.72</v>
      </c>
      <c r="J1611" s="820">
        <v>2.8</v>
      </c>
    </row>
    <row r="1612" spans="1:10">
      <c r="A1612" s="822" t="s">
        <v>13493</v>
      </c>
      <c r="B1612" s="821" t="s">
        <v>13910</v>
      </c>
      <c r="C1612" s="822" t="s">
        <v>6</v>
      </c>
      <c r="D1612" s="822" t="s">
        <v>8519</v>
      </c>
      <c r="E1612" s="1017" t="s">
        <v>13514</v>
      </c>
      <c r="F1612" s="1017"/>
      <c r="G1612" s="823" t="s">
        <v>24</v>
      </c>
      <c r="H1612" s="824">
        <v>7.0000000000000001E-3</v>
      </c>
      <c r="I1612" s="825">
        <v>76.94</v>
      </c>
      <c r="J1612" s="825">
        <v>0.53</v>
      </c>
    </row>
    <row r="1613" spans="1:10" ht="25.5" customHeight="1">
      <c r="A1613" s="822" t="s">
        <v>13493</v>
      </c>
      <c r="B1613" s="821" t="s">
        <v>13913</v>
      </c>
      <c r="C1613" s="822" t="s">
        <v>6</v>
      </c>
      <c r="D1613" s="822" t="s">
        <v>4706</v>
      </c>
      <c r="E1613" s="1017" t="s">
        <v>13514</v>
      </c>
      <c r="F1613" s="1017"/>
      <c r="G1613" s="823" t="s">
        <v>24</v>
      </c>
      <c r="H1613" s="824">
        <v>0.05</v>
      </c>
      <c r="I1613" s="825">
        <v>2.2000000000000002</v>
      </c>
      <c r="J1613" s="825">
        <v>0.11</v>
      </c>
    </row>
    <row r="1614" spans="1:10" ht="25.5">
      <c r="A1614" s="822" t="s">
        <v>13493</v>
      </c>
      <c r="B1614" s="821" t="s">
        <v>14107</v>
      </c>
      <c r="C1614" s="822" t="s">
        <v>6</v>
      </c>
      <c r="D1614" s="822" t="s">
        <v>4692</v>
      </c>
      <c r="E1614" s="1017" t="s">
        <v>13514</v>
      </c>
      <c r="F1614" s="1017"/>
      <c r="G1614" s="823" t="s">
        <v>24</v>
      </c>
      <c r="H1614" s="824">
        <v>1</v>
      </c>
      <c r="I1614" s="825">
        <v>6.58</v>
      </c>
      <c r="J1614" s="825">
        <v>6.58</v>
      </c>
    </row>
    <row r="1615" spans="1:10" ht="25.5">
      <c r="A1615" s="822" t="s">
        <v>13493</v>
      </c>
      <c r="B1615" s="821" t="s">
        <v>13915</v>
      </c>
      <c r="C1615" s="822" t="s">
        <v>6</v>
      </c>
      <c r="D1615" s="822" t="s">
        <v>12249</v>
      </c>
      <c r="E1615" s="1017" t="s">
        <v>13514</v>
      </c>
      <c r="F1615" s="1017"/>
      <c r="G1615" s="823" t="s">
        <v>24</v>
      </c>
      <c r="H1615" s="824">
        <v>8.0000000000000002E-3</v>
      </c>
      <c r="I1615" s="825">
        <v>87.17</v>
      </c>
      <c r="J1615" s="825">
        <v>0.69</v>
      </c>
    </row>
    <row r="1616" spans="1:10" ht="25.5">
      <c r="A1616" s="827"/>
      <c r="B1616" s="827"/>
      <c r="C1616" s="827"/>
      <c r="D1616" s="827"/>
      <c r="E1616" s="827" t="s">
        <v>13503</v>
      </c>
      <c r="F1616" s="826">
        <v>3.83</v>
      </c>
      <c r="G1616" s="827" t="s">
        <v>13504</v>
      </c>
      <c r="H1616" s="826">
        <v>0</v>
      </c>
      <c r="I1616" s="827" t="s">
        <v>13505</v>
      </c>
      <c r="J1616" s="826">
        <v>3.83</v>
      </c>
    </row>
    <row r="1617" spans="1:10" ht="13.5" customHeight="1" thickBot="1">
      <c r="A1617" s="827"/>
      <c r="B1617" s="827"/>
      <c r="C1617" s="827"/>
      <c r="D1617" s="827"/>
      <c r="E1617" s="827" t="s">
        <v>13506</v>
      </c>
      <c r="F1617" s="826">
        <v>3.68</v>
      </c>
      <c r="G1617" s="827"/>
      <c r="H1617" s="1018" t="s">
        <v>13507</v>
      </c>
      <c r="I1617" s="1018"/>
      <c r="J1617" s="826">
        <v>16.72</v>
      </c>
    </row>
    <row r="1618" spans="1:10" ht="13.5" thickTop="1">
      <c r="A1618" s="828"/>
      <c r="B1618" s="828"/>
      <c r="C1618" s="828"/>
      <c r="D1618" s="828"/>
      <c r="E1618" s="828"/>
      <c r="F1618" s="828"/>
      <c r="G1618" s="828"/>
      <c r="H1618" s="828"/>
      <c r="I1618" s="828"/>
      <c r="J1618" s="828"/>
    </row>
    <row r="1619" spans="1:10" ht="13.5" customHeight="1">
      <c r="A1619" s="809" t="s">
        <v>14108</v>
      </c>
      <c r="B1619" s="808" t="s">
        <v>13481</v>
      </c>
      <c r="C1619" s="809" t="s">
        <v>13482</v>
      </c>
      <c r="D1619" s="809" t="s">
        <v>13483</v>
      </c>
      <c r="E1619" s="1019" t="s">
        <v>13484</v>
      </c>
      <c r="F1619" s="1019"/>
      <c r="G1619" s="810" t="s">
        <v>13485</v>
      </c>
      <c r="H1619" s="808" t="s">
        <v>13486</v>
      </c>
      <c r="I1619" s="808" t="s">
        <v>13487</v>
      </c>
      <c r="J1619" s="808" t="s">
        <v>4867</v>
      </c>
    </row>
    <row r="1620" spans="1:10" ht="25.5" customHeight="1">
      <c r="A1620" s="812" t="s">
        <v>13488</v>
      </c>
      <c r="B1620" s="811" t="s">
        <v>14109</v>
      </c>
      <c r="C1620" s="812" t="s">
        <v>6</v>
      </c>
      <c r="D1620" s="812" t="s">
        <v>1198</v>
      </c>
      <c r="E1620" s="1020" t="s">
        <v>13898</v>
      </c>
      <c r="F1620" s="1020"/>
      <c r="G1620" s="813" t="s">
        <v>24</v>
      </c>
      <c r="H1620" s="814">
        <v>1</v>
      </c>
      <c r="I1620" s="815">
        <v>18.36</v>
      </c>
      <c r="J1620" s="815">
        <v>18.36</v>
      </c>
    </row>
    <row r="1621" spans="1:10" ht="38.25" customHeight="1">
      <c r="A1621" s="817" t="s">
        <v>13491</v>
      </c>
      <c r="B1621" s="816" t="s">
        <v>13909</v>
      </c>
      <c r="C1621" s="817" t="s">
        <v>6</v>
      </c>
      <c r="D1621" s="817" t="s">
        <v>986</v>
      </c>
      <c r="E1621" s="1021" t="s">
        <v>13490</v>
      </c>
      <c r="F1621" s="1021"/>
      <c r="G1621" s="818" t="s">
        <v>19</v>
      </c>
      <c r="H1621" s="819">
        <v>0.2</v>
      </c>
      <c r="I1621" s="820">
        <v>15.54</v>
      </c>
      <c r="J1621" s="820">
        <v>3.1</v>
      </c>
    </row>
    <row r="1622" spans="1:10" ht="25.5" customHeight="1">
      <c r="A1622" s="817" t="s">
        <v>13491</v>
      </c>
      <c r="B1622" s="816" t="s">
        <v>13574</v>
      </c>
      <c r="C1622" s="817" t="s">
        <v>6</v>
      </c>
      <c r="D1622" s="817" t="s">
        <v>34</v>
      </c>
      <c r="E1622" s="1021" t="s">
        <v>13490</v>
      </c>
      <c r="F1622" s="1021"/>
      <c r="G1622" s="818" t="s">
        <v>19</v>
      </c>
      <c r="H1622" s="819">
        <v>0.2</v>
      </c>
      <c r="I1622" s="820">
        <v>18.72</v>
      </c>
      <c r="J1622" s="820">
        <v>3.74</v>
      </c>
    </row>
    <row r="1623" spans="1:10">
      <c r="A1623" s="822" t="s">
        <v>13493</v>
      </c>
      <c r="B1623" s="821" t="s">
        <v>13910</v>
      </c>
      <c r="C1623" s="822" t="s">
        <v>6</v>
      </c>
      <c r="D1623" s="822" t="s">
        <v>8519</v>
      </c>
      <c r="E1623" s="1017" t="s">
        <v>13514</v>
      </c>
      <c r="F1623" s="1017"/>
      <c r="G1623" s="823" t="s">
        <v>24</v>
      </c>
      <c r="H1623" s="824">
        <v>1.0999999999999999E-2</v>
      </c>
      <c r="I1623" s="825">
        <v>76.94</v>
      </c>
      <c r="J1623" s="825">
        <v>0.84</v>
      </c>
    </row>
    <row r="1624" spans="1:10">
      <c r="A1624" s="822" t="s">
        <v>13493</v>
      </c>
      <c r="B1624" s="821" t="s">
        <v>13913</v>
      </c>
      <c r="C1624" s="822" t="s">
        <v>6</v>
      </c>
      <c r="D1624" s="822" t="s">
        <v>4706</v>
      </c>
      <c r="E1624" s="1017" t="s">
        <v>13514</v>
      </c>
      <c r="F1624" s="1017"/>
      <c r="G1624" s="823" t="s">
        <v>24</v>
      </c>
      <c r="H1624" s="824">
        <v>7.4999999999999997E-2</v>
      </c>
      <c r="I1624" s="825">
        <v>2.2000000000000002</v>
      </c>
      <c r="J1624" s="825">
        <v>0.16</v>
      </c>
    </row>
    <row r="1625" spans="1:10" ht="25.5">
      <c r="A1625" s="822" t="s">
        <v>13493</v>
      </c>
      <c r="B1625" s="821" t="s">
        <v>14110</v>
      </c>
      <c r="C1625" s="822" t="s">
        <v>6</v>
      </c>
      <c r="D1625" s="822" t="s">
        <v>12478</v>
      </c>
      <c r="E1625" s="1017" t="s">
        <v>13514</v>
      </c>
      <c r="F1625" s="1017"/>
      <c r="G1625" s="823" t="s">
        <v>24</v>
      </c>
      <c r="H1625" s="824">
        <v>1</v>
      </c>
      <c r="I1625" s="825">
        <v>9.48</v>
      </c>
      <c r="J1625" s="825">
        <v>9.48</v>
      </c>
    </row>
    <row r="1626" spans="1:10" ht="25.5">
      <c r="A1626" s="822" t="s">
        <v>13493</v>
      </c>
      <c r="B1626" s="821" t="s">
        <v>13915</v>
      </c>
      <c r="C1626" s="822" t="s">
        <v>6</v>
      </c>
      <c r="D1626" s="822" t="s">
        <v>12249</v>
      </c>
      <c r="E1626" s="1017" t="s">
        <v>13514</v>
      </c>
      <c r="F1626" s="1017"/>
      <c r="G1626" s="823" t="s">
        <v>24</v>
      </c>
      <c r="H1626" s="824">
        <v>1.2E-2</v>
      </c>
      <c r="I1626" s="825">
        <v>87.17</v>
      </c>
      <c r="J1626" s="825">
        <v>1.04</v>
      </c>
    </row>
    <row r="1627" spans="1:10" ht="25.5">
      <c r="A1627" s="827"/>
      <c r="B1627" s="827"/>
      <c r="C1627" s="827"/>
      <c r="D1627" s="827"/>
      <c r="E1627" s="827" t="s">
        <v>13503</v>
      </c>
      <c r="F1627" s="826">
        <v>5.1100000000000003</v>
      </c>
      <c r="G1627" s="827" t="s">
        <v>13504</v>
      </c>
      <c r="H1627" s="826">
        <v>0</v>
      </c>
      <c r="I1627" s="827" t="s">
        <v>13505</v>
      </c>
      <c r="J1627" s="826">
        <v>5.1100000000000003</v>
      </c>
    </row>
    <row r="1628" spans="1:10" ht="13.5" customHeight="1" thickBot="1">
      <c r="A1628" s="827"/>
      <c r="B1628" s="827"/>
      <c r="C1628" s="827"/>
      <c r="D1628" s="827"/>
      <c r="E1628" s="827" t="s">
        <v>13506</v>
      </c>
      <c r="F1628" s="826">
        <v>5.18</v>
      </c>
      <c r="G1628" s="827"/>
      <c r="H1628" s="1018" t="s">
        <v>13507</v>
      </c>
      <c r="I1628" s="1018"/>
      <c r="J1628" s="826">
        <v>23.54</v>
      </c>
    </row>
    <row r="1629" spans="1:10" ht="13.5" thickTop="1">
      <c r="A1629" s="828"/>
      <c r="B1629" s="828"/>
      <c r="C1629" s="828"/>
      <c r="D1629" s="828"/>
      <c r="E1629" s="828"/>
      <c r="F1629" s="828"/>
      <c r="G1629" s="828"/>
      <c r="H1629" s="828"/>
      <c r="I1629" s="828"/>
      <c r="J1629" s="828"/>
    </row>
    <row r="1630" spans="1:10" ht="13.5" customHeight="1">
      <c r="A1630" s="809" t="s">
        <v>14111</v>
      </c>
      <c r="B1630" s="808" t="s">
        <v>13481</v>
      </c>
      <c r="C1630" s="809" t="s">
        <v>13482</v>
      </c>
      <c r="D1630" s="809" t="s">
        <v>13483</v>
      </c>
      <c r="E1630" s="1019" t="s">
        <v>13484</v>
      </c>
      <c r="F1630" s="1019"/>
      <c r="G1630" s="810" t="s">
        <v>13485</v>
      </c>
      <c r="H1630" s="808" t="s">
        <v>13486</v>
      </c>
      <c r="I1630" s="808" t="s">
        <v>13487</v>
      </c>
      <c r="J1630" s="808" t="s">
        <v>4867</v>
      </c>
    </row>
    <row r="1631" spans="1:10" ht="25.5" customHeight="1">
      <c r="A1631" s="812" t="s">
        <v>13488</v>
      </c>
      <c r="B1631" s="811" t="s">
        <v>14112</v>
      </c>
      <c r="C1631" s="812" t="s">
        <v>6</v>
      </c>
      <c r="D1631" s="812" t="s">
        <v>1580</v>
      </c>
      <c r="E1631" s="1020" t="s">
        <v>13898</v>
      </c>
      <c r="F1631" s="1020"/>
      <c r="G1631" s="813" t="s">
        <v>24</v>
      </c>
      <c r="H1631" s="814">
        <v>1</v>
      </c>
      <c r="I1631" s="815">
        <v>20.72</v>
      </c>
      <c r="J1631" s="815">
        <v>20.72</v>
      </c>
    </row>
    <row r="1632" spans="1:10" ht="38.25" customHeight="1">
      <c r="A1632" s="817" t="s">
        <v>13491</v>
      </c>
      <c r="B1632" s="816" t="s">
        <v>13909</v>
      </c>
      <c r="C1632" s="817" t="s">
        <v>6</v>
      </c>
      <c r="D1632" s="817" t="s">
        <v>986</v>
      </c>
      <c r="E1632" s="1021" t="s">
        <v>13490</v>
      </c>
      <c r="F1632" s="1021"/>
      <c r="G1632" s="818" t="s">
        <v>19</v>
      </c>
      <c r="H1632" s="819">
        <v>0.2</v>
      </c>
      <c r="I1632" s="820">
        <v>15.54</v>
      </c>
      <c r="J1632" s="820">
        <v>3.1</v>
      </c>
    </row>
    <row r="1633" spans="1:10" ht="25.5" customHeight="1">
      <c r="A1633" s="817" t="s">
        <v>13491</v>
      </c>
      <c r="B1633" s="816" t="s">
        <v>13574</v>
      </c>
      <c r="C1633" s="817" t="s">
        <v>6</v>
      </c>
      <c r="D1633" s="817" t="s">
        <v>34</v>
      </c>
      <c r="E1633" s="1021" t="s">
        <v>13490</v>
      </c>
      <c r="F1633" s="1021"/>
      <c r="G1633" s="818" t="s">
        <v>19</v>
      </c>
      <c r="H1633" s="819">
        <v>0.2</v>
      </c>
      <c r="I1633" s="820">
        <v>18.72</v>
      </c>
      <c r="J1633" s="820">
        <v>3.74</v>
      </c>
    </row>
    <row r="1634" spans="1:10">
      <c r="A1634" s="822" t="s">
        <v>13493</v>
      </c>
      <c r="B1634" s="821" t="s">
        <v>13910</v>
      </c>
      <c r="C1634" s="822" t="s">
        <v>6</v>
      </c>
      <c r="D1634" s="822" t="s">
        <v>8519</v>
      </c>
      <c r="E1634" s="1017" t="s">
        <v>13514</v>
      </c>
      <c r="F1634" s="1017"/>
      <c r="G1634" s="823" t="s">
        <v>24</v>
      </c>
      <c r="H1634" s="824">
        <v>1.0999999999999999E-2</v>
      </c>
      <c r="I1634" s="825">
        <v>76.94</v>
      </c>
      <c r="J1634" s="825">
        <v>0.84</v>
      </c>
    </row>
    <row r="1635" spans="1:10">
      <c r="A1635" s="822" t="s">
        <v>13493</v>
      </c>
      <c r="B1635" s="821" t="s">
        <v>13913</v>
      </c>
      <c r="C1635" s="822" t="s">
        <v>6</v>
      </c>
      <c r="D1635" s="822" t="s">
        <v>4706</v>
      </c>
      <c r="E1635" s="1017" t="s">
        <v>13514</v>
      </c>
      <c r="F1635" s="1017"/>
      <c r="G1635" s="823" t="s">
        <v>24</v>
      </c>
      <c r="H1635" s="824">
        <v>7.4999999999999997E-2</v>
      </c>
      <c r="I1635" s="825">
        <v>2.2000000000000002</v>
      </c>
      <c r="J1635" s="825">
        <v>0.16</v>
      </c>
    </row>
    <row r="1636" spans="1:10" ht="25.5">
      <c r="A1636" s="822" t="s">
        <v>13493</v>
      </c>
      <c r="B1636" s="821" t="s">
        <v>13915</v>
      </c>
      <c r="C1636" s="822" t="s">
        <v>6</v>
      </c>
      <c r="D1636" s="822" t="s">
        <v>12249</v>
      </c>
      <c r="E1636" s="1017" t="s">
        <v>13514</v>
      </c>
      <c r="F1636" s="1017"/>
      <c r="G1636" s="823" t="s">
        <v>24</v>
      </c>
      <c r="H1636" s="824">
        <v>1.2E-2</v>
      </c>
      <c r="I1636" s="825">
        <v>87.17</v>
      </c>
      <c r="J1636" s="825">
        <v>1.04</v>
      </c>
    </row>
    <row r="1637" spans="1:10" ht="25.5">
      <c r="A1637" s="822" t="s">
        <v>13493</v>
      </c>
      <c r="B1637" s="821" t="s">
        <v>14113</v>
      </c>
      <c r="C1637" s="822" t="s">
        <v>6</v>
      </c>
      <c r="D1637" s="822" t="s">
        <v>12479</v>
      </c>
      <c r="E1637" s="1017" t="s">
        <v>13514</v>
      </c>
      <c r="F1637" s="1017"/>
      <c r="G1637" s="823" t="s">
        <v>24</v>
      </c>
      <c r="H1637" s="824">
        <v>1</v>
      </c>
      <c r="I1637" s="825">
        <v>11.84</v>
      </c>
      <c r="J1637" s="825">
        <v>11.84</v>
      </c>
    </row>
    <row r="1638" spans="1:10" ht="25.5">
      <c r="A1638" s="827"/>
      <c r="B1638" s="827"/>
      <c r="C1638" s="827"/>
      <c r="D1638" s="827"/>
      <c r="E1638" s="827" t="s">
        <v>13503</v>
      </c>
      <c r="F1638" s="826">
        <v>5.1100000000000003</v>
      </c>
      <c r="G1638" s="827" t="s">
        <v>13504</v>
      </c>
      <c r="H1638" s="826">
        <v>0</v>
      </c>
      <c r="I1638" s="827" t="s">
        <v>13505</v>
      </c>
      <c r="J1638" s="826">
        <v>5.1100000000000003</v>
      </c>
    </row>
    <row r="1639" spans="1:10" ht="13.5" customHeight="1" thickBot="1">
      <c r="A1639" s="827"/>
      <c r="B1639" s="827"/>
      <c r="C1639" s="827"/>
      <c r="D1639" s="827"/>
      <c r="E1639" s="827" t="s">
        <v>13506</v>
      </c>
      <c r="F1639" s="826">
        <v>5.85</v>
      </c>
      <c r="G1639" s="827"/>
      <c r="H1639" s="1018" t="s">
        <v>13507</v>
      </c>
      <c r="I1639" s="1018"/>
      <c r="J1639" s="826">
        <v>26.57</v>
      </c>
    </row>
    <row r="1640" spans="1:10" ht="13.5" thickTop="1">
      <c r="A1640" s="828"/>
      <c r="B1640" s="828"/>
      <c r="C1640" s="828"/>
      <c r="D1640" s="828"/>
      <c r="E1640" s="828"/>
      <c r="F1640" s="828"/>
      <c r="G1640" s="828"/>
      <c r="H1640" s="828"/>
      <c r="I1640" s="828"/>
      <c r="J1640" s="828"/>
    </row>
    <row r="1641" spans="1:10" ht="13.5" customHeight="1">
      <c r="A1641" s="809" t="s">
        <v>14114</v>
      </c>
      <c r="B1641" s="808" t="s">
        <v>13481</v>
      </c>
      <c r="C1641" s="809" t="s">
        <v>13482</v>
      </c>
      <c r="D1641" s="809" t="s">
        <v>13483</v>
      </c>
      <c r="E1641" s="1019" t="s">
        <v>13484</v>
      </c>
      <c r="F1641" s="1019"/>
      <c r="G1641" s="810" t="s">
        <v>13485</v>
      </c>
      <c r="H1641" s="808" t="s">
        <v>13486</v>
      </c>
      <c r="I1641" s="808" t="s">
        <v>13487</v>
      </c>
      <c r="J1641" s="808" t="s">
        <v>4867</v>
      </c>
    </row>
    <row r="1642" spans="1:10" ht="25.5" customHeight="1">
      <c r="A1642" s="812" t="s">
        <v>13488</v>
      </c>
      <c r="B1642" s="811" t="s">
        <v>14115</v>
      </c>
      <c r="C1642" s="812" t="s">
        <v>6</v>
      </c>
      <c r="D1642" s="812" t="s">
        <v>6706</v>
      </c>
      <c r="E1642" s="1020" t="s">
        <v>13898</v>
      </c>
      <c r="F1642" s="1020"/>
      <c r="G1642" s="813" t="s">
        <v>24</v>
      </c>
      <c r="H1642" s="814">
        <v>1</v>
      </c>
      <c r="I1642" s="815">
        <v>5648.76</v>
      </c>
      <c r="J1642" s="815">
        <v>5648.76</v>
      </c>
    </row>
    <row r="1643" spans="1:10" ht="38.25" customHeight="1">
      <c r="A1643" s="817" t="s">
        <v>13491</v>
      </c>
      <c r="B1643" s="816" t="s">
        <v>14116</v>
      </c>
      <c r="C1643" s="817" t="s">
        <v>6</v>
      </c>
      <c r="D1643" s="817" t="s">
        <v>2204</v>
      </c>
      <c r="E1643" s="1021" t="s">
        <v>13539</v>
      </c>
      <c r="F1643" s="1021"/>
      <c r="G1643" s="818" t="s">
        <v>42</v>
      </c>
      <c r="H1643" s="819">
        <v>2.3611</v>
      </c>
      <c r="I1643" s="820">
        <v>129.84</v>
      </c>
      <c r="J1643" s="820">
        <v>306.56</v>
      </c>
    </row>
    <row r="1644" spans="1:10" ht="25.5" customHeight="1">
      <c r="A1644" s="817" t="s">
        <v>13491</v>
      </c>
      <c r="B1644" s="816" t="s">
        <v>14117</v>
      </c>
      <c r="C1644" s="817" t="s">
        <v>6</v>
      </c>
      <c r="D1644" s="817" t="s">
        <v>2203</v>
      </c>
      <c r="E1644" s="1021" t="s">
        <v>13539</v>
      </c>
      <c r="F1644" s="1021"/>
      <c r="G1644" s="818" t="s">
        <v>28</v>
      </c>
      <c r="H1644" s="819">
        <v>0.26340000000000002</v>
      </c>
      <c r="I1644" s="820">
        <v>282.62</v>
      </c>
      <c r="J1644" s="820">
        <v>74.44</v>
      </c>
    </row>
    <row r="1645" spans="1:10" ht="38.25" customHeight="1">
      <c r="A1645" s="817" t="s">
        <v>13491</v>
      </c>
      <c r="B1645" s="816" t="s">
        <v>13909</v>
      </c>
      <c r="C1645" s="817" t="s">
        <v>6</v>
      </c>
      <c r="D1645" s="817" t="s">
        <v>986</v>
      </c>
      <c r="E1645" s="1021" t="s">
        <v>13490</v>
      </c>
      <c r="F1645" s="1021"/>
      <c r="G1645" s="818" t="s">
        <v>19</v>
      </c>
      <c r="H1645" s="819">
        <v>1.4821</v>
      </c>
      <c r="I1645" s="820">
        <v>15.54</v>
      </c>
      <c r="J1645" s="820">
        <v>23.03</v>
      </c>
    </row>
    <row r="1646" spans="1:10" ht="38.25" customHeight="1">
      <c r="A1646" s="817" t="s">
        <v>13491</v>
      </c>
      <c r="B1646" s="816" t="s">
        <v>13574</v>
      </c>
      <c r="C1646" s="817" t="s">
        <v>6</v>
      </c>
      <c r="D1646" s="817" t="s">
        <v>34</v>
      </c>
      <c r="E1646" s="1021" t="s">
        <v>13490</v>
      </c>
      <c r="F1646" s="1021"/>
      <c r="G1646" s="818" t="s">
        <v>19</v>
      </c>
      <c r="H1646" s="819">
        <v>1.4821</v>
      </c>
      <c r="I1646" s="820">
        <v>18.72</v>
      </c>
      <c r="J1646" s="820">
        <v>27.74</v>
      </c>
    </row>
    <row r="1647" spans="1:10">
      <c r="A1647" s="822" t="s">
        <v>13493</v>
      </c>
      <c r="B1647" s="821" t="s">
        <v>14118</v>
      </c>
      <c r="C1647" s="822" t="s">
        <v>6</v>
      </c>
      <c r="D1647" s="822" t="s">
        <v>9229</v>
      </c>
      <c r="E1647" s="1017" t="s">
        <v>13514</v>
      </c>
      <c r="F1647" s="1017"/>
      <c r="G1647" s="823" t="s">
        <v>24</v>
      </c>
      <c r="H1647" s="824">
        <v>1</v>
      </c>
      <c r="I1647" s="825">
        <v>5216.99</v>
      </c>
      <c r="J1647" s="825">
        <v>5216.99</v>
      </c>
    </row>
    <row r="1648" spans="1:10" ht="25.5">
      <c r="A1648" s="827"/>
      <c r="B1648" s="827"/>
      <c r="C1648" s="827"/>
      <c r="D1648" s="827"/>
      <c r="E1648" s="827" t="s">
        <v>13503</v>
      </c>
      <c r="F1648" s="826">
        <v>64.290000000000006</v>
      </c>
      <c r="G1648" s="827" t="s">
        <v>13504</v>
      </c>
      <c r="H1648" s="826">
        <v>0</v>
      </c>
      <c r="I1648" s="827" t="s">
        <v>13505</v>
      </c>
      <c r="J1648" s="826">
        <v>64.290000000000006</v>
      </c>
    </row>
    <row r="1649" spans="1:10" ht="13.5" customHeight="1" thickBot="1">
      <c r="A1649" s="827"/>
      <c r="B1649" s="827"/>
      <c r="C1649" s="827"/>
      <c r="D1649" s="827"/>
      <c r="E1649" s="827" t="s">
        <v>13506</v>
      </c>
      <c r="F1649" s="826">
        <v>1595.2</v>
      </c>
      <c r="G1649" s="827"/>
      <c r="H1649" s="1018" t="s">
        <v>13507</v>
      </c>
      <c r="I1649" s="1018"/>
      <c r="J1649" s="826">
        <v>7243.96</v>
      </c>
    </row>
    <row r="1650" spans="1:10" ht="13.5" customHeight="1" thickTop="1">
      <c r="A1650" s="828"/>
      <c r="B1650" s="828"/>
      <c r="C1650" s="828"/>
      <c r="D1650" s="828"/>
      <c r="E1650" s="828"/>
      <c r="F1650" s="828"/>
      <c r="G1650" s="828"/>
      <c r="H1650" s="828"/>
      <c r="I1650" s="828"/>
      <c r="J1650" s="828"/>
    </row>
    <row r="1651" spans="1:10" ht="15">
      <c r="A1651" s="809" t="s">
        <v>14119</v>
      </c>
      <c r="B1651" s="808" t="s">
        <v>13481</v>
      </c>
      <c r="C1651" s="809" t="s">
        <v>13482</v>
      </c>
      <c r="D1651" s="809" t="s">
        <v>13483</v>
      </c>
      <c r="E1651" s="1019" t="s">
        <v>13484</v>
      </c>
      <c r="F1651" s="1019"/>
      <c r="G1651" s="810" t="s">
        <v>13485</v>
      </c>
      <c r="H1651" s="808" t="s">
        <v>13486</v>
      </c>
      <c r="I1651" s="808" t="s">
        <v>13487</v>
      </c>
      <c r="J1651" s="808" t="s">
        <v>4867</v>
      </c>
    </row>
    <row r="1652" spans="1:10" ht="25.5" customHeight="1">
      <c r="A1652" s="812" t="s">
        <v>13488</v>
      </c>
      <c r="B1652" s="811" t="s">
        <v>14120</v>
      </c>
      <c r="C1652" s="812" t="s">
        <v>6</v>
      </c>
      <c r="D1652" s="812" t="s">
        <v>6768</v>
      </c>
      <c r="E1652" s="1020" t="s">
        <v>13898</v>
      </c>
      <c r="F1652" s="1020"/>
      <c r="G1652" s="813" t="s">
        <v>24</v>
      </c>
      <c r="H1652" s="814">
        <v>1</v>
      </c>
      <c r="I1652" s="815">
        <v>1248.3699999999999</v>
      </c>
      <c r="J1652" s="815">
        <v>1248.3699999999999</v>
      </c>
    </row>
    <row r="1653" spans="1:10" ht="25.5" customHeight="1">
      <c r="A1653" s="817" t="s">
        <v>13491</v>
      </c>
      <c r="B1653" s="816" t="s">
        <v>13909</v>
      </c>
      <c r="C1653" s="817" t="s">
        <v>6</v>
      </c>
      <c r="D1653" s="817" t="s">
        <v>986</v>
      </c>
      <c r="E1653" s="1021" t="s">
        <v>13490</v>
      </c>
      <c r="F1653" s="1021"/>
      <c r="G1653" s="818" t="s">
        <v>19</v>
      </c>
      <c r="H1653" s="819">
        <v>2.1145999999999998</v>
      </c>
      <c r="I1653" s="820">
        <v>15.54</v>
      </c>
      <c r="J1653" s="820">
        <v>32.86</v>
      </c>
    </row>
    <row r="1654" spans="1:10" ht="38.25" customHeight="1">
      <c r="A1654" s="817" t="s">
        <v>13491</v>
      </c>
      <c r="B1654" s="816" t="s">
        <v>13567</v>
      </c>
      <c r="C1654" s="817" t="s">
        <v>6</v>
      </c>
      <c r="D1654" s="817" t="s">
        <v>35</v>
      </c>
      <c r="E1654" s="1021" t="s">
        <v>13490</v>
      </c>
      <c r="F1654" s="1021"/>
      <c r="G1654" s="818" t="s">
        <v>19</v>
      </c>
      <c r="H1654" s="819">
        <v>0.63300000000000001</v>
      </c>
      <c r="I1654" s="820">
        <v>19.53</v>
      </c>
      <c r="J1654" s="820">
        <v>12.36</v>
      </c>
    </row>
    <row r="1655" spans="1:10" ht="38.25" customHeight="1">
      <c r="A1655" s="817" t="s">
        <v>13491</v>
      </c>
      <c r="B1655" s="816" t="s">
        <v>13574</v>
      </c>
      <c r="C1655" s="817" t="s">
        <v>6</v>
      </c>
      <c r="D1655" s="817" t="s">
        <v>34</v>
      </c>
      <c r="E1655" s="1021" t="s">
        <v>13490</v>
      </c>
      <c r="F1655" s="1021"/>
      <c r="G1655" s="818" t="s">
        <v>19</v>
      </c>
      <c r="H1655" s="819">
        <v>2.1145999999999998</v>
      </c>
      <c r="I1655" s="820">
        <v>18.72</v>
      </c>
      <c r="J1655" s="820">
        <v>39.58</v>
      </c>
    </row>
    <row r="1656" spans="1:10" ht="38.25" customHeight="1">
      <c r="A1656" s="817" t="s">
        <v>13491</v>
      </c>
      <c r="B1656" s="816" t="s">
        <v>14121</v>
      </c>
      <c r="C1656" s="817" t="s">
        <v>6</v>
      </c>
      <c r="D1656" s="817" t="s">
        <v>37</v>
      </c>
      <c r="E1656" s="1021" t="s">
        <v>13490</v>
      </c>
      <c r="F1656" s="1021"/>
      <c r="G1656" s="818" t="s">
        <v>19</v>
      </c>
      <c r="H1656" s="819">
        <v>0.63300000000000001</v>
      </c>
      <c r="I1656" s="820">
        <v>15.19</v>
      </c>
      <c r="J1656" s="820">
        <v>9.61</v>
      </c>
    </row>
    <row r="1657" spans="1:10" ht="38.25">
      <c r="A1657" s="822" t="s">
        <v>13493</v>
      </c>
      <c r="B1657" s="821" t="s">
        <v>14122</v>
      </c>
      <c r="C1657" s="822" t="s">
        <v>6</v>
      </c>
      <c r="D1657" s="822" t="s">
        <v>8733</v>
      </c>
      <c r="E1657" s="1017" t="s">
        <v>13514</v>
      </c>
      <c r="F1657" s="1017"/>
      <c r="G1657" s="823" t="s">
        <v>24</v>
      </c>
      <c r="H1657" s="824">
        <v>4</v>
      </c>
      <c r="I1657" s="825">
        <v>0.8</v>
      </c>
      <c r="J1657" s="825">
        <v>3.2</v>
      </c>
    </row>
    <row r="1658" spans="1:10" ht="13.5" customHeight="1">
      <c r="A1658" s="822" t="s">
        <v>13493</v>
      </c>
      <c r="B1658" s="821" t="s">
        <v>14123</v>
      </c>
      <c r="C1658" s="822" t="s">
        <v>6</v>
      </c>
      <c r="D1658" s="822" t="s">
        <v>8909</v>
      </c>
      <c r="E1658" s="1017" t="s">
        <v>13497</v>
      </c>
      <c r="F1658" s="1017"/>
      <c r="G1658" s="823" t="s">
        <v>24</v>
      </c>
      <c r="H1658" s="824">
        <v>1</v>
      </c>
      <c r="I1658" s="825">
        <v>1148.4000000000001</v>
      </c>
      <c r="J1658" s="825">
        <v>1148.4000000000001</v>
      </c>
    </row>
    <row r="1659" spans="1:10">
      <c r="A1659" s="822" t="s">
        <v>13493</v>
      </c>
      <c r="B1659" s="821" t="s">
        <v>14124</v>
      </c>
      <c r="C1659" s="822" t="s">
        <v>6</v>
      </c>
      <c r="D1659" s="822" t="s">
        <v>11856</v>
      </c>
      <c r="E1659" s="1017" t="s">
        <v>13514</v>
      </c>
      <c r="F1659" s="1017"/>
      <c r="G1659" s="823" t="s">
        <v>24</v>
      </c>
      <c r="H1659" s="824">
        <v>4</v>
      </c>
      <c r="I1659" s="825">
        <v>0.34</v>
      </c>
      <c r="J1659" s="825">
        <v>1.36</v>
      </c>
    </row>
    <row r="1660" spans="1:10">
      <c r="A1660" s="822" t="s">
        <v>13493</v>
      </c>
      <c r="B1660" s="821" t="s">
        <v>14125</v>
      </c>
      <c r="C1660" s="822" t="s">
        <v>6</v>
      </c>
      <c r="D1660" s="822" t="s">
        <v>13232</v>
      </c>
      <c r="E1660" s="1017" t="s">
        <v>13514</v>
      </c>
      <c r="F1660" s="1017"/>
      <c r="G1660" s="823" t="s">
        <v>14</v>
      </c>
      <c r="H1660" s="824">
        <v>0.2</v>
      </c>
      <c r="I1660" s="825">
        <v>5.01</v>
      </c>
      <c r="J1660" s="825">
        <v>1</v>
      </c>
    </row>
    <row r="1661" spans="1:10" ht="25.5" customHeight="1">
      <c r="A1661" s="827"/>
      <c r="B1661" s="827"/>
      <c r="C1661" s="827"/>
      <c r="D1661" s="827"/>
      <c r="E1661" s="827" t="s">
        <v>13503</v>
      </c>
      <c r="F1661" s="826">
        <v>69.86</v>
      </c>
      <c r="G1661" s="827" t="s">
        <v>13504</v>
      </c>
      <c r="H1661" s="826">
        <v>0</v>
      </c>
      <c r="I1661" s="827" t="s">
        <v>13505</v>
      </c>
      <c r="J1661" s="826">
        <v>69.86</v>
      </c>
    </row>
    <row r="1662" spans="1:10" ht="13.5" customHeight="1" thickBot="1">
      <c r="A1662" s="827"/>
      <c r="B1662" s="827"/>
      <c r="C1662" s="827"/>
      <c r="D1662" s="827"/>
      <c r="E1662" s="827" t="s">
        <v>13506</v>
      </c>
      <c r="F1662" s="826">
        <v>352.53</v>
      </c>
      <c r="G1662" s="827"/>
      <c r="H1662" s="1018" t="s">
        <v>13507</v>
      </c>
      <c r="I1662" s="1018"/>
      <c r="J1662" s="826">
        <v>1600.9</v>
      </c>
    </row>
    <row r="1663" spans="1:10" ht="13.5" thickTop="1">
      <c r="A1663" s="828"/>
      <c r="B1663" s="828"/>
      <c r="C1663" s="828"/>
      <c r="D1663" s="828"/>
      <c r="E1663" s="828"/>
      <c r="F1663" s="828"/>
      <c r="G1663" s="828"/>
      <c r="H1663" s="828"/>
      <c r="I1663" s="828"/>
      <c r="J1663" s="828"/>
    </row>
    <row r="1664" spans="1:10" ht="15">
      <c r="A1664" s="809" t="s">
        <v>14126</v>
      </c>
      <c r="B1664" s="808" t="s">
        <v>13481</v>
      </c>
      <c r="C1664" s="809" t="s">
        <v>13482</v>
      </c>
      <c r="D1664" s="809" t="s">
        <v>13483</v>
      </c>
      <c r="E1664" s="1019" t="s">
        <v>13484</v>
      </c>
      <c r="F1664" s="1019"/>
      <c r="G1664" s="810" t="s">
        <v>13485</v>
      </c>
      <c r="H1664" s="808" t="s">
        <v>13486</v>
      </c>
      <c r="I1664" s="808" t="s">
        <v>13487</v>
      </c>
      <c r="J1664" s="808" t="s">
        <v>4867</v>
      </c>
    </row>
    <row r="1665" spans="1:10" ht="25.5" customHeight="1">
      <c r="A1665" s="812" t="s">
        <v>13488</v>
      </c>
      <c r="B1665" s="811" t="s">
        <v>14127</v>
      </c>
      <c r="C1665" s="812" t="s">
        <v>6</v>
      </c>
      <c r="D1665" s="812" t="s">
        <v>4489</v>
      </c>
      <c r="E1665" s="1020" t="s">
        <v>13898</v>
      </c>
      <c r="F1665" s="1020"/>
      <c r="G1665" s="813" t="s">
        <v>24</v>
      </c>
      <c r="H1665" s="814">
        <v>1</v>
      </c>
      <c r="I1665" s="815">
        <v>85.29</v>
      </c>
      <c r="J1665" s="815">
        <v>85.29</v>
      </c>
    </row>
    <row r="1666" spans="1:10" ht="13.5" customHeight="1">
      <c r="A1666" s="817" t="s">
        <v>13491</v>
      </c>
      <c r="B1666" s="816" t="s">
        <v>13574</v>
      </c>
      <c r="C1666" s="817" t="s">
        <v>6</v>
      </c>
      <c r="D1666" s="817" t="s">
        <v>34</v>
      </c>
      <c r="E1666" s="1021" t="s">
        <v>13490</v>
      </c>
      <c r="F1666" s="1021"/>
      <c r="G1666" s="818" t="s">
        <v>19</v>
      </c>
      <c r="H1666" s="819">
        <v>0.44669999999999999</v>
      </c>
      <c r="I1666" s="820">
        <v>18.72</v>
      </c>
      <c r="J1666" s="820">
        <v>8.36</v>
      </c>
    </row>
    <row r="1667" spans="1:10" ht="38.25" customHeight="1">
      <c r="A1667" s="817" t="s">
        <v>13491</v>
      </c>
      <c r="B1667" s="816" t="s">
        <v>13553</v>
      </c>
      <c r="C1667" s="817" t="s">
        <v>6</v>
      </c>
      <c r="D1667" s="817" t="s">
        <v>21</v>
      </c>
      <c r="E1667" s="1021" t="s">
        <v>13490</v>
      </c>
      <c r="F1667" s="1021"/>
      <c r="G1667" s="818" t="s">
        <v>19</v>
      </c>
      <c r="H1667" s="819">
        <v>0.14069999999999999</v>
      </c>
      <c r="I1667" s="820">
        <v>15.16</v>
      </c>
      <c r="J1667" s="820">
        <v>2.13</v>
      </c>
    </row>
    <row r="1668" spans="1:10" ht="25.5">
      <c r="A1668" s="822" t="s">
        <v>13493</v>
      </c>
      <c r="B1668" s="821" t="s">
        <v>14128</v>
      </c>
      <c r="C1668" s="822" t="s">
        <v>6</v>
      </c>
      <c r="D1668" s="822" t="s">
        <v>4620</v>
      </c>
      <c r="E1668" s="1017" t="s">
        <v>13514</v>
      </c>
      <c r="F1668" s="1017"/>
      <c r="G1668" s="823" t="s">
        <v>24</v>
      </c>
      <c r="H1668" s="824">
        <v>1</v>
      </c>
      <c r="I1668" s="825">
        <v>74.7</v>
      </c>
      <c r="J1668" s="825">
        <v>74.7</v>
      </c>
    </row>
    <row r="1669" spans="1:10" ht="25.5" customHeight="1">
      <c r="A1669" s="822" t="s">
        <v>13493</v>
      </c>
      <c r="B1669" s="821" t="s">
        <v>13925</v>
      </c>
      <c r="C1669" s="822" t="s">
        <v>6</v>
      </c>
      <c r="D1669" s="822" t="s">
        <v>4681</v>
      </c>
      <c r="E1669" s="1017" t="s">
        <v>13514</v>
      </c>
      <c r="F1669" s="1017"/>
      <c r="G1669" s="823" t="s">
        <v>24</v>
      </c>
      <c r="H1669" s="824">
        <v>2.1000000000000001E-2</v>
      </c>
      <c r="I1669" s="825">
        <v>5</v>
      </c>
      <c r="J1669" s="825">
        <v>0.1</v>
      </c>
    </row>
    <row r="1670" spans="1:10" ht="25.5" customHeight="1">
      <c r="A1670" s="827"/>
      <c r="B1670" s="827"/>
      <c r="C1670" s="827"/>
      <c r="D1670" s="827"/>
      <c r="E1670" s="827" t="s">
        <v>13503</v>
      </c>
      <c r="F1670" s="826">
        <v>7.88</v>
      </c>
      <c r="G1670" s="827" t="s">
        <v>13504</v>
      </c>
      <c r="H1670" s="826">
        <v>0</v>
      </c>
      <c r="I1670" s="827" t="s">
        <v>13505</v>
      </c>
      <c r="J1670" s="826">
        <v>7.88</v>
      </c>
    </row>
    <row r="1671" spans="1:10" ht="13.5" customHeight="1" thickBot="1">
      <c r="A1671" s="827"/>
      <c r="B1671" s="827"/>
      <c r="C1671" s="827"/>
      <c r="D1671" s="827"/>
      <c r="E1671" s="827" t="s">
        <v>13506</v>
      </c>
      <c r="F1671" s="826">
        <v>24.08</v>
      </c>
      <c r="G1671" s="827"/>
      <c r="H1671" s="1018" t="s">
        <v>13507</v>
      </c>
      <c r="I1671" s="1018"/>
      <c r="J1671" s="826">
        <v>109.37</v>
      </c>
    </row>
    <row r="1672" spans="1:10" ht="13.5" thickTop="1">
      <c r="A1672" s="828"/>
      <c r="B1672" s="828"/>
      <c r="C1672" s="828"/>
      <c r="D1672" s="828"/>
      <c r="E1672" s="828"/>
      <c r="F1672" s="828"/>
      <c r="G1672" s="828"/>
      <c r="H1672" s="828"/>
      <c r="I1672" s="828"/>
      <c r="J1672" s="828"/>
    </row>
    <row r="1673" spans="1:10" ht="15">
      <c r="A1673" s="809" t="s">
        <v>14129</v>
      </c>
      <c r="B1673" s="808" t="s">
        <v>13481</v>
      </c>
      <c r="C1673" s="809" t="s">
        <v>13482</v>
      </c>
      <c r="D1673" s="809" t="s">
        <v>13483</v>
      </c>
      <c r="E1673" s="1019" t="s">
        <v>13484</v>
      </c>
      <c r="F1673" s="1019"/>
      <c r="G1673" s="810" t="s">
        <v>13485</v>
      </c>
      <c r="H1673" s="808" t="s">
        <v>13486</v>
      </c>
      <c r="I1673" s="808" t="s">
        <v>13487</v>
      </c>
      <c r="J1673" s="808" t="s">
        <v>4867</v>
      </c>
    </row>
    <row r="1674" spans="1:10" ht="25.5" customHeight="1">
      <c r="A1674" s="812" t="s">
        <v>13488</v>
      </c>
      <c r="B1674" s="811" t="s">
        <v>14130</v>
      </c>
      <c r="C1674" s="812" t="s">
        <v>6</v>
      </c>
      <c r="D1674" s="812" t="s">
        <v>4436</v>
      </c>
      <c r="E1674" s="1020" t="s">
        <v>13898</v>
      </c>
      <c r="F1674" s="1020"/>
      <c r="G1674" s="813" t="s">
        <v>24</v>
      </c>
      <c r="H1674" s="814">
        <v>1</v>
      </c>
      <c r="I1674" s="815">
        <v>111.23</v>
      </c>
      <c r="J1674" s="815">
        <v>111.23</v>
      </c>
    </row>
    <row r="1675" spans="1:10" ht="13.5" customHeight="1">
      <c r="A1675" s="817" t="s">
        <v>13491</v>
      </c>
      <c r="B1675" s="816" t="s">
        <v>13574</v>
      </c>
      <c r="C1675" s="817" t="s">
        <v>6</v>
      </c>
      <c r="D1675" s="817" t="s">
        <v>34</v>
      </c>
      <c r="E1675" s="1021" t="s">
        <v>13490</v>
      </c>
      <c r="F1675" s="1021"/>
      <c r="G1675" s="818" t="s">
        <v>19</v>
      </c>
      <c r="H1675" s="819">
        <v>0.1164</v>
      </c>
      <c r="I1675" s="820">
        <v>18.72</v>
      </c>
      <c r="J1675" s="820">
        <v>2.17</v>
      </c>
    </row>
    <row r="1676" spans="1:10" ht="38.25" customHeight="1">
      <c r="A1676" s="817" t="s">
        <v>13491</v>
      </c>
      <c r="B1676" s="816" t="s">
        <v>13553</v>
      </c>
      <c r="C1676" s="817" t="s">
        <v>6</v>
      </c>
      <c r="D1676" s="817" t="s">
        <v>21</v>
      </c>
      <c r="E1676" s="1021" t="s">
        <v>13490</v>
      </c>
      <c r="F1676" s="1021"/>
      <c r="G1676" s="818" t="s">
        <v>19</v>
      </c>
      <c r="H1676" s="819">
        <v>3.6700000000000003E-2</v>
      </c>
      <c r="I1676" s="820">
        <v>15.16</v>
      </c>
      <c r="J1676" s="820">
        <v>0.55000000000000004</v>
      </c>
    </row>
    <row r="1677" spans="1:10">
      <c r="A1677" s="822" t="s">
        <v>13493</v>
      </c>
      <c r="B1677" s="821" t="s">
        <v>13925</v>
      </c>
      <c r="C1677" s="822" t="s">
        <v>6</v>
      </c>
      <c r="D1677" s="822" t="s">
        <v>4681</v>
      </c>
      <c r="E1677" s="1017" t="s">
        <v>13514</v>
      </c>
      <c r="F1677" s="1017"/>
      <c r="G1677" s="823" t="s">
        <v>24</v>
      </c>
      <c r="H1677" s="824">
        <v>2.1000000000000001E-2</v>
      </c>
      <c r="I1677" s="825">
        <v>5</v>
      </c>
      <c r="J1677" s="825">
        <v>0.1</v>
      </c>
    </row>
    <row r="1678" spans="1:10" ht="25.5" customHeight="1">
      <c r="A1678" s="822" t="s">
        <v>13493</v>
      </c>
      <c r="B1678" s="821" t="s">
        <v>14131</v>
      </c>
      <c r="C1678" s="822" t="s">
        <v>6</v>
      </c>
      <c r="D1678" s="822" t="s">
        <v>12742</v>
      </c>
      <c r="E1678" s="1017" t="s">
        <v>13514</v>
      </c>
      <c r="F1678" s="1017"/>
      <c r="G1678" s="823" t="s">
        <v>24</v>
      </c>
      <c r="H1678" s="824">
        <v>1</v>
      </c>
      <c r="I1678" s="825">
        <v>108.41</v>
      </c>
      <c r="J1678" s="825">
        <v>108.41</v>
      </c>
    </row>
    <row r="1679" spans="1:10" ht="25.5">
      <c r="A1679" s="827"/>
      <c r="B1679" s="827"/>
      <c r="C1679" s="827"/>
      <c r="D1679" s="827"/>
      <c r="E1679" s="827" t="s">
        <v>13503</v>
      </c>
      <c r="F1679" s="826">
        <v>2.0499999999999998</v>
      </c>
      <c r="G1679" s="827" t="s">
        <v>13504</v>
      </c>
      <c r="H1679" s="826">
        <v>0</v>
      </c>
      <c r="I1679" s="827" t="s">
        <v>13505</v>
      </c>
      <c r="J1679" s="826">
        <v>2.0499999999999998</v>
      </c>
    </row>
    <row r="1680" spans="1:10" ht="13.5" customHeight="1" thickBot="1">
      <c r="A1680" s="827"/>
      <c r="B1680" s="827"/>
      <c r="C1680" s="827"/>
      <c r="D1680" s="827"/>
      <c r="E1680" s="827" t="s">
        <v>13506</v>
      </c>
      <c r="F1680" s="826">
        <v>31.41</v>
      </c>
      <c r="G1680" s="827"/>
      <c r="H1680" s="1018" t="s">
        <v>13507</v>
      </c>
      <c r="I1680" s="1018"/>
      <c r="J1680" s="826">
        <v>142.63999999999999</v>
      </c>
    </row>
    <row r="1681" spans="1:10" ht="13.5" customHeight="1" thickTop="1">
      <c r="A1681" s="828"/>
      <c r="B1681" s="828"/>
      <c r="C1681" s="828"/>
      <c r="D1681" s="828"/>
      <c r="E1681" s="828"/>
      <c r="F1681" s="828"/>
      <c r="G1681" s="828"/>
      <c r="H1681" s="828"/>
      <c r="I1681" s="828"/>
      <c r="J1681" s="828"/>
    </row>
    <row r="1682" spans="1:10" ht="15">
      <c r="A1682" s="809" t="s">
        <v>14132</v>
      </c>
      <c r="B1682" s="808" t="s">
        <v>13481</v>
      </c>
      <c r="C1682" s="809" t="s">
        <v>13482</v>
      </c>
      <c r="D1682" s="809" t="s">
        <v>13483</v>
      </c>
      <c r="E1682" s="1019" t="s">
        <v>13484</v>
      </c>
      <c r="F1682" s="1019"/>
      <c r="G1682" s="810" t="s">
        <v>13485</v>
      </c>
      <c r="H1682" s="808" t="s">
        <v>13486</v>
      </c>
      <c r="I1682" s="808" t="s">
        <v>13487</v>
      </c>
      <c r="J1682" s="808" t="s">
        <v>4867</v>
      </c>
    </row>
    <row r="1683" spans="1:10" ht="25.5" customHeight="1">
      <c r="A1683" s="812" t="s">
        <v>13488</v>
      </c>
      <c r="B1683" s="811" t="s">
        <v>14133</v>
      </c>
      <c r="C1683" s="812" t="s">
        <v>6</v>
      </c>
      <c r="D1683" s="812" t="s">
        <v>4439</v>
      </c>
      <c r="E1683" s="1020" t="s">
        <v>13898</v>
      </c>
      <c r="F1683" s="1020"/>
      <c r="G1683" s="813" t="s">
        <v>24</v>
      </c>
      <c r="H1683" s="814">
        <v>1</v>
      </c>
      <c r="I1683" s="815">
        <v>85.2</v>
      </c>
      <c r="J1683" s="815">
        <v>85.2</v>
      </c>
    </row>
    <row r="1684" spans="1:10" ht="12.75" customHeight="1">
      <c r="A1684" s="817" t="s">
        <v>13491</v>
      </c>
      <c r="B1684" s="816" t="s">
        <v>13553</v>
      </c>
      <c r="C1684" s="817" t="s">
        <v>6</v>
      </c>
      <c r="D1684" s="817" t="s">
        <v>21</v>
      </c>
      <c r="E1684" s="1021" t="s">
        <v>13490</v>
      </c>
      <c r="F1684" s="1021"/>
      <c r="G1684" s="818" t="s">
        <v>19</v>
      </c>
      <c r="H1684" s="819">
        <v>4.8099999999999997E-2</v>
      </c>
      <c r="I1684" s="820">
        <v>15.16</v>
      </c>
      <c r="J1684" s="820">
        <v>0.72</v>
      </c>
    </row>
    <row r="1685" spans="1:10" ht="38.25" customHeight="1">
      <c r="A1685" s="817" t="s">
        <v>13491</v>
      </c>
      <c r="B1685" s="816" t="s">
        <v>13574</v>
      </c>
      <c r="C1685" s="817" t="s">
        <v>6</v>
      </c>
      <c r="D1685" s="817" t="s">
        <v>34</v>
      </c>
      <c r="E1685" s="1021" t="s">
        <v>13490</v>
      </c>
      <c r="F1685" s="1021"/>
      <c r="G1685" s="818" t="s">
        <v>19</v>
      </c>
      <c r="H1685" s="819">
        <v>0.1525</v>
      </c>
      <c r="I1685" s="820">
        <v>18.72</v>
      </c>
      <c r="J1685" s="820">
        <v>2.85</v>
      </c>
    </row>
    <row r="1686" spans="1:10">
      <c r="A1686" s="822" t="s">
        <v>13493</v>
      </c>
      <c r="B1686" s="821" t="s">
        <v>13925</v>
      </c>
      <c r="C1686" s="822" t="s">
        <v>6</v>
      </c>
      <c r="D1686" s="822" t="s">
        <v>4681</v>
      </c>
      <c r="E1686" s="1017" t="s">
        <v>13514</v>
      </c>
      <c r="F1686" s="1017"/>
      <c r="G1686" s="823" t="s">
        <v>24</v>
      </c>
      <c r="H1686" s="824">
        <v>2.1000000000000001E-2</v>
      </c>
      <c r="I1686" s="825">
        <v>5</v>
      </c>
      <c r="J1686" s="825">
        <v>0.1</v>
      </c>
    </row>
    <row r="1687" spans="1:10" ht="13.5" customHeight="1">
      <c r="A1687" s="822" t="s">
        <v>13493</v>
      </c>
      <c r="B1687" s="821" t="s">
        <v>14134</v>
      </c>
      <c r="C1687" s="822" t="s">
        <v>6</v>
      </c>
      <c r="D1687" s="822" t="s">
        <v>12737</v>
      </c>
      <c r="E1687" s="1017" t="s">
        <v>13514</v>
      </c>
      <c r="F1687" s="1017"/>
      <c r="G1687" s="823" t="s">
        <v>24</v>
      </c>
      <c r="H1687" s="824">
        <v>1</v>
      </c>
      <c r="I1687" s="825">
        <v>81.53</v>
      </c>
      <c r="J1687" s="825">
        <v>81.53</v>
      </c>
    </row>
    <row r="1688" spans="1:10" ht="25.5">
      <c r="A1688" s="827"/>
      <c r="B1688" s="827"/>
      <c r="C1688" s="827"/>
      <c r="D1688" s="827"/>
      <c r="E1688" s="827" t="s">
        <v>13503</v>
      </c>
      <c r="F1688" s="826">
        <v>2.68</v>
      </c>
      <c r="G1688" s="827" t="s">
        <v>13504</v>
      </c>
      <c r="H1688" s="826">
        <v>0</v>
      </c>
      <c r="I1688" s="827" t="s">
        <v>13505</v>
      </c>
      <c r="J1688" s="826">
        <v>2.68</v>
      </c>
    </row>
    <row r="1689" spans="1:10" ht="13.5" customHeight="1" thickBot="1">
      <c r="A1689" s="827"/>
      <c r="B1689" s="827"/>
      <c r="C1689" s="827"/>
      <c r="D1689" s="827"/>
      <c r="E1689" s="827" t="s">
        <v>13506</v>
      </c>
      <c r="F1689" s="826">
        <v>24.06</v>
      </c>
      <c r="G1689" s="827"/>
      <c r="H1689" s="1018" t="s">
        <v>13507</v>
      </c>
      <c r="I1689" s="1018"/>
      <c r="J1689" s="826">
        <v>109.26</v>
      </c>
    </row>
    <row r="1690" spans="1:10" ht="25.5" customHeight="1" thickTop="1">
      <c r="A1690" s="828"/>
      <c r="B1690" s="828"/>
      <c r="C1690" s="828"/>
      <c r="D1690" s="828"/>
      <c r="E1690" s="828"/>
      <c r="F1690" s="828"/>
      <c r="G1690" s="828"/>
      <c r="H1690" s="828"/>
      <c r="I1690" s="828"/>
      <c r="J1690" s="828"/>
    </row>
    <row r="1691" spans="1:10" ht="15">
      <c r="A1691" s="809" t="s">
        <v>14135</v>
      </c>
      <c r="B1691" s="808" t="s">
        <v>13481</v>
      </c>
      <c r="C1691" s="809" t="s">
        <v>13482</v>
      </c>
      <c r="D1691" s="809" t="s">
        <v>13483</v>
      </c>
      <c r="E1691" s="1019" t="s">
        <v>13484</v>
      </c>
      <c r="F1691" s="1019"/>
      <c r="G1691" s="810" t="s">
        <v>13485</v>
      </c>
      <c r="H1691" s="808" t="s">
        <v>13486</v>
      </c>
      <c r="I1691" s="808" t="s">
        <v>13487</v>
      </c>
      <c r="J1691" s="808" t="s">
        <v>4867</v>
      </c>
    </row>
    <row r="1692" spans="1:10" ht="25.5" customHeight="1">
      <c r="A1692" s="812" t="s">
        <v>13488</v>
      </c>
      <c r="B1692" s="811" t="s">
        <v>14136</v>
      </c>
      <c r="C1692" s="812" t="s">
        <v>6</v>
      </c>
      <c r="D1692" s="812" t="s">
        <v>4433</v>
      </c>
      <c r="E1692" s="1020" t="s">
        <v>13898</v>
      </c>
      <c r="F1692" s="1020"/>
      <c r="G1692" s="813" t="s">
        <v>24</v>
      </c>
      <c r="H1692" s="814">
        <v>1</v>
      </c>
      <c r="I1692" s="815">
        <v>64.94</v>
      </c>
      <c r="J1692" s="815">
        <v>64.94</v>
      </c>
    </row>
    <row r="1693" spans="1:10" ht="38.25" customHeight="1">
      <c r="A1693" s="817" t="s">
        <v>13491</v>
      </c>
      <c r="B1693" s="816" t="s">
        <v>13574</v>
      </c>
      <c r="C1693" s="817" t="s">
        <v>6</v>
      </c>
      <c r="D1693" s="817" t="s">
        <v>34</v>
      </c>
      <c r="E1693" s="1021" t="s">
        <v>13490</v>
      </c>
      <c r="F1693" s="1021"/>
      <c r="G1693" s="818" t="s">
        <v>19</v>
      </c>
      <c r="H1693" s="819">
        <v>9.6000000000000002E-2</v>
      </c>
      <c r="I1693" s="820">
        <v>18.72</v>
      </c>
      <c r="J1693" s="820">
        <v>1.79</v>
      </c>
    </row>
    <row r="1694" spans="1:10" ht="38.25" customHeight="1">
      <c r="A1694" s="817" t="s">
        <v>13491</v>
      </c>
      <c r="B1694" s="816" t="s">
        <v>13553</v>
      </c>
      <c r="C1694" s="817" t="s">
        <v>6</v>
      </c>
      <c r="D1694" s="817" t="s">
        <v>21</v>
      </c>
      <c r="E1694" s="1021" t="s">
        <v>13490</v>
      </c>
      <c r="F1694" s="1021"/>
      <c r="G1694" s="818" t="s">
        <v>19</v>
      </c>
      <c r="H1694" s="819">
        <v>3.0300000000000001E-2</v>
      </c>
      <c r="I1694" s="820">
        <v>15.16</v>
      </c>
      <c r="J1694" s="820">
        <v>0.45</v>
      </c>
    </row>
    <row r="1695" spans="1:10" ht="13.5" customHeight="1">
      <c r="A1695" s="822" t="s">
        <v>13493</v>
      </c>
      <c r="B1695" s="821" t="s">
        <v>13925</v>
      </c>
      <c r="C1695" s="822" t="s">
        <v>6</v>
      </c>
      <c r="D1695" s="822" t="s">
        <v>4681</v>
      </c>
      <c r="E1695" s="1017" t="s">
        <v>13514</v>
      </c>
      <c r="F1695" s="1017"/>
      <c r="G1695" s="823" t="s">
        <v>24</v>
      </c>
      <c r="H1695" s="824">
        <v>2.1000000000000001E-2</v>
      </c>
      <c r="I1695" s="825">
        <v>5</v>
      </c>
      <c r="J1695" s="825">
        <v>0.1</v>
      </c>
    </row>
    <row r="1696" spans="1:10" ht="25.5">
      <c r="A1696" s="822" t="s">
        <v>13493</v>
      </c>
      <c r="B1696" s="821" t="s">
        <v>14137</v>
      </c>
      <c r="C1696" s="822" t="s">
        <v>6</v>
      </c>
      <c r="D1696" s="822" t="s">
        <v>12733</v>
      </c>
      <c r="E1696" s="1017" t="s">
        <v>13514</v>
      </c>
      <c r="F1696" s="1017"/>
      <c r="G1696" s="823" t="s">
        <v>24</v>
      </c>
      <c r="H1696" s="824">
        <v>1</v>
      </c>
      <c r="I1696" s="825">
        <v>62.6</v>
      </c>
      <c r="J1696" s="825">
        <v>62.6</v>
      </c>
    </row>
    <row r="1697" spans="1:10" ht="25.5">
      <c r="A1697" s="827"/>
      <c r="B1697" s="827"/>
      <c r="C1697" s="827"/>
      <c r="D1697" s="827"/>
      <c r="E1697" s="827" t="s">
        <v>13503</v>
      </c>
      <c r="F1697" s="826">
        <v>1.69</v>
      </c>
      <c r="G1697" s="827" t="s">
        <v>13504</v>
      </c>
      <c r="H1697" s="826">
        <v>0</v>
      </c>
      <c r="I1697" s="827" t="s">
        <v>13505</v>
      </c>
      <c r="J1697" s="826">
        <v>1.69</v>
      </c>
    </row>
    <row r="1698" spans="1:10" ht="13.5" customHeight="1" thickBot="1">
      <c r="A1698" s="827"/>
      <c r="B1698" s="827"/>
      <c r="C1698" s="827"/>
      <c r="D1698" s="827"/>
      <c r="E1698" s="827" t="s">
        <v>13506</v>
      </c>
      <c r="F1698" s="826">
        <v>18.329999999999998</v>
      </c>
      <c r="G1698" s="827"/>
      <c r="H1698" s="1018" t="s">
        <v>13507</v>
      </c>
      <c r="I1698" s="1018"/>
      <c r="J1698" s="826">
        <v>83.27</v>
      </c>
    </row>
    <row r="1699" spans="1:10" ht="13.5" thickTop="1">
      <c r="A1699" s="828"/>
      <c r="B1699" s="828"/>
      <c r="C1699" s="828"/>
      <c r="D1699" s="828"/>
      <c r="E1699" s="828"/>
      <c r="F1699" s="828"/>
      <c r="G1699" s="828"/>
      <c r="H1699" s="828"/>
      <c r="I1699" s="828"/>
      <c r="J1699" s="828"/>
    </row>
    <row r="1700" spans="1:10" ht="15">
      <c r="A1700" s="809" t="s">
        <v>14138</v>
      </c>
      <c r="B1700" s="808" t="s">
        <v>13481</v>
      </c>
      <c r="C1700" s="809" t="s">
        <v>13482</v>
      </c>
      <c r="D1700" s="809" t="s">
        <v>13483</v>
      </c>
      <c r="E1700" s="1019" t="s">
        <v>13484</v>
      </c>
      <c r="F1700" s="1019"/>
      <c r="G1700" s="810" t="s">
        <v>13485</v>
      </c>
      <c r="H1700" s="808" t="s">
        <v>13486</v>
      </c>
      <c r="I1700" s="808" t="s">
        <v>13487</v>
      </c>
      <c r="J1700" s="808" t="s">
        <v>4867</v>
      </c>
    </row>
    <row r="1701" spans="1:10" ht="25.5" customHeight="1">
      <c r="A1701" s="812" t="s">
        <v>13488</v>
      </c>
      <c r="B1701" s="811" t="s">
        <v>14139</v>
      </c>
      <c r="C1701" s="812" t="s">
        <v>6</v>
      </c>
      <c r="D1701" s="812" t="s">
        <v>2610</v>
      </c>
      <c r="E1701" s="1020" t="s">
        <v>13898</v>
      </c>
      <c r="F1701" s="1020"/>
      <c r="G1701" s="813" t="s">
        <v>24</v>
      </c>
      <c r="H1701" s="814">
        <v>1</v>
      </c>
      <c r="I1701" s="815">
        <v>283.87</v>
      </c>
      <c r="J1701" s="815">
        <v>283.87</v>
      </c>
    </row>
    <row r="1702" spans="1:10" ht="38.25" customHeight="1">
      <c r="A1702" s="817" t="s">
        <v>13491</v>
      </c>
      <c r="B1702" s="816" t="s">
        <v>14140</v>
      </c>
      <c r="C1702" s="817" t="s">
        <v>6</v>
      </c>
      <c r="D1702" s="817" t="s">
        <v>4471</v>
      </c>
      <c r="E1702" s="1021" t="s">
        <v>13898</v>
      </c>
      <c r="F1702" s="1021"/>
      <c r="G1702" s="818" t="s">
        <v>24</v>
      </c>
      <c r="H1702" s="819">
        <v>1</v>
      </c>
      <c r="I1702" s="820">
        <v>274.79000000000002</v>
      </c>
      <c r="J1702" s="820">
        <v>274.79000000000002</v>
      </c>
    </row>
    <row r="1703" spans="1:10" ht="25.5">
      <c r="A1703" s="822" t="s">
        <v>13493</v>
      </c>
      <c r="B1703" s="821" t="s">
        <v>14141</v>
      </c>
      <c r="C1703" s="822" t="s">
        <v>6</v>
      </c>
      <c r="D1703" s="822" t="s">
        <v>4631</v>
      </c>
      <c r="E1703" s="1017" t="s">
        <v>13514</v>
      </c>
      <c r="F1703" s="1017"/>
      <c r="G1703" s="823" t="s">
        <v>24</v>
      </c>
      <c r="H1703" s="824">
        <v>1</v>
      </c>
      <c r="I1703" s="825">
        <v>9.08</v>
      </c>
      <c r="J1703" s="825">
        <v>9.08</v>
      </c>
    </row>
    <row r="1704" spans="1:10" ht="25.5">
      <c r="A1704" s="827"/>
      <c r="B1704" s="827"/>
      <c r="C1704" s="827"/>
      <c r="D1704" s="827"/>
      <c r="E1704" s="827" t="s">
        <v>13503</v>
      </c>
      <c r="F1704" s="826">
        <v>10.76</v>
      </c>
      <c r="G1704" s="827" t="s">
        <v>13504</v>
      </c>
      <c r="H1704" s="826">
        <v>0</v>
      </c>
      <c r="I1704" s="827" t="s">
        <v>13505</v>
      </c>
      <c r="J1704" s="826">
        <v>10.76</v>
      </c>
    </row>
    <row r="1705" spans="1:10" ht="13.5" customHeight="1" thickBot="1">
      <c r="A1705" s="827"/>
      <c r="B1705" s="827"/>
      <c r="C1705" s="827"/>
      <c r="D1705" s="827"/>
      <c r="E1705" s="827" t="s">
        <v>13506</v>
      </c>
      <c r="F1705" s="826">
        <v>80.16</v>
      </c>
      <c r="G1705" s="827"/>
      <c r="H1705" s="1018" t="s">
        <v>13507</v>
      </c>
      <c r="I1705" s="1018"/>
      <c r="J1705" s="826">
        <v>364.03</v>
      </c>
    </row>
    <row r="1706" spans="1:10" ht="13.5" thickTop="1">
      <c r="A1706" s="828"/>
      <c r="B1706" s="828"/>
      <c r="C1706" s="828"/>
      <c r="D1706" s="828"/>
      <c r="E1706" s="828"/>
      <c r="F1706" s="828"/>
      <c r="G1706" s="828"/>
      <c r="H1706" s="828"/>
      <c r="I1706" s="828"/>
      <c r="J1706" s="828"/>
    </row>
    <row r="1707" spans="1:10" ht="13.5" customHeight="1">
      <c r="A1707" s="809" t="s">
        <v>14142</v>
      </c>
      <c r="B1707" s="808" t="s">
        <v>13481</v>
      </c>
      <c r="C1707" s="809" t="s">
        <v>13482</v>
      </c>
      <c r="D1707" s="809" t="s">
        <v>13483</v>
      </c>
      <c r="E1707" s="1019" t="s">
        <v>13484</v>
      </c>
      <c r="F1707" s="1019"/>
      <c r="G1707" s="810" t="s">
        <v>13485</v>
      </c>
      <c r="H1707" s="808" t="s">
        <v>13486</v>
      </c>
      <c r="I1707" s="808" t="s">
        <v>13487</v>
      </c>
      <c r="J1707" s="808" t="s">
        <v>4867</v>
      </c>
    </row>
    <row r="1708" spans="1:10" ht="38.25" customHeight="1">
      <c r="A1708" s="812" t="s">
        <v>13488</v>
      </c>
      <c r="B1708" s="811" t="s">
        <v>14143</v>
      </c>
      <c r="C1708" s="812" t="s">
        <v>6</v>
      </c>
      <c r="D1708" s="812" t="s">
        <v>4473</v>
      </c>
      <c r="E1708" s="1020" t="s">
        <v>13898</v>
      </c>
      <c r="F1708" s="1020"/>
      <c r="G1708" s="813" t="s">
        <v>24</v>
      </c>
      <c r="H1708" s="814">
        <v>1</v>
      </c>
      <c r="I1708" s="815">
        <v>703.62</v>
      </c>
      <c r="J1708" s="815">
        <v>703.62</v>
      </c>
    </row>
    <row r="1709" spans="1:10" ht="38.25" customHeight="1">
      <c r="A1709" s="817" t="s">
        <v>13491</v>
      </c>
      <c r="B1709" s="816" t="s">
        <v>14144</v>
      </c>
      <c r="C1709" s="817" t="s">
        <v>6</v>
      </c>
      <c r="D1709" s="817" t="s">
        <v>4472</v>
      </c>
      <c r="E1709" s="1021" t="s">
        <v>13898</v>
      </c>
      <c r="F1709" s="1021"/>
      <c r="G1709" s="818" t="s">
        <v>24</v>
      </c>
      <c r="H1709" s="819">
        <v>1</v>
      </c>
      <c r="I1709" s="820">
        <v>694.54</v>
      </c>
      <c r="J1709" s="820">
        <v>694.54</v>
      </c>
    </row>
    <row r="1710" spans="1:10" ht="25.5" customHeight="1">
      <c r="A1710" s="822" t="s">
        <v>13493</v>
      </c>
      <c r="B1710" s="821" t="s">
        <v>14141</v>
      </c>
      <c r="C1710" s="822" t="s">
        <v>6</v>
      </c>
      <c r="D1710" s="822" t="s">
        <v>4631</v>
      </c>
      <c r="E1710" s="1017" t="s">
        <v>13514</v>
      </c>
      <c r="F1710" s="1017"/>
      <c r="G1710" s="823" t="s">
        <v>24</v>
      </c>
      <c r="H1710" s="824">
        <v>1</v>
      </c>
      <c r="I1710" s="825">
        <v>9.08</v>
      </c>
      <c r="J1710" s="825">
        <v>9.08</v>
      </c>
    </row>
    <row r="1711" spans="1:10" ht="25.5" customHeight="1">
      <c r="A1711" s="827"/>
      <c r="B1711" s="827"/>
      <c r="C1711" s="827"/>
      <c r="D1711" s="827"/>
      <c r="E1711" s="827" t="s">
        <v>13503</v>
      </c>
      <c r="F1711" s="826">
        <v>22.37</v>
      </c>
      <c r="G1711" s="827" t="s">
        <v>13504</v>
      </c>
      <c r="H1711" s="826">
        <v>0</v>
      </c>
      <c r="I1711" s="827" t="s">
        <v>13505</v>
      </c>
      <c r="J1711" s="826">
        <v>22.37</v>
      </c>
    </row>
    <row r="1712" spans="1:10" ht="25.5" customHeight="1" thickBot="1">
      <c r="A1712" s="827"/>
      <c r="B1712" s="827"/>
      <c r="C1712" s="827"/>
      <c r="D1712" s="827"/>
      <c r="E1712" s="827" t="s">
        <v>13506</v>
      </c>
      <c r="F1712" s="826">
        <v>198.7</v>
      </c>
      <c r="G1712" s="827"/>
      <c r="H1712" s="1018" t="s">
        <v>13507</v>
      </c>
      <c r="I1712" s="1018"/>
      <c r="J1712" s="826">
        <v>902.32</v>
      </c>
    </row>
    <row r="1713" spans="1:10" ht="13.5" thickTop="1">
      <c r="A1713" s="828"/>
      <c r="B1713" s="828"/>
      <c r="C1713" s="828"/>
      <c r="D1713" s="828"/>
      <c r="E1713" s="828"/>
      <c r="F1713" s="828"/>
      <c r="G1713" s="828"/>
      <c r="H1713" s="828"/>
      <c r="I1713" s="828"/>
      <c r="J1713" s="828"/>
    </row>
    <row r="1714" spans="1:10" ht="15">
      <c r="A1714" s="809" t="s">
        <v>14145</v>
      </c>
      <c r="B1714" s="808" t="s">
        <v>13481</v>
      </c>
      <c r="C1714" s="809" t="s">
        <v>13482</v>
      </c>
      <c r="D1714" s="809" t="s">
        <v>13483</v>
      </c>
      <c r="E1714" s="1019" t="s">
        <v>13484</v>
      </c>
      <c r="F1714" s="1019"/>
      <c r="G1714" s="810" t="s">
        <v>13485</v>
      </c>
      <c r="H1714" s="808" t="s">
        <v>13486</v>
      </c>
      <c r="I1714" s="808" t="s">
        <v>13487</v>
      </c>
      <c r="J1714" s="808" t="s">
        <v>4867</v>
      </c>
    </row>
    <row r="1715" spans="1:10" ht="25.5" customHeight="1">
      <c r="A1715" s="812" t="s">
        <v>13488</v>
      </c>
      <c r="B1715" s="811" t="s">
        <v>14146</v>
      </c>
      <c r="C1715" s="812" t="s">
        <v>6</v>
      </c>
      <c r="D1715" s="812" t="s">
        <v>4481</v>
      </c>
      <c r="E1715" s="1020" t="s">
        <v>13898</v>
      </c>
      <c r="F1715" s="1020"/>
      <c r="G1715" s="813" t="s">
        <v>24</v>
      </c>
      <c r="H1715" s="814">
        <v>1</v>
      </c>
      <c r="I1715" s="815">
        <v>47.71</v>
      </c>
      <c r="J1715" s="815">
        <v>47.71</v>
      </c>
    </row>
    <row r="1716" spans="1:10" ht="38.25" customHeight="1">
      <c r="A1716" s="817" t="s">
        <v>13491</v>
      </c>
      <c r="B1716" s="816" t="s">
        <v>13553</v>
      </c>
      <c r="C1716" s="817" t="s">
        <v>6</v>
      </c>
      <c r="D1716" s="817" t="s">
        <v>21</v>
      </c>
      <c r="E1716" s="1021" t="s">
        <v>13490</v>
      </c>
      <c r="F1716" s="1021"/>
      <c r="G1716" s="818" t="s">
        <v>19</v>
      </c>
      <c r="H1716" s="819">
        <v>4.8399999999999999E-2</v>
      </c>
      <c r="I1716" s="820">
        <v>15.16</v>
      </c>
      <c r="J1716" s="820">
        <v>0.73</v>
      </c>
    </row>
    <row r="1717" spans="1:10" ht="38.25" customHeight="1">
      <c r="A1717" s="817" t="s">
        <v>13491</v>
      </c>
      <c r="B1717" s="816" t="s">
        <v>13574</v>
      </c>
      <c r="C1717" s="817" t="s">
        <v>6</v>
      </c>
      <c r="D1717" s="817" t="s">
        <v>34</v>
      </c>
      <c r="E1717" s="1021" t="s">
        <v>13490</v>
      </c>
      <c r="F1717" s="1021"/>
      <c r="G1717" s="818" t="s">
        <v>19</v>
      </c>
      <c r="H1717" s="819">
        <v>0.15359999999999999</v>
      </c>
      <c r="I1717" s="820">
        <v>18.72</v>
      </c>
      <c r="J1717" s="820">
        <v>2.87</v>
      </c>
    </row>
    <row r="1718" spans="1:10">
      <c r="A1718" s="822" t="s">
        <v>13493</v>
      </c>
      <c r="B1718" s="821" t="s">
        <v>14147</v>
      </c>
      <c r="C1718" s="822" t="s">
        <v>6</v>
      </c>
      <c r="D1718" s="822" t="s">
        <v>8741</v>
      </c>
      <c r="E1718" s="1017" t="s">
        <v>13514</v>
      </c>
      <c r="F1718" s="1017"/>
      <c r="G1718" s="823" t="s">
        <v>24</v>
      </c>
      <c r="H1718" s="824">
        <v>1</v>
      </c>
      <c r="I1718" s="825">
        <v>44.11</v>
      </c>
      <c r="J1718" s="825">
        <v>44.11</v>
      </c>
    </row>
    <row r="1719" spans="1:10" ht="25.5">
      <c r="A1719" s="827"/>
      <c r="B1719" s="827"/>
      <c r="C1719" s="827"/>
      <c r="D1719" s="827"/>
      <c r="E1719" s="827" t="s">
        <v>13503</v>
      </c>
      <c r="F1719" s="826">
        <v>2.71</v>
      </c>
      <c r="G1719" s="827" t="s">
        <v>13504</v>
      </c>
      <c r="H1719" s="826">
        <v>0</v>
      </c>
      <c r="I1719" s="827" t="s">
        <v>13505</v>
      </c>
      <c r="J1719" s="826">
        <v>2.71</v>
      </c>
    </row>
    <row r="1720" spans="1:10" ht="13.5" customHeight="1" thickBot="1">
      <c r="A1720" s="827"/>
      <c r="B1720" s="827"/>
      <c r="C1720" s="827"/>
      <c r="D1720" s="827"/>
      <c r="E1720" s="827" t="s">
        <v>13506</v>
      </c>
      <c r="F1720" s="826">
        <v>13.47</v>
      </c>
      <c r="G1720" s="827"/>
      <c r="H1720" s="1018" t="s">
        <v>13507</v>
      </c>
      <c r="I1720" s="1018"/>
      <c r="J1720" s="826">
        <v>61.18</v>
      </c>
    </row>
    <row r="1721" spans="1:10" ht="13.5" thickTop="1">
      <c r="A1721" s="828"/>
      <c r="B1721" s="828"/>
      <c r="C1721" s="828"/>
      <c r="D1721" s="828"/>
      <c r="E1721" s="828"/>
      <c r="F1721" s="828"/>
      <c r="G1721" s="828"/>
      <c r="H1721" s="828"/>
      <c r="I1721" s="828"/>
      <c r="J1721" s="828"/>
    </row>
    <row r="1722" spans="1:10" ht="15">
      <c r="A1722" s="809" t="s">
        <v>14148</v>
      </c>
      <c r="B1722" s="808" t="s">
        <v>13481</v>
      </c>
      <c r="C1722" s="809" t="s">
        <v>13482</v>
      </c>
      <c r="D1722" s="809" t="s">
        <v>13483</v>
      </c>
      <c r="E1722" s="1019" t="s">
        <v>13484</v>
      </c>
      <c r="F1722" s="1019"/>
      <c r="G1722" s="810" t="s">
        <v>13485</v>
      </c>
      <c r="H1722" s="808" t="s">
        <v>13486</v>
      </c>
      <c r="I1722" s="808" t="s">
        <v>13487</v>
      </c>
      <c r="J1722" s="808" t="s">
        <v>4867</v>
      </c>
    </row>
    <row r="1723" spans="1:10" ht="38.25" customHeight="1">
      <c r="A1723" s="812" t="s">
        <v>13488</v>
      </c>
      <c r="B1723" s="811" t="s">
        <v>14149</v>
      </c>
      <c r="C1723" s="812" t="s">
        <v>6</v>
      </c>
      <c r="D1723" s="812" t="s">
        <v>4485</v>
      </c>
      <c r="E1723" s="1020" t="s">
        <v>13898</v>
      </c>
      <c r="F1723" s="1020"/>
      <c r="G1723" s="813" t="s">
        <v>24</v>
      </c>
      <c r="H1723" s="814">
        <v>1</v>
      </c>
      <c r="I1723" s="815">
        <v>38.5</v>
      </c>
      <c r="J1723" s="815">
        <v>38.5</v>
      </c>
    </row>
    <row r="1724" spans="1:10" ht="38.25" customHeight="1">
      <c r="A1724" s="817" t="s">
        <v>13491</v>
      </c>
      <c r="B1724" s="816" t="s">
        <v>13574</v>
      </c>
      <c r="C1724" s="817" t="s">
        <v>6</v>
      </c>
      <c r="D1724" s="817" t="s">
        <v>34</v>
      </c>
      <c r="E1724" s="1021" t="s">
        <v>13490</v>
      </c>
      <c r="F1724" s="1021"/>
      <c r="G1724" s="818" t="s">
        <v>19</v>
      </c>
      <c r="H1724" s="819">
        <v>0.31619999999999998</v>
      </c>
      <c r="I1724" s="820">
        <v>18.72</v>
      </c>
      <c r="J1724" s="820">
        <v>5.91</v>
      </c>
    </row>
    <row r="1725" spans="1:10" ht="38.25" customHeight="1">
      <c r="A1725" s="817" t="s">
        <v>13491</v>
      </c>
      <c r="B1725" s="816" t="s">
        <v>13553</v>
      </c>
      <c r="C1725" s="817" t="s">
        <v>6</v>
      </c>
      <c r="D1725" s="817" t="s">
        <v>21</v>
      </c>
      <c r="E1725" s="1021" t="s">
        <v>13490</v>
      </c>
      <c r="F1725" s="1021"/>
      <c r="G1725" s="818" t="s">
        <v>19</v>
      </c>
      <c r="H1725" s="819">
        <v>9.9599999999999994E-2</v>
      </c>
      <c r="I1725" s="820">
        <v>15.16</v>
      </c>
      <c r="J1725" s="820">
        <v>1.5</v>
      </c>
    </row>
    <row r="1726" spans="1:10">
      <c r="A1726" s="822" t="s">
        <v>13493</v>
      </c>
      <c r="B1726" s="821" t="s">
        <v>14150</v>
      </c>
      <c r="C1726" s="822" t="s">
        <v>6</v>
      </c>
      <c r="D1726" s="822" t="s">
        <v>12187</v>
      </c>
      <c r="E1726" s="1017" t="s">
        <v>13514</v>
      </c>
      <c r="F1726" s="1017"/>
      <c r="G1726" s="823" t="s">
        <v>24</v>
      </c>
      <c r="H1726" s="824">
        <v>1</v>
      </c>
      <c r="I1726" s="825">
        <v>31.09</v>
      </c>
      <c r="J1726" s="825">
        <v>31.09</v>
      </c>
    </row>
    <row r="1727" spans="1:10" ht="25.5">
      <c r="A1727" s="827"/>
      <c r="B1727" s="827"/>
      <c r="C1727" s="827"/>
      <c r="D1727" s="827"/>
      <c r="E1727" s="827" t="s">
        <v>13503</v>
      </c>
      <c r="F1727" s="826">
        <v>5.58</v>
      </c>
      <c r="G1727" s="827" t="s">
        <v>13504</v>
      </c>
      <c r="H1727" s="826">
        <v>0</v>
      </c>
      <c r="I1727" s="827" t="s">
        <v>13505</v>
      </c>
      <c r="J1727" s="826">
        <v>5.58</v>
      </c>
    </row>
    <row r="1728" spans="1:10" ht="13.5" customHeight="1" thickBot="1">
      <c r="A1728" s="827"/>
      <c r="B1728" s="827"/>
      <c r="C1728" s="827"/>
      <c r="D1728" s="827"/>
      <c r="E1728" s="827" t="s">
        <v>13506</v>
      </c>
      <c r="F1728" s="826">
        <v>10.87</v>
      </c>
      <c r="G1728" s="827"/>
      <c r="H1728" s="1018" t="s">
        <v>13507</v>
      </c>
      <c r="I1728" s="1018"/>
      <c r="J1728" s="826">
        <v>49.37</v>
      </c>
    </row>
    <row r="1729" spans="1:10" ht="13.5" thickTop="1">
      <c r="A1729" s="828"/>
      <c r="B1729" s="828"/>
      <c r="C1729" s="828"/>
      <c r="D1729" s="828"/>
      <c r="E1729" s="828"/>
      <c r="F1729" s="828"/>
      <c r="G1729" s="828"/>
      <c r="H1729" s="828"/>
      <c r="I1729" s="828"/>
      <c r="J1729" s="828"/>
    </row>
    <row r="1730" spans="1:10" ht="15">
      <c r="A1730" s="809" t="s">
        <v>14151</v>
      </c>
      <c r="B1730" s="808" t="s">
        <v>13481</v>
      </c>
      <c r="C1730" s="809" t="s">
        <v>13482</v>
      </c>
      <c r="D1730" s="809" t="s">
        <v>13483</v>
      </c>
      <c r="E1730" s="1019" t="s">
        <v>13484</v>
      </c>
      <c r="F1730" s="1019"/>
      <c r="G1730" s="810" t="s">
        <v>13485</v>
      </c>
      <c r="H1730" s="808" t="s">
        <v>13486</v>
      </c>
      <c r="I1730" s="808" t="s">
        <v>13487</v>
      </c>
      <c r="J1730" s="808" t="s">
        <v>4867</v>
      </c>
    </row>
    <row r="1731" spans="1:10" ht="25.5" customHeight="1">
      <c r="A1731" s="812" t="s">
        <v>13488</v>
      </c>
      <c r="B1731" s="811" t="s">
        <v>14152</v>
      </c>
      <c r="C1731" s="812" t="s">
        <v>6</v>
      </c>
      <c r="D1731" s="812" t="s">
        <v>4476</v>
      </c>
      <c r="E1731" s="1020" t="s">
        <v>13898</v>
      </c>
      <c r="F1731" s="1020"/>
      <c r="G1731" s="813" t="s">
        <v>24</v>
      </c>
      <c r="H1731" s="814">
        <v>1</v>
      </c>
      <c r="I1731" s="815">
        <v>39.299999999999997</v>
      </c>
      <c r="J1731" s="815">
        <v>39.299999999999997</v>
      </c>
    </row>
    <row r="1732" spans="1:10" ht="25.5" customHeight="1">
      <c r="A1732" s="817" t="s">
        <v>13491</v>
      </c>
      <c r="B1732" s="816" t="s">
        <v>13553</v>
      </c>
      <c r="C1732" s="817" t="s">
        <v>6</v>
      </c>
      <c r="D1732" s="817" t="s">
        <v>21</v>
      </c>
      <c r="E1732" s="1021" t="s">
        <v>13490</v>
      </c>
      <c r="F1732" s="1021"/>
      <c r="G1732" s="818" t="s">
        <v>19</v>
      </c>
      <c r="H1732" s="819">
        <v>9.9599999999999994E-2</v>
      </c>
      <c r="I1732" s="820">
        <v>15.16</v>
      </c>
      <c r="J1732" s="820">
        <v>1.5</v>
      </c>
    </row>
    <row r="1733" spans="1:10" ht="25.5" customHeight="1">
      <c r="A1733" s="817" t="s">
        <v>13491</v>
      </c>
      <c r="B1733" s="816" t="s">
        <v>13574</v>
      </c>
      <c r="C1733" s="817" t="s">
        <v>6</v>
      </c>
      <c r="D1733" s="817" t="s">
        <v>34</v>
      </c>
      <c r="E1733" s="1021" t="s">
        <v>13490</v>
      </c>
      <c r="F1733" s="1021"/>
      <c r="G1733" s="818" t="s">
        <v>19</v>
      </c>
      <c r="H1733" s="819">
        <v>0.31619999999999998</v>
      </c>
      <c r="I1733" s="820">
        <v>18.72</v>
      </c>
      <c r="J1733" s="820">
        <v>5.91</v>
      </c>
    </row>
    <row r="1734" spans="1:10">
      <c r="A1734" s="822" t="s">
        <v>13493</v>
      </c>
      <c r="B1734" s="821" t="s">
        <v>14153</v>
      </c>
      <c r="C1734" s="822" t="s">
        <v>6</v>
      </c>
      <c r="D1734" s="822" t="s">
        <v>11576</v>
      </c>
      <c r="E1734" s="1017" t="s">
        <v>13514</v>
      </c>
      <c r="F1734" s="1017"/>
      <c r="G1734" s="823" t="s">
        <v>24</v>
      </c>
      <c r="H1734" s="824">
        <v>1</v>
      </c>
      <c r="I1734" s="825">
        <v>31.89</v>
      </c>
      <c r="J1734" s="825">
        <v>31.89</v>
      </c>
    </row>
    <row r="1735" spans="1:10" ht="25.5">
      <c r="A1735" s="827"/>
      <c r="B1735" s="827"/>
      <c r="C1735" s="827"/>
      <c r="D1735" s="827"/>
      <c r="E1735" s="827" t="s">
        <v>13503</v>
      </c>
      <c r="F1735" s="826">
        <v>5.58</v>
      </c>
      <c r="G1735" s="827" t="s">
        <v>13504</v>
      </c>
      <c r="H1735" s="826">
        <v>0</v>
      </c>
      <c r="I1735" s="827" t="s">
        <v>13505</v>
      </c>
      <c r="J1735" s="826">
        <v>5.58</v>
      </c>
    </row>
    <row r="1736" spans="1:10" ht="13.5" customHeight="1" thickBot="1">
      <c r="A1736" s="827"/>
      <c r="B1736" s="827"/>
      <c r="C1736" s="827"/>
      <c r="D1736" s="827"/>
      <c r="E1736" s="827" t="s">
        <v>13506</v>
      </c>
      <c r="F1736" s="826">
        <v>11.09</v>
      </c>
      <c r="G1736" s="827"/>
      <c r="H1736" s="1018" t="s">
        <v>13507</v>
      </c>
      <c r="I1736" s="1018"/>
      <c r="J1736" s="826">
        <v>50.39</v>
      </c>
    </row>
    <row r="1737" spans="1:10" ht="13.5" thickTop="1">
      <c r="A1737" s="828"/>
      <c r="B1737" s="828"/>
      <c r="C1737" s="828"/>
      <c r="D1737" s="828"/>
      <c r="E1737" s="828"/>
      <c r="F1737" s="828"/>
      <c r="G1737" s="828"/>
      <c r="H1737" s="828"/>
      <c r="I1737" s="828"/>
      <c r="J1737" s="828"/>
    </row>
    <row r="1738" spans="1:10" ht="13.5" customHeight="1">
      <c r="A1738" s="809" t="s">
        <v>14154</v>
      </c>
      <c r="B1738" s="808" t="s">
        <v>13481</v>
      </c>
      <c r="C1738" s="809" t="s">
        <v>13482</v>
      </c>
      <c r="D1738" s="809" t="s">
        <v>13483</v>
      </c>
      <c r="E1738" s="1019" t="s">
        <v>13484</v>
      </c>
      <c r="F1738" s="1019"/>
      <c r="G1738" s="810" t="s">
        <v>13485</v>
      </c>
      <c r="H1738" s="808" t="s">
        <v>13486</v>
      </c>
      <c r="I1738" s="808" t="s">
        <v>13487</v>
      </c>
      <c r="J1738" s="808" t="s">
        <v>4867</v>
      </c>
    </row>
    <row r="1739" spans="1:10" ht="25.5" customHeight="1">
      <c r="A1739" s="812" t="s">
        <v>13488</v>
      </c>
      <c r="B1739" s="811" t="s">
        <v>14155</v>
      </c>
      <c r="C1739" s="812" t="s">
        <v>6</v>
      </c>
      <c r="D1739" s="812" t="s">
        <v>4498</v>
      </c>
      <c r="E1739" s="1020" t="s">
        <v>13898</v>
      </c>
      <c r="F1739" s="1020"/>
      <c r="G1739" s="813" t="s">
        <v>24</v>
      </c>
      <c r="H1739" s="814">
        <v>1</v>
      </c>
      <c r="I1739" s="815">
        <v>388.88</v>
      </c>
      <c r="J1739" s="815">
        <v>388.88</v>
      </c>
    </row>
    <row r="1740" spans="1:10" ht="38.25" customHeight="1">
      <c r="A1740" s="817" t="s">
        <v>13491</v>
      </c>
      <c r="B1740" s="816" t="s">
        <v>13574</v>
      </c>
      <c r="C1740" s="817" t="s">
        <v>6</v>
      </c>
      <c r="D1740" s="817" t="s">
        <v>34</v>
      </c>
      <c r="E1740" s="1021" t="s">
        <v>13490</v>
      </c>
      <c r="F1740" s="1021"/>
      <c r="G1740" s="818" t="s">
        <v>19</v>
      </c>
      <c r="H1740" s="819">
        <v>0.94850000000000001</v>
      </c>
      <c r="I1740" s="820">
        <v>18.72</v>
      </c>
      <c r="J1740" s="820">
        <v>17.75</v>
      </c>
    </row>
    <row r="1741" spans="1:10" ht="38.25" customHeight="1">
      <c r="A1741" s="817" t="s">
        <v>13491</v>
      </c>
      <c r="B1741" s="816" t="s">
        <v>13553</v>
      </c>
      <c r="C1741" s="817" t="s">
        <v>6</v>
      </c>
      <c r="D1741" s="817" t="s">
        <v>21</v>
      </c>
      <c r="E1741" s="1021" t="s">
        <v>13490</v>
      </c>
      <c r="F1741" s="1021"/>
      <c r="G1741" s="818" t="s">
        <v>19</v>
      </c>
      <c r="H1741" s="819">
        <v>0.29880000000000001</v>
      </c>
      <c r="I1741" s="820">
        <v>15.16</v>
      </c>
      <c r="J1741" s="820">
        <v>4.5199999999999996</v>
      </c>
    </row>
    <row r="1742" spans="1:10" ht="25.5">
      <c r="A1742" s="822" t="s">
        <v>13493</v>
      </c>
      <c r="B1742" s="821" t="s">
        <v>14156</v>
      </c>
      <c r="C1742" s="822" t="s">
        <v>6</v>
      </c>
      <c r="D1742" s="822" t="s">
        <v>4596</v>
      </c>
      <c r="E1742" s="1017" t="s">
        <v>13514</v>
      </c>
      <c r="F1742" s="1017"/>
      <c r="G1742" s="823" t="s">
        <v>24</v>
      </c>
      <c r="H1742" s="824">
        <v>1</v>
      </c>
      <c r="I1742" s="825">
        <v>252.49</v>
      </c>
      <c r="J1742" s="825">
        <v>252.49</v>
      </c>
    </row>
    <row r="1743" spans="1:10" ht="38.25">
      <c r="A1743" s="822" t="s">
        <v>13493</v>
      </c>
      <c r="B1743" s="821" t="s">
        <v>14157</v>
      </c>
      <c r="C1743" s="822" t="s">
        <v>6</v>
      </c>
      <c r="D1743" s="822" t="s">
        <v>4743</v>
      </c>
      <c r="E1743" s="1017" t="s">
        <v>13514</v>
      </c>
      <c r="F1743" s="1017"/>
      <c r="G1743" s="823" t="s">
        <v>24</v>
      </c>
      <c r="H1743" s="824">
        <v>6</v>
      </c>
      <c r="I1743" s="825">
        <v>19.02</v>
      </c>
      <c r="J1743" s="825">
        <v>114.12</v>
      </c>
    </row>
    <row r="1744" spans="1:10" ht="25.5">
      <c r="A1744" s="827"/>
      <c r="B1744" s="827"/>
      <c r="C1744" s="827"/>
      <c r="D1744" s="827"/>
      <c r="E1744" s="827" t="s">
        <v>13503</v>
      </c>
      <c r="F1744" s="826">
        <v>16.739999999999998</v>
      </c>
      <c r="G1744" s="827" t="s">
        <v>13504</v>
      </c>
      <c r="H1744" s="826">
        <v>0</v>
      </c>
      <c r="I1744" s="827" t="s">
        <v>13505</v>
      </c>
      <c r="J1744" s="826">
        <v>16.739999999999998</v>
      </c>
    </row>
    <row r="1745" spans="1:10" ht="13.5" customHeight="1" thickBot="1">
      <c r="A1745" s="827"/>
      <c r="B1745" s="827"/>
      <c r="C1745" s="827"/>
      <c r="D1745" s="827"/>
      <c r="E1745" s="827" t="s">
        <v>13506</v>
      </c>
      <c r="F1745" s="826">
        <v>109.81</v>
      </c>
      <c r="G1745" s="827"/>
      <c r="H1745" s="1018" t="s">
        <v>13507</v>
      </c>
      <c r="I1745" s="1018"/>
      <c r="J1745" s="826">
        <v>498.69</v>
      </c>
    </row>
    <row r="1746" spans="1:10" ht="13.5" thickTop="1">
      <c r="A1746" s="828"/>
      <c r="B1746" s="828"/>
      <c r="C1746" s="828"/>
      <c r="D1746" s="828"/>
      <c r="E1746" s="828"/>
      <c r="F1746" s="828"/>
      <c r="G1746" s="828"/>
      <c r="H1746" s="828"/>
      <c r="I1746" s="828"/>
      <c r="J1746" s="828"/>
    </row>
    <row r="1747" spans="1:10" ht="15">
      <c r="A1747" s="809" t="s">
        <v>14158</v>
      </c>
      <c r="B1747" s="808" t="s">
        <v>13481</v>
      </c>
      <c r="C1747" s="809" t="s">
        <v>13482</v>
      </c>
      <c r="D1747" s="809" t="s">
        <v>13483</v>
      </c>
      <c r="E1747" s="1019" t="s">
        <v>13484</v>
      </c>
      <c r="F1747" s="1019"/>
      <c r="G1747" s="810" t="s">
        <v>13485</v>
      </c>
      <c r="H1747" s="808" t="s">
        <v>13486</v>
      </c>
      <c r="I1747" s="808" t="s">
        <v>13487</v>
      </c>
      <c r="J1747" s="808" t="s">
        <v>4867</v>
      </c>
    </row>
    <row r="1748" spans="1:10" ht="13.5" customHeight="1">
      <c r="A1748" s="812" t="s">
        <v>13488</v>
      </c>
      <c r="B1748" s="811" t="s">
        <v>14159</v>
      </c>
      <c r="C1748" s="812" t="s">
        <v>6</v>
      </c>
      <c r="D1748" s="812" t="s">
        <v>4503</v>
      </c>
      <c r="E1748" s="1020" t="s">
        <v>13898</v>
      </c>
      <c r="F1748" s="1020"/>
      <c r="G1748" s="813" t="s">
        <v>24</v>
      </c>
      <c r="H1748" s="814">
        <v>1</v>
      </c>
      <c r="I1748" s="815">
        <v>339.91</v>
      </c>
      <c r="J1748" s="815">
        <v>339.91</v>
      </c>
    </row>
    <row r="1749" spans="1:10" ht="38.25" customHeight="1">
      <c r="A1749" s="817" t="s">
        <v>13491</v>
      </c>
      <c r="B1749" s="816" t="s">
        <v>13553</v>
      </c>
      <c r="C1749" s="817" t="s">
        <v>6</v>
      </c>
      <c r="D1749" s="817" t="s">
        <v>21</v>
      </c>
      <c r="E1749" s="1021" t="s">
        <v>13490</v>
      </c>
      <c r="F1749" s="1021"/>
      <c r="G1749" s="818" t="s">
        <v>19</v>
      </c>
      <c r="H1749" s="819">
        <v>0.29880000000000001</v>
      </c>
      <c r="I1749" s="820">
        <v>15.16</v>
      </c>
      <c r="J1749" s="820">
        <v>4.5199999999999996</v>
      </c>
    </row>
    <row r="1750" spans="1:10" ht="38.25" customHeight="1">
      <c r="A1750" s="817" t="s">
        <v>13491</v>
      </c>
      <c r="B1750" s="816" t="s">
        <v>13574</v>
      </c>
      <c r="C1750" s="817" t="s">
        <v>6</v>
      </c>
      <c r="D1750" s="817" t="s">
        <v>34</v>
      </c>
      <c r="E1750" s="1021" t="s">
        <v>13490</v>
      </c>
      <c r="F1750" s="1021"/>
      <c r="G1750" s="818" t="s">
        <v>19</v>
      </c>
      <c r="H1750" s="819">
        <v>0.94850000000000001</v>
      </c>
      <c r="I1750" s="820">
        <v>18.72</v>
      </c>
      <c r="J1750" s="820">
        <v>17.75</v>
      </c>
    </row>
    <row r="1751" spans="1:10" ht="38.25" customHeight="1">
      <c r="A1751" s="822" t="s">
        <v>13493</v>
      </c>
      <c r="B1751" s="821" t="s">
        <v>14160</v>
      </c>
      <c r="C1751" s="822" t="s">
        <v>6</v>
      </c>
      <c r="D1751" s="822" t="s">
        <v>4595</v>
      </c>
      <c r="E1751" s="1017" t="s">
        <v>13514</v>
      </c>
      <c r="F1751" s="1017"/>
      <c r="G1751" s="823" t="s">
        <v>24</v>
      </c>
      <c r="H1751" s="824">
        <v>1</v>
      </c>
      <c r="I1751" s="825">
        <v>203.52</v>
      </c>
      <c r="J1751" s="825">
        <v>203.52</v>
      </c>
    </row>
    <row r="1752" spans="1:10" ht="38.25">
      <c r="A1752" s="822" t="s">
        <v>13493</v>
      </c>
      <c r="B1752" s="821" t="s">
        <v>14157</v>
      </c>
      <c r="C1752" s="822" t="s">
        <v>6</v>
      </c>
      <c r="D1752" s="822" t="s">
        <v>4743</v>
      </c>
      <c r="E1752" s="1017" t="s">
        <v>13514</v>
      </c>
      <c r="F1752" s="1017"/>
      <c r="G1752" s="823" t="s">
        <v>24</v>
      </c>
      <c r="H1752" s="824">
        <v>6</v>
      </c>
      <c r="I1752" s="825">
        <v>19.02</v>
      </c>
      <c r="J1752" s="825">
        <v>114.12</v>
      </c>
    </row>
    <row r="1753" spans="1:10" ht="25.5">
      <c r="A1753" s="827"/>
      <c r="B1753" s="827"/>
      <c r="C1753" s="827"/>
      <c r="D1753" s="827"/>
      <c r="E1753" s="827" t="s">
        <v>13503</v>
      </c>
      <c r="F1753" s="826">
        <v>16.739999999999998</v>
      </c>
      <c r="G1753" s="827" t="s">
        <v>13504</v>
      </c>
      <c r="H1753" s="826">
        <v>0</v>
      </c>
      <c r="I1753" s="827" t="s">
        <v>13505</v>
      </c>
      <c r="J1753" s="826">
        <v>16.739999999999998</v>
      </c>
    </row>
    <row r="1754" spans="1:10" ht="13.5" customHeight="1" thickBot="1">
      <c r="A1754" s="827"/>
      <c r="B1754" s="827"/>
      <c r="C1754" s="827"/>
      <c r="D1754" s="827"/>
      <c r="E1754" s="827" t="s">
        <v>13506</v>
      </c>
      <c r="F1754" s="826">
        <v>95.99</v>
      </c>
      <c r="G1754" s="827"/>
      <c r="H1754" s="1018" t="s">
        <v>13507</v>
      </c>
      <c r="I1754" s="1018"/>
      <c r="J1754" s="826">
        <v>435.9</v>
      </c>
    </row>
    <row r="1755" spans="1:10" ht="13.5" thickTop="1">
      <c r="A1755" s="828"/>
      <c r="B1755" s="828"/>
      <c r="C1755" s="828"/>
      <c r="D1755" s="828"/>
      <c r="E1755" s="828"/>
      <c r="F1755" s="828"/>
      <c r="G1755" s="828"/>
      <c r="H1755" s="828"/>
      <c r="I1755" s="828"/>
      <c r="J1755" s="828"/>
    </row>
    <row r="1756" spans="1:10" ht="15">
      <c r="A1756" s="809" t="s">
        <v>14161</v>
      </c>
      <c r="B1756" s="808" t="s">
        <v>13481</v>
      </c>
      <c r="C1756" s="809" t="s">
        <v>13482</v>
      </c>
      <c r="D1756" s="809" t="s">
        <v>13483</v>
      </c>
      <c r="E1756" s="1019" t="s">
        <v>13484</v>
      </c>
      <c r="F1756" s="1019"/>
      <c r="G1756" s="810" t="s">
        <v>13485</v>
      </c>
      <c r="H1756" s="808" t="s">
        <v>13486</v>
      </c>
      <c r="I1756" s="808" t="s">
        <v>13487</v>
      </c>
      <c r="J1756" s="808" t="s">
        <v>4867</v>
      </c>
    </row>
    <row r="1757" spans="1:10" ht="25.5" customHeight="1">
      <c r="A1757" s="812" t="s">
        <v>13488</v>
      </c>
      <c r="B1757" s="811" t="s">
        <v>14162</v>
      </c>
      <c r="C1757" s="812" t="s">
        <v>6</v>
      </c>
      <c r="D1757" s="812" t="s">
        <v>4459</v>
      </c>
      <c r="E1757" s="1020" t="s">
        <v>13898</v>
      </c>
      <c r="F1757" s="1020"/>
      <c r="G1757" s="813" t="s">
        <v>24</v>
      </c>
      <c r="H1757" s="814">
        <v>1</v>
      </c>
      <c r="I1757" s="815">
        <v>441.18</v>
      </c>
      <c r="J1757" s="815">
        <v>441.18</v>
      </c>
    </row>
    <row r="1758" spans="1:10" ht="13.5" customHeight="1">
      <c r="A1758" s="817" t="s">
        <v>13491</v>
      </c>
      <c r="B1758" s="816" t="s">
        <v>14163</v>
      </c>
      <c r="C1758" s="817" t="s">
        <v>6</v>
      </c>
      <c r="D1758" s="817" t="s">
        <v>4416</v>
      </c>
      <c r="E1758" s="1021" t="s">
        <v>13898</v>
      </c>
      <c r="F1758" s="1021"/>
      <c r="G1758" s="818" t="s">
        <v>24</v>
      </c>
      <c r="H1758" s="819">
        <v>1</v>
      </c>
      <c r="I1758" s="820">
        <v>55.1</v>
      </c>
      <c r="J1758" s="820">
        <v>55.1</v>
      </c>
    </row>
    <row r="1759" spans="1:10" ht="38.25" customHeight="1">
      <c r="A1759" s="817" t="s">
        <v>13491</v>
      </c>
      <c r="B1759" s="816" t="s">
        <v>14164</v>
      </c>
      <c r="C1759" s="817" t="s">
        <v>6</v>
      </c>
      <c r="D1759" s="817" t="s">
        <v>4419</v>
      </c>
      <c r="E1759" s="1021" t="s">
        <v>13898</v>
      </c>
      <c r="F1759" s="1021"/>
      <c r="G1759" s="818" t="s">
        <v>24</v>
      </c>
      <c r="H1759" s="819">
        <v>1</v>
      </c>
      <c r="I1759" s="820">
        <v>155.27000000000001</v>
      </c>
      <c r="J1759" s="820">
        <v>155.27000000000001</v>
      </c>
    </row>
    <row r="1760" spans="1:10" ht="38.25" customHeight="1">
      <c r="A1760" s="817" t="s">
        <v>13491</v>
      </c>
      <c r="B1760" s="816" t="s">
        <v>14165</v>
      </c>
      <c r="C1760" s="817" t="s">
        <v>6</v>
      </c>
      <c r="D1760" s="817" t="s">
        <v>4427</v>
      </c>
      <c r="E1760" s="1021" t="s">
        <v>13898</v>
      </c>
      <c r="F1760" s="1021"/>
      <c r="G1760" s="818" t="s">
        <v>24</v>
      </c>
      <c r="H1760" s="819">
        <v>1</v>
      </c>
      <c r="I1760" s="820">
        <v>230.81</v>
      </c>
      <c r="J1760" s="820">
        <v>230.81</v>
      </c>
    </row>
    <row r="1761" spans="1:10" ht="38.25" customHeight="1">
      <c r="A1761" s="827"/>
      <c r="B1761" s="827"/>
      <c r="C1761" s="827"/>
      <c r="D1761" s="827"/>
      <c r="E1761" s="827" t="s">
        <v>13503</v>
      </c>
      <c r="F1761" s="826">
        <v>16.07</v>
      </c>
      <c r="G1761" s="827" t="s">
        <v>13504</v>
      </c>
      <c r="H1761" s="826">
        <v>0</v>
      </c>
      <c r="I1761" s="827" t="s">
        <v>13505</v>
      </c>
      <c r="J1761" s="826">
        <v>16.07</v>
      </c>
    </row>
    <row r="1762" spans="1:10" ht="13.5" customHeight="1" thickBot="1">
      <c r="A1762" s="827"/>
      <c r="B1762" s="827"/>
      <c r="C1762" s="827"/>
      <c r="D1762" s="827"/>
      <c r="E1762" s="827" t="s">
        <v>13506</v>
      </c>
      <c r="F1762" s="826">
        <v>124.58</v>
      </c>
      <c r="G1762" s="827"/>
      <c r="H1762" s="1018" t="s">
        <v>13507</v>
      </c>
      <c r="I1762" s="1018"/>
      <c r="J1762" s="826">
        <v>565.76</v>
      </c>
    </row>
    <row r="1763" spans="1:10" ht="13.5" thickTop="1">
      <c r="A1763" s="828"/>
      <c r="B1763" s="828"/>
      <c r="C1763" s="828"/>
      <c r="D1763" s="828"/>
      <c r="E1763" s="828"/>
      <c r="F1763" s="828"/>
      <c r="G1763" s="828"/>
      <c r="H1763" s="828"/>
      <c r="I1763" s="828"/>
      <c r="J1763" s="828"/>
    </row>
    <row r="1764" spans="1:10" ht="15">
      <c r="A1764" s="809" t="s">
        <v>14166</v>
      </c>
      <c r="B1764" s="808" t="s">
        <v>13481</v>
      </c>
      <c r="C1764" s="809" t="s">
        <v>13482</v>
      </c>
      <c r="D1764" s="809" t="s">
        <v>13483</v>
      </c>
      <c r="E1764" s="1019" t="s">
        <v>13484</v>
      </c>
      <c r="F1764" s="1019"/>
      <c r="G1764" s="810" t="s">
        <v>13485</v>
      </c>
      <c r="H1764" s="808" t="s">
        <v>13486</v>
      </c>
      <c r="I1764" s="808" t="s">
        <v>13487</v>
      </c>
      <c r="J1764" s="808" t="s">
        <v>4867</v>
      </c>
    </row>
    <row r="1765" spans="1:10" ht="38.25" customHeight="1">
      <c r="A1765" s="812" t="s">
        <v>13488</v>
      </c>
      <c r="B1765" s="811" t="s">
        <v>14167</v>
      </c>
      <c r="C1765" s="812" t="s">
        <v>6</v>
      </c>
      <c r="D1765" s="812" t="s">
        <v>4462</v>
      </c>
      <c r="E1765" s="1020" t="s">
        <v>13898</v>
      </c>
      <c r="F1765" s="1020"/>
      <c r="G1765" s="813" t="s">
        <v>24</v>
      </c>
      <c r="H1765" s="814">
        <v>1</v>
      </c>
      <c r="I1765" s="815">
        <v>388.87</v>
      </c>
      <c r="J1765" s="815">
        <v>388.87</v>
      </c>
    </row>
    <row r="1766" spans="1:10" ht="38.25" customHeight="1">
      <c r="A1766" s="817" t="s">
        <v>13491</v>
      </c>
      <c r="B1766" s="816" t="s">
        <v>14021</v>
      </c>
      <c r="C1766" s="817" t="s">
        <v>6</v>
      </c>
      <c r="D1766" s="817" t="s">
        <v>4422</v>
      </c>
      <c r="E1766" s="1021" t="s">
        <v>13898</v>
      </c>
      <c r="F1766" s="1021"/>
      <c r="G1766" s="818" t="s">
        <v>24</v>
      </c>
      <c r="H1766" s="819">
        <v>1</v>
      </c>
      <c r="I1766" s="820">
        <v>8.61</v>
      </c>
      <c r="J1766" s="820">
        <v>8.61</v>
      </c>
    </row>
    <row r="1767" spans="1:10" ht="38.25" customHeight="1">
      <c r="A1767" s="817" t="s">
        <v>13491</v>
      </c>
      <c r="B1767" s="816" t="s">
        <v>13928</v>
      </c>
      <c r="C1767" s="817" t="s">
        <v>6</v>
      </c>
      <c r="D1767" s="817" t="s">
        <v>4417</v>
      </c>
      <c r="E1767" s="1021" t="s">
        <v>13898</v>
      </c>
      <c r="F1767" s="1021"/>
      <c r="G1767" s="818" t="s">
        <v>24</v>
      </c>
      <c r="H1767" s="819">
        <v>1</v>
      </c>
      <c r="I1767" s="820">
        <v>7</v>
      </c>
      <c r="J1767" s="820">
        <v>7</v>
      </c>
    </row>
    <row r="1768" spans="1:10" ht="13.5" customHeight="1">
      <c r="A1768" s="817" t="s">
        <v>13491</v>
      </c>
      <c r="B1768" s="816" t="s">
        <v>13924</v>
      </c>
      <c r="C1768" s="817" t="s">
        <v>6</v>
      </c>
      <c r="D1768" s="817" t="s">
        <v>4421</v>
      </c>
      <c r="E1768" s="1021" t="s">
        <v>13898</v>
      </c>
      <c r="F1768" s="1021"/>
      <c r="G1768" s="818" t="s">
        <v>24</v>
      </c>
      <c r="H1768" s="819">
        <v>1</v>
      </c>
      <c r="I1768" s="820">
        <v>13.13</v>
      </c>
      <c r="J1768" s="820">
        <v>13.13</v>
      </c>
    </row>
    <row r="1769" spans="1:10" ht="38.25" customHeight="1">
      <c r="A1769" s="817" t="s">
        <v>13491</v>
      </c>
      <c r="B1769" s="816" t="s">
        <v>14136</v>
      </c>
      <c r="C1769" s="817" t="s">
        <v>6</v>
      </c>
      <c r="D1769" s="817" t="s">
        <v>4433</v>
      </c>
      <c r="E1769" s="1021" t="s">
        <v>13898</v>
      </c>
      <c r="F1769" s="1021"/>
      <c r="G1769" s="818" t="s">
        <v>24</v>
      </c>
      <c r="H1769" s="819">
        <v>1</v>
      </c>
      <c r="I1769" s="820">
        <v>64.94</v>
      </c>
      <c r="J1769" s="820">
        <v>64.94</v>
      </c>
    </row>
    <row r="1770" spans="1:10" ht="38.25" customHeight="1">
      <c r="A1770" s="817" t="s">
        <v>13491</v>
      </c>
      <c r="B1770" s="816" t="s">
        <v>14168</v>
      </c>
      <c r="C1770" s="817" t="s">
        <v>6</v>
      </c>
      <c r="D1770" s="817" t="s">
        <v>4429</v>
      </c>
      <c r="E1770" s="1021" t="s">
        <v>13898</v>
      </c>
      <c r="F1770" s="1021"/>
      <c r="G1770" s="818" t="s">
        <v>24</v>
      </c>
      <c r="H1770" s="819">
        <v>1</v>
      </c>
      <c r="I1770" s="820">
        <v>295.19</v>
      </c>
      <c r="J1770" s="820">
        <v>295.19</v>
      </c>
    </row>
    <row r="1771" spans="1:10" ht="38.25" customHeight="1">
      <c r="A1771" s="827"/>
      <c r="B1771" s="827"/>
      <c r="C1771" s="827"/>
      <c r="D1771" s="827"/>
      <c r="E1771" s="827" t="s">
        <v>13503</v>
      </c>
      <c r="F1771" s="826">
        <v>25.27</v>
      </c>
      <c r="G1771" s="827" t="s">
        <v>13504</v>
      </c>
      <c r="H1771" s="826">
        <v>0</v>
      </c>
      <c r="I1771" s="827" t="s">
        <v>13505</v>
      </c>
      <c r="J1771" s="826">
        <v>25.27</v>
      </c>
    </row>
    <row r="1772" spans="1:10" ht="13.5" customHeight="1" thickBot="1">
      <c r="A1772" s="827"/>
      <c r="B1772" s="827"/>
      <c r="C1772" s="827"/>
      <c r="D1772" s="827"/>
      <c r="E1772" s="827" t="s">
        <v>13506</v>
      </c>
      <c r="F1772" s="826">
        <v>109.81</v>
      </c>
      <c r="G1772" s="827"/>
      <c r="H1772" s="1018" t="s">
        <v>13507</v>
      </c>
      <c r="I1772" s="1018"/>
      <c r="J1772" s="826">
        <v>498.68</v>
      </c>
    </row>
    <row r="1773" spans="1:10" ht="13.5" thickTop="1">
      <c r="A1773" s="828"/>
      <c r="B1773" s="828"/>
      <c r="C1773" s="828"/>
      <c r="D1773" s="828"/>
      <c r="E1773" s="828"/>
      <c r="F1773" s="828"/>
      <c r="G1773" s="828"/>
      <c r="H1773" s="828"/>
      <c r="I1773" s="828"/>
      <c r="J1773" s="828"/>
    </row>
    <row r="1774" spans="1:10" ht="15">
      <c r="A1774" s="809" t="s">
        <v>14169</v>
      </c>
      <c r="B1774" s="808" t="s">
        <v>13481</v>
      </c>
      <c r="C1774" s="809" t="s">
        <v>13482</v>
      </c>
      <c r="D1774" s="809" t="s">
        <v>13483</v>
      </c>
      <c r="E1774" s="1019" t="s">
        <v>13484</v>
      </c>
      <c r="F1774" s="1019"/>
      <c r="G1774" s="810" t="s">
        <v>13485</v>
      </c>
      <c r="H1774" s="808" t="s">
        <v>13486</v>
      </c>
      <c r="I1774" s="808" t="s">
        <v>13487</v>
      </c>
      <c r="J1774" s="808" t="s">
        <v>4867</v>
      </c>
    </row>
    <row r="1775" spans="1:10" ht="25.5" customHeight="1">
      <c r="A1775" s="812" t="s">
        <v>13488</v>
      </c>
      <c r="B1775" s="811" t="s">
        <v>14170</v>
      </c>
      <c r="C1775" s="812" t="s">
        <v>6</v>
      </c>
      <c r="D1775" s="812" t="s">
        <v>4460</v>
      </c>
      <c r="E1775" s="1020" t="s">
        <v>13898</v>
      </c>
      <c r="F1775" s="1020"/>
      <c r="G1775" s="813" t="s">
        <v>24</v>
      </c>
      <c r="H1775" s="814">
        <v>1</v>
      </c>
      <c r="I1775" s="815">
        <v>194.15</v>
      </c>
      <c r="J1775" s="815">
        <v>194.15</v>
      </c>
    </row>
    <row r="1776" spans="1:10" ht="38.25" customHeight="1">
      <c r="A1776" s="817" t="s">
        <v>13491</v>
      </c>
      <c r="B1776" s="816" t="s">
        <v>14171</v>
      </c>
      <c r="C1776" s="817" t="s">
        <v>6</v>
      </c>
      <c r="D1776" s="817" t="s">
        <v>4415</v>
      </c>
      <c r="E1776" s="1021" t="s">
        <v>13898</v>
      </c>
      <c r="F1776" s="1021"/>
      <c r="G1776" s="818" t="s">
        <v>24</v>
      </c>
      <c r="H1776" s="819">
        <v>1</v>
      </c>
      <c r="I1776" s="820">
        <v>51.1</v>
      </c>
      <c r="J1776" s="820">
        <v>51.1</v>
      </c>
    </row>
    <row r="1777" spans="1:10" ht="38.25" customHeight="1">
      <c r="A1777" s="817" t="s">
        <v>13491</v>
      </c>
      <c r="B1777" s="816" t="s">
        <v>13924</v>
      </c>
      <c r="C1777" s="817" t="s">
        <v>6</v>
      </c>
      <c r="D1777" s="817" t="s">
        <v>4421</v>
      </c>
      <c r="E1777" s="1021" t="s">
        <v>13898</v>
      </c>
      <c r="F1777" s="1021"/>
      <c r="G1777" s="818" t="s">
        <v>24</v>
      </c>
      <c r="H1777" s="819">
        <v>1</v>
      </c>
      <c r="I1777" s="820">
        <v>13.13</v>
      </c>
      <c r="J1777" s="820">
        <v>13.13</v>
      </c>
    </row>
    <row r="1778" spans="1:10" ht="13.5" customHeight="1">
      <c r="A1778" s="817" t="s">
        <v>13491</v>
      </c>
      <c r="B1778" s="816" t="s">
        <v>14172</v>
      </c>
      <c r="C1778" s="817" t="s">
        <v>6</v>
      </c>
      <c r="D1778" s="817" t="s">
        <v>4428</v>
      </c>
      <c r="E1778" s="1021" t="s">
        <v>13898</v>
      </c>
      <c r="F1778" s="1021"/>
      <c r="G1778" s="818" t="s">
        <v>24</v>
      </c>
      <c r="H1778" s="819">
        <v>1</v>
      </c>
      <c r="I1778" s="820">
        <v>129.91999999999999</v>
      </c>
      <c r="J1778" s="820">
        <v>129.91999999999999</v>
      </c>
    </row>
    <row r="1779" spans="1:10" ht="25.5">
      <c r="A1779" s="827"/>
      <c r="B1779" s="827"/>
      <c r="C1779" s="827"/>
      <c r="D1779" s="827"/>
      <c r="E1779" s="827" t="s">
        <v>13503</v>
      </c>
      <c r="F1779" s="826">
        <v>19.04</v>
      </c>
      <c r="G1779" s="827" t="s">
        <v>13504</v>
      </c>
      <c r="H1779" s="826">
        <v>0</v>
      </c>
      <c r="I1779" s="827" t="s">
        <v>13505</v>
      </c>
      <c r="J1779" s="826">
        <v>19.04</v>
      </c>
    </row>
    <row r="1780" spans="1:10" ht="13.5" customHeight="1" thickBot="1">
      <c r="A1780" s="827"/>
      <c r="B1780" s="827"/>
      <c r="C1780" s="827"/>
      <c r="D1780" s="827"/>
      <c r="E1780" s="827" t="s">
        <v>13506</v>
      </c>
      <c r="F1780" s="826">
        <v>54.82</v>
      </c>
      <c r="G1780" s="827"/>
      <c r="H1780" s="1018" t="s">
        <v>13507</v>
      </c>
      <c r="I1780" s="1018"/>
      <c r="J1780" s="826">
        <v>248.97</v>
      </c>
    </row>
    <row r="1781" spans="1:10" ht="38.25" customHeight="1" thickTop="1">
      <c r="A1781" s="828"/>
      <c r="B1781" s="828"/>
      <c r="C1781" s="828"/>
      <c r="D1781" s="828"/>
      <c r="E1781" s="828"/>
      <c r="F1781" s="828"/>
      <c r="G1781" s="828"/>
      <c r="H1781" s="828"/>
      <c r="I1781" s="828"/>
      <c r="J1781" s="828"/>
    </row>
    <row r="1782" spans="1:10" ht="15">
      <c r="A1782" s="809" t="s">
        <v>14173</v>
      </c>
      <c r="B1782" s="808" t="s">
        <v>13481</v>
      </c>
      <c r="C1782" s="809" t="s">
        <v>13482</v>
      </c>
      <c r="D1782" s="809" t="s">
        <v>13483</v>
      </c>
      <c r="E1782" s="1019" t="s">
        <v>13484</v>
      </c>
      <c r="F1782" s="1019"/>
      <c r="G1782" s="810" t="s">
        <v>13485</v>
      </c>
      <c r="H1782" s="808" t="s">
        <v>13486</v>
      </c>
      <c r="I1782" s="808" t="s">
        <v>13487</v>
      </c>
      <c r="J1782" s="808" t="s">
        <v>4867</v>
      </c>
    </row>
    <row r="1783" spans="1:10" ht="25.5" customHeight="1">
      <c r="A1783" s="812" t="s">
        <v>13488</v>
      </c>
      <c r="B1783" s="811" t="s">
        <v>14174</v>
      </c>
      <c r="C1783" s="812" t="s">
        <v>6</v>
      </c>
      <c r="D1783" s="812" t="s">
        <v>4504</v>
      </c>
      <c r="E1783" s="1020" t="s">
        <v>13898</v>
      </c>
      <c r="F1783" s="1020"/>
      <c r="G1783" s="813" t="s">
        <v>24</v>
      </c>
      <c r="H1783" s="814">
        <v>1</v>
      </c>
      <c r="I1783" s="815">
        <v>1225.51</v>
      </c>
      <c r="J1783" s="815">
        <v>1225.51</v>
      </c>
    </row>
    <row r="1784" spans="1:10" ht="38.25" customHeight="1">
      <c r="A1784" s="817" t="s">
        <v>13491</v>
      </c>
      <c r="B1784" s="816" t="s">
        <v>13553</v>
      </c>
      <c r="C1784" s="817" t="s">
        <v>6</v>
      </c>
      <c r="D1784" s="817" t="s">
        <v>21</v>
      </c>
      <c r="E1784" s="1021" t="s">
        <v>13490</v>
      </c>
      <c r="F1784" s="1021"/>
      <c r="G1784" s="818" t="s">
        <v>19</v>
      </c>
      <c r="H1784" s="819">
        <v>0.39850000000000002</v>
      </c>
      <c r="I1784" s="820">
        <v>15.16</v>
      </c>
      <c r="J1784" s="820">
        <v>6.04</v>
      </c>
    </row>
    <row r="1785" spans="1:10" ht="38.25" customHeight="1">
      <c r="A1785" s="817" t="s">
        <v>13491</v>
      </c>
      <c r="B1785" s="816" t="s">
        <v>13574</v>
      </c>
      <c r="C1785" s="817" t="s">
        <v>6</v>
      </c>
      <c r="D1785" s="817" t="s">
        <v>34</v>
      </c>
      <c r="E1785" s="1021" t="s">
        <v>13490</v>
      </c>
      <c r="F1785" s="1021"/>
      <c r="G1785" s="818" t="s">
        <v>19</v>
      </c>
      <c r="H1785" s="819">
        <v>1.2646999999999999</v>
      </c>
      <c r="I1785" s="820">
        <v>18.72</v>
      </c>
      <c r="J1785" s="820">
        <v>23.67</v>
      </c>
    </row>
    <row r="1786" spans="1:10" ht="25.5">
      <c r="A1786" s="822" t="s">
        <v>13493</v>
      </c>
      <c r="B1786" s="821" t="s">
        <v>14175</v>
      </c>
      <c r="C1786" s="822" t="s">
        <v>6</v>
      </c>
      <c r="D1786" s="822" t="s">
        <v>8787</v>
      </c>
      <c r="E1786" s="1017" t="s">
        <v>13514</v>
      </c>
      <c r="F1786" s="1017"/>
      <c r="G1786" s="823" t="s">
        <v>24</v>
      </c>
      <c r="H1786" s="824">
        <v>1</v>
      </c>
      <c r="I1786" s="825">
        <v>1043.6400000000001</v>
      </c>
      <c r="J1786" s="825">
        <v>1043.6400000000001</v>
      </c>
    </row>
    <row r="1787" spans="1:10" ht="38.25">
      <c r="A1787" s="822" t="s">
        <v>13493</v>
      </c>
      <c r="B1787" s="821" t="s">
        <v>14157</v>
      </c>
      <c r="C1787" s="822" t="s">
        <v>6</v>
      </c>
      <c r="D1787" s="822" t="s">
        <v>4743</v>
      </c>
      <c r="E1787" s="1017" t="s">
        <v>13514</v>
      </c>
      <c r="F1787" s="1017"/>
      <c r="G1787" s="823" t="s">
        <v>24</v>
      </c>
      <c r="H1787" s="824">
        <v>8</v>
      </c>
      <c r="I1787" s="825">
        <v>19.02</v>
      </c>
      <c r="J1787" s="825">
        <v>152.16</v>
      </c>
    </row>
    <row r="1788" spans="1:10" ht="13.5" customHeight="1">
      <c r="A1788" s="827"/>
      <c r="B1788" s="827"/>
      <c r="C1788" s="827"/>
      <c r="D1788" s="827"/>
      <c r="E1788" s="827" t="s">
        <v>13503</v>
      </c>
      <c r="F1788" s="826">
        <v>22.32</v>
      </c>
      <c r="G1788" s="827" t="s">
        <v>13504</v>
      </c>
      <c r="H1788" s="826">
        <v>0</v>
      </c>
      <c r="I1788" s="827" t="s">
        <v>13505</v>
      </c>
      <c r="J1788" s="826">
        <v>22.32</v>
      </c>
    </row>
    <row r="1789" spans="1:10" ht="13.5" customHeight="1" thickBot="1">
      <c r="A1789" s="827"/>
      <c r="B1789" s="827"/>
      <c r="C1789" s="827"/>
      <c r="D1789" s="827"/>
      <c r="E1789" s="827" t="s">
        <v>13506</v>
      </c>
      <c r="F1789" s="826">
        <v>346.08</v>
      </c>
      <c r="G1789" s="827"/>
      <c r="H1789" s="1018" t="s">
        <v>13507</v>
      </c>
      <c r="I1789" s="1018"/>
      <c r="J1789" s="826">
        <v>1571.59</v>
      </c>
    </row>
    <row r="1790" spans="1:10" ht="13.5" thickTop="1">
      <c r="A1790" s="828"/>
      <c r="B1790" s="828"/>
      <c r="C1790" s="828"/>
      <c r="D1790" s="828"/>
      <c r="E1790" s="828"/>
      <c r="F1790" s="828"/>
      <c r="G1790" s="828"/>
      <c r="H1790" s="828"/>
      <c r="I1790" s="828"/>
      <c r="J1790" s="828"/>
    </row>
    <row r="1791" spans="1:10" ht="15">
      <c r="A1791" s="809" t="s">
        <v>14176</v>
      </c>
      <c r="B1791" s="808" t="s">
        <v>13481</v>
      </c>
      <c r="C1791" s="809" t="s">
        <v>13482</v>
      </c>
      <c r="D1791" s="809" t="s">
        <v>13483</v>
      </c>
      <c r="E1791" s="1019" t="s">
        <v>13484</v>
      </c>
      <c r="F1791" s="1019"/>
      <c r="G1791" s="810" t="s">
        <v>13485</v>
      </c>
      <c r="H1791" s="808" t="s">
        <v>13486</v>
      </c>
      <c r="I1791" s="808" t="s">
        <v>13487</v>
      </c>
      <c r="J1791" s="808" t="s">
        <v>4867</v>
      </c>
    </row>
    <row r="1792" spans="1:10" ht="25.5" customHeight="1">
      <c r="A1792" s="812" t="s">
        <v>13488</v>
      </c>
      <c r="B1792" s="811" t="s">
        <v>14177</v>
      </c>
      <c r="C1792" s="812" t="s">
        <v>6</v>
      </c>
      <c r="D1792" s="812" t="s">
        <v>1320</v>
      </c>
      <c r="E1792" s="1020" t="s">
        <v>13898</v>
      </c>
      <c r="F1792" s="1020"/>
      <c r="G1792" s="813" t="s">
        <v>14</v>
      </c>
      <c r="H1792" s="814">
        <v>1</v>
      </c>
      <c r="I1792" s="815">
        <v>51.52</v>
      </c>
      <c r="J1792" s="815">
        <v>51.52</v>
      </c>
    </row>
    <row r="1793" spans="1:10" ht="38.25" customHeight="1">
      <c r="A1793" s="817" t="s">
        <v>13491</v>
      </c>
      <c r="B1793" s="816" t="s">
        <v>13909</v>
      </c>
      <c r="C1793" s="817" t="s">
        <v>6</v>
      </c>
      <c r="D1793" s="817" t="s">
        <v>986</v>
      </c>
      <c r="E1793" s="1021" t="s">
        <v>13490</v>
      </c>
      <c r="F1793" s="1021"/>
      <c r="G1793" s="818" t="s">
        <v>19</v>
      </c>
      <c r="H1793" s="819">
        <v>0.11</v>
      </c>
      <c r="I1793" s="820">
        <v>15.54</v>
      </c>
      <c r="J1793" s="820">
        <v>1.7</v>
      </c>
    </row>
    <row r="1794" spans="1:10" ht="38.25" customHeight="1">
      <c r="A1794" s="817" t="s">
        <v>13491</v>
      </c>
      <c r="B1794" s="816" t="s">
        <v>13574</v>
      </c>
      <c r="C1794" s="817" t="s">
        <v>6</v>
      </c>
      <c r="D1794" s="817" t="s">
        <v>34</v>
      </c>
      <c r="E1794" s="1021" t="s">
        <v>13490</v>
      </c>
      <c r="F1794" s="1021"/>
      <c r="G1794" s="818" t="s">
        <v>19</v>
      </c>
      <c r="H1794" s="819">
        <v>0.11</v>
      </c>
      <c r="I1794" s="820">
        <v>18.72</v>
      </c>
      <c r="J1794" s="820">
        <v>2.0499999999999998</v>
      </c>
    </row>
    <row r="1795" spans="1:10">
      <c r="A1795" s="822" t="s">
        <v>13493</v>
      </c>
      <c r="B1795" s="821" t="s">
        <v>13910</v>
      </c>
      <c r="C1795" s="822" t="s">
        <v>6</v>
      </c>
      <c r="D1795" s="822" t="s">
        <v>8519</v>
      </c>
      <c r="E1795" s="1017" t="s">
        <v>13514</v>
      </c>
      <c r="F1795" s="1017"/>
      <c r="G1795" s="823" t="s">
        <v>24</v>
      </c>
      <c r="H1795" s="824">
        <v>5.0000000000000001E-3</v>
      </c>
      <c r="I1795" s="825">
        <v>76.94</v>
      </c>
      <c r="J1795" s="825">
        <v>0.38</v>
      </c>
    </row>
    <row r="1796" spans="1:10">
      <c r="A1796" s="822" t="s">
        <v>13493</v>
      </c>
      <c r="B1796" s="821" t="s">
        <v>13913</v>
      </c>
      <c r="C1796" s="822" t="s">
        <v>6</v>
      </c>
      <c r="D1796" s="822" t="s">
        <v>4706</v>
      </c>
      <c r="E1796" s="1017" t="s">
        <v>13514</v>
      </c>
      <c r="F1796" s="1017"/>
      <c r="G1796" s="823" t="s">
        <v>24</v>
      </c>
      <c r="H1796" s="824">
        <v>2.3E-2</v>
      </c>
      <c r="I1796" s="825">
        <v>2.2000000000000002</v>
      </c>
      <c r="J1796" s="825">
        <v>0.05</v>
      </c>
    </row>
    <row r="1797" spans="1:10" ht="13.5" customHeight="1">
      <c r="A1797" s="822" t="s">
        <v>13493</v>
      </c>
      <c r="B1797" s="821" t="s">
        <v>13915</v>
      </c>
      <c r="C1797" s="822" t="s">
        <v>6</v>
      </c>
      <c r="D1797" s="822" t="s">
        <v>12249</v>
      </c>
      <c r="E1797" s="1017" t="s">
        <v>13514</v>
      </c>
      <c r="F1797" s="1017"/>
      <c r="G1797" s="823" t="s">
        <v>24</v>
      </c>
      <c r="H1797" s="824">
        <v>8.2000000000000007E-3</v>
      </c>
      <c r="I1797" s="825">
        <v>87.17</v>
      </c>
      <c r="J1797" s="825">
        <v>0.71</v>
      </c>
    </row>
    <row r="1798" spans="1:10" ht="25.5">
      <c r="A1798" s="822" t="s">
        <v>13493</v>
      </c>
      <c r="B1798" s="821" t="s">
        <v>14178</v>
      </c>
      <c r="C1798" s="822" t="s">
        <v>6</v>
      </c>
      <c r="D1798" s="822" t="s">
        <v>13086</v>
      </c>
      <c r="E1798" s="1017" t="s">
        <v>13514</v>
      </c>
      <c r="F1798" s="1017"/>
      <c r="G1798" s="823" t="s">
        <v>14</v>
      </c>
      <c r="H1798" s="824">
        <v>1.04</v>
      </c>
      <c r="I1798" s="825">
        <v>44.84</v>
      </c>
      <c r="J1798" s="825">
        <v>46.63</v>
      </c>
    </row>
    <row r="1799" spans="1:10" ht="25.5">
      <c r="A1799" s="827"/>
      <c r="B1799" s="827"/>
      <c r="C1799" s="827"/>
      <c r="D1799" s="827"/>
      <c r="E1799" s="827" t="s">
        <v>13503</v>
      </c>
      <c r="F1799" s="826">
        <v>2.81</v>
      </c>
      <c r="G1799" s="827" t="s">
        <v>13504</v>
      </c>
      <c r="H1799" s="826">
        <v>0</v>
      </c>
      <c r="I1799" s="827" t="s">
        <v>13505</v>
      </c>
      <c r="J1799" s="826">
        <v>2.81</v>
      </c>
    </row>
    <row r="1800" spans="1:10" ht="13.5" customHeight="1" thickBot="1">
      <c r="A1800" s="827"/>
      <c r="B1800" s="827"/>
      <c r="C1800" s="827"/>
      <c r="D1800" s="827"/>
      <c r="E1800" s="827" t="s">
        <v>13506</v>
      </c>
      <c r="F1800" s="826">
        <v>14.54</v>
      </c>
      <c r="G1800" s="827"/>
      <c r="H1800" s="1018" t="s">
        <v>13507</v>
      </c>
      <c r="I1800" s="1018"/>
      <c r="J1800" s="826">
        <v>66.06</v>
      </c>
    </row>
    <row r="1801" spans="1:10" ht="13.5" thickTop="1">
      <c r="A1801" s="828"/>
      <c r="B1801" s="828"/>
      <c r="C1801" s="828"/>
      <c r="D1801" s="828"/>
      <c r="E1801" s="828"/>
      <c r="F1801" s="828"/>
      <c r="G1801" s="828"/>
      <c r="H1801" s="828"/>
      <c r="I1801" s="828"/>
      <c r="J1801" s="828"/>
    </row>
    <row r="1802" spans="1:10" ht="15">
      <c r="A1802" s="809" t="s">
        <v>14179</v>
      </c>
      <c r="B1802" s="808" t="s">
        <v>13481</v>
      </c>
      <c r="C1802" s="809" t="s">
        <v>13482</v>
      </c>
      <c r="D1802" s="809" t="s">
        <v>13483</v>
      </c>
      <c r="E1802" s="1019" t="s">
        <v>13484</v>
      </c>
      <c r="F1802" s="1019"/>
      <c r="G1802" s="810" t="s">
        <v>13485</v>
      </c>
      <c r="H1802" s="808" t="s">
        <v>13486</v>
      </c>
      <c r="I1802" s="808" t="s">
        <v>13487</v>
      </c>
      <c r="J1802" s="808" t="s">
        <v>4867</v>
      </c>
    </row>
    <row r="1803" spans="1:10" ht="25.5" customHeight="1">
      <c r="A1803" s="812" t="s">
        <v>13488</v>
      </c>
      <c r="B1803" s="811" t="s">
        <v>14180</v>
      </c>
      <c r="C1803" s="812" t="s">
        <v>6</v>
      </c>
      <c r="D1803" s="812" t="s">
        <v>1391</v>
      </c>
      <c r="E1803" s="1020" t="s">
        <v>13898</v>
      </c>
      <c r="F1803" s="1020"/>
      <c r="G1803" s="813" t="s">
        <v>24</v>
      </c>
      <c r="H1803" s="814">
        <v>1</v>
      </c>
      <c r="I1803" s="815">
        <v>40.729999999999997</v>
      </c>
      <c r="J1803" s="815">
        <v>40.729999999999997</v>
      </c>
    </row>
    <row r="1804" spans="1:10" ht="38.25" customHeight="1">
      <c r="A1804" s="817" t="s">
        <v>13491</v>
      </c>
      <c r="B1804" s="816" t="s">
        <v>13909</v>
      </c>
      <c r="C1804" s="817" t="s">
        <v>6</v>
      </c>
      <c r="D1804" s="817" t="s">
        <v>986</v>
      </c>
      <c r="E1804" s="1021" t="s">
        <v>13490</v>
      </c>
      <c r="F1804" s="1021"/>
      <c r="G1804" s="818" t="s">
        <v>19</v>
      </c>
      <c r="H1804" s="819">
        <v>7.0000000000000007E-2</v>
      </c>
      <c r="I1804" s="820">
        <v>15.54</v>
      </c>
      <c r="J1804" s="820">
        <v>1.08</v>
      </c>
    </row>
    <row r="1805" spans="1:10" ht="38.25" customHeight="1">
      <c r="A1805" s="817" t="s">
        <v>13491</v>
      </c>
      <c r="B1805" s="816" t="s">
        <v>13574</v>
      </c>
      <c r="C1805" s="817" t="s">
        <v>6</v>
      </c>
      <c r="D1805" s="817" t="s">
        <v>34</v>
      </c>
      <c r="E1805" s="1021" t="s">
        <v>13490</v>
      </c>
      <c r="F1805" s="1021"/>
      <c r="G1805" s="818" t="s">
        <v>19</v>
      </c>
      <c r="H1805" s="819">
        <v>7.0000000000000007E-2</v>
      </c>
      <c r="I1805" s="820">
        <v>18.72</v>
      </c>
      <c r="J1805" s="820">
        <v>1.31</v>
      </c>
    </row>
    <row r="1806" spans="1:10">
      <c r="A1806" s="822" t="s">
        <v>13493</v>
      </c>
      <c r="B1806" s="821" t="s">
        <v>13935</v>
      </c>
      <c r="C1806" s="822" t="s">
        <v>6</v>
      </c>
      <c r="D1806" s="822" t="s">
        <v>4583</v>
      </c>
      <c r="E1806" s="1017" t="s">
        <v>13514</v>
      </c>
      <c r="F1806" s="1017"/>
      <c r="G1806" s="823" t="s">
        <v>24</v>
      </c>
      <c r="H1806" s="824">
        <v>1</v>
      </c>
      <c r="I1806" s="825">
        <v>4.84</v>
      </c>
      <c r="J1806" s="825">
        <v>4.84</v>
      </c>
    </row>
    <row r="1807" spans="1:10" ht="13.5" customHeight="1">
      <c r="A1807" s="822" t="s">
        <v>13493</v>
      </c>
      <c r="B1807" s="821" t="s">
        <v>14181</v>
      </c>
      <c r="C1807" s="822" t="s">
        <v>6</v>
      </c>
      <c r="D1807" s="822" t="s">
        <v>11095</v>
      </c>
      <c r="E1807" s="1017" t="s">
        <v>13514</v>
      </c>
      <c r="F1807" s="1017"/>
      <c r="G1807" s="823" t="s">
        <v>24</v>
      </c>
      <c r="H1807" s="824">
        <v>1</v>
      </c>
      <c r="I1807" s="825">
        <v>32.04</v>
      </c>
      <c r="J1807" s="825">
        <v>32.04</v>
      </c>
    </row>
    <row r="1808" spans="1:10" ht="38.25">
      <c r="A1808" s="822" t="s">
        <v>13493</v>
      </c>
      <c r="B1808" s="821" t="s">
        <v>13914</v>
      </c>
      <c r="C1808" s="822" t="s">
        <v>6</v>
      </c>
      <c r="D1808" s="822" t="s">
        <v>11643</v>
      </c>
      <c r="E1808" s="1017" t="s">
        <v>13514</v>
      </c>
      <c r="F1808" s="1017"/>
      <c r="G1808" s="823" t="s">
        <v>24</v>
      </c>
      <c r="H1808" s="824">
        <v>4.5999999999999999E-2</v>
      </c>
      <c r="I1808" s="825">
        <v>31.75</v>
      </c>
      <c r="J1808" s="825">
        <v>1.46</v>
      </c>
    </row>
    <row r="1809" spans="1:10" ht="25.5">
      <c r="A1809" s="827"/>
      <c r="B1809" s="827"/>
      <c r="C1809" s="827"/>
      <c r="D1809" s="827"/>
      <c r="E1809" s="827" t="s">
        <v>13503</v>
      </c>
      <c r="F1809" s="826">
        <v>1.78</v>
      </c>
      <c r="G1809" s="827" t="s">
        <v>13504</v>
      </c>
      <c r="H1809" s="826">
        <v>0</v>
      </c>
      <c r="I1809" s="827" t="s">
        <v>13505</v>
      </c>
      <c r="J1809" s="826">
        <v>1.78</v>
      </c>
    </row>
    <row r="1810" spans="1:10" ht="25.5" customHeight="1" thickBot="1">
      <c r="A1810" s="827"/>
      <c r="B1810" s="827"/>
      <c r="C1810" s="827"/>
      <c r="D1810" s="827"/>
      <c r="E1810" s="827" t="s">
        <v>13506</v>
      </c>
      <c r="F1810" s="826">
        <v>11.5</v>
      </c>
      <c r="G1810" s="827"/>
      <c r="H1810" s="1018" t="s">
        <v>13507</v>
      </c>
      <c r="I1810" s="1018"/>
      <c r="J1810" s="826">
        <v>52.23</v>
      </c>
    </row>
    <row r="1811" spans="1:10" ht="13.5" thickTop="1">
      <c r="A1811" s="828"/>
      <c r="B1811" s="828"/>
      <c r="C1811" s="828"/>
      <c r="D1811" s="828"/>
      <c r="E1811" s="828"/>
      <c r="F1811" s="828"/>
      <c r="G1811" s="828"/>
      <c r="H1811" s="828"/>
      <c r="I1811" s="828"/>
      <c r="J1811" s="828"/>
    </row>
    <row r="1812" spans="1:10" ht="15">
      <c r="A1812" s="809" t="s">
        <v>14182</v>
      </c>
      <c r="B1812" s="808" t="s">
        <v>13481</v>
      </c>
      <c r="C1812" s="809" t="s">
        <v>13482</v>
      </c>
      <c r="D1812" s="809" t="s">
        <v>13483</v>
      </c>
      <c r="E1812" s="1019" t="s">
        <v>13484</v>
      </c>
      <c r="F1812" s="1019"/>
      <c r="G1812" s="810" t="s">
        <v>13485</v>
      </c>
      <c r="H1812" s="808" t="s">
        <v>13486</v>
      </c>
      <c r="I1812" s="808" t="s">
        <v>13487</v>
      </c>
      <c r="J1812" s="808" t="s">
        <v>4867</v>
      </c>
    </row>
    <row r="1813" spans="1:10" ht="25.5" customHeight="1">
      <c r="A1813" s="812" t="s">
        <v>13488</v>
      </c>
      <c r="B1813" s="811" t="s">
        <v>14183</v>
      </c>
      <c r="C1813" s="812" t="s">
        <v>6</v>
      </c>
      <c r="D1813" s="812" t="s">
        <v>3675</v>
      </c>
      <c r="E1813" s="1020" t="s">
        <v>13826</v>
      </c>
      <c r="F1813" s="1020"/>
      <c r="G1813" s="813" t="s">
        <v>14</v>
      </c>
      <c r="H1813" s="814">
        <v>1</v>
      </c>
      <c r="I1813" s="815">
        <v>88.17</v>
      </c>
      <c r="J1813" s="815">
        <v>88.17</v>
      </c>
    </row>
    <row r="1814" spans="1:10" ht="38.25" customHeight="1">
      <c r="A1814" s="817" t="s">
        <v>13491</v>
      </c>
      <c r="B1814" s="816" t="s">
        <v>13828</v>
      </c>
      <c r="C1814" s="817" t="s">
        <v>6</v>
      </c>
      <c r="D1814" s="817" t="s">
        <v>2197</v>
      </c>
      <c r="E1814" s="1021" t="s">
        <v>13539</v>
      </c>
      <c r="F1814" s="1021"/>
      <c r="G1814" s="818" t="s">
        <v>28</v>
      </c>
      <c r="H1814" s="819">
        <v>1.32E-2</v>
      </c>
      <c r="I1814" s="820">
        <v>15.2</v>
      </c>
      <c r="J1814" s="820">
        <v>0.2</v>
      </c>
    </row>
    <row r="1815" spans="1:10" ht="38.25" customHeight="1">
      <c r="A1815" s="817" t="s">
        <v>13491</v>
      </c>
      <c r="B1815" s="816" t="s">
        <v>13827</v>
      </c>
      <c r="C1815" s="817" t="s">
        <v>6</v>
      </c>
      <c r="D1815" s="817" t="s">
        <v>2198</v>
      </c>
      <c r="E1815" s="1021" t="s">
        <v>13539</v>
      </c>
      <c r="F1815" s="1021"/>
      <c r="G1815" s="818" t="s">
        <v>42</v>
      </c>
      <c r="H1815" s="819">
        <v>1.83E-2</v>
      </c>
      <c r="I1815" s="820">
        <v>14.19</v>
      </c>
      <c r="J1815" s="820">
        <v>0.25</v>
      </c>
    </row>
    <row r="1816" spans="1:10" ht="13.5" customHeight="1">
      <c r="A1816" s="817" t="s">
        <v>13491</v>
      </c>
      <c r="B1816" s="816" t="s">
        <v>13553</v>
      </c>
      <c r="C1816" s="817" t="s">
        <v>6</v>
      </c>
      <c r="D1816" s="817" t="s">
        <v>21</v>
      </c>
      <c r="E1816" s="1021" t="s">
        <v>13490</v>
      </c>
      <c r="F1816" s="1021"/>
      <c r="G1816" s="818" t="s">
        <v>19</v>
      </c>
      <c r="H1816" s="819">
        <v>0.371</v>
      </c>
      <c r="I1816" s="820">
        <v>15.16</v>
      </c>
      <c r="J1816" s="820">
        <v>5.62</v>
      </c>
    </row>
    <row r="1817" spans="1:10" ht="38.25" customHeight="1">
      <c r="A1817" s="817" t="s">
        <v>13491</v>
      </c>
      <c r="B1817" s="816" t="s">
        <v>13554</v>
      </c>
      <c r="C1817" s="817" t="s">
        <v>6</v>
      </c>
      <c r="D1817" s="817" t="s">
        <v>165</v>
      </c>
      <c r="E1817" s="1021" t="s">
        <v>13490</v>
      </c>
      <c r="F1817" s="1021"/>
      <c r="G1817" s="818" t="s">
        <v>19</v>
      </c>
      <c r="H1817" s="819">
        <v>0.27700000000000002</v>
      </c>
      <c r="I1817" s="820">
        <v>18.46</v>
      </c>
      <c r="J1817" s="820">
        <v>5.1100000000000003</v>
      </c>
    </row>
    <row r="1818" spans="1:10" ht="25.5">
      <c r="A1818" s="822" t="s">
        <v>13493</v>
      </c>
      <c r="B1818" s="821" t="s">
        <v>14184</v>
      </c>
      <c r="C1818" s="822" t="s">
        <v>6</v>
      </c>
      <c r="D1818" s="822" t="s">
        <v>4614</v>
      </c>
      <c r="E1818" s="1017" t="s">
        <v>13514</v>
      </c>
      <c r="F1818" s="1017"/>
      <c r="G1818" s="823" t="s">
        <v>14</v>
      </c>
      <c r="H1818" s="824">
        <v>1.05</v>
      </c>
      <c r="I1818" s="825">
        <v>58.91</v>
      </c>
      <c r="J1818" s="825">
        <v>61.85</v>
      </c>
    </row>
    <row r="1819" spans="1:10" ht="25.5" customHeight="1">
      <c r="A1819" s="822" t="s">
        <v>13493</v>
      </c>
      <c r="B1819" s="821" t="s">
        <v>13547</v>
      </c>
      <c r="C1819" s="822" t="s">
        <v>6</v>
      </c>
      <c r="D1819" s="822" t="s">
        <v>4764</v>
      </c>
      <c r="E1819" s="1017" t="s">
        <v>13514</v>
      </c>
      <c r="F1819" s="1017"/>
      <c r="G1819" s="823" t="s">
        <v>16</v>
      </c>
      <c r="H1819" s="824">
        <v>1.2999999999999999E-2</v>
      </c>
      <c r="I1819" s="825">
        <v>23.36</v>
      </c>
      <c r="J1819" s="825">
        <v>0.3</v>
      </c>
    </row>
    <row r="1820" spans="1:10" ht="25.5">
      <c r="A1820" s="822" t="s">
        <v>13493</v>
      </c>
      <c r="B1820" s="821" t="s">
        <v>13862</v>
      </c>
      <c r="C1820" s="822" t="s">
        <v>6</v>
      </c>
      <c r="D1820" s="822" t="s">
        <v>4767</v>
      </c>
      <c r="E1820" s="1017" t="s">
        <v>13514</v>
      </c>
      <c r="F1820" s="1017"/>
      <c r="G1820" s="823" t="s">
        <v>16</v>
      </c>
      <c r="H1820" s="824">
        <v>2.3999999999999998E-3</v>
      </c>
      <c r="I1820" s="825">
        <v>77.14</v>
      </c>
      <c r="J1820" s="825">
        <v>0.18</v>
      </c>
    </row>
    <row r="1821" spans="1:10" ht="25.5">
      <c r="A1821" s="822" t="s">
        <v>13493</v>
      </c>
      <c r="B1821" s="821" t="s">
        <v>13819</v>
      </c>
      <c r="C1821" s="822" t="s">
        <v>6</v>
      </c>
      <c r="D1821" s="822" t="s">
        <v>4780</v>
      </c>
      <c r="E1821" s="1017" t="s">
        <v>13514</v>
      </c>
      <c r="F1821" s="1017"/>
      <c r="G1821" s="823" t="s">
        <v>13820</v>
      </c>
      <c r="H1821" s="824">
        <v>8.1000000000000003E-2</v>
      </c>
      <c r="I1821" s="825">
        <v>26.18</v>
      </c>
      <c r="J1821" s="825">
        <v>2.12</v>
      </c>
    </row>
    <row r="1822" spans="1:10">
      <c r="A1822" s="822" t="s">
        <v>13493</v>
      </c>
      <c r="B1822" s="821" t="s">
        <v>13864</v>
      </c>
      <c r="C1822" s="822" t="s">
        <v>6</v>
      </c>
      <c r="D1822" s="822" t="s">
        <v>4786</v>
      </c>
      <c r="E1822" s="1017" t="s">
        <v>13514</v>
      </c>
      <c r="F1822" s="1017"/>
      <c r="G1822" s="823" t="s">
        <v>16</v>
      </c>
      <c r="H1822" s="824">
        <v>0.09</v>
      </c>
      <c r="I1822" s="825">
        <v>139.41999999999999</v>
      </c>
      <c r="J1822" s="825">
        <v>12.54</v>
      </c>
    </row>
    <row r="1823" spans="1:10" ht="25.5">
      <c r="A1823" s="827"/>
      <c r="B1823" s="827"/>
      <c r="C1823" s="827"/>
      <c r="D1823" s="827"/>
      <c r="E1823" s="827" t="s">
        <v>13503</v>
      </c>
      <c r="F1823" s="826">
        <v>7.94</v>
      </c>
      <c r="G1823" s="827" t="s">
        <v>13504</v>
      </c>
      <c r="H1823" s="826">
        <v>0</v>
      </c>
      <c r="I1823" s="827" t="s">
        <v>13505</v>
      </c>
      <c r="J1823" s="826">
        <v>7.94</v>
      </c>
    </row>
    <row r="1824" spans="1:10" ht="13.5" customHeight="1" thickBot="1">
      <c r="A1824" s="827"/>
      <c r="B1824" s="827"/>
      <c r="C1824" s="827"/>
      <c r="D1824" s="827"/>
      <c r="E1824" s="827" t="s">
        <v>13506</v>
      </c>
      <c r="F1824" s="826">
        <v>24.89</v>
      </c>
      <c r="G1824" s="827"/>
      <c r="H1824" s="1018" t="s">
        <v>13507</v>
      </c>
      <c r="I1824" s="1018"/>
      <c r="J1824" s="826">
        <v>113.06</v>
      </c>
    </row>
    <row r="1825" spans="1:10" ht="13.5" customHeight="1" thickTop="1">
      <c r="A1825" s="828"/>
      <c r="B1825" s="828"/>
      <c r="C1825" s="828"/>
      <c r="D1825" s="828"/>
      <c r="E1825" s="828"/>
      <c r="F1825" s="828"/>
      <c r="G1825" s="828"/>
      <c r="H1825" s="828"/>
      <c r="I1825" s="828"/>
      <c r="J1825" s="828"/>
    </row>
    <row r="1826" spans="1:10" ht="15">
      <c r="A1826" s="809" t="s">
        <v>14185</v>
      </c>
      <c r="B1826" s="808" t="s">
        <v>13481</v>
      </c>
      <c r="C1826" s="809" t="s">
        <v>13482</v>
      </c>
      <c r="D1826" s="809" t="s">
        <v>13483</v>
      </c>
      <c r="E1826" s="1019" t="s">
        <v>13484</v>
      </c>
      <c r="F1826" s="1019"/>
      <c r="G1826" s="810" t="s">
        <v>13485</v>
      </c>
      <c r="H1826" s="808" t="s">
        <v>13486</v>
      </c>
      <c r="I1826" s="808" t="s">
        <v>13487</v>
      </c>
      <c r="J1826" s="808" t="s">
        <v>4867</v>
      </c>
    </row>
    <row r="1827" spans="1:10" ht="25.5" customHeight="1">
      <c r="A1827" s="812" t="s">
        <v>13488</v>
      </c>
      <c r="B1827" s="811" t="s">
        <v>14186</v>
      </c>
      <c r="C1827" s="812" t="s">
        <v>6</v>
      </c>
      <c r="D1827" s="812" t="s">
        <v>1322</v>
      </c>
      <c r="E1827" s="1020" t="s">
        <v>13898</v>
      </c>
      <c r="F1827" s="1020"/>
      <c r="G1827" s="813" t="s">
        <v>14</v>
      </c>
      <c r="H1827" s="814">
        <v>1</v>
      </c>
      <c r="I1827" s="815">
        <v>102.36</v>
      </c>
      <c r="J1827" s="815">
        <v>102.36</v>
      </c>
    </row>
    <row r="1828" spans="1:10" ht="38.25" customHeight="1">
      <c r="A1828" s="817" t="s">
        <v>13491</v>
      </c>
      <c r="B1828" s="816" t="s">
        <v>13909</v>
      </c>
      <c r="C1828" s="817" t="s">
        <v>6</v>
      </c>
      <c r="D1828" s="817" t="s">
        <v>986</v>
      </c>
      <c r="E1828" s="1021" t="s">
        <v>13490</v>
      </c>
      <c r="F1828" s="1021"/>
      <c r="G1828" s="818" t="s">
        <v>19</v>
      </c>
      <c r="H1828" s="819">
        <v>0.18</v>
      </c>
      <c r="I1828" s="820">
        <v>15.54</v>
      </c>
      <c r="J1828" s="820">
        <v>2.79</v>
      </c>
    </row>
    <row r="1829" spans="1:10" ht="38.25" customHeight="1">
      <c r="A1829" s="817" t="s">
        <v>13491</v>
      </c>
      <c r="B1829" s="816" t="s">
        <v>13574</v>
      </c>
      <c r="C1829" s="817" t="s">
        <v>6</v>
      </c>
      <c r="D1829" s="817" t="s">
        <v>34</v>
      </c>
      <c r="E1829" s="1021" t="s">
        <v>13490</v>
      </c>
      <c r="F1829" s="1021"/>
      <c r="G1829" s="818" t="s">
        <v>19</v>
      </c>
      <c r="H1829" s="819">
        <v>0.18</v>
      </c>
      <c r="I1829" s="820">
        <v>18.72</v>
      </c>
      <c r="J1829" s="820">
        <v>3.36</v>
      </c>
    </row>
    <row r="1830" spans="1:10">
      <c r="A1830" s="822" t="s">
        <v>13493</v>
      </c>
      <c r="B1830" s="821" t="s">
        <v>13910</v>
      </c>
      <c r="C1830" s="822" t="s">
        <v>6</v>
      </c>
      <c r="D1830" s="822" t="s">
        <v>8519</v>
      </c>
      <c r="E1830" s="1017" t="s">
        <v>13514</v>
      </c>
      <c r="F1830" s="1017"/>
      <c r="G1830" s="823" t="s">
        <v>24</v>
      </c>
      <c r="H1830" s="824">
        <v>6.1999999999999998E-3</v>
      </c>
      <c r="I1830" s="825">
        <v>76.94</v>
      </c>
      <c r="J1830" s="825">
        <v>0.47</v>
      </c>
    </row>
    <row r="1831" spans="1:10" ht="13.5" customHeight="1">
      <c r="A1831" s="822" t="s">
        <v>13493</v>
      </c>
      <c r="B1831" s="821" t="s">
        <v>13913</v>
      </c>
      <c r="C1831" s="822" t="s">
        <v>6</v>
      </c>
      <c r="D1831" s="822" t="s">
        <v>4706</v>
      </c>
      <c r="E1831" s="1017" t="s">
        <v>13514</v>
      </c>
      <c r="F1831" s="1017"/>
      <c r="G1831" s="823" t="s">
        <v>24</v>
      </c>
      <c r="H1831" s="824">
        <v>3.6999999999999998E-2</v>
      </c>
      <c r="I1831" s="825">
        <v>2.2000000000000002</v>
      </c>
      <c r="J1831" s="825">
        <v>0.08</v>
      </c>
    </row>
    <row r="1832" spans="1:10" ht="25.5">
      <c r="A1832" s="822" t="s">
        <v>13493</v>
      </c>
      <c r="B1832" s="821" t="s">
        <v>13915</v>
      </c>
      <c r="C1832" s="822" t="s">
        <v>6</v>
      </c>
      <c r="D1832" s="822" t="s">
        <v>12249</v>
      </c>
      <c r="E1832" s="1017" t="s">
        <v>13514</v>
      </c>
      <c r="F1832" s="1017"/>
      <c r="G1832" s="823" t="s">
        <v>24</v>
      </c>
      <c r="H1832" s="824">
        <v>1.0200000000000001E-2</v>
      </c>
      <c r="I1832" s="825">
        <v>87.17</v>
      </c>
      <c r="J1832" s="825">
        <v>0.88</v>
      </c>
    </row>
    <row r="1833" spans="1:10" ht="25.5">
      <c r="A1833" s="822" t="s">
        <v>13493</v>
      </c>
      <c r="B1833" s="821" t="s">
        <v>14187</v>
      </c>
      <c r="C1833" s="822" t="s">
        <v>6</v>
      </c>
      <c r="D1833" s="822" t="s">
        <v>13087</v>
      </c>
      <c r="E1833" s="1017" t="s">
        <v>13514</v>
      </c>
      <c r="F1833" s="1017"/>
      <c r="G1833" s="823" t="s">
        <v>14</v>
      </c>
      <c r="H1833" s="824">
        <v>1.04</v>
      </c>
      <c r="I1833" s="825">
        <v>91.14</v>
      </c>
      <c r="J1833" s="825">
        <v>94.78</v>
      </c>
    </row>
    <row r="1834" spans="1:10" ht="25.5">
      <c r="A1834" s="827"/>
      <c r="B1834" s="827"/>
      <c r="C1834" s="827"/>
      <c r="D1834" s="827"/>
      <c r="E1834" s="827" t="s">
        <v>13503</v>
      </c>
      <c r="F1834" s="826">
        <v>4.5999999999999996</v>
      </c>
      <c r="G1834" s="827" t="s">
        <v>13504</v>
      </c>
      <c r="H1834" s="826">
        <v>0</v>
      </c>
      <c r="I1834" s="827" t="s">
        <v>13505</v>
      </c>
      <c r="J1834" s="826">
        <v>4.5999999999999996</v>
      </c>
    </row>
    <row r="1835" spans="1:10" ht="13.5" customHeight="1" thickBot="1">
      <c r="A1835" s="827"/>
      <c r="B1835" s="827"/>
      <c r="C1835" s="827"/>
      <c r="D1835" s="827"/>
      <c r="E1835" s="827" t="s">
        <v>13506</v>
      </c>
      <c r="F1835" s="826">
        <v>28.9</v>
      </c>
      <c r="G1835" s="827"/>
      <c r="H1835" s="1018" t="s">
        <v>13507</v>
      </c>
      <c r="I1835" s="1018"/>
      <c r="J1835" s="826">
        <v>131.26</v>
      </c>
    </row>
    <row r="1836" spans="1:10" ht="13.5" thickTop="1">
      <c r="A1836" s="828"/>
      <c r="B1836" s="828"/>
      <c r="C1836" s="828"/>
      <c r="D1836" s="828"/>
      <c r="E1836" s="828"/>
      <c r="F1836" s="828"/>
      <c r="G1836" s="828"/>
      <c r="H1836" s="828"/>
      <c r="I1836" s="828"/>
      <c r="J1836" s="828"/>
    </row>
    <row r="1837" spans="1:10" ht="13.5" customHeight="1">
      <c r="A1837" s="809" t="s">
        <v>14188</v>
      </c>
      <c r="B1837" s="808" t="s">
        <v>13481</v>
      </c>
      <c r="C1837" s="809" t="s">
        <v>13482</v>
      </c>
      <c r="D1837" s="809" t="s">
        <v>13483</v>
      </c>
      <c r="E1837" s="1019" t="s">
        <v>13484</v>
      </c>
      <c r="F1837" s="1019"/>
      <c r="G1837" s="810" t="s">
        <v>13485</v>
      </c>
      <c r="H1837" s="808" t="s">
        <v>13486</v>
      </c>
      <c r="I1837" s="808" t="s">
        <v>13487</v>
      </c>
      <c r="J1837" s="808" t="s">
        <v>4867</v>
      </c>
    </row>
    <row r="1838" spans="1:10" ht="25.5" customHeight="1">
      <c r="A1838" s="812" t="s">
        <v>13488</v>
      </c>
      <c r="B1838" s="811" t="s">
        <v>14189</v>
      </c>
      <c r="C1838" s="812" t="s">
        <v>6</v>
      </c>
      <c r="D1838" s="812" t="s">
        <v>1330</v>
      </c>
      <c r="E1838" s="1020" t="s">
        <v>13898</v>
      </c>
      <c r="F1838" s="1020"/>
      <c r="G1838" s="813" t="s">
        <v>24</v>
      </c>
      <c r="H1838" s="814">
        <v>1</v>
      </c>
      <c r="I1838" s="815">
        <v>156.16</v>
      </c>
      <c r="J1838" s="815">
        <v>156.16</v>
      </c>
    </row>
    <row r="1839" spans="1:10" ht="38.25" customHeight="1">
      <c r="A1839" s="817" t="s">
        <v>13491</v>
      </c>
      <c r="B1839" s="816" t="s">
        <v>13909</v>
      </c>
      <c r="C1839" s="817" t="s">
        <v>6</v>
      </c>
      <c r="D1839" s="817" t="s">
        <v>986</v>
      </c>
      <c r="E1839" s="1021" t="s">
        <v>13490</v>
      </c>
      <c r="F1839" s="1021"/>
      <c r="G1839" s="818" t="s">
        <v>19</v>
      </c>
      <c r="H1839" s="819">
        <v>0.17</v>
      </c>
      <c r="I1839" s="820">
        <v>15.54</v>
      </c>
      <c r="J1839" s="820">
        <v>2.64</v>
      </c>
    </row>
    <row r="1840" spans="1:10" ht="12.75" customHeight="1">
      <c r="A1840" s="817" t="s">
        <v>13491</v>
      </c>
      <c r="B1840" s="816" t="s">
        <v>13574</v>
      </c>
      <c r="C1840" s="817" t="s">
        <v>6</v>
      </c>
      <c r="D1840" s="817" t="s">
        <v>34</v>
      </c>
      <c r="E1840" s="1021" t="s">
        <v>13490</v>
      </c>
      <c r="F1840" s="1021"/>
      <c r="G1840" s="818" t="s">
        <v>19</v>
      </c>
      <c r="H1840" s="819">
        <v>0.17</v>
      </c>
      <c r="I1840" s="820">
        <v>18.72</v>
      </c>
      <c r="J1840" s="820">
        <v>3.18</v>
      </c>
    </row>
    <row r="1841" spans="1:10" ht="38.25" customHeight="1">
      <c r="A1841" s="822" t="s">
        <v>13493</v>
      </c>
      <c r="B1841" s="821" t="s">
        <v>14190</v>
      </c>
      <c r="C1841" s="822" t="s">
        <v>6</v>
      </c>
      <c r="D1841" s="822" t="s">
        <v>8565</v>
      </c>
      <c r="E1841" s="1017" t="s">
        <v>13514</v>
      </c>
      <c r="F1841" s="1017"/>
      <c r="G1841" s="823" t="s">
        <v>24</v>
      </c>
      <c r="H1841" s="824">
        <v>1</v>
      </c>
      <c r="I1841" s="825">
        <v>19.649999999999999</v>
      </c>
      <c r="J1841" s="825">
        <v>19.649999999999999</v>
      </c>
    </row>
    <row r="1842" spans="1:10" ht="25.5">
      <c r="A1842" s="822" t="s">
        <v>13493</v>
      </c>
      <c r="B1842" s="821" t="s">
        <v>14191</v>
      </c>
      <c r="C1842" s="822" t="s">
        <v>6</v>
      </c>
      <c r="D1842" s="822" t="s">
        <v>10826</v>
      </c>
      <c r="E1842" s="1017" t="s">
        <v>13514</v>
      </c>
      <c r="F1842" s="1017"/>
      <c r="G1842" s="823" t="s">
        <v>24</v>
      </c>
      <c r="H1842" s="824">
        <v>1</v>
      </c>
      <c r="I1842" s="825">
        <v>128.47</v>
      </c>
      <c r="J1842" s="825">
        <v>128.47</v>
      </c>
    </row>
    <row r="1843" spans="1:10" ht="38.25">
      <c r="A1843" s="822" t="s">
        <v>13493</v>
      </c>
      <c r="B1843" s="821" t="s">
        <v>13914</v>
      </c>
      <c r="C1843" s="822" t="s">
        <v>6</v>
      </c>
      <c r="D1843" s="822" t="s">
        <v>11643</v>
      </c>
      <c r="E1843" s="1017" t="s">
        <v>13514</v>
      </c>
      <c r="F1843" s="1017"/>
      <c r="G1843" s="823" t="s">
        <v>24</v>
      </c>
      <c r="H1843" s="824">
        <v>7.0000000000000007E-2</v>
      </c>
      <c r="I1843" s="825">
        <v>31.75</v>
      </c>
      <c r="J1843" s="825">
        <v>2.2200000000000002</v>
      </c>
    </row>
    <row r="1844" spans="1:10" ht="13.5" customHeight="1">
      <c r="A1844" s="827"/>
      <c r="B1844" s="827"/>
      <c r="C1844" s="827"/>
      <c r="D1844" s="827"/>
      <c r="E1844" s="827" t="s">
        <v>13503</v>
      </c>
      <c r="F1844" s="826">
        <v>4.34</v>
      </c>
      <c r="G1844" s="827" t="s">
        <v>13504</v>
      </c>
      <c r="H1844" s="826">
        <v>0</v>
      </c>
      <c r="I1844" s="827" t="s">
        <v>13505</v>
      </c>
      <c r="J1844" s="826">
        <v>4.34</v>
      </c>
    </row>
    <row r="1845" spans="1:10" ht="13.5" customHeight="1" thickBot="1">
      <c r="A1845" s="827"/>
      <c r="B1845" s="827"/>
      <c r="C1845" s="827"/>
      <c r="D1845" s="827"/>
      <c r="E1845" s="827" t="s">
        <v>13506</v>
      </c>
      <c r="F1845" s="826">
        <v>44.09</v>
      </c>
      <c r="G1845" s="827"/>
      <c r="H1845" s="1018" t="s">
        <v>13507</v>
      </c>
      <c r="I1845" s="1018"/>
      <c r="J1845" s="826">
        <v>200.25</v>
      </c>
    </row>
    <row r="1846" spans="1:10" ht="13.5" thickTop="1">
      <c r="A1846" s="828"/>
      <c r="B1846" s="828"/>
      <c r="C1846" s="828"/>
      <c r="D1846" s="828"/>
      <c r="E1846" s="828"/>
      <c r="F1846" s="828"/>
      <c r="G1846" s="828"/>
      <c r="H1846" s="828"/>
      <c r="I1846" s="828"/>
      <c r="J1846" s="828"/>
    </row>
    <row r="1847" spans="1:10" ht="25.5" customHeight="1">
      <c r="A1847" s="809" t="s">
        <v>14192</v>
      </c>
      <c r="B1847" s="808" t="s">
        <v>13481</v>
      </c>
      <c r="C1847" s="809" t="s">
        <v>13482</v>
      </c>
      <c r="D1847" s="809" t="s">
        <v>13483</v>
      </c>
      <c r="E1847" s="1019" t="s">
        <v>13484</v>
      </c>
      <c r="F1847" s="1019"/>
      <c r="G1847" s="810" t="s">
        <v>13485</v>
      </c>
      <c r="H1847" s="808" t="s">
        <v>13486</v>
      </c>
      <c r="I1847" s="808" t="s">
        <v>13487</v>
      </c>
      <c r="J1847" s="808" t="s">
        <v>4867</v>
      </c>
    </row>
    <row r="1848" spans="1:10" ht="25.5" customHeight="1">
      <c r="A1848" s="812" t="s">
        <v>13488</v>
      </c>
      <c r="B1848" s="811" t="s">
        <v>14193</v>
      </c>
      <c r="C1848" s="812" t="s">
        <v>6</v>
      </c>
      <c r="D1848" s="812" t="s">
        <v>1856</v>
      </c>
      <c r="E1848" s="1020" t="s">
        <v>14194</v>
      </c>
      <c r="F1848" s="1020"/>
      <c r="G1848" s="813" t="s">
        <v>14</v>
      </c>
      <c r="H1848" s="814">
        <v>1</v>
      </c>
      <c r="I1848" s="815">
        <v>3.99</v>
      </c>
      <c r="J1848" s="815">
        <v>3.99</v>
      </c>
    </row>
    <row r="1849" spans="1:10" ht="25.5" customHeight="1">
      <c r="A1849" s="817" t="s">
        <v>13491</v>
      </c>
      <c r="B1849" s="816" t="s">
        <v>13567</v>
      </c>
      <c r="C1849" s="817" t="s">
        <v>6</v>
      </c>
      <c r="D1849" s="817" t="s">
        <v>35</v>
      </c>
      <c r="E1849" s="1021" t="s">
        <v>13490</v>
      </c>
      <c r="F1849" s="1021"/>
      <c r="G1849" s="818" t="s">
        <v>19</v>
      </c>
      <c r="H1849" s="819">
        <v>0.03</v>
      </c>
      <c r="I1849" s="820">
        <v>19.53</v>
      </c>
      <c r="J1849" s="820">
        <v>0.57999999999999996</v>
      </c>
    </row>
    <row r="1850" spans="1:10" ht="25.5" customHeight="1">
      <c r="A1850" s="817" t="s">
        <v>13491</v>
      </c>
      <c r="B1850" s="816" t="s">
        <v>14121</v>
      </c>
      <c r="C1850" s="817" t="s">
        <v>6</v>
      </c>
      <c r="D1850" s="817" t="s">
        <v>37</v>
      </c>
      <c r="E1850" s="1021" t="s">
        <v>13490</v>
      </c>
      <c r="F1850" s="1021"/>
      <c r="G1850" s="818" t="s">
        <v>19</v>
      </c>
      <c r="H1850" s="819">
        <v>0.03</v>
      </c>
      <c r="I1850" s="820">
        <v>15.19</v>
      </c>
      <c r="J1850" s="820">
        <v>0.45</v>
      </c>
    </row>
    <row r="1851" spans="1:10" ht="25.5" customHeight="1">
      <c r="A1851" s="822" t="s">
        <v>13493</v>
      </c>
      <c r="B1851" s="821" t="s">
        <v>14195</v>
      </c>
      <c r="C1851" s="822" t="s">
        <v>6</v>
      </c>
      <c r="D1851" s="822" t="s">
        <v>4607</v>
      </c>
      <c r="E1851" s="1017" t="s">
        <v>13514</v>
      </c>
      <c r="F1851" s="1017"/>
      <c r="G1851" s="823" t="s">
        <v>14</v>
      </c>
      <c r="H1851" s="824">
        <v>1.19</v>
      </c>
      <c r="I1851" s="825">
        <v>2.4700000000000002</v>
      </c>
      <c r="J1851" s="825">
        <v>2.93</v>
      </c>
    </row>
    <row r="1852" spans="1:10" ht="25.5">
      <c r="A1852" s="822" t="s">
        <v>13493</v>
      </c>
      <c r="B1852" s="821" t="s">
        <v>14196</v>
      </c>
      <c r="C1852" s="822" t="s">
        <v>6</v>
      </c>
      <c r="D1852" s="822" t="s">
        <v>4680</v>
      </c>
      <c r="E1852" s="1017" t="s">
        <v>13514</v>
      </c>
      <c r="F1852" s="1017"/>
      <c r="G1852" s="823" t="s">
        <v>24</v>
      </c>
      <c r="H1852" s="824">
        <v>8.9999999999999993E-3</v>
      </c>
      <c r="I1852" s="825">
        <v>3.95</v>
      </c>
      <c r="J1852" s="825">
        <v>0.03</v>
      </c>
    </row>
    <row r="1853" spans="1:10" ht="13.5" customHeight="1">
      <c r="A1853" s="827"/>
      <c r="B1853" s="827"/>
      <c r="C1853" s="827"/>
      <c r="D1853" s="827"/>
      <c r="E1853" s="827" t="s">
        <v>13503</v>
      </c>
      <c r="F1853" s="826">
        <v>0.73</v>
      </c>
      <c r="G1853" s="827" t="s">
        <v>13504</v>
      </c>
      <c r="H1853" s="826">
        <v>0</v>
      </c>
      <c r="I1853" s="827" t="s">
        <v>13505</v>
      </c>
      <c r="J1853" s="826">
        <v>0.73</v>
      </c>
    </row>
    <row r="1854" spans="1:10" ht="13.5" customHeight="1" thickBot="1">
      <c r="A1854" s="827"/>
      <c r="B1854" s="827"/>
      <c r="C1854" s="827"/>
      <c r="D1854" s="827"/>
      <c r="E1854" s="827" t="s">
        <v>13506</v>
      </c>
      <c r="F1854" s="826">
        <v>1.1200000000000001</v>
      </c>
      <c r="G1854" s="827"/>
      <c r="H1854" s="1018" t="s">
        <v>13507</v>
      </c>
      <c r="I1854" s="1018"/>
      <c r="J1854" s="826">
        <v>5.1100000000000003</v>
      </c>
    </row>
    <row r="1855" spans="1:10" ht="13.5" thickTop="1">
      <c r="A1855" s="828"/>
      <c r="B1855" s="828"/>
      <c r="C1855" s="828"/>
      <c r="D1855" s="828"/>
      <c r="E1855" s="828"/>
      <c r="F1855" s="828"/>
      <c r="G1855" s="828"/>
      <c r="H1855" s="828"/>
      <c r="I1855" s="828"/>
      <c r="J1855" s="828"/>
    </row>
    <row r="1856" spans="1:10" ht="25.5" customHeight="1">
      <c r="A1856" s="809" t="s">
        <v>14197</v>
      </c>
      <c r="B1856" s="808" t="s">
        <v>13481</v>
      </c>
      <c r="C1856" s="809" t="s">
        <v>13482</v>
      </c>
      <c r="D1856" s="809" t="s">
        <v>13483</v>
      </c>
      <c r="E1856" s="1019" t="s">
        <v>13484</v>
      </c>
      <c r="F1856" s="1019"/>
      <c r="G1856" s="810" t="s">
        <v>13485</v>
      </c>
      <c r="H1856" s="808" t="s">
        <v>13486</v>
      </c>
      <c r="I1856" s="808" t="s">
        <v>13487</v>
      </c>
      <c r="J1856" s="808" t="s">
        <v>4867</v>
      </c>
    </row>
    <row r="1857" spans="1:10" ht="25.5" customHeight="1">
      <c r="A1857" s="812" t="s">
        <v>13488</v>
      </c>
      <c r="B1857" s="811" t="s">
        <v>14198</v>
      </c>
      <c r="C1857" s="812" t="s">
        <v>6</v>
      </c>
      <c r="D1857" s="812" t="s">
        <v>1858</v>
      </c>
      <c r="E1857" s="1020" t="s">
        <v>14194</v>
      </c>
      <c r="F1857" s="1020"/>
      <c r="G1857" s="813" t="s">
        <v>14</v>
      </c>
      <c r="H1857" s="814">
        <v>1</v>
      </c>
      <c r="I1857" s="815">
        <v>6.66</v>
      </c>
      <c r="J1857" s="815">
        <v>6.66</v>
      </c>
    </row>
    <row r="1858" spans="1:10" ht="38.25" customHeight="1">
      <c r="A1858" s="817" t="s">
        <v>13491</v>
      </c>
      <c r="B1858" s="816" t="s">
        <v>14121</v>
      </c>
      <c r="C1858" s="817" t="s">
        <v>6</v>
      </c>
      <c r="D1858" s="817" t="s">
        <v>37</v>
      </c>
      <c r="E1858" s="1021" t="s">
        <v>13490</v>
      </c>
      <c r="F1858" s="1021"/>
      <c r="G1858" s="818" t="s">
        <v>19</v>
      </c>
      <c r="H1858" s="819">
        <v>0.04</v>
      </c>
      <c r="I1858" s="820">
        <v>15.19</v>
      </c>
      <c r="J1858" s="820">
        <v>0.6</v>
      </c>
    </row>
    <row r="1859" spans="1:10" ht="13.5" customHeight="1">
      <c r="A1859" s="817" t="s">
        <v>13491</v>
      </c>
      <c r="B1859" s="816" t="s">
        <v>13567</v>
      </c>
      <c r="C1859" s="817" t="s">
        <v>6</v>
      </c>
      <c r="D1859" s="817" t="s">
        <v>35</v>
      </c>
      <c r="E1859" s="1021" t="s">
        <v>13490</v>
      </c>
      <c r="F1859" s="1021"/>
      <c r="G1859" s="818" t="s">
        <v>19</v>
      </c>
      <c r="H1859" s="819">
        <v>0.04</v>
      </c>
      <c r="I1859" s="820">
        <v>19.53</v>
      </c>
      <c r="J1859" s="820">
        <v>0.78</v>
      </c>
    </row>
    <row r="1860" spans="1:10" ht="25.5">
      <c r="A1860" s="822" t="s">
        <v>13493</v>
      </c>
      <c r="B1860" s="821" t="s">
        <v>14199</v>
      </c>
      <c r="C1860" s="822" t="s">
        <v>6</v>
      </c>
      <c r="D1860" s="822" t="s">
        <v>4608</v>
      </c>
      <c r="E1860" s="1017" t="s">
        <v>13514</v>
      </c>
      <c r="F1860" s="1017"/>
      <c r="G1860" s="823" t="s">
        <v>14</v>
      </c>
      <c r="H1860" s="824">
        <v>1.19</v>
      </c>
      <c r="I1860" s="825">
        <v>4.42</v>
      </c>
      <c r="J1860" s="825">
        <v>5.25</v>
      </c>
    </row>
    <row r="1861" spans="1:10" ht="25.5">
      <c r="A1861" s="822" t="s">
        <v>13493</v>
      </c>
      <c r="B1861" s="821" t="s">
        <v>14196</v>
      </c>
      <c r="C1861" s="822" t="s">
        <v>6</v>
      </c>
      <c r="D1861" s="822" t="s">
        <v>4680</v>
      </c>
      <c r="E1861" s="1017" t="s">
        <v>13514</v>
      </c>
      <c r="F1861" s="1017"/>
      <c r="G1861" s="823" t="s">
        <v>24</v>
      </c>
      <c r="H1861" s="824">
        <v>8.9999999999999993E-3</v>
      </c>
      <c r="I1861" s="825">
        <v>3.95</v>
      </c>
      <c r="J1861" s="825">
        <v>0.03</v>
      </c>
    </row>
    <row r="1862" spans="1:10" ht="25.5" customHeight="1">
      <c r="A1862" s="827"/>
      <c r="B1862" s="827"/>
      <c r="C1862" s="827"/>
      <c r="D1862" s="827"/>
      <c r="E1862" s="827" t="s">
        <v>13503</v>
      </c>
      <c r="F1862" s="826">
        <v>0.99</v>
      </c>
      <c r="G1862" s="827" t="s">
        <v>13504</v>
      </c>
      <c r="H1862" s="826">
        <v>0</v>
      </c>
      <c r="I1862" s="827" t="s">
        <v>13505</v>
      </c>
      <c r="J1862" s="826">
        <v>0.99</v>
      </c>
    </row>
    <row r="1863" spans="1:10" ht="13.5" customHeight="1" thickBot="1">
      <c r="A1863" s="827"/>
      <c r="B1863" s="827"/>
      <c r="C1863" s="827"/>
      <c r="D1863" s="827"/>
      <c r="E1863" s="827" t="s">
        <v>13506</v>
      </c>
      <c r="F1863" s="826">
        <v>1.88</v>
      </c>
      <c r="G1863" s="827"/>
      <c r="H1863" s="1018" t="s">
        <v>13507</v>
      </c>
      <c r="I1863" s="1018"/>
      <c r="J1863" s="826">
        <v>8.5399999999999991</v>
      </c>
    </row>
    <row r="1864" spans="1:10" ht="13.5" thickTop="1">
      <c r="A1864" s="828"/>
      <c r="B1864" s="828"/>
      <c r="C1864" s="828"/>
      <c r="D1864" s="828"/>
      <c r="E1864" s="828"/>
      <c r="F1864" s="828"/>
      <c r="G1864" s="828"/>
      <c r="H1864" s="828"/>
      <c r="I1864" s="828"/>
      <c r="J1864" s="828"/>
    </row>
    <row r="1865" spans="1:10" ht="13.5" customHeight="1">
      <c r="A1865" s="809" t="s">
        <v>14200</v>
      </c>
      <c r="B1865" s="808" t="s">
        <v>13481</v>
      </c>
      <c r="C1865" s="809" t="s">
        <v>13482</v>
      </c>
      <c r="D1865" s="809" t="s">
        <v>13483</v>
      </c>
      <c r="E1865" s="1019" t="s">
        <v>13484</v>
      </c>
      <c r="F1865" s="1019"/>
      <c r="G1865" s="810" t="s">
        <v>13485</v>
      </c>
      <c r="H1865" s="808" t="s">
        <v>13486</v>
      </c>
      <c r="I1865" s="808" t="s">
        <v>13487</v>
      </c>
      <c r="J1865" s="808" t="s">
        <v>4867</v>
      </c>
    </row>
    <row r="1866" spans="1:10" ht="25.5" customHeight="1">
      <c r="A1866" s="812" t="s">
        <v>13488</v>
      </c>
      <c r="B1866" s="811" t="s">
        <v>14201</v>
      </c>
      <c r="C1866" s="812" t="s">
        <v>6</v>
      </c>
      <c r="D1866" s="812" t="s">
        <v>2143</v>
      </c>
      <c r="E1866" s="1020" t="s">
        <v>14194</v>
      </c>
      <c r="F1866" s="1020"/>
      <c r="G1866" s="813" t="s">
        <v>14</v>
      </c>
      <c r="H1866" s="814">
        <v>1</v>
      </c>
      <c r="I1866" s="815">
        <v>18.61</v>
      </c>
      <c r="J1866" s="815">
        <v>18.61</v>
      </c>
    </row>
    <row r="1867" spans="1:10" ht="38.25" customHeight="1">
      <c r="A1867" s="817" t="s">
        <v>13491</v>
      </c>
      <c r="B1867" s="816" t="s">
        <v>14121</v>
      </c>
      <c r="C1867" s="817" t="s">
        <v>6</v>
      </c>
      <c r="D1867" s="817" t="s">
        <v>37</v>
      </c>
      <c r="E1867" s="1021" t="s">
        <v>13490</v>
      </c>
      <c r="F1867" s="1021"/>
      <c r="G1867" s="818" t="s">
        <v>19</v>
      </c>
      <c r="H1867" s="819">
        <v>1.2999999999999999E-2</v>
      </c>
      <c r="I1867" s="820">
        <v>15.19</v>
      </c>
      <c r="J1867" s="820">
        <v>0.19</v>
      </c>
    </row>
    <row r="1868" spans="1:10" ht="38.25" customHeight="1">
      <c r="A1868" s="817" t="s">
        <v>13491</v>
      </c>
      <c r="B1868" s="816" t="s">
        <v>13567</v>
      </c>
      <c r="C1868" s="817" t="s">
        <v>6</v>
      </c>
      <c r="D1868" s="817" t="s">
        <v>35</v>
      </c>
      <c r="E1868" s="1021" t="s">
        <v>13490</v>
      </c>
      <c r="F1868" s="1021"/>
      <c r="G1868" s="818" t="s">
        <v>19</v>
      </c>
      <c r="H1868" s="819">
        <v>1.2999999999999999E-2</v>
      </c>
      <c r="I1868" s="820">
        <v>19.53</v>
      </c>
      <c r="J1868" s="820">
        <v>0.25</v>
      </c>
    </row>
    <row r="1869" spans="1:10" ht="25.5" customHeight="1">
      <c r="A1869" s="822" t="s">
        <v>13493</v>
      </c>
      <c r="B1869" s="821" t="s">
        <v>14202</v>
      </c>
      <c r="C1869" s="822" t="s">
        <v>6</v>
      </c>
      <c r="D1869" s="822" t="s">
        <v>4603</v>
      </c>
      <c r="E1869" s="1017" t="s">
        <v>13514</v>
      </c>
      <c r="F1869" s="1017"/>
      <c r="G1869" s="823" t="s">
        <v>14</v>
      </c>
      <c r="H1869" s="824">
        <v>1.0269999999999999</v>
      </c>
      <c r="I1869" s="825">
        <v>17.670000000000002</v>
      </c>
      <c r="J1869" s="825">
        <v>18.14</v>
      </c>
    </row>
    <row r="1870" spans="1:10" ht="25.5" customHeight="1">
      <c r="A1870" s="822" t="s">
        <v>13493</v>
      </c>
      <c r="B1870" s="821" t="s">
        <v>14196</v>
      </c>
      <c r="C1870" s="822" t="s">
        <v>6</v>
      </c>
      <c r="D1870" s="822" t="s">
        <v>4680</v>
      </c>
      <c r="E1870" s="1017" t="s">
        <v>13514</v>
      </c>
      <c r="F1870" s="1017"/>
      <c r="G1870" s="823" t="s">
        <v>24</v>
      </c>
      <c r="H1870" s="824">
        <v>0.01</v>
      </c>
      <c r="I1870" s="825">
        <v>3.95</v>
      </c>
      <c r="J1870" s="825">
        <v>0.03</v>
      </c>
    </row>
    <row r="1871" spans="1:10" ht="25.5">
      <c r="A1871" s="827"/>
      <c r="B1871" s="827"/>
      <c r="C1871" s="827"/>
      <c r="D1871" s="827"/>
      <c r="E1871" s="827" t="s">
        <v>13503</v>
      </c>
      <c r="F1871" s="826">
        <v>0.31</v>
      </c>
      <c r="G1871" s="827" t="s">
        <v>13504</v>
      </c>
      <c r="H1871" s="826">
        <v>0</v>
      </c>
      <c r="I1871" s="827" t="s">
        <v>13505</v>
      </c>
      <c r="J1871" s="826">
        <v>0.31</v>
      </c>
    </row>
    <row r="1872" spans="1:10" ht="13.5" customHeight="1" thickBot="1">
      <c r="A1872" s="827"/>
      <c r="B1872" s="827"/>
      <c r="C1872" s="827"/>
      <c r="D1872" s="827"/>
      <c r="E1872" s="827" t="s">
        <v>13506</v>
      </c>
      <c r="F1872" s="826">
        <v>5.25</v>
      </c>
      <c r="G1872" s="827"/>
      <c r="H1872" s="1018" t="s">
        <v>13507</v>
      </c>
      <c r="I1872" s="1018"/>
      <c r="J1872" s="826">
        <v>23.86</v>
      </c>
    </row>
    <row r="1873" spans="1:10" ht="13.5" thickTop="1">
      <c r="A1873" s="828"/>
      <c r="B1873" s="828"/>
      <c r="C1873" s="828"/>
      <c r="D1873" s="828"/>
      <c r="E1873" s="828"/>
      <c r="F1873" s="828"/>
      <c r="G1873" s="828"/>
      <c r="H1873" s="828"/>
      <c r="I1873" s="828"/>
      <c r="J1873" s="828"/>
    </row>
    <row r="1874" spans="1:10" ht="13.5" customHeight="1">
      <c r="A1874" s="809" t="s">
        <v>14203</v>
      </c>
      <c r="B1874" s="808" t="s">
        <v>13481</v>
      </c>
      <c r="C1874" s="809" t="s">
        <v>13482</v>
      </c>
      <c r="D1874" s="809" t="s">
        <v>13483</v>
      </c>
      <c r="E1874" s="1019" t="s">
        <v>13484</v>
      </c>
      <c r="F1874" s="1019"/>
      <c r="G1874" s="810" t="s">
        <v>13485</v>
      </c>
      <c r="H1874" s="808" t="s">
        <v>13486</v>
      </c>
      <c r="I1874" s="808" t="s">
        <v>13487</v>
      </c>
      <c r="J1874" s="808" t="s">
        <v>4867</v>
      </c>
    </row>
    <row r="1875" spans="1:10" ht="25.5" customHeight="1">
      <c r="A1875" s="812" t="s">
        <v>13488</v>
      </c>
      <c r="B1875" s="811" t="s">
        <v>14204</v>
      </c>
      <c r="C1875" s="812" t="s">
        <v>6</v>
      </c>
      <c r="D1875" s="812" t="s">
        <v>8236</v>
      </c>
      <c r="E1875" s="1020" t="s">
        <v>14194</v>
      </c>
      <c r="F1875" s="1020"/>
      <c r="G1875" s="813" t="s">
        <v>14</v>
      </c>
      <c r="H1875" s="814">
        <v>1</v>
      </c>
      <c r="I1875" s="815">
        <v>29.43</v>
      </c>
      <c r="J1875" s="815">
        <v>29.43</v>
      </c>
    </row>
    <row r="1876" spans="1:10" ht="38.25" customHeight="1">
      <c r="A1876" s="817" t="s">
        <v>13491</v>
      </c>
      <c r="B1876" s="816" t="s">
        <v>14121</v>
      </c>
      <c r="C1876" s="817" t="s">
        <v>6</v>
      </c>
      <c r="D1876" s="817" t="s">
        <v>37</v>
      </c>
      <c r="E1876" s="1021" t="s">
        <v>13490</v>
      </c>
      <c r="F1876" s="1021"/>
      <c r="G1876" s="818" t="s">
        <v>19</v>
      </c>
      <c r="H1876" s="819">
        <v>6.08E-2</v>
      </c>
      <c r="I1876" s="820">
        <v>15.19</v>
      </c>
      <c r="J1876" s="820">
        <v>0.92</v>
      </c>
    </row>
    <row r="1877" spans="1:10" ht="38.25" customHeight="1">
      <c r="A1877" s="817" t="s">
        <v>13491</v>
      </c>
      <c r="B1877" s="816" t="s">
        <v>13567</v>
      </c>
      <c r="C1877" s="817" t="s">
        <v>6</v>
      </c>
      <c r="D1877" s="817" t="s">
        <v>35</v>
      </c>
      <c r="E1877" s="1021" t="s">
        <v>13490</v>
      </c>
      <c r="F1877" s="1021"/>
      <c r="G1877" s="818" t="s">
        <v>19</v>
      </c>
      <c r="H1877" s="819">
        <v>6.08E-2</v>
      </c>
      <c r="I1877" s="820">
        <v>19.53</v>
      </c>
      <c r="J1877" s="820">
        <v>1.18</v>
      </c>
    </row>
    <row r="1878" spans="1:10" ht="38.25">
      <c r="A1878" s="822" t="s">
        <v>13493</v>
      </c>
      <c r="B1878" s="821" t="s">
        <v>14205</v>
      </c>
      <c r="C1878" s="822" t="s">
        <v>6</v>
      </c>
      <c r="D1878" s="822" t="s">
        <v>4604</v>
      </c>
      <c r="E1878" s="1017" t="s">
        <v>13514</v>
      </c>
      <c r="F1878" s="1017"/>
      <c r="G1878" s="823" t="s">
        <v>14</v>
      </c>
      <c r="H1878" s="824">
        <v>1.0149999999999999</v>
      </c>
      <c r="I1878" s="825">
        <v>26.9</v>
      </c>
      <c r="J1878" s="825">
        <v>27.3</v>
      </c>
    </row>
    <row r="1879" spans="1:10" ht="25.5">
      <c r="A1879" s="822" t="s">
        <v>13493</v>
      </c>
      <c r="B1879" s="821" t="s">
        <v>14196</v>
      </c>
      <c r="C1879" s="822" t="s">
        <v>6</v>
      </c>
      <c r="D1879" s="822" t="s">
        <v>4680</v>
      </c>
      <c r="E1879" s="1017" t="s">
        <v>13514</v>
      </c>
      <c r="F1879" s="1017"/>
      <c r="G1879" s="823" t="s">
        <v>24</v>
      </c>
      <c r="H1879" s="824">
        <v>8.9999999999999993E-3</v>
      </c>
      <c r="I1879" s="825">
        <v>3.95</v>
      </c>
      <c r="J1879" s="825">
        <v>0.03</v>
      </c>
    </row>
    <row r="1880" spans="1:10" ht="25.5">
      <c r="A1880" s="827"/>
      <c r="B1880" s="827"/>
      <c r="C1880" s="827"/>
      <c r="D1880" s="827"/>
      <c r="E1880" s="827" t="s">
        <v>13503</v>
      </c>
      <c r="F1880" s="826">
        <v>1.5</v>
      </c>
      <c r="G1880" s="827" t="s">
        <v>13504</v>
      </c>
      <c r="H1880" s="826">
        <v>0</v>
      </c>
      <c r="I1880" s="827" t="s">
        <v>13505</v>
      </c>
      <c r="J1880" s="826">
        <v>1.5</v>
      </c>
    </row>
    <row r="1881" spans="1:10" ht="13.5" customHeight="1" thickBot="1">
      <c r="A1881" s="827"/>
      <c r="B1881" s="827"/>
      <c r="C1881" s="827"/>
      <c r="D1881" s="827"/>
      <c r="E1881" s="827" t="s">
        <v>13506</v>
      </c>
      <c r="F1881" s="826">
        <v>8.31</v>
      </c>
      <c r="G1881" s="827"/>
      <c r="H1881" s="1018" t="s">
        <v>13507</v>
      </c>
      <c r="I1881" s="1018"/>
      <c r="J1881" s="826">
        <v>37.74</v>
      </c>
    </row>
    <row r="1882" spans="1:10" ht="13.5" customHeight="1" thickTop="1">
      <c r="A1882" s="828"/>
      <c r="B1882" s="828"/>
      <c r="C1882" s="828"/>
      <c r="D1882" s="828"/>
      <c r="E1882" s="828"/>
      <c r="F1882" s="828"/>
      <c r="G1882" s="828"/>
      <c r="H1882" s="828"/>
      <c r="I1882" s="828"/>
      <c r="J1882" s="828"/>
    </row>
    <row r="1883" spans="1:10" ht="15">
      <c r="A1883" s="809" t="s">
        <v>14206</v>
      </c>
      <c r="B1883" s="808" t="s">
        <v>13481</v>
      </c>
      <c r="C1883" s="809" t="s">
        <v>13482</v>
      </c>
      <c r="D1883" s="809" t="s">
        <v>13483</v>
      </c>
      <c r="E1883" s="1019" t="s">
        <v>13484</v>
      </c>
      <c r="F1883" s="1019"/>
      <c r="G1883" s="810" t="s">
        <v>13485</v>
      </c>
      <c r="H1883" s="808" t="s">
        <v>13486</v>
      </c>
      <c r="I1883" s="808" t="s">
        <v>13487</v>
      </c>
      <c r="J1883" s="808" t="s">
        <v>4867</v>
      </c>
    </row>
    <row r="1884" spans="1:10" ht="25.5" customHeight="1">
      <c r="A1884" s="812" t="s">
        <v>13488</v>
      </c>
      <c r="B1884" s="811" t="s">
        <v>14207</v>
      </c>
      <c r="C1884" s="812" t="s">
        <v>6</v>
      </c>
      <c r="D1884" s="812" t="s">
        <v>8237</v>
      </c>
      <c r="E1884" s="1020" t="s">
        <v>14194</v>
      </c>
      <c r="F1884" s="1020"/>
      <c r="G1884" s="813" t="s">
        <v>14</v>
      </c>
      <c r="H1884" s="814">
        <v>1</v>
      </c>
      <c r="I1884" s="815">
        <v>40.08</v>
      </c>
      <c r="J1884" s="815">
        <v>40.08</v>
      </c>
    </row>
    <row r="1885" spans="1:10" ht="38.25" customHeight="1">
      <c r="A1885" s="817" t="s">
        <v>13491</v>
      </c>
      <c r="B1885" s="816" t="s">
        <v>13567</v>
      </c>
      <c r="C1885" s="817" t="s">
        <v>6</v>
      </c>
      <c r="D1885" s="817" t="s">
        <v>35</v>
      </c>
      <c r="E1885" s="1021" t="s">
        <v>13490</v>
      </c>
      <c r="F1885" s="1021"/>
      <c r="G1885" s="818" t="s">
        <v>19</v>
      </c>
      <c r="H1885" s="819">
        <v>6.9699999999999998E-2</v>
      </c>
      <c r="I1885" s="820">
        <v>19.53</v>
      </c>
      <c r="J1885" s="820">
        <v>1.36</v>
      </c>
    </row>
    <row r="1886" spans="1:10" ht="38.25" customHeight="1">
      <c r="A1886" s="817" t="s">
        <v>13491</v>
      </c>
      <c r="B1886" s="816" t="s">
        <v>14121</v>
      </c>
      <c r="C1886" s="817" t="s">
        <v>6</v>
      </c>
      <c r="D1886" s="817" t="s">
        <v>37</v>
      </c>
      <c r="E1886" s="1021" t="s">
        <v>13490</v>
      </c>
      <c r="F1886" s="1021"/>
      <c r="G1886" s="818" t="s">
        <v>19</v>
      </c>
      <c r="H1886" s="819">
        <v>6.9699999999999998E-2</v>
      </c>
      <c r="I1886" s="820">
        <v>15.19</v>
      </c>
      <c r="J1886" s="820">
        <v>1.05</v>
      </c>
    </row>
    <row r="1887" spans="1:10" ht="38.25">
      <c r="A1887" s="822" t="s">
        <v>13493</v>
      </c>
      <c r="B1887" s="821" t="s">
        <v>14208</v>
      </c>
      <c r="C1887" s="822" t="s">
        <v>6</v>
      </c>
      <c r="D1887" s="822" t="s">
        <v>4605</v>
      </c>
      <c r="E1887" s="1017" t="s">
        <v>13514</v>
      </c>
      <c r="F1887" s="1017"/>
      <c r="G1887" s="823" t="s">
        <v>14</v>
      </c>
      <c r="H1887" s="824">
        <v>1.0149999999999999</v>
      </c>
      <c r="I1887" s="825">
        <v>37.090000000000003</v>
      </c>
      <c r="J1887" s="825">
        <v>37.64</v>
      </c>
    </row>
    <row r="1888" spans="1:10" ht="25.5">
      <c r="A1888" s="822" t="s">
        <v>13493</v>
      </c>
      <c r="B1888" s="821" t="s">
        <v>14196</v>
      </c>
      <c r="C1888" s="822" t="s">
        <v>6</v>
      </c>
      <c r="D1888" s="822" t="s">
        <v>4680</v>
      </c>
      <c r="E1888" s="1017" t="s">
        <v>13514</v>
      </c>
      <c r="F1888" s="1017"/>
      <c r="G1888" s="823" t="s">
        <v>24</v>
      </c>
      <c r="H1888" s="824">
        <v>8.9999999999999993E-3</v>
      </c>
      <c r="I1888" s="825">
        <v>3.95</v>
      </c>
      <c r="J1888" s="825">
        <v>0.03</v>
      </c>
    </row>
    <row r="1889" spans="1:10" ht="25.5">
      <c r="A1889" s="827"/>
      <c r="B1889" s="827"/>
      <c r="C1889" s="827"/>
      <c r="D1889" s="827"/>
      <c r="E1889" s="827" t="s">
        <v>13503</v>
      </c>
      <c r="F1889" s="826">
        <v>1.72</v>
      </c>
      <c r="G1889" s="827" t="s">
        <v>13504</v>
      </c>
      <c r="H1889" s="826">
        <v>0</v>
      </c>
      <c r="I1889" s="827" t="s">
        <v>13505</v>
      </c>
      <c r="J1889" s="826">
        <v>1.72</v>
      </c>
    </row>
    <row r="1890" spans="1:10" ht="13.5" customHeight="1" thickBot="1">
      <c r="A1890" s="827"/>
      <c r="B1890" s="827"/>
      <c r="C1890" s="827"/>
      <c r="D1890" s="827"/>
      <c r="E1890" s="827" t="s">
        <v>13506</v>
      </c>
      <c r="F1890" s="826">
        <v>11.31</v>
      </c>
      <c r="G1890" s="827"/>
      <c r="H1890" s="1018" t="s">
        <v>13507</v>
      </c>
      <c r="I1890" s="1018"/>
      <c r="J1890" s="826">
        <v>51.39</v>
      </c>
    </row>
    <row r="1891" spans="1:10" ht="13.5" customHeight="1" thickTop="1">
      <c r="A1891" s="828"/>
      <c r="B1891" s="828"/>
      <c r="C1891" s="828"/>
      <c r="D1891" s="828"/>
      <c r="E1891" s="828"/>
      <c r="F1891" s="828"/>
      <c r="G1891" s="828"/>
      <c r="H1891" s="828"/>
      <c r="I1891" s="828"/>
      <c r="J1891" s="828"/>
    </row>
    <row r="1892" spans="1:10" ht="15">
      <c r="A1892" s="809" t="s">
        <v>14209</v>
      </c>
      <c r="B1892" s="808" t="s">
        <v>13481</v>
      </c>
      <c r="C1892" s="809" t="s">
        <v>13482</v>
      </c>
      <c r="D1892" s="809" t="s">
        <v>13483</v>
      </c>
      <c r="E1892" s="1019" t="s">
        <v>13484</v>
      </c>
      <c r="F1892" s="1019"/>
      <c r="G1892" s="810" t="s">
        <v>13485</v>
      </c>
      <c r="H1892" s="808" t="s">
        <v>13486</v>
      </c>
      <c r="I1892" s="808" t="s">
        <v>13487</v>
      </c>
      <c r="J1892" s="808" t="s">
        <v>4867</v>
      </c>
    </row>
    <row r="1893" spans="1:10" ht="25.5" customHeight="1">
      <c r="A1893" s="812" t="s">
        <v>13488</v>
      </c>
      <c r="B1893" s="811" t="s">
        <v>14210</v>
      </c>
      <c r="C1893" s="812" t="s">
        <v>6</v>
      </c>
      <c r="D1893" s="812" t="s">
        <v>5251</v>
      </c>
      <c r="E1893" s="1020" t="s">
        <v>14194</v>
      </c>
      <c r="F1893" s="1020"/>
      <c r="G1893" s="813" t="s">
        <v>14</v>
      </c>
      <c r="H1893" s="814">
        <v>1</v>
      </c>
      <c r="I1893" s="815">
        <v>55.02</v>
      </c>
      <c r="J1893" s="815">
        <v>55.02</v>
      </c>
    </row>
    <row r="1894" spans="1:10" ht="38.25" customHeight="1">
      <c r="A1894" s="817" t="s">
        <v>13491</v>
      </c>
      <c r="B1894" s="816" t="s">
        <v>13567</v>
      </c>
      <c r="C1894" s="817" t="s">
        <v>6</v>
      </c>
      <c r="D1894" s="817" t="s">
        <v>35</v>
      </c>
      <c r="E1894" s="1021" t="s">
        <v>13490</v>
      </c>
      <c r="F1894" s="1021"/>
      <c r="G1894" s="818" t="s">
        <v>19</v>
      </c>
      <c r="H1894" s="819">
        <v>3.0000000000000001E-3</v>
      </c>
      <c r="I1894" s="820">
        <v>19.53</v>
      </c>
      <c r="J1894" s="820">
        <v>0.05</v>
      </c>
    </row>
    <row r="1895" spans="1:10" ht="38.25">
      <c r="A1895" s="822" t="s">
        <v>13493</v>
      </c>
      <c r="B1895" s="821" t="s">
        <v>14211</v>
      </c>
      <c r="C1895" s="822" t="s">
        <v>6</v>
      </c>
      <c r="D1895" s="822" t="s">
        <v>4606</v>
      </c>
      <c r="E1895" s="1017" t="s">
        <v>13514</v>
      </c>
      <c r="F1895" s="1017"/>
      <c r="G1895" s="823" t="s">
        <v>14</v>
      </c>
      <c r="H1895" s="824">
        <v>1.0401</v>
      </c>
      <c r="I1895" s="825">
        <v>52.86</v>
      </c>
      <c r="J1895" s="825">
        <v>54.97</v>
      </c>
    </row>
    <row r="1896" spans="1:10" ht="25.5">
      <c r="A1896" s="827"/>
      <c r="B1896" s="827"/>
      <c r="C1896" s="827"/>
      <c r="D1896" s="827"/>
      <c r="E1896" s="827" t="s">
        <v>13503</v>
      </c>
      <c r="F1896" s="826">
        <v>0.04</v>
      </c>
      <c r="G1896" s="827" t="s">
        <v>13504</v>
      </c>
      <c r="H1896" s="826">
        <v>0</v>
      </c>
      <c r="I1896" s="827" t="s">
        <v>13505</v>
      </c>
      <c r="J1896" s="826">
        <v>0.04</v>
      </c>
    </row>
    <row r="1897" spans="1:10" ht="13.5" customHeight="1" thickBot="1">
      <c r="A1897" s="827"/>
      <c r="B1897" s="827"/>
      <c r="C1897" s="827"/>
      <c r="D1897" s="827"/>
      <c r="E1897" s="827" t="s">
        <v>13506</v>
      </c>
      <c r="F1897" s="826">
        <v>15.53</v>
      </c>
      <c r="G1897" s="827"/>
      <c r="H1897" s="1018" t="s">
        <v>13507</v>
      </c>
      <c r="I1897" s="1018"/>
      <c r="J1897" s="826">
        <v>70.55</v>
      </c>
    </row>
    <row r="1898" spans="1:10" ht="13.5" thickTop="1">
      <c r="A1898" s="828"/>
      <c r="B1898" s="828"/>
      <c r="C1898" s="828"/>
      <c r="D1898" s="828"/>
      <c r="E1898" s="828"/>
      <c r="F1898" s="828"/>
      <c r="G1898" s="828"/>
      <c r="H1898" s="828"/>
      <c r="I1898" s="828"/>
      <c r="J1898" s="828"/>
    </row>
    <row r="1899" spans="1:10" ht="13.5" customHeight="1">
      <c r="A1899" s="809" t="s">
        <v>14212</v>
      </c>
      <c r="B1899" s="808" t="s">
        <v>13481</v>
      </c>
      <c r="C1899" s="809" t="s">
        <v>13482</v>
      </c>
      <c r="D1899" s="809" t="s">
        <v>13483</v>
      </c>
      <c r="E1899" s="1019" t="s">
        <v>13484</v>
      </c>
      <c r="F1899" s="1019"/>
      <c r="G1899" s="810" t="s">
        <v>13485</v>
      </c>
      <c r="H1899" s="808" t="s">
        <v>13486</v>
      </c>
      <c r="I1899" s="808" t="s">
        <v>13487</v>
      </c>
      <c r="J1899" s="808" t="s">
        <v>4867</v>
      </c>
    </row>
    <row r="1900" spans="1:10" ht="25.5" customHeight="1">
      <c r="A1900" s="812" t="s">
        <v>13488</v>
      </c>
      <c r="B1900" s="811" t="s">
        <v>14213</v>
      </c>
      <c r="C1900" s="812" t="s">
        <v>6</v>
      </c>
      <c r="D1900" s="812" t="s">
        <v>1860</v>
      </c>
      <c r="E1900" s="1020" t="s">
        <v>14194</v>
      </c>
      <c r="F1900" s="1020"/>
      <c r="G1900" s="813" t="s">
        <v>14</v>
      </c>
      <c r="H1900" s="814">
        <v>1</v>
      </c>
      <c r="I1900" s="815">
        <v>9.17</v>
      </c>
      <c r="J1900" s="815">
        <v>9.17</v>
      </c>
    </row>
    <row r="1901" spans="1:10" ht="38.25" customHeight="1">
      <c r="A1901" s="817" t="s">
        <v>13491</v>
      </c>
      <c r="B1901" s="816" t="s">
        <v>14121</v>
      </c>
      <c r="C1901" s="817" t="s">
        <v>6</v>
      </c>
      <c r="D1901" s="817" t="s">
        <v>37</v>
      </c>
      <c r="E1901" s="1021" t="s">
        <v>13490</v>
      </c>
      <c r="F1901" s="1021"/>
      <c r="G1901" s="818" t="s">
        <v>19</v>
      </c>
      <c r="H1901" s="819">
        <v>5.1999999999999998E-2</v>
      </c>
      <c r="I1901" s="820">
        <v>15.19</v>
      </c>
      <c r="J1901" s="820">
        <v>0.78</v>
      </c>
    </row>
    <row r="1902" spans="1:10" ht="38.25" customHeight="1">
      <c r="A1902" s="817" t="s">
        <v>13491</v>
      </c>
      <c r="B1902" s="816" t="s">
        <v>13567</v>
      </c>
      <c r="C1902" s="817" t="s">
        <v>6</v>
      </c>
      <c r="D1902" s="817" t="s">
        <v>35</v>
      </c>
      <c r="E1902" s="1021" t="s">
        <v>13490</v>
      </c>
      <c r="F1902" s="1021"/>
      <c r="G1902" s="818" t="s">
        <v>19</v>
      </c>
      <c r="H1902" s="819">
        <v>5.1999999999999998E-2</v>
      </c>
      <c r="I1902" s="820">
        <v>19.53</v>
      </c>
      <c r="J1902" s="820">
        <v>1.01</v>
      </c>
    </row>
    <row r="1903" spans="1:10" ht="38.25" customHeight="1">
      <c r="A1903" s="822" t="s">
        <v>13493</v>
      </c>
      <c r="B1903" s="821" t="s">
        <v>14214</v>
      </c>
      <c r="C1903" s="822" t="s">
        <v>6</v>
      </c>
      <c r="D1903" s="822" t="s">
        <v>9136</v>
      </c>
      <c r="E1903" s="1017" t="s">
        <v>13514</v>
      </c>
      <c r="F1903" s="1017"/>
      <c r="G1903" s="823" t="s">
        <v>14</v>
      </c>
      <c r="H1903" s="824">
        <v>1.19</v>
      </c>
      <c r="I1903" s="825">
        <v>6.18</v>
      </c>
      <c r="J1903" s="825">
        <v>7.35</v>
      </c>
    </row>
    <row r="1904" spans="1:10" ht="38.25" customHeight="1">
      <c r="A1904" s="822" t="s">
        <v>13493</v>
      </c>
      <c r="B1904" s="821" t="s">
        <v>14196</v>
      </c>
      <c r="C1904" s="822" t="s">
        <v>6</v>
      </c>
      <c r="D1904" s="822" t="s">
        <v>4680</v>
      </c>
      <c r="E1904" s="1017" t="s">
        <v>13514</v>
      </c>
      <c r="F1904" s="1017"/>
      <c r="G1904" s="823" t="s">
        <v>24</v>
      </c>
      <c r="H1904" s="824">
        <v>8.9999999999999993E-3</v>
      </c>
      <c r="I1904" s="825">
        <v>3.95</v>
      </c>
      <c r="J1904" s="825">
        <v>0.03</v>
      </c>
    </row>
    <row r="1905" spans="1:10" ht="25.5">
      <c r="A1905" s="827"/>
      <c r="B1905" s="827"/>
      <c r="C1905" s="827"/>
      <c r="D1905" s="827"/>
      <c r="E1905" s="827" t="s">
        <v>13503</v>
      </c>
      <c r="F1905" s="826">
        <v>1.28</v>
      </c>
      <c r="G1905" s="827" t="s">
        <v>13504</v>
      </c>
      <c r="H1905" s="826">
        <v>0</v>
      </c>
      <c r="I1905" s="827" t="s">
        <v>13505</v>
      </c>
      <c r="J1905" s="826">
        <v>1.28</v>
      </c>
    </row>
    <row r="1906" spans="1:10" ht="13.5" customHeight="1" thickBot="1">
      <c r="A1906" s="827"/>
      <c r="B1906" s="827"/>
      <c r="C1906" s="827"/>
      <c r="D1906" s="827"/>
      <c r="E1906" s="827" t="s">
        <v>13506</v>
      </c>
      <c r="F1906" s="826">
        <v>2.58</v>
      </c>
      <c r="G1906" s="827"/>
      <c r="H1906" s="1018" t="s">
        <v>13507</v>
      </c>
      <c r="I1906" s="1018"/>
      <c r="J1906" s="826">
        <v>11.75</v>
      </c>
    </row>
    <row r="1907" spans="1:10" ht="13.5" thickTop="1">
      <c r="A1907" s="828"/>
      <c r="B1907" s="828"/>
      <c r="C1907" s="828"/>
      <c r="D1907" s="828"/>
      <c r="E1907" s="828"/>
      <c r="F1907" s="828"/>
      <c r="G1907" s="828"/>
      <c r="H1907" s="828"/>
      <c r="I1907" s="828"/>
      <c r="J1907" s="828"/>
    </row>
    <row r="1908" spans="1:10" ht="15">
      <c r="A1908" s="809" t="s">
        <v>14215</v>
      </c>
      <c r="B1908" s="808" t="s">
        <v>13481</v>
      </c>
      <c r="C1908" s="809" t="s">
        <v>13482</v>
      </c>
      <c r="D1908" s="809" t="s">
        <v>13483</v>
      </c>
      <c r="E1908" s="1019" t="s">
        <v>13484</v>
      </c>
      <c r="F1908" s="1019"/>
      <c r="G1908" s="810" t="s">
        <v>13485</v>
      </c>
      <c r="H1908" s="808" t="s">
        <v>13486</v>
      </c>
      <c r="I1908" s="808" t="s">
        <v>13487</v>
      </c>
      <c r="J1908" s="808" t="s">
        <v>4867</v>
      </c>
    </row>
    <row r="1909" spans="1:10" ht="25.5" customHeight="1">
      <c r="A1909" s="812" t="s">
        <v>13488</v>
      </c>
      <c r="B1909" s="811" t="s">
        <v>14216</v>
      </c>
      <c r="C1909" s="812" t="s">
        <v>6</v>
      </c>
      <c r="D1909" s="812" t="s">
        <v>2141</v>
      </c>
      <c r="E1909" s="1020" t="s">
        <v>14194</v>
      </c>
      <c r="F1909" s="1020"/>
      <c r="G1909" s="813" t="s">
        <v>14</v>
      </c>
      <c r="H1909" s="814">
        <v>1</v>
      </c>
      <c r="I1909" s="815">
        <v>12.16</v>
      </c>
      <c r="J1909" s="815">
        <v>12.16</v>
      </c>
    </row>
    <row r="1910" spans="1:10" ht="13.5" customHeight="1">
      <c r="A1910" s="817" t="s">
        <v>13491</v>
      </c>
      <c r="B1910" s="816" t="s">
        <v>14121</v>
      </c>
      <c r="C1910" s="817" t="s">
        <v>6</v>
      </c>
      <c r="D1910" s="817" t="s">
        <v>37</v>
      </c>
      <c r="E1910" s="1021" t="s">
        <v>13490</v>
      </c>
      <c r="F1910" s="1021"/>
      <c r="G1910" s="818" t="s">
        <v>19</v>
      </c>
      <c r="H1910" s="819">
        <v>8.9999999999999993E-3</v>
      </c>
      <c r="I1910" s="820">
        <v>15.19</v>
      </c>
      <c r="J1910" s="820">
        <v>0.13</v>
      </c>
    </row>
    <row r="1911" spans="1:10" ht="38.25" customHeight="1">
      <c r="A1911" s="817" t="s">
        <v>13491</v>
      </c>
      <c r="B1911" s="816" t="s">
        <v>13567</v>
      </c>
      <c r="C1911" s="817" t="s">
        <v>6</v>
      </c>
      <c r="D1911" s="817" t="s">
        <v>35</v>
      </c>
      <c r="E1911" s="1021" t="s">
        <v>13490</v>
      </c>
      <c r="F1911" s="1021"/>
      <c r="G1911" s="818" t="s">
        <v>19</v>
      </c>
      <c r="H1911" s="819">
        <v>8.9999999999999993E-3</v>
      </c>
      <c r="I1911" s="820">
        <v>19.53</v>
      </c>
      <c r="J1911" s="820">
        <v>0.17</v>
      </c>
    </row>
    <row r="1912" spans="1:10" ht="38.25">
      <c r="A1912" s="822" t="s">
        <v>13493</v>
      </c>
      <c r="B1912" s="821" t="s">
        <v>14217</v>
      </c>
      <c r="C1912" s="822" t="s">
        <v>6</v>
      </c>
      <c r="D1912" s="822" t="s">
        <v>9110</v>
      </c>
      <c r="E1912" s="1017" t="s">
        <v>13514</v>
      </c>
      <c r="F1912" s="1017"/>
      <c r="G1912" s="823" t="s">
        <v>14</v>
      </c>
      <c r="H1912" s="824">
        <v>1.0269999999999999</v>
      </c>
      <c r="I1912" s="825">
        <v>11.52</v>
      </c>
      <c r="J1912" s="825">
        <v>11.83</v>
      </c>
    </row>
    <row r="1913" spans="1:10" ht="12.75" customHeight="1">
      <c r="A1913" s="822" t="s">
        <v>13493</v>
      </c>
      <c r="B1913" s="821" t="s">
        <v>14196</v>
      </c>
      <c r="C1913" s="822" t="s">
        <v>6</v>
      </c>
      <c r="D1913" s="822" t="s">
        <v>4680</v>
      </c>
      <c r="E1913" s="1017" t="s">
        <v>13514</v>
      </c>
      <c r="F1913" s="1017"/>
      <c r="G1913" s="823" t="s">
        <v>24</v>
      </c>
      <c r="H1913" s="824">
        <v>0.01</v>
      </c>
      <c r="I1913" s="825">
        <v>3.95</v>
      </c>
      <c r="J1913" s="825">
        <v>0.03</v>
      </c>
    </row>
    <row r="1914" spans="1:10" ht="25.5">
      <c r="A1914" s="827"/>
      <c r="B1914" s="827"/>
      <c r="C1914" s="827"/>
      <c r="D1914" s="827"/>
      <c r="E1914" s="827" t="s">
        <v>13503</v>
      </c>
      <c r="F1914" s="826">
        <v>0.22</v>
      </c>
      <c r="G1914" s="827" t="s">
        <v>13504</v>
      </c>
      <c r="H1914" s="826">
        <v>0</v>
      </c>
      <c r="I1914" s="827" t="s">
        <v>13505</v>
      </c>
      <c r="J1914" s="826">
        <v>0.22</v>
      </c>
    </row>
    <row r="1915" spans="1:10" ht="13.5" customHeight="1" thickBot="1">
      <c r="A1915" s="827"/>
      <c r="B1915" s="827"/>
      <c r="C1915" s="827"/>
      <c r="D1915" s="827"/>
      <c r="E1915" s="827" t="s">
        <v>13506</v>
      </c>
      <c r="F1915" s="826">
        <v>3.43</v>
      </c>
      <c r="G1915" s="827"/>
      <c r="H1915" s="1018" t="s">
        <v>13507</v>
      </c>
      <c r="I1915" s="1018"/>
      <c r="J1915" s="826">
        <v>15.59</v>
      </c>
    </row>
    <row r="1916" spans="1:10" ht="13.5" thickTop="1">
      <c r="A1916" s="828"/>
      <c r="B1916" s="828"/>
      <c r="C1916" s="828"/>
      <c r="D1916" s="828"/>
      <c r="E1916" s="828"/>
      <c r="F1916" s="828"/>
      <c r="G1916" s="828"/>
      <c r="H1916" s="828"/>
      <c r="I1916" s="828"/>
      <c r="J1916" s="828"/>
    </row>
    <row r="1917" spans="1:10" ht="15">
      <c r="A1917" s="809" t="s">
        <v>14218</v>
      </c>
      <c r="B1917" s="808" t="s">
        <v>13481</v>
      </c>
      <c r="C1917" s="809" t="s">
        <v>13482</v>
      </c>
      <c r="D1917" s="809" t="s">
        <v>13483</v>
      </c>
      <c r="E1917" s="1019" t="s">
        <v>13484</v>
      </c>
      <c r="F1917" s="1019"/>
      <c r="G1917" s="810" t="s">
        <v>13485</v>
      </c>
      <c r="H1917" s="808" t="s">
        <v>13486</v>
      </c>
      <c r="I1917" s="808" t="s">
        <v>13487</v>
      </c>
      <c r="J1917" s="808" t="s">
        <v>4867</v>
      </c>
    </row>
    <row r="1918" spans="1:10" ht="25.5" customHeight="1">
      <c r="A1918" s="812" t="s">
        <v>13488</v>
      </c>
      <c r="B1918" s="811" t="s">
        <v>14219</v>
      </c>
      <c r="C1918" s="812" t="s">
        <v>6</v>
      </c>
      <c r="D1918" s="812" t="s">
        <v>5252</v>
      </c>
      <c r="E1918" s="1020" t="s">
        <v>14194</v>
      </c>
      <c r="F1918" s="1020"/>
      <c r="G1918" s="813" t="s">
        <v>14</v>
      </c>
      <c r="H1918" s="814">
        <v>1</v>
      </c>
      <c r="I1918" s="815">
        <v>76.209999999999994</v>
      </c>
      <c r="J1918" s="815">
        <v>76.209999999999994</v>
      </c>
    </row>
    <row r="1919" spans="1:10" ht="38.25" customHeight="1">
      <c r="A1919" s="817" t="s">
        <v>13491</v>
      </c>
      <c r="B1919" s="816" t="s">
        <v>13567</v>
      </c>
      <c r="C1919" s="817" t="s">
        <v>6</v>
      </c>
      <c r="D1919" s="817" t="s">
        <v>35</v>
      </c>
      <c r="E1919" s="1021" t="s">
        <v>13490</v>
      </c>
      <c r="F1919" s="1021"/>
      <c r="G1919" s="818" t="s">
        <v>19</v>
      </c>
      <c r="H1919" s="819">
        <v>3.0999999999999999E-3</v>
      </c>
      <c r="I1919" s="820">
        <v>19.53</v>
      </c>
      <c r="J1919" s="820">
        <v>0.06</v>
      </c>
    </row>
    <row r="1920" spans="1:10" ht="38.25">
      <c r="A1920" s="822" t="s">
        <v>13493</v>
      </c>
      <c r="B1920" s="821" t="s">
        <v>14220</v>
      </c>
      <c r="C1920" s="822" t="s">
        <v>6</v>
      </c>
      <c r="D1920" s="822" t="s">
        <v>9121</v>
      </c>
      <c r="E1920" s="1017" t="s">
        <v>13514</v>
      </c>
      <c r="F1920" s="1017"/>
      <c r="G1920" s="823" t="s">
        <v>14</v>
      </c>
      <c r="H1920" s="824">
        <v>1.0401</v>
      </c>
      <c r="I1920" s="825">
        <v>73.22</v>
      </c>
      <c r="J1920" s="825">
        <v>76.150000000000006</v>
      </c>
    </row>
    <row r="1921" spans="1:10" ht="25.5">
      <c r="A1921" s="827"/>
      <c r="B1921" s="827"/>
      <c r="C1921" s="827"/>
      <c r="D1921" s="827"/>
      <c r="E1921" s="827" t="s">
        <v>13503</v>
      </c>
      <c r="F1921" s="826">
        <v>0.04</v>
      </c>
      <c r="G1921" s="827" t="s">
        <v>13504</v>
      </c>
      <c r="H1921" s="826">
        <v>0</v>
      </c>
      <c r="I1921" s="827" t="s">
        <v>13505</v>
      </c>
      <c r="J1921" s="826">
        <v>0.04</v>
      </c>
    </row>
    <row r="1922" spans="1:10" ht="13.5" customHeight="1" thickBot="1">
      <c r="A1922" s="827"/>
      <c r="B1922" s="827"/>
      <c r="C1922" s="827"/>
      <c r="D1922" s="827"/>
      <c r="E1922" s="827" t="s">
        <v>13506</v>
      </c>
      <c r="F1922" s="826">
        <v>21.52</v>
      </c>
      <c r="G1922" s="827"/>
      <c r="H1922" s="1018" t="s">
        <v>13507</v>
      </c>
      <c r="I1922" s="1018"/>
      <c r="J1922" s="826">
        <v>97.73</v>
      </c>
    </row>
    <row r="1923" spans="1:10" ht="13.5" customHeight="1" thickTop="1">
      <c r="A1923" s="828"/>
      <c r="B1923" s="828"/>
      <c r="C1923" s="828"/>
      <c r="D1923" s="828"/>
      <c r="E1923" s="828"/>
      <c r="F1923" s="828"/>
      <c r="G1923" s="828"/>
      <c r="H1923" s="828"/>
      <c r="I1923" s="828"/>
      <c r="J1923" s="828"/>
    </row>
    <row r="1924" spans="1:10" ht="15">
      <c r="A1924" s="809" t="s">
        <v>14221</v>
      </c>
      <c r="B1924" s="808" t="s">
        <v>13481</v>
      </c>
      <c r="C1924" s="809" t="s">
        <v>13482</v>
      </c>
      <c r="D1924" s="809" t="s">
        <v>13483</v>
      </c>
      <c r="E1924" s="1019" t="s">
        <v>13484</v>
      </c>
      <c r="F1924" s="1019"/>
      <c r="G1924" s="810" t="s">
        <v>13485</v>
      </c>
      <c r="H1924" s="808" t="s">
        <v>13486</v>
      </c>
      <c r="I1924" s="808" t="s">
        <v>13487</v>
      </c>
      <c r="J1924" s="808" t="s">
        <v>4867</v>
      </c>
    </row>
    <row r="1925" spans="1:10" ht="25.5" customHeight="1">
      <c r="A1925" s="812" t="s">
        <v>13488</v>
      </c>
      <c r="B1925" s="811" t="s">
        <v>14222</v>
      </c>
      <c r="C1925" s="812" t="s">
        <v>6</v>
      </c>
      <c r="D1925" s="812" t="s">
        <v>422</v>
      </c>
      <c r="E1925" s="1020" t="s">
        <v>14194</v>
      </c>
      <c r="F1925" s="1020"/>
      <c r="G1925" s="813" t="s">
        <v>24</v>
      </c>
      <c r="H1925" s="814">
        <v>1</v>
      </c>
      <c r="I1925" s="815">
        <v>19.920000000000002</v>
      </c>
      <c r="J1925" s="815">
        <v>19.920000000000002</v>
      </c>
    </row>
    <row r="1926" spans="1:10" ht="12.75" customHeight="1">
      <c r="A1926" s="817" t="s">
        <v>13491</v>
      </c>
      <c r="B1926" s="816" t="s">
        <v>14223</v>
      </c>
      <c r="C1926" s="817" t="s">
        <v>6</v>
      </c>
      <c r="D1926" s="817" t="s">
        <v>417</v>
      </c>
      <c r="E1926" s="1021" t="s">
        <v>14194</v>
      </c>
      <c r="F1926" s="1021"/>
      <c r="G1926" s="818" t="s">
        <v>24</v>
      </c>
      <c r="H1926" s="819">
        <v>1</v>
      </c>
      <c r="I1926" s="820">
        <v>6.22</v>
      </c>
      <c r="J1926" s="820">
        <v>6.22</v>
      </c>
    </row>
    <row r="1927" spans="1:10" ht="38.25" customHeight="1">
      <c r="A1927" s="817" t="s">
        <v>13491</v>
      </c>
      <c r="B1927" s="816" t="s">
        <v>14224</v>
      </c>
      <c r="C1927" s="817" t="s">
        <v>6</v>
      </c>
      <c r="D1927" s="817" t="s">
        <v>1874</v>
      </c>
      <c r="E1927" s="1021" t="s">
        <v>14194</v>
      </c>
      <c r="F1927" s="1021"/>
      <c r="G1927" s="818" t="s">
        <v>24</v>
      </c>
      <c r="H1927" s="819">
        <v>1</v>
      </c>
      <c r="I1927" s="820">
        <v>13.7</v>
      </c>
      <c r="J1927" s="820">
        <v>13.7</v>
      </c>
    </row>
    <row r="1928" spans="1:10" ht="25.5">
      <c r="A1928" s="827"/>
      <c r="B1928" s="827"/>
      <c r="C1928" s="827"/>
      <c r="D1928" s="827"/>
      <c r="E1928" s="827" t="s">
        <v>13503</v>
      </c>
      <c r="F1928" s="826">
        <v>7.4</v>
      </c>
      <c r="G1928" s="827" t="s">
        <v>13504</v>
      </c>
      <c r="H1928" s="826">
        <v>0</v>
      </c>
      <c r="I1928" s="827" t="s">
        <v>13505</v>
      </c>
      <c r="J1928" s="826">
        <v>7.4</v>
      </c>
    </row>
    <row r="1929" spans="1:10" ht="13.5" customHeight="1" thickBot="1">
      <c r="A1929" s="827"/>
      <c r="B1929" s="827"/>
      <c r="C1929" s="827"/>
      <c r="D1929" s="827"/>
      <c r="E1929" s="827" t="s">
        <v>13506</v>
      </c>
      <c r="F1929" s="826">
        <v>5.62</v>
      </c>
      <c r="G1929" s="827"/>
      <c r="H1929" s="1018" t="s">
        <v>13507</v>
      </c>
      <c r="I1929" s="1018"/>
      <c r="J1929" s="826">
        <v>25.54</v>
      </c>
    </row>
    <row r="1930" spans="1:10" ht="13.5" thickTop="1">
      <c r="A1930" s="828"/>
      <c r="B1930" s="828"/>
      <c r="C1930" s="828"/>
      <c r="D1930" s="828"/>
      <c r="E1930" s="828"/>
      <c r="F1930" s="828"/>
      <c r="G1930" s="828"/>
      <c r="H1930" s="828"/>
      <c r="I1930" s="828"/>
      <c r="J1930" s="828"/>
    </row>
    <row r="1931" spans="1:10" ht="15">
      <c r="A1931" s="809" t="s">
        <v>14225</v>
      </c>
      <c r="B1931" s="808" t="s">
        <v>13481</v>
      </c>
      <c r="C1931" s="809" t="s">
        <v>13482</v>
      </c>
      <c r="D1931" s="809" t="s">
        <v>13483</v>
      </c>
      <c r="E1931" s="1019" t="s">
        <v>13484</v>
      </c>
      <c r="F1931" s="1019"/>
      <c r="G1931" s="810" t="s">
        <v>13485</v>
      </c>
      <c r="H1931" s="808" t="s">
        <v>13486</v>
      </c>
      <c r="I1931" s="808" t="s">
        <v>13487</v>
      </c>
      <c r="J1931" s="808" t="s">
        <v>4867</v>
      </c>
    </row>
    <row r="1932" spans="1:10" ht="25.5" customHeight="1">
      <c r="A1932" s="812" t="s">
        <v>13488</v>
      </c>
      <c r="B1932" s="811" t="s">
        <v>14226</v>
      </c>
      <c r="C1932" s="812" t="s">
        <v>6</v>
      </c>
      <c r="D1932" s="812" t="s">
        <v>1916</v>
      </c>
      <c r="E1932" s="1020" t="s">
        <v>14194</v>
      </c>
      <c r="F1932" s="1020"/>
      <c r="G1932" s="813" t="s">
        <v>24</v>
      </c>
      <c r="H1932" s="814">
        <v>1</v>
      </c>
      <c r="I1932" s="815">
        <v>35.200000000000003</v>
      </c>
      <c r="J1932" s="815">
        <v>35.200000000000003</v>
      </c>
    </row>
    <row r="1933" spans="1:10" ht="38.25" customHeight="1">
      <c r="A1933" s="817" t="s">
        <v>13491</v>
      </c>
      <c r="B1933" s="816" t="s">
        <v>14223</v>
      </c>
      <c r="C1933" s="817" t="s">
        <v>6</v>
      </c>
      <c r="D1933" s="817" t="s">
        <v>417</v>
      </c>
      <c r="E1933" s="1021" t="s">
        <v>14194</v>
      </c>
      <c r="F1933" s="1021"/>
      <c r="G1933" s="818" t="s">
        <v>24</v>
      </c>
      <c r="H1933" s="819">
        <v>1</v>
      </c>
      <c r="I1933" s="820">
        <v>6.22</v>
      </c>
      <c r="J1933" s="820">
        <v>6.22</v>
      </c>
    </row>
    <row r="1934" spans="1:10" ht="38.25" customHeight="1">
      <c r="A1934" s="817" t="s">
        <v>13491</v>
      </c>
      <c r="B1934" s="816" t="s">
        <v>14227</v>
      </c>
      <c r="C1934" s="817" t="s">
        <v>6</v>
      </c>
      <c r="D1934" s="817" t="s">
        <v>437</v>
      </c>
      <c r="E1934" s="1021" t="s">
        <v>14194</v>
      </c>
      <c r="F1934" s="1021"/>
      <c r="G1934" s="818" t="s">
        <v>24</v>
      </c>
      <c r="H1934" s="819">
        <v>1</v>
      </c>
      <c r="I1934" s="820">
        <v>28.98</v>
      </c>
      <c r="J1934" s="820">
        <v>28.98</v>
      </c>
    </row>
    <row r="1935" spans="1:10" ht="25.5">
      <c r="A1935" s="827"/>
      <c r="B1935" s="827"/>
      <c r="C1935" s="827"/>
      <c r="D1935" s="827"/>
      <c r="E1935" s="827" t="s">
        <v>13503</v>
      </c>
      <c r="F1935" s="826">
        <v>13.54</v>
      </c>
      <c r="G1935" s="827" t="s">
        <v>13504</v>
      </c>
      <c r="H1935" s="826">
        <v>0</v>
      </c>
      <c r="I1935" s="827" t="s">
        <v>13505</v>
      </c>
      <c r="J1935" s="826">
        <v>13.54</v>
      </c>
    </row>
    <row r="1936" spans="1:10" ht="13.5" customHeight="1" thickBot="1">
      <c r="A1936" s="827"/>
      <c r="B1936" s="827"/>
      <c r="C1936" s="827"/>
      <c r="D1936" s="827"/>
      <c r="E1936" s="827" t="s">
        <v>13506</v>
      </c>
      <c r="F1936" s="826">
        <v>9.94</v>
      </c>
      <c r="G1936" s="827"/>
      <c r="H1936" s="1018" t="s">
        <v>13507</v>
      </c>
      <c r="I1936" s="1018"/>
      <c r="J1936" s="826">
        <v>45.14</v>
      </c>
    </row>
    <row r="1937" spans="1:10" ht="13.5" thickTop="1">
      <c r="A1937" s="828"/>
      <c r="B1937" s="828"/>
      <c r="C1937" s="828"/>
      <c r="D1937" s="828"/>
      <c r="E1937" s="828"/>
      <c r="F1937" s="828"/>
      <c r="G1937" s="828"/>
      <c r="H1937" s="828"/>
      <c r="I1937" s="828"/>
      <c r="J1937" s="828"/>
    </row>
    <row r="1938" spans="1:10" ht="15">
      <c r="A1938" s="809" t="s">
        <v>14228</v>
      </c>
      <c r="B1938" s="808" t="s">
        <v>13481</v>
      </c>
      <c r="C1938" s="809" t="s">
        <v>13482</v>
      </c>
      <c r="D1938" s="809" t="s">
        <v>13483</v>
      </c>
      <c r="E1938" s="1019" t="s">
        <v>13484</v>
      </c>
      <c r="F1938" s="1019"/>
      <c r="G1938" s="810" t="s">
        <v>13485</v>
      </c>
      <c r="H1938" s="808" t="s">
        <v>13486</v>
      </c>
      <c r="I1938" s="808" t="s">
        <v>13487</v>
      </c>
      <c r="J1938" s="808" t="s">
        <v>4867</v>
      </c>
    </row>
    <row r="1939" spans="1:10" ht="12.75" customHeight="1">
      <c r="A1939" s="812" t="s">
        <v>13488</v>
      </c>
      <c r="B1939" s="811" t="s">
        <v>14229</v>
      </c>
      <c r="C1939" s="812" t="s">
        <v>6</v>
      </c>
      <c r="D1939" s="812" t="s">
        <v>1893</v>
      </c>
      <c r="E1939" s="1020" t="s">
        <v>14194</v>
      </c>
      <c r="F1939" s="1020"/>
      <c r="G1939" s="813" t="s">
        <v>24</v>
      </c>
      <c r="H1939" s="814">
        <v>1</v>
      </c>
      <c r="I1939" s="815">
        <v>25.49</v>
      </c>
      <c r="J1939" s="815">
        <v>25.49</v>
      </c>
    </row>
    <row r="1940" spans="1:10" ht="38.25" customHeight="1">
      <c r="A1940" s="817" t="s">
        <v>13491</v>
      </c>
      <c r="B1940" s="816" t="s">
        <v>14223</v>
      </c>
      <c r="C1940" s="817" t="s">
        <v>6</v>
      </c>
      <c r="D1940" s="817" t="s">
        <v>417</v>
      </c>
      <c r="E1940" s="1021" t="s">
        <v>14194</v>
      </c>
      <c r="F1940" s="1021"/>
      <c r="G1940" s="818" t="s">
        <v>24</v>
      </c>
      <c r="H1940" s="819">
        <v>1</v>
      </c>
      <c r="I1940" s="820">
        <v>6.22</v>
      </c>
      <c r="J1940" s="820">
        <v>6.22</v>
      </c>
    </row>
    <row r="1941" spans="1:10" ht="38.25" customHeight="1">
      <c r="A1941" s="817" t="s">
        <v>13491</v>
      </c>
      <c r="B1941" s="816" t="s">
        <v>14230</v>
      </c>
      <c r="C1941" s="817" t="s">
        <v>6</v>
      </c>
      <c r="D1941" s="817" t="s">
        <v>434</v>
      </c>
      <c r="E1941" s="1021" t="s">
        <v>14194</v>
      </c>
      <c r="F1941" s="1021"/>
      <c r="G1941" s="818" t="s">
        <v>24</v>
      </c>
      <c r="H1941" s="819">
        <v>1</v>
      </c>
      <c r="I1941" s="820">
        <v>19.27</v>
      </c>
      <c r="J1941" s="820">
        <v>19.27</v>
      </c>
    </row>
    <row r="1942" spans="1:10" ht="25.5">
      <c r="A1942" s="827"/>
      <c r="B1942" s="827"/>
      <c r="C1942" s="827"/>
      <c r="D1942" s="827"/>
      <c r="E1942" s="827" t="s">
        <v>13503</v>
      </c>
      <c r="F1942" s="826">
        <v>9.4600000000000009</v>
      </c>
      <c r="G1942" s="827" t="s">
        <v>13504</v>
      </c>
      <c r="H1942" s="826">
        <v>0</v>
      </c>
      <c r="I1942" s="827" t="s">
        <v>13505</v>
      </c>
      <c r="J1942" s="826">
        <v>9.4600000000000009</v>
      </c>
    </row>
    <row r="1943" spans="1:10" ht="13.5" customHeight="1" thickBot="1">
      <c r="A1943" s="827"/>
      <c r="B1943" s="827"/>
      <c r="C1943" s="827"/>
      <c r="D1943" s="827"/>
      <c r="E1943" s="827" t="s">
        <v>13506</v>
      </c>
      <c r="F1943" s="826">
        <v>7.19</v>
      </c>
      <c r="G1943" s="827"/>
      <c r="H1943" s="1018" t="s">
        <v>13507</v>
      </c>
      <c r="I1943" s="1018"/>
      <c r="J1943" s="826">
        <v>32.68</v>
      </c>
    </row>
    <row r="1944" spans="1:10" ht="13.5" thickTop="1">
      <c r="A1944" s="828"/>
      <c r="B1944" s="828"/>
      <c r="C1944" s="828"/>
      <c r="D1944" s="828"/>
      <c r="E1944" s="828"/>
      <c r="F1944" s="828"/>
      <c r="G1944" s="828"/>
      <c r="H1944" s="828"/>
      <c r="I1944" s="828"/>
      <c r="J1944" s="828"/>
    </row>
    <row r="1945" spans="1:10" ht="15">
      <c r="A1945" s="809" t="s">
        <v>14231</v>
      </c>
      <c r="B1945" s="808" t="s">
        <v>13481</v>
      </c>
      <c r="C1945" s="809" t="s">
        <v>13482</v>
      </c>
      <c r="D1945" s="809" t="s">
        <v>13483</v>
      </c>
      <c r="E1945" s="1019" t="s">
        <v>13484</v>
      </c>
      <c r="F1945" s="1019"/>
      <c r="G1945" s="810" t="s">
        <v>13485</v>
      </c>
      <c r="H1945" s="808" t="s">
        <v>13486</v>
      </c>
      <c r="I1945" s="808" t="s">
        <v>13487</v>
      </c>
      <c r="J1945" s="808" t="s">
        <v>4867</v>
      </c>
    </row>
    <row r="1946" spans="1:10" ht="25.5" customHeight="1">
      <c r="A1946" s="812" t="s">
        <v>13488</v>
      </c>
      <c r="B1946" s="811" t="s">
        <v>14232</v>
      </c>
      <c r="C1946" s="812" t="s">
        <v>6</v>
      </c>
      <c r="D1946" s="812" t="s">
        <v>1890</v>
      </c>
      <c r="E1946" s="1020" t="s">
        <v>14194</v>
      </c>
      <c r="F1946" s="1020"/>
      <c r="G1946" s="813" t="s">
        <v>24</v>
      </c>
      <c r="H1946" s="814">
        <v>1</v>
      </c>
      <c r="I1946" s="815">
        <v>30.14</v>
      </c>
      <c r="J1946" s="815">
        <v>30.14</v>
      </c>
    </row>
    <row r="1947" spans="1:10" ht="38.25" customHeight="1">
      <c r="A1947" s="817" t="s">
        <v>13491</v>
      </c>
      <c r="B1947" s="816" t="s">
        <v>14223</v>
      </c>
      <c r="C1947" s="817" t="s">
        <v>6</v>
      </c>
      <c r="D1947" s="817" t="s">
        <v>417</v>
      </c>
      <c r="E1947" s="1021" t="s">
        <v>14194</v>
      </c>
      <c r="F1947" s="1021"/>
      <c r="G1947" s="818" t="s">
        <v>24</v>
      </c>
      <c r="H1947" s="819">
        <v>1</v>
      </c>
      <c r="I1947" s="820">
        <v>6.22</v>
      </c>
      <c r="J1947" s="820">
        <v>6.22</v>
      </c>
    </row>
    <row r="1948" spans="1:10" ht="38.25" customHeight="1">
      <c r="A1948" s="817" t="s">
        <v>13491</v>
      </c>
      <c r="B1948" s="816" t="s">
        <v>14233</v>
      </c>
      <c r="C1948" s="817" t="s">
        <v>6</v>
      </c>
      <c r="D1948" s="817" t="s">
        <v>38</v>
      </c>
      <c r="E1948" s="1021" t="s">
        <v>14194</v>
      </c>
      <c r="F1948" s="1021"/>
      <c r="G1948" s="818" t="s">
        <v>24</v>
      </c>
      <c r="H1948" s="819">
        <v>1</v>
      </c>
      <c r="I1948" s="820">
        <v>23.92</v>
      </c>
      <c r="J1948" s="820">
        <v>23.92</v>
      </c>
    </row>
    <row r="1949" spans="1:10" ht="13.5" customHeight="1">
      <c r="A1949" s="827"/>
      <c r="B1949" s="827"/>
      <c r="C1949" s="827"/>
      <c r="D1949" s="827"/>
      <c r="E1949" s="827" t="s">
        <v>13503</v>
      </c>
      <c r="F1949" s="826">
        <v>14.14</v>
      </c>
      <c r="G1949" s="827" t="s">
        <v>13504</v>
      </c>
      <c r="H1949" s="826">
        <v>0</v>
      </c>
      <c r="I1949" s="827" t="s">
        <v>13505</v>
      </c>
      <c r="J1949" s="826">
        <v>14.14</v>
      </c>
    </row>
    <row r="1950" spans="1:10" ht="13.5" customHeight="1" thickBot="1">
      <c r="A1950" s="827"/>
      <c r="B1950" s="827"/>
      <c r="C1950" s="827"/>
      <c r="D1950" s="827"/>
      <c r="E1950" s="827" t="s">
        <v>13506</v>
      </c>
      <c r="F1950" s="826">
        <v>8.51</v>
      </c>
      <c r="G1950" s="827"/>
      <c r="H1950" s="1018" t="s">
        <v>13507</v>
      </c>
      <c r="I1950" s="1018"/>
      <c r="J1950" s="826">
        <v>38.65</v>
      </c>
    </row>
    <row r="1951" spans="1:10" ht="13.5" thickTop="1">
      <c r="A1951" s="828"/>
      <c r="B1951" s="828"/>
      <c r="C1951" s="828"/>
      <c r="D1951" s="828"/>
      <c r="E1951" s="828"/>
      <c r="F1951" s="828"/>
      <c r="G1951" s="828"/>
      <c r="H1951" s="828"/>
      <c r="I1951" s="828"/>
      <c r="J1951" s="828"/>
    </row>
    <row r="1952" spans="1:10" ht="25.5" customHeight="1">
      <c r="A1952" s="809" t="s">
        <v>14234</v>
      </c>
      <c r="B1952" s="808" t="s">
        <v>13481</v>
      </c>
      <c r="C1952" s="809" t="s">
        <v>13482</v>
      </c>
      <c r="D1952" s="809" t="s">
        <v>13483</v>
      </c>
      <c r="E1952" s="1019" t="s">
        <v>13484</v>
      </c>
      <c r="F1952" s="1019"/>
      <c r="G1952" s="810" t="s">
        <v>13485</v>
      </c>
      <c r="H1952" s="808" t="s">
        <v>13486</v>
      </c>
      <c r="I1952" s="808" t="s">
        <v>13487</v>
      </c>
      <c r="J1952" s="808" t="s">
        <v>4867</v>
      </c>
    </row>
    <row r="1953" spans="1:10" ht="25.5" customHeight="1">
      <c r="A1953" s="812" t="s">
        <v>13488</v>
      </c>
      <c r="B1953" s="811" t="s">
        <v>14235</v>
      </c>
      <c r="C1953" s="812" t="s">
        <v>6</v>
      </c>
      <c r="D1953" s="812" t="s">
        <v>1892</v>
      </c>
      <c r="E1953" s="1020" t="s">
        <v>14194</v>
      </c>
      <c r="F1953" s="1020"/>
      <c r="G1953" s="813" t="s">
        <v>24</v>
      </c>
      <c r="H1953" s="814">
        <v>1</v>
      </c>
      <c r="I1953" s="815">
        <v>23.61</v>
      </c>
      <c r="J1953" s="815">
        <v>23.61</v>
      </c>
    </row>
    <row r="1954" spans="1:10" ht="38.25" customHeight="1">
      <c r="A1954" s="817" t="s">
        <v>13491</v>
      </c>
      <c r="B1954" s="816" t="s">
        <v>14223</v>
      </c>
      <c r="C1954" s="817" t="s">
        <v>6</v>
      </c>
      <c r="D1954" s="817" t="s">
        <v>417</v>
      </c>
      <c r="E1954" s="1021" t="s">
        <v>14194</v>
      </c>
      <c r="F1954" s="1021"/>
      <c r="G1954" s="818" t="s">
        <v>24</v>
      </c>
      <c r="H1954" s="819">
        <v>1</v>
      </c>
      <c r="I1954" s="820">
        <v>6.22</v>
      </c>
      <c r="J1954" s="820">
        <v>6.22</v>
      </c>
    </row>
    <row r="1955" spans="1:10" ht="25.5" customHeight="1">
      <c r="A1955" s="817" t="s">
        <v>13491</v>
      </c>
      <c r="B1955" s="816" t="s">
        <v>14236</v>
      </c>
      <c r="C1955" s="817" t="s">
        <v>6</v>
      </c>
      <c r="D1955" s="817" t="s">
        <v>433</v>
      </c>
      <c r="E1955" s="1021" t="s">
        <v>14194</v>
      </c>
      <c r="F1955" s="1021"/>
      <c r="G1955" s="818" t="s">
        <v>24</v>
      </c>
      <c r="H1955" s="819">
        <v>1</v>
      </c>
      <c r="I1955" s="820">
        <v>17.39</v>
      </c>
      <c r="J1955" s="820">
        <v>17.39</v>
      </c>
    </row>
    <row r="1956" spans="1:10" ht="25.5" customHeight="1">
      <c r="A1956" s="827"/>
      <c r="B1956" s="827"/>
      <c r="C1956" s="827"/>
      <c r="D1956" s="827"/>
      <c r="E1956" s="827" t="s">
        <v>13503</v>
      </c>
      <c r="F1956" s="826">
        <v>9.4600000000000009</v>
      </c>
      <c r="G1956" s="827" t="s">
        <v>13504</v>
      </c>
      <c r="H1956" s="826">
        <v>0</v>
      </c>
      <c r="I1956" s="827" t="s">
        <v>13505</v>
      </c>
      <c r="J1956" s="826">
        <v>9.4600000000000009</v>
      </c>
    </row>
    <row r="1957" spans="1:10" ht="13.5" customHeight="1" thickBot="1">
      <c r="A1957" s="827"/>
      <c r="B1957" s="827"/>
      <c r="C1957" s="827"/>
      <c r="D1957" s="827"/>
      <c r="E1957" s="827" t="s">
        <v>13506</v>
      </c>
      <c r="F1957" s="826">
        <v>6.66</v>
      </c>
      <c r="G1957" s="827"/>
      <c r="H1957" s="1018" t="s">
        <v>13507</v>
      </c>
      <c r="I1957" s="1018"/>
      <c r="J1957" s="826">
        <v>30.27</v>
      </c>
    </row>
    <row r="1958" spans="1:10" ht="13.5" thickTop="1">
      <c r="A1958" s="828"/>
      <c r="B1958" s="828"/>
      <c r="C1958" s="828"/>
      <c r="D1958" s="828"/>
      <c r="E1958" s="828"/>
      <c r="F1958" s="828"/>
      <c r="G1958" s="828"/>
      <c r="H1958" s="828"/>
      <c r="I1958" s="828"/>
      <c r="J1958" s="828"/>
    </row>
    <row r="1959" spans="1:10" ht="13.5" customHeight="1">
      <c r="A1959" s="809" t="s">
        <v>14237</v>
      </c>
      <c r="B1959" s="808" t="s">
        <v>13481</v>
      </c>
      <c r="C1959" s="809" t="s">
        <v>13482</v>
      </c>
      <c r="D1959" s="809" t="s">
        <v>13483</v>
      </c>
      <c r="E1959" s="1019" t="s">
        <v>13484</v>
      </c>
      <c r="F1959" s="1019"/>
      <c r="G1959" s="810" t="s">
        <v>13485</v>
      </c>
      <c r="H1959" s="808" t="s">
        <v>13486</v>
      </c>
      <c r="I1959" s="808" t="s">
        <v>13487</v>
      </c>
      <c r="J1959" s="808" t="s">
        <v>4867</v>
      </c>
    </row>
    <row r="1960" spans="1:10" ht="25.5" customHeight="1">
      <c r="A1960" s="812" t="s">
        <v>13488</v>
      </c>
      <c r="B1960" s="811" t="s">
        <v>14238</v>
      </c>
      <c r="C1960" s="812" t="s">
        <v>6</v>
      </c>
      <c r="D1960" s="812" t="s">
        <v>1898</v>
      </c>
      <c r="E1960" s="1020" t="s">
        <v>14194</v>
      </c>
      <c r="F1960" s="1020"/>
      <c r="G1960" s="813" t="s">
        <v>24</v>
      </c>
      <c r="H1960" s="814">
        <v>1</v>
      </c>
      <c r="I1960" s="815">
        <v>38.9</v>
      </c>
      <c r="J1960" s="815">
        <v>38.9</v>
      </c>
    </row>
    <row r="1961" spans="1:10" ht="38.25" customHeight="1">
      <c r="A1961" s="817" t="s">
        <v>13491</v>
      </c>
      <c r="B1961" s="816" t="s">
        <v>14223</v>
      </c>
      <c r="C1961" s="817" t="s">
        <v>6</v>
      </c>
      <c r="D1961" s="817" t="s">
        <v>417</v>
      </c>
      <c r="E1961" s="1021" t="s">
        <v>14194</v>
      </c>
      <c r="F1961" s="1021"/>
      <c r="G1961" s="818" t="s">
        <v>24</v>
      </c>
      <c r="H1961" s="819">
        <v>1</v>
      </c>
      <c r="I1961" s="820">
        <v>6.22</v>
      </c>
      <c r="J1961" s="820">
        <v>6.22</v>
      </c>
    </row>
    <row r="1962" spans="1:10" ht="25.5" customHeight="1">
      <c r="A1962" s="817" t="s">
        <v>13491</v>
      </c>
      <c r="B1962" s="816" t="s">
        <v>14239</v>
      </c>
      <c r="C1962" s="817" t="s">
        <v>6</v>
      </c>
      <c r="D1962" s="817" t="s">
        <v>1896</v>
      </c>
      <c r="E1962" s="1021" t="s">
        <v>14194</v>
      </c>
      <c r="F1962" s="1021"/>
      <c r="G1962" s="818" t="s">
        <v>24</v>
      </c>
      <c r="H1962" s="819">
        <v>1</v>
      </c>
      <c r="I1962" s="820">
        <v>32.68</v>
      </c>
      <c r="J1962" s="820">
        <v>32.68</v>
      </c>
    </row>
    <row r="1963" spans="1:10" ht="25.5" customHeight="1">
      <c r="A1963" s="827"/>
      <c r="B1963" s="827"/>
      <c r="C1963" s="827"/>
      <c r="D1963" s="827"/>
      <c r="E1963" s="827" t="s">
        <v>13503</v>
      </c>
      <c r="F1963" s="826">
        <v>15.6</v>
      </c>
      <c r="G1963" s="827" t="s">
        <v>13504</v>
      </c>
      <c r="H1963" s="826">
        <v>0</v>
      </c>
      <c r="I1963" s="827" t="s">
        <v>13505</v>
      </c>
      <c r="J1963" s="826">
        <v>15.6</v>
      </c>
    </row>
    <row r="1964" spans="1:10" ht="25.5" customHeight="1" thickBot="1">
      <c r="A1964" s="827"/>
      <c r="B1964" s="827"/>
      <c r="C1964" s="827"/>
      <c r="D1964" s="827"/>
      <c r="E1964" s="827" t="s">
        <v>13506</v>
      </c>
      <c r="F1964" s="826">
        <v>10.98</v>
      </c>
      <c r="G1964" s="827"/>
      <c r="H1964" s="1018" t="s">
        <v>13507</v>
      </c>
      <c r="I1964" s="1018"/>
      <c r="J1964" s="826">
        <v>49.88</v>
      </c>
    </row>
    <row r="1965" spans="1:10" ht="13.5" thickTop="1">
      <c r="A1965" s="828"/>
      <c r="B1965" s="828"/>
      <c r="C1965" s="828"/>
      <c r="D1965" s="828"/>
      <c r="E1965" s="828"/>
      <c r="F1965" s="828"/>
      <c r="G1965" s="828"/>
      <c r="H1965" s="828"/>
      <c r="I1965" s="828"/>
      <c r="J1965" s="828"/>
    </row>
    <row r="1966" spans="1:10" ht="15">
      <c r="A1966" s="809" t="s">
        <v>14240</v>
      </c>
      <c r="B1966" s="808" t="s">
        <v>13481</v>
      </c>
      <c r="C1966" s="809" t="s">
        <v>13482</v>
      </c>
      <c r="D1966" s="809" t="s">
        <v>13483</v>
      </c>
      <c r="E1966" s="1019" t="s">
        <v>13484</v>
      </c>
      <c r="F1966" s="1019"/>
      <c r="G1966" s="810" t="s">
        <v>13485</v>
      </c>
      <c r="H1966" s="808" t="s">
        <v>13486</v>
      </c>
      <c r="I1966" s="808" t="s">
        <v>13487</v>
      </c>
      <c r="J1966" s="808" t="s">
        <v>4867</v>
      </c>
    </row>
    <row r="1967" spans="1:10" ht="13.5" customHeight="1">
      <c r="A1967" s="812" t="s">
        <v>13488</v>
      </c>
      <c r="B1967" s="811" t="s">
        <v>14241</v>
      </c>
      <c r="C1967" s="812" t="s">
        <v>6</v>
      </c>
      <c r="D1967" s="812" t="s">
        <v>1902</v>
      </c>
      <c r="E1967" s="1020" t="s">
        <v>14194</v>
      </c>
      <c r="F1967" s="1020"/>
      <c r="G1967" s="813" t="s">
        <v>24</v>
      </c>
      <c r="H1967" s="814">
        <v>1</v>
      </c>
      <c r="I1967" s="815">
        <v>33.83</v>
      </c>
      <c r="J1967" s="815">
        <v>33.83</v>
      </c>
    </row>
    <row r="1968" spans="1:10" ht="38.25" customHeight="1">
      <c r="A1968" s="817" t="s">
        <v>13491</v>
      </c>
      <c r="B1968" s="816" t="s">
        <v>14223</v>
      </c>
      <c r="C1968" s="817" t="s">
        <v>6</v>
      </c>
      <c r="D1968" s="817" t="s">
        <v>417</v>
      </c>
      <c r="E1968" s="1021" t="s">
        <v>14194</v>
      </c>
      <c r="F1968" s="1021"/>
      <c r="G1968" s="818" t="s">
        <v>24</v>
      </c>
      <c r="H1968" s="819">
        <v>1</v>
      </c>
      <c r="I1968" s="820">
        <v>6.22</v>
      </c>
      <c r="J1968" s="820">
        <v>6.22</v>
      </c>
    </row>
    <row r="1969" spans="1:10" ht="38.25" customHeight="1">
      <c r="A1969" s="817" t="s">
        <v>13491</v>
      </c>
      <c r="B1969" s="816" t="s">
        <v>14242</v>
      </c>
      <c r="C1969" s="817" t="s">
        <v>6</v>
      </c>
      <c r="D1969" s="817" t="s">
        <v>1900</v>
      </c>
      <c r="E1969" s="1021" t="s">
        <v>14194</v>
      </c>
      <c r="F1969" s="1021"/>
      <c r="G1969" s="818" t="s">
        <v>24</v>
      </c>
      <c r="H1969" s="819">
        <v>1</v>
      </c>
      <c r="I1969" s="820">
        <v>27.61</v>
      </c>
      <c r="J1969" s="820">
        <v>27.61</v>
      </c>
    </row>
    <row r="1970" spans="1:10" ht="25.5" customHeight="1">
      <c r="A1970" s="827"/>
      <c r="B1970" s="827"/>
      <c r="C1970" s="827"/>
      <c r="D1970" s="827"/>
      <c r="E1970" s="827" t="s">
        <v>13503</v>
      </c>
      <c r="F1970" s="826">
        <v>11.98</v>
      </c>
      <c r="G1970" s="827" t="s">
        <v>13504</v>
      </c>
      <c r="H1970" s="826">
        <v>0</v>
      </c>
      <c r="I1970" s="827" t="s">
        <v>13505</v>
      </c>
      <c r="J1970" s="826">
        <v>11.98</v>
      </c>
    </row>
    <row r="1971" spans="1:10" ht="13.5" customHeight="1" thickBot="1">
      <c r="A1971" s="827"/>
      <c r="B1971" s="827"/>
      <c r="C1971" s="827"/>
      <c r="D1971" s="827"/>
      <c r="E1971" s="827" t="s">
        <v>13506</v>
      </c>
      <c r="F1971" s="826">
        <v>9.5500000000000007</v>
      </c>
      <c r="G1971" s="827"/>
      <c r="H1971" s="1018" t="s">
        <v>13507</v>
      </c>
      <c r="I1971" s="1018"/>
      <c r="J1971" s="826">
        <v>43.38</v>
      </c>
    </row>
    <row r="1972" spans="1:10" ht="13.5" thickTop="1">
      <c r="A1972" s="828"/>
      <c r="B1972" s="828"/>
      <c r="C1972" s="828"/>
      <c r="D1972" s="828"/>
      <c r="E1972" s="828"/>
      <c r="F1972" s="828"/>
      <c r="G1972" s="828"/>
      <c r="H1972" s="828"/>
      <c r="I1972" s="828"/>
      <c r="J1972" s="828"/>
    </row>
    <row r="1973" spans="1:10" ht="15">
      <c r="A1973" s="809" t="s">
        <v>14243</v>
      </c>
      <c r="B1973" s="808" t="s">
        <v>13481</v>
      </c>
      <c r="C1973" s="809" t="s">
        <v>13482</v>
      </c>
      <c r="D1973" s="809" t="s">
        <v>13483</v>
      </c>
      <c r="E1973" s="1019" t="s">
        <v>13484</v>
      </c>
      <c r="F1973" s="1019"/>
      <c r="G1973" s="810" t="s">
        <v>13485</v>
      </c>
      <c r="H1973" s="808" t="s">
        <v>13486</v>
      </c>
      <c r="I1973" s="808" t="s">
        <v>13487</v>
      </c>
      <c r="J1973" s="808" t="s">
        <v>4867</v>
      </c>
    </row>
    <row r="1974" spans="1:10" ht="25.5" customHeight="1">
      <c r="A1974" s="812" t="s">
        <v>13488</v>
      </c>
      <c r="B1974" s="811" t="s">
        <v>14244</v>
      </c>
      <c r="C1974" s="812" t="s">
        <v>6</v>
      </c>
      <c r="D1974" s="812" t="s">
        <v>1891</v>
      </c>
      <c r="E1974" s="1020" t="s">
        <v>14194</v>
      </c>
      <c r="F1974" s="1020"/>
      <c r="G1974" s="813" t="s">
        <v>24</v>
      </c>
      <c r="H1974" s="814">
        <v>1</v>
      </c>
      <c r="I1974" s="815">
        <v>32.020000000000003</v>
      </c>
      <c r="J1974" s="815">
        <v>32.020000000000003</v>
      </c>
    </row>
    <row r="1975" spans="1:10" ht="38.25" customHeight="1">
      <c r="A1975" s="817" t="s">
        <v>13491</v>
      </c>
      <c r="B1975" s="816" t="s">
        <v>14223</v>
      </c>
      <c r="C1975" s="817" t="s">
        <v>6</v>
      </c>
      <c r="D1975" s="817" t="s">
        <v>417</v>
      </c>
      <c r="E1975" s="1021" t="s">
        <v>14194</v>
      </c>
      <c r="F1975" s="1021"/>
      <c r="G1975" s="818" t="s">
        <v>24</v>
      </c>
      <c r="H1975" s="819">
        <v>1</v>
      </c>
      <c r="I1975" s="820">
        <v>6.22</v>
      </c>
      <c r="J1975" s="820">
        <v>6.22</v>
      </c>
    </row>
    <row r="1976" spans="1:10" ht="38.25" customHeight="1">
      <c r="A1976" s="817" t="s">
        <v>13491</v>
      </c>
      <c r="B1976" s="816" t="s">
        <v>14245</v>
      </c>
      <c r="C1976" s="817" t="s">
        <v>6</v>
      </c>
      <c r="D1976" s="817" t="s">
        <v>432</v>
      </c>
      <c r="E1976" s="1021" t="s">
        <v>14194</v>
      </c>
      <c r="F1976" s="1021"/>
      <c r="G1976" s="818" t="s">
        <v>24</v>
      </c>
      <c r="H1976" s="819">
        <v>1</v>
      </c>
      <c r="I1976" s="820">
        <v>25.8</v>
      </c>
      <c r="J1976" s="820">
        <v>25.8</v>
      </c>
    </row>
    <row r="1977" spans="1:10" ht="25.5">
      <c r="A1977" s="827"/>
      <c r="B1977" s="827"/>
      <c r="C1977" s="827"/>
      <c r="D1977" s="827"/>
      <c r="E1977" s="827" t="s">
        <v>13503</v>
      </c>
      <c r="F1977" s="826">
        <v>14.14</v>
      </c>
      <c r="G1977" s="827" t="s">
        <v>13504</v>
      </c>
      <c r="H1977" s="826">
        <v>0</v>
      </c>
      <c r="I1977" s="827" t="s">
        <v>13505</v>
      </c>
      <c r="J1977" s="826">
        <v>14.14</v>
      </c>
    </row>
    <row r="1978" spans="1:10" ht="13.5" customHeight="1" thickBot="1">
      <c r="A1978" s="827"/>
      <c r="B1978" s="827"/>
      <c r="C1978" s="827"/>
      <c r="D1978" s="827"/>
      <c r="E1978" s="827" t="s">
        <v>13506</v>
      </c>
      <c r="F1978" s="826">
        <v>9.0399999999999991</v>
      </c>
      <c r="G1978" s="827"/>
      <c r="H1978" s="1018" t="s">
        <v>13507</v>
      </c>
      <c r="I1978" s="1018"/>
      <c r="J1978" s="826">
        <v>41.06</v>
      </c>
    </row>
    <row r="1979" spans="1:10" ht="13.5" thickTop="1">
      <c r="A1979" s="828"/>
      <c r="B1979" s="828"/>
      <c r="C1979" s="828"/>
      <c r="D1979" s="828"/>
      <c r="E1979" s="828"/>
      <c r="F1979" s="828"/>
      <c r="G1979" s="828"/>
      <c r="H1979" s="828"/>
      <c r="I1979" s="828"/>
      <c r="J1979" s="828"/>
    </row>
    <row r="1980" spans="1:10" ht="15">
      <c r="A1980" s="809" t="s">
        <v>14246</v>
      </c>
      <c r="B1980" s="808" t="s">
        <v>13481</v>
      </c>
      <c r="C1980" s="809" t="s">
        <v>13482</v>
      </c>
      <c r="D1980" s="809" t="s">
        <v>13483</v>
      </c>
      <c r="E1980" s="1019" t="s">
        <v>13484</v>
      </c>
      <c r="F1980" s="1019"/>
      <c r="G1980" s="810" t="s">
        <v>13485</v>
      </c>
      <c r="H1980" s="808" t="s">
        <v>13486</v>
      </c>
      <c r="I1980" s="808" t="s">
        <v>13487</v>
      </c>
      <c r="J1980" s="808" t="s">
        <v>4867</v>
      </c>
    </row>
    <row r="1981" spans="1:10" ht="25.5" customHeight="1">
      <c r="A1981" s="812" t="s">
        <v>13488</v>
      </c>
      <c r="B1981" s="811" t="s">
        <v>14247</v>
      </c>
      <c r="C1981" s="812" t="s">
        <v>6</v>
      </c>
      <c r="D1981" s="812" t="s">
        <v>1894</v>
      </c>
      <c r="E1981" s="1020" t="s">
        <v>14194</v>
      </c>
      <c r="F1981" s="1020"/>
      <c r="G1981" s="813" t="s">
        <v>24</v>
      </c>
      <c r="H1981" s="814">
        <v>1</v>
      </c>
      <c r="I1981" s="815">
        <v>21.07</v>
      </c>
      <c r="J1981" s="815">
        <v>21.07</v>
      </c>
    </row>
    <row r="1982" spans="1:10" ht="38.25" customHeight="1">
      <c r="A1982" s="817" t="s">
        <v>13491</v>
      </c>
      <c r="B1982" s="816" t="s">
        <v>14223</v>
      </c>
      <c r="C1982" s="817" t="s">
        <v>6</v>
      </c>
      <c r="D1982" s="817" t="s">
        <v>417</v>
      </c>
      <c r="E1982" s="1021" t="s">
        <v>14194</v>
      </c>
      <c r="F1982" s="1021"/>
      <c r="G1982" s="818" t="s">
        <v>24</v>
      </c>
      <c r="H1982" s="819">
        <v>1</v>
      </c>
      <c r="I1982" s="820">
        <v>6.22</v>
      </c>
      <c r="J1982" s="820">
        <v>6.22</v>
      </c>
    </row>
    <row r="1983" spans="1:10" ht="38.25" customHeight="1">
      <c r="A1983" s="817" t="s">
        <v>13491</v>
      </c>
      <c r="B1983" s="816" t="s">
        <v>14248</v>
      </c>
      <c r="C1983" s="817" t="s">
        <v>6</v>
      </c>
      <c r="D1983" s="817" t="s">
        <v>435</v>
      </c>
      <c r="E1983" s="1021" t="s">
        <v>14194</v>
      </c>
      <c r="F1983" s="1021"/>
      <c r="G1983" s="818" t="s">
        <v>24</v>
      </c>
      <c r="H1983" s="819">
        <v>1</v>
      </c>
      <c r="I1983" s="820">
        <v>14.85</v>
      </c>
      <c r="J1983" s="820">
        <v>14.85</v>
      </c>
    </row>
    <row r="1984" spans="1:10" ht="25.5" customHeight="1">
      <c r="A1984" s="827"/>
      <c r="B1984" s="827"/>
      <c r="C1984" s="827"/>
      <c r="D1984" s="827"/>
      <c r="E1984" s="827" t="s">
        <v>13503</v>
      </c>
      <c r="F1984" s="826">
        <v>7.65</v>
      </c>
      <c r="G1984" s="827" t="s">
        <v>13504</v>
      </c>
      <c r="H1984" s="826">
        <v>0</v>
      </c>
      <c r="I1984" s="827" t="s">
        <v>13505</v>
      </c>
      <c r="J1984" s="826">
        <v>7.65</v>
      </c>
    </row>
    <row r="1985" spans="1:10" ht="25.5" customHeight="1" thickBot="1">
      <c r="A1985" s="827"/>
      <c r="B1985" s="827"/>
      <c r="C1985" s="827"/>
      <c r="D1985" s="827"/>
      <c r="E1985" s="827" t="s">
        <v>13506</v>
      </c>
      <c r="F1985" s="826">
        <v>5.95</v>
      </c>
      <c r="G1985" s="827"/>
      <c r="H1985" s="1018" t="s">
        <v>13507</v>
      </c>
      <c r="I1985" s="1018"/>
      <c r="J1985" s="826">
        <v>27.02</v>
      </c>
    </row>
    <row r="1986" spans="1:10" ht="13.5" thickTop="1">
      <c r="A1986" s="828"/>
      <c r="B1986" s="828"/>
      <c r="C1986" s="828"/>
      <c r="D1986" s="828"/>
      <c r="E1986" s="828"/>
      <c r="F1986" s="828"/>
      <c r="G1986" s="828"/>
      <c r="H1986" s="828"/>
      <c r="I1986" s="828"/>
      <c r="J1986" s="828"/>
    </row>
    <row r="1987" spans="1:10" ht="15">
      <c r="A1987" s="809" t="s">
        <v>14249</v>
      </c>
      <c r="B1987" s="808" t="s">
        <v>13481</v>
      </c>
      <c r="C1987" s="809" t="s">
        <v>13482</v>
      </c>
      <c r="D1987" s="809" t="s">
        <v>13483</v>
      </c>
      <c r="E1987" s="1019" t="s">
        <v>13484</v>
      </c>
      <c r="F1987" s="1019"/>
      <c r="G1987" s="810" t="s">
        <v>13485</v>
      </c>
      <c r="H1987" s="808" t="s">
        <v>13486</v>
      </c>
      <c r="I1987" s="808" t="s">
        <v>13487</v>
      </c>
      <c r="J1987" s="808" t="s">
        <v>4867</v>
      </c>
    </row>
    <row r="1988" spans="1:10" ht="25.5" customHeight="1">
      <c r="A1988" s="812" t="s">
        <v>13488</v>
      </c>
      <c r="B1988" s="811" t="s">
        <v>14250</v>
      </c>
      <c r="C1988" s="812" t="s">
        <v>6</v>
      </c>
      <c r="D1988" s="812" t="s">
        <v>1870</v>
      </c>
      <c r="E1988" s="1020" t="s">
        <v>14194</v>
      </c>
      <c r="F1988" s="1020"/>
      <c r="G1988" s="813" t="s">
        <v>24</v>
      </c>
      <c r="H1988" s="814">
        <v>1</v>
      </c>
      <c r="I1988" s="815">
        <v>7.77</v>
      </c>
      <c r="J1988" s="815">
        <v>7.77</v>
      </c>
    </row>
    <row r="1989" spans="1:10" ht="38.25" customHeight="1">
      <c r="A1989" s="817" t="s">
        <v>13491</v>
      </c>
      <c r="B1989" s="816" t="s">
        <v>14251</v>
      </c>
      <c r="C1989" s="817" t="s">
        <v>6</v>
      </c>
      <c r="D1989" s="817" t="s">
        <v>3942</v>
      </c>
      <c r="E1989" s="1021" t="s">
        <v>13490</v>
      </c>
      <c r="F1989" s="1021"/>
      <c r="G1989" s="818" t="s">
        <v>13543</v>
      </c>
      <c r="H1989" s="819">
        <v>8.9999999999999998E-4</v>
      </c>
      <c r="I1989" s="820">
        <v>566.99</v>
      </c>
      <c r="J1989" s="820">
        <v>0.51</v>
      </c>
    </row>
    <row r="1990" spans="1:10" ht="38.25" customHeight="1">
      <c r="A1990" s="817" t="s">
        <v>13491</v>
      </c>
      <c r="B1990" s="816" t="s">
        <v>13567</v>
      </c>
      <c r="C1990" s="817" t="s">
        <v>6</v>
      </c>
      <c r="D1990" s="817" t="s">
        <v>35</v>
      </c>
      <c r="E1990" s="1021" t="s">
        <v>13490</v>
      </c>
      <c r="F1990" s="1021"/>
      <c r="G1990" s="818" t="s">
        <v>19</v>
      </c>
      <c r="H1990" s="819">
        <v>0.14499999999999999</v>
      </c>
      <c r="I1990" s="820">
        <v>19.53</v>
      </c>
      <c r="J1990" s="820">
        <v>2.83</v>
      </c>
    </row>
    <row r="1991" spans="1:10" ht="13.5" customHeight="1">
      <c r="A1991" s="817" t="s">
        <v>13491</v>
      </c>
      <c r="B1991" s="816" t="s">
        <v>14121</v>
      </c>
      <c r="C1991" s="817" t="s">
        <v>6</v>
      </c>
      <c r="D1991" s="817" t="s">
        <v>37</v>
      </c>
      <c r="E1991" s="1021" t="s">
        <v>13490</v>
      </c>
      <c r="F1991" s="1021"/>
      <c r="G1991" s="818" t="s">
        <v>19</v>
      </c>
      <c r="H1991" s="819">
        <v>0.14499999999999999</v>
      </c>
      <c r="I1991" s="820">
        <v>15.19</v>
      </c>
      <c r="J1991" s="820">
        <v>2.2000000000000002</v>
      </c>
    </row>
    <row r="1992" spans="1:10" ht="25.5">
      <c r="A1992" s="822" t="s">
        <v>13493</v>
      </c>
      <c r="B1992" s="821" t="s">
        <v>14252</v>
      </c>
      <c r="C1992" s="822" t="s">
        <v>6</v>
      </c>
      <c r="D1992" s="822" t="s">
        <v>4611</v>
      </c>
      <c r="E1992" s="1017" t="s">
        <v>13514</v>
      </c>
      <c r="F1992" s="1017"/>
      <c r="G1992" s="823" t="s">
        <v>24</v>
      </c>
      <c r="H1992" s="824">
        <v>1</v>
      </c>
      <c r="I1992" s="825">
        <v>2.23</v>
      </c>
      <c r="J1992" s="825">
        <v>2.23</v>
      </c>
    </row>
    <row r="1993" spans="1:10" ht="25.5">
      <c r="A1993" s="827"/>
      <c r="B1993" s="827"/>
      <c r="C1993" s="827"/>
      <c r="D1993" s="827"/>
      <c r="E1993" s="827" t="s">
        <v>13503</v>
      </c>
      <c r="F1993" s="826">
        <v>3.67</v>
      </c>
      <c r="G1993" s="827" t="s">
        <v>13504</v>
      </c>
      <c r="H1993" s="826">
        <v>0</v>
      </c>
      <c r="I1993" s="827" t="s">
        <v>13505</v>
      </c>
      <c r="J1993" s="826">
        <v>3.67</v>
      </c>
    </row>
    <row r="1994" spans="1:10" ht="25.5" customHeight="1" thickBot="1">
      <c r="A1994" s="827"/>
      <c r="B1994" s="827"/>
      <c r="C1994" s="827"/>
      <c r="D1994" s="827"/>
      <c r="E1994" s="827" t="s">
        <v>13506</v>
      </c>
      <c r="F1994" s="826">
        <v>2.19</v>
      </c>
      <c r="G1994" s="827"/>
      <c r="H1994" s="1018" t="s">
        <v>13507</v>
      </c>
      <c r="I1994" s="1018"/>
      <c r="J1994" s="826">
        <v>9.9600000000000009</v>
      </c>
    </row>
    <row r="1995" spans="1:10" ht="13.5" thickTop="1">
      <c r="A1995" s="828"/>
      <c r="B1995" s="828"/>
      <c r="C1995" s="828"/>
      <c r="D1995" s="828"/>
      <c r="E1995" s="828"/>
      <c r="F1995" s="828"/>
      <c r="G1995" s="828"/>
      <c r="H1995" s="828"/>
      <c r="I1995" s="828"/>
      <c r="J1995" s="828"/>
    </row>
    <row r="1996" spans="1:10" ht="15">
      <c r="A1996" s="809" t="s">
        <v>14253</v>
      </c>
      <c r="B1996" s="808" t="s">
        <v>13481</v>
      </c>
      <c r="C1996" s="809" t="s">
        <v>13482</v>
      </c>
      <c r="D1996" s="809" t="s">
        <v>13483</v>
      </c>
      <c r="E1996" s="1019" t="s">
        <v>13484</v>
      </c>
      <c r="F1996" s="1019"/>
      <c r="G1996" s="810" t="s">
        <v>13485</v>
      </c>
      <c r="H1996" s="808" t="s">
        <v>13486</v>
      </c>
      <c r="I1996" s="808" t="s">
        <v>13487</v>
      </c>
      <c r="J1996" s="808" t="s">
        <v>4867</v>
      </c>
    </row>
    <row r="1997" spans="1:10" ht="25.5" customHeight="1">
      <c r="A1997" s="812" t="s">
        <v>13488</v>
      </c>
      <c r="B1997" s="811" t="s">
        <v>14254</v>
      </c>
      <c r="C1997" s="812" t="s">
        <v>6</v>
      </c>
      <c r="D1997" s="812" t="s">
        <v>1869</v>
      </c>
      <c r="E1997" s="1020" t="s">
        <v>14194</v>
      </c>
      <c r="F1997" s="1020"/>
      <c r="G1997" s="813" t="s">
        <v>24</v>
      </c>
      <c r="H1997" s="814">
        <v>1</v>
      </c>
      <c r="I1997" s="815">
        <v>11.31</v>
      </c>
      <c r="J1997" s="815">
        <v>11.31</v>
      </c>
    </row>
    <row r="1998" spans="1:10" ht="38.25" customHeight="1">
      <c r="A1998" s="817" t="s">
        <v>13491</v>
      </c>
      <c r="B1998" s="816" t="s">
        <v>14251</v>
      </c>
      <c r="C1998" s="817" t="s">
        <v>6</v>
      </c>
      <c r="D1998" s="817" t="s">
        <v>3942</v>
      </c>
      <c r="E1998" s="1021" t="s">
        <v>13490</v>
      </c>
      <c r="F1998" s="1021"/>
      <c r="G1998" s="818" t="s">
        <v>13543</v>
      </c>
      <c r="H1998" s="819">
        <v>8.9999999999999998E-4</v>
      </c>
      <c r="I1998" s="820">
        <v>566.99</v>
      </c>
      <c r="J1998" s="820">
        <v>0.51</v>
      </c>
    </row>
    <row r="1999" spans="1:10" ht="13.5" customHeight="1">
      <c r="A1999" s="817" t="s">
        <v>13491</v>
      </c>
      <c r="B1999" s="816" t="s">
        <v>14121</v>
      </c>
      <c r="C1999" s="817" t="s">
        <v>6</v>
      </c>
      <c r="D1999" s="817" t="s">
        <v>37</v>
      </c>
      <c r="E1999" s="1021" t="s">
        <v>13490</v>
      </c>
      <c r="F1999" s="1021"/>
      <c r="G1999" s="818" t="s">
        <v>19</v>
      </c>
      <c r="H1999" s="819">
        <v>0.247</v>
      </c>
      <c r="I1999" s="820">
        <v>15.19</v>
      </c>
      <c r="J1999" s="820">
        <v>3.75</v>
      </c>
    </row>
    <row r="2000" spans="1:10" ht="38.25" customHeight="1">
      <c r="A2000" s="817" t="s">
        <v>13491</v>
      </c>
      <c r="B2000" s="816" t="s">
        <v>13567</v>
      </c>
      <c r="C2000" s="817" t="s">
        <v>6</v>
      </c>
      <c r="D2000" s="817" t="s">
        <v>35</v>
      </c>
      <c r="E2000" s="1021" t="s">
        <v>13490</v>
      </c>
      <c r="F2000" s="1021"/>
      <c r="G2000" s="818" t="s">
        <v>19</v>
      </c>
      <c r="H2000" s="819">
        <v>0.247</v>
      </c>
      <c r="I2000" s="820">
        <v>19.53</v>
      </c>
      <c r="J2000" s="820">
        <v>4.82</v>
      </c>
    </row>
    <row r="2001" spans="1:10" ht="25.5">
      <c r="A2001" s="822" t="s">
        <v>13493</v>
      </c>
      <c r="B2001" s="821" t="s">
        <v>14252</v>
      </c>
      <c r="C2001" s="822" t="s">
        <v>6</v>
      </c>
      <c r="D2001" s="822" t="s">
        <v>4611</v>
      </c>
      <c r="E2001" s="1017" t="s">
        <v>13514</v>
      </c>
      <c r="F2001" s="1017"/>
      <c r="G2001" s="823" t="s">
        <v>24</v>
      </c>
      <c r="H2001" s="824">
        <v>1</v>
      </c>
      <c r="I2001" s="825">
        <v>2.23</v>
      </c>
      <c r="J2001" s="825">
        <v>2.23</v>
      </c>
    </row>
    <row r="2002" spans="1:10" ht="25.5">
      <c r="A2002" s="827"/>
      <c r="B2002" s="827"/>
      <c r="C2002" s="827"/>
      <c r="D2002" s="827"/>
      <c r="E2002" s="827" t="s">
        <v>13503</v>
      </c>
      <c r="F2002" s="826">
        <v>6.21</v>
      </c>
      <c r="G2002" s="827" t="s">
        <v>13504</v>
      </c>
      <c r="H2002" s="826">
        <v>0</v>
      </c>
      <c r="I2002" s="827" t="s">
        <v>13505</v>
      </c>
      <c r="J2002" s="826">
        <v>6.21</v>
      </c>
    </row>
    <row r="2003" spans="1:10" ht="25.5" customHeight="1" thickBot="1">
      <c r="A2003" s="827"/>
      <c r="B2003" s="827"/>
      <c r="C2003" s="827"/>
      <c r="D2003" s="827"/>
      <c r="E2003" s="827" t="s">
        <v>13506</v>
      </c>
      <c r="F2003" s="826">
        <v>3.19</v>
      </c>
      <c r="G2003" s="827"/>
      <c r="H2003" s="1018" t="s">
        <v>13507</v>
      </c>
      <c r="I2003" s="1018"/>
      <c r="J2003" s="826">
        <v>14.5</v>
      </c>
    </row>
    <row r="2004" spans="1:10" ht="13.5" thickTop="1">
      <c r="A2004" s="828"/>
      <c r="B2004" s="828"/>
      <c r="C2004" s="828"/>
      <c r="D2004" s="828"/>
      <c r="E2004" s="828"/>
      <c r="F2004" s="828"/>
      <c r="G2004" s="828"/>
      <c r="H2004" s="828"/>
      <c r="I2004" s="828"/>
      <c r="J2004" s="828"/>
    </row>
    <row r="2005" spans="1:10" ht="15">
      <c r="A2005" s="809" t="s">
        <v>14255</v>
      </c>
      <c r="B2005" s="808" t="s">
        <v>13481</v>
      </c>
      <c r="C2005" s="809" t="s">
        <v>13482</v>
      </c>
      <c r="D2005" s="809" t="s">
        <v>13483</v>
      </c>
      <c r="E2005" s="1019" t="s">
        <v>13484</v>
      </c>
      <c r="F2005" s="1019"/>
      <c r="G2005" s="810" t="s">
        <v>13485</v>
      </c>
      <c r="H2005" s="808" t="s">
        <v>13486</v>
      </c>
      <c r="I2005" s="808" t="s">
        <v>13487</v>
      </c>
      <c r="J2005" s="808" t="s">
        <v>4867</v>
      </c>
    </row>
    <row r="2006" spans="1:10" ht="25.5" customHeight="1">
      <c r="A2006" s="812" t="s">
        <v>13488</v>
      </c>
      <c r="B2006" s="811" t="s">
        <v>14256</v>
      </c>
      <c r="C2006" s="812" t="s">
        <v>6</v>
      </c>
      <c r="D2006" s="812" t="s">
        <v>469</v>
      </c>
      <c r="E2006" s="1020" t="s">
        <v>14194</v>
      </c>
      <c r="F2006" s="1020"/>
      <c r="G2006" s="813" t="s">
        <v>24</v>
      </c>
      <c r="H2006" s="814">
        <v>1</v>
      </c>
      <c r="I2006" s="815">
        <v>20.440000000000001</v>
      </c>
      <c r="J2006" s="815">
        <v>20.440000000000001</v>
      </c>
    </row>
    <row r="2007" spans="1:10" ht="38.25" customHeight="1">
      <c r="A2007" s="817" t="s">
        <v>13491</v>
      </c>
      <c r="B2007" s="816" t="s">
        <v>14251</v>
      </c>
      <c r="C2007" s="817" t="s">
        <v>6</v>
      </c>
      <c r="D2007" s="817" t="s">
        <v>3942</v>
      </c>
      <c r="E2007" s="1021" t="s">
        <v>13490</v>
      </c>
      <c r="F2007" s="1021"/>
      <c r="G2007" s="818" t="s">
        <v>13543</v>
      </c>
      <c r="H2007" s="819">
        <v>8.9999999999999998E-4</v>
      </c>
      <c r="I2007" s="820">
        <v>566.99</v>
      </c>
      <c r="J2007" s="820">
        <v>0.51</v>
      </c>
    </row>
    <row r="2008" spans="1:10" ht="38.25" customHeight="1">
      <c r="A2008" s="817" t="s">
        <v>13491</v>
      </c>
      <c r="B2008" s="816" t="s">
        <v>14121</v>
      </c>
      <c r="C2008" s="817" t="s">
        <v>6</v>
      </c>
      <c r="D2008" s="817" t="s">
        <v>37</v>
      </c>
      <c r="E2008" s="1021" t="s">
        <v>13490</v>
      </c>
      <c r="F2008" s="1021"/>
      <c r="G2008" s="818" t="s">
        <v>19</v>
      </c>
      <c r="H2008" s="819">
        <v>0.51900000000000002</v>
      </c>
      <c r="I2008" s="820">
        <v>15.19</v>
      </c>
      <c r="J2008" s="820">
        <v>7.88</v>
      </c>
    </row>
    <row r="2009" spans="1:10" ht="13.5" customHeight="1">
      <c r="A2009" s="817" t="s">
        <v>13491</v>
      </c>
      <c r="B2009" s="816" t="s">
        <v>13567</v>
      </c>
      <c r="C2009" s="817" t="s">
        <v>6</v>
      </c>
      <c r="D2009" s="817" t="s">
        <v>35</v>
      </c>
      <c r="E2009" s="1021" t="s">
        <v>13490</v>
      </c>
      <c r="F2009" s="1021"/>
      <c r="G2009" s="818" t="s">
        <v>19</v>
      </c>
      <c r="H2009" s="819">
        <v>0.51900000000000002</v>
      </c>
      <c r="I2009" s="820">
        <v>19.53</v>
      </c>
      <c r="J2009" s="820">
        <v>10.130000000000001</v>
      </c>
    </row>
    <row r="2010" spans="1:10">
      <c r="A2010" s="822" t="s">
        <v>13493</v>
      </c>
      <c r="B2010" s="821" t="s">
        <v>14257</v>
      </c>
      <c r="C2010" s="822" t="s">
        <v>6</v>
      </c>
      <c r="D2010" s="822" t="s">
        <v>4610</v>
      </c>
      <c r="E2010" s="1017" t="s">
        <v>13514</v>
      </c>
      <c r="F2010" s="1017"/>
      <c r="G2010" s="823" t="s">
        <v>24</v>
      </c>
      <c r="H2010" s="824">
        <v>1</v>
      </c>
      <c r="I2010" s="825">
        <v>1.92</v>
      </c>
      <c r="J2010" s="825">
        <v>1.92</v>
      </c>
    </row>
    <row r="2011" spans="1:10" ht="25.5">
      <c r="A2011" s="827"/>
      <c r="B2011" s="827"/>
      <c r="C2011" s="827"/>
      <c r="D2011" s="827"/>
      <c r="E2011" s="827" t="s">
        <v>13503</v>
      </c>
      <c r="F2011" s="826">
        <v>12.99</v>
      </c>
      <c r="G2011" s="827" t="s">
        <v>13504</v>
      </c>
      <c r="H2011" s="826">
        <v>0</v>
      </c>
      <c r="I2011" s="827" t="s">
        <v>13505</v>
      </c>
      <c r="J2011" s="826">
        <v>12.99</v>
      </c>
    </row>
    <row r="2012" spans="1:10" ht="13.5" customHeight="1" thickBot="1">
      <c r="A2012" s="827"/>
      <c r="B2012" s="827"/>
      <c r="C2012" s="827"/>
      <c r="D2012" s="827"/>
      <c r="E2012" s="827" t="s">
        <v>13506</v>
      </c>
      <c r="F2012" s="826">
        <v>5.77</v>
      </c>
      <c r="G2012" s="827"/>
      <c r="H2012" s="1018" t="s">
        <v>13507</v>
      </c>
      <c r="I2012" s="1018"/>
      <c r="J2012" s="826">
        <v>26.21</v>
      </c>
    </row>
    <row r="2013" spans="1:10" ht="25.5" customHeight="1" thickTop="1">
      <c r="A2013" s="828"/>
      <c r="B2013" s="828"/>
      <c r="C2013" s="828"/>
      <c r="D2013" s="828"/>
      <c r="E2013" s="828"/>
      <c r="F2013" s="828"/>
      <c r="G2013" s="828"/>
      <c r="H2013" s="828"/>
      <c r="I2013" s="828"/>
      <c r="J2013" s="828"/>
    </row>
    <row r="2014" spans="1:10" ht="15">
      <c r="A2014" s="809" t="s">
        <v>14258</v>
      </c>
      <c r="B2014" s="808" t="s">
        <v>13481</v>
      </c>
      <c r="C2014" s="809" t="s">
        <v>13482</v>
      </c>
      <c r="D2014" s="809" t="s">
        <v>13483</v>
      </c>
      <c r="E2014" s="1019" t="s">
        <v>13484</v>
      </c>
      <c r="F2014" s="1019"/>
      <c r="G2014" s="810" t="s">
        <v>13485</v>
      </c>
      <c r="H2014" s="808" t="s">
        <v>13486</v>
      </c>
      <c r="I2014" s="808" t="s">
        <v>13487</v>
      </c>
      <c r="J2014" s="808" t="s">
        <v>4867</v>
      </c>
    </row>
    <row r="2015" spans="1:10" ht="25.5" customHeight="1">
      <c r="A2015" s="812" t="s">
        <v>13488</v>
      </c>
      <c r="B2015" s="811" t="s">
        <v>14259</v>
      </c>
      <c r="C2015" s="812" t="s">
        <v>6</v>
      </c>
      <c r="D2015" s="812" t="s">
        <v>6614</v>
      </c>
      <c r="E2015" s="1020" t="s">
        <v>14194</v>
      </c>
      <c r="F2015" s="1020"/>
      <c r="G2015" s="813" t="s">
        <v>24</v>
      </c>
      <c r="H2015" s="814">
        <v>1</v>
      </c>
      <c r="I2015" s="815">
        <v>152.99</v>
      </c>
      <c r="J2015" s="815">
        <v>152.99</v>
      </c>
    </row>
    <row r="2016" spans="1:10" ht="38.25" customHeight="1">
      <c r="A2016" s="817" t="s">
        <v>13491</v>
      </c>
      <c r="B2016" s="816" t="s">
        <v>14260</v>
      </c>
      <c r="C2016" s="817" t="s">
        <v>6</v>
      </c>
      <c r="D2016" s="817" t="s">
        <v>3306</v>
      </c>
      <c r="E2016" s="1021" t="s">
        <v>13542</v>
      </c>
      <c r="F2016" s="1021"/>
      <c r="G2016" s="818" t="s">
        <v>13543</v>
      </c>
      <c r="H2016" s="819">
        <v>1.7500000000000002E-2</v>
      </c>
      <c r="I2016" s="820">
        <v>2391.23</v>
      </c>
      <c r="J2016" s="820">
        <v>41.84</v>
      </c>
    </row>
    <row r="2017" spans="1:10" ht="38.25" customHeight="1">
      <c r="A2017" s="817" t="s">
        <v>13491</v>
      </c>
      <c r="B2017" s="816" t="s">
        <v>14261</v>
      </c>
      <c r="C2017" s="817" t="s">
        <v>6</v>
      </c>
      <c r="D2017" s="817" t="s">
        <v>5702</v>
      </c>
      <c r="E2017" s="1021" t="s">
        <v>13623</v>
      </c>
      <c r="F2017" s="1021"/>
      <c r="G2017" s="818" t="s">
        <v>13543</v>
      </c>
      <c r="H2017" s="819">
        <v>3.5999999999999997E-2</v>
      </c>
      <c r="I2017" s="820">
        <v>213.55</v>
      </c>
      <c r="J2017" s="820">
        <v>7.68</v>
      </c>
    </row>
    <row r="2018" spans="1:10" ht="13.5" customHeight="1">
      <c r="A2018" s="817" t="s">
        <v>13491</v>
      </c>
      <c r="B2018" s="816" t="s">
        <v>13901</v>
      </c>
      <c r="C2018" s="817" t="s">
        <v>6</v>
      </c>
      <c r="D2018" s="817" t="s">
        <v>3854</v>
      </c>
      <c r="E2018" s="1021" t="s">
        <v>13490</v>
      </c>
      <c r="F2018" s="1021"/>
      <c r="G2018" s="818" t="s">
        <v>13543</v>
      </c>
      <c r="H2018" s="819">
        <v>4.0000000000000002E-4</v>
      </c>
      <c r="I2018" s="820">
        <v>400.54</v>
      </c>
      <c r="J2018" s="820">
        <v>0.16</v>
      </c>
    </row>
    <row r="2019" spans="1:10" ht="38.25" customHeight="1">
      <c r="A2019" s="817" t="s">
        <v>13491</v>
      </c>
      <c r="B2019" s="816" t="s">
        <v>13975</v>
      </c>
      <c r="C2019" s="817" t="s">
        <v>6</v>
      </c>
      <c r="D2019" s="817" t="s">
        <v>3941</v>
      </c>
      <c r="E2019" s="1021" t="s">
        <v>13490</v>
      </c>
      <c r="F2019" s="1021"/>
      <c r="G2019" s="818" t="s">
        <v>13543</v>
      </c>
      <c r="H2019" s="819">
        <v>2.7799999999999998E-2</v>
      </c>
      <c r="I2019" s="820">
        <v>486.93</v>
      </c>
      <c r="J2019" s="820">
        <v>13.53</v>
      </c>
    </row>
    <row r="2020" spans="1:10" ht="38.25" customHeight="1">
      <c r="A2020" s="817" t="s">
        <v>13491</v>
      </c>
      <c r="B2020" s="816" t="s">
        <v>13553</v>
      </c>
      <c r="C2020" s="817" t="s">
        <v>6</v>
      </c>
      <c r="D2020" s="817" t="s">
        <v>21</v>
      </c>
      <c r="E2020" s="1021" t="s">
        <v>13490</v>
      </c>
      <c r="F2020" s="1021"/>
      <c r="G2020" s="818" t="s">
        <v>19</v>
      </c>
      <c r="H2020" s="819">
        <v>1.5362</v>
      </c>
      <c r="I2020" s="820">
        <v>15.16</v>
      </c>
      <c r="J2020" s="820">
        <v>23.28</v>
      </c>
    </row>
    <row r="2021" spans="1:10" ht="38.25" customHeight="1">
      <c r="A2021" s="817" t="s">
        <v>13491</v>
      </c>
      <c r="B2021" s="816" t="s">
        <v>13577</v>
      </c>
      <c r="C2021" s="817" t="s">
        <v>6</v>
      </c>
      <c r="D2021" s="817" t="s">
        <v>31</v>
      </c>
      <c r="E2021" s="1021" t="s">
        <v>13490</v>
      </c>
      <c r="F2021" s="1021"/>
      <c r="G2021" s="818" t="s">
        <v>19</v>
      </c>
      <c r="H2021" s="819">
        <v>1.5362</v>
      </c>
      <c r="I2021" s="820">
        <v>18.86</v>
      </c>
      <c r="J2021" s="820">
        <v>28.97</v>
      </c>
    </row>
    <row r="2022" spans="1:10" ht="25.5" customHeight="1">
      <c r="A2022" s="822" t="s">
        <v>13493</v>
      </c>
      <c r="B2022" s="821" t="s">
        <v>13906</v>
      </c>
      <c r="C2022" s="822" t="s">
        <v>6</v>
      </c>
      <c r="D2022" s="822" t="s">
        <v>5396</v>
      </c>
      <c r="E2022" s="1017" t="s">
        <v>13514</v>
      </c>
      <c r="F2022" s="1017"/>
      <c r="G2022" s="823" t="s">
        <v>24</v>
      </c>
      <c r="H2022" s="824">
        <v>48.750700000000002</v>
      </c>
      <c r="I2022" s="825">
        <v>0.77</v>
      </c>
      <c r="J2022" s="825">
        <v>37.53</v>
      </c>
    </row>
    <row r="2023" spans="1:10" ht="25.5">
      <c r="A2023" s="827"/>
      <c r="B2023" s="827"/>
      <c r="C2023" s="827"/>
      <c r="D2023" s="827"/>
      <c r="E2023" s="827" t="s">
        <v>13503</v>
      </c>
      <c r="F2023" s="826">
        <v>59.08</v>
      </c>
      <c r="G2023" s="827" t="s">
        <v>13504</v>
      </c>
      <c r="H2023" s="826">
        <v>0</v>
      </c>
      <c r="I2023" s="827" t="s">
        <v>13505</v>
      </c>
      <c r="J2023" s="826">
        <v>59.08</v>
      </c>
    </row>
    <row r="2024" spans="1:10" ht="13.5" customHeight="1" thickBot="1">
      <c r="A2024" s="827"/>
      <c r="B2024" s="827"/>
      <c r="C2024" s="827"/>
      <c r="D2024" s="827"/>
      <c r="E2024" s="827" t="s">
        <v>13506</v>
      </c>
      <c r="F2024" s="826">
        <v>43.2</v>
      </c>
      <c r="G2024" s="827"/>
      <c r="H2024" s="1018" t="s">
        <v>13507</v>
      </c>
      <c r="I2024" s="1018"/>
      <c r="J2024" s="826">
        <v>196.19</v>
      </c>
    </row>
    <row r="2025" spans="1:10" ht="13.5" thickTop="1">
      <c r="A2025" s="828"/>
      <c r="B2025" s="828"/>
      <c r="C2025" s="828"/>
      <c r="D2025" s="828"/>
      <c r="E2025" s="828"/>
      <c r="F2025" s="828"/>
      <c r="G2025" s="828"/>
      <c r="H2025" s="828"/>
      <c r="I2025" s="828"/>
      <c r="J2025" s="828"/>
    </row>
    <row r="2026" spans="1:10" ht="15">
      <c r="A2026" s="809" t="s">
        <v>14262</v>
      </c>
      <c r="B2026" s="808" t="s">
        <v>13481</v>
      </c>
      <c r="C2026" s="809" t="s">
        <v>13482</v>
      </c>
      <c r="D2026" s="809" t="s">
        <v>13483</v>
      </c>
      <c r="E2026" s="1019" t="s">
        <v>13484</v>
      </c>
      <c r="F2026" s="1019"/>
      <c r="G2026" s="810" t="s">
        <v>13485</v>
      </c>
      <c r="H2026" s="808" t="s">
        <v>13486</v>
      </c>
      <c r="I2026" s="808" t="s">
        <v>13487</v>
      </c>
      <c r="J2026" s="808" t="s">
        <v>4867</v>
      </c>
    </row>
    <row r="2027" spans="1:10" ht="25.5" customHeight="1">
      <c r="A2027" s="812" t="s">
        <v>13488</v>
      </c>
      <c r="B2027" s="811" t="s">
        <v>14263</v>
      </c>
      <c r="C2027" s="812" t="s">
        <v>6</v>
      </c>
      <c r="D2027" s="812" t="s">
        <v>6779</v>
      </c>
      <c r="E2027" s="1020" t="s">
        <v>13898</v>
      </c>
      <c r="F2027" s="1020"/>
      <c r="G2027" s="813" t="s">
        <v>24</v>
      </c>
      <c r="H2027" s="814">
        <v>1</v>
      </c>
      <c r="I2027" s="815">
        <v>67.680000000000007</v>
      </c>
      <c r="J2027" s="815">
        <v>67.680000000000007</v>
      </c>
    </row>
    <row r="2028" spans="1:10" ht="13.5" customHeight="1">
      <c r="A2028" s="817" t="s">
        <v>13491</v>
      </c>
      <c r="B2028" s="816" t="s">
        <v>13567</v>
      </c>
      <c r="C2028" s="817" t="s">
        <v>6</v>
      </c>
      <c r="D2028" s="817" t="s">
        <v>35</v>
      </c>
      <c r="E2028" s="1021" t="s">
        <v>13490</v>
      </c>
      <c r="F2028" s="1021"/>
      <c r="G2028" s="818" t="s">
        <v>19</v>
      </c>
      <c r="H2028" s="819">
        <v>0.63300000000000001</v>
      </c>
      <c r="I2028" s="820">
        <v>19.53</v>
      </c>
      <c r="J2028" s="820">
        <v>12.36</v>
      </c>
    </row>
    <row r="2029" spans="1:10" ht="38.25" customHeight="1">
      <c r="A2029" s="817" t="s">
        <v>13491</v>
      </c>
      <c r="B2029" s="816" t="s">
        <v>14121</v>
      </c>
      <c r="C2029" s="817" t="s">
        <v>6</v>
      </c>
      <c r="D2029" s="817" t="s">
        <v>37</v>
      </c>
      <c r="E2029" s="1021" t="s">
        <v>13490</v>
      </c>
      <c r="F2029" s="1021"/>
      <c r="G2029" s="818" t="s">
        <v>19</v>
      </c>
      <c r="H2029" s="819">
        <v>0.63300000000000001</v>
      </c>
      <c r="I2029" s="820">
        <v>15.19</v>
      </c>
      <c r="J2029" s="820">
        <v>9.61</v>
      </c>
    </row>
    <row r="2030" spans="1:10">
      <c r="A2030" s="822" t="s">
        <v>13493</v>
      </c>
      <c r="B2030" s="821" t="s">
        <v>14264</v>
      </c>
      <c r="C2030" s="822" t="s">
        <v>6</v>
      </c>
      <c r="D2030" s="822" t="s">
        <v>8742</v>
      </c>
      <c r="E2030" s="1017" t="s">
        <v>13514</v>
      </c>
      <c r="F2030" s="1017"/>
      <c r="G2030" s="823" t="s">
        <v>24</v>
      </c>
      <c r="H2030" s="824">
        <v>1</v>
      </c>
      <c r="I2030" s="825">
        <v>45.71</v>
      </c>
      <c r="J2030" s="825">
        <v>45.71</v>
      </c>
    </row>
    <row r="2031" spans="1:10" ht="25.5">
      <c r="A2031" s="827"/>
      <c r="B2031" s="827"/>
      <c r="C2031" s="827"/>
      <c r="D2031" s="827"/>
      <c r="E2031" s="827" t="s">
        <v>13503</v>
      </c>
      <c r="F2031" s="826">
        <v>15.74</v>
      </c>
      <c r="G2031" s="827" t="s">
        <v>13504</v>
      </c>
      <c r="H2031" s="826">
        <v>0</v>
      </c>
      <c r="I2031" s="827" t="s">
        <v>13505</v>
      </c>
      <c r="J2031" s="826">
        <v>15.74</v>
      </c>
    </row>
    <row r="2032" spans="1:10" ht="25.5" customHeight="1" thickBot="1">
      <c r="A2032" s="827"/>
      <c r="B2032" s="827"/>
      <c r="C2032" s="827"/>
      <c r="D2032" s="827"/>
      <c r="E2032" s="827" t="s">
        <v>13506</v>
      </c>
      <c r="F2032" s="826">
        <v>19.11</v>
      </c>
      <c r="G2032" s="827"/>
      <c r="H2032" s="1018" t="s">
        <v>13507</v>
      </c>
      <c r="I2032" s="1018"/>
      <c r="J2032" s="826">
        <v>86.79</v>
      </c>
    </row>
    <row r="2033" spans="1:10" ht="25.5" customHeight="1" thickTop="1">
      <c r="A2033" s="828"/>
      <c r="B2033" s="828"/>
      <c r="C2033" s="828"/>
      <c r="D2033" s="828"/>
      <c r="E2033" s="828"/>
      <c r="F2033" s="828"/>
      <c r="G2033" s="828"/>
      <c r="H2033" s="828"/>
      <c r="I2033" s="828"/>
      <c r="J2033" s="828"/>
    </row>
    <row r="2034" spans="1:10" ht="15">
      <c r="A2034" s="809" t="s">
        <v>14265</v>
      </c>
      <c r="B2034" s="808" t="s">
        <v>13481</v>
      </c>
      <c r="C2034" s="809" t="s">
        <v>13482</v>
      </c>
      <c r="D2034" s="809" t="s">
        <v>13483</v>
      </c>
      <c r="E2034" s="1019" t="s">
        <v>13484</v>
      </c>
      <c r="F2034" s="1019"/>
      <c r="G2034" s="810" t="s">
        <v>13485</v>
      </c>
      <c r="H2034" s="808" t="s">
        <v>13486</v>
      </c>
      <c r="I2034" s="808" t="s">
        <v>13487</v>
      </c>
      <c r="J2034" s="808" t="s">
        <v>4867</v>
      </c>
    </row>
    <row r="2035" spans="1:10" ht="25.5" customHeight="1">
      <c r="A2035" s="812" t="s">
        <v>13488</v>
      </c>
      <c r="B2035" s="811" t="s">
        <v>14266</v>
      </c>
      <c r="C2035" s="812" t="s">
        <v>6</v>
      </c>
      <c r="D2035" s="812" t="s">
        <v>329</v>
      </c>
      <c r="E2035" s="1020" t="s">
        <v>13898</v>
      </c>
      <c r="F2035" s="1020"/>
      <c r="G2035" s="813" t="s">
        <v>14</v>
      </c>
      <c r="H2035" s="814">
        <v>1</v>
      </c>
      <c r="I2035" s="815">
        <v>4.72</v>
      </c>
      <c r="J2035" s="815">
        <v>4.72</v>
      </c>
    </row>
    <row r="2036" spans="1:10" ht="38.25" customHeight="1">
      <c r="A2036" s="817" t="s">
        <v>13491</v>
      </c>
      <c r="B2036" s="816" t="s">
        <v>13567</v>
      </c>
      <c r="C2036" s="817" t="s">
        <v>6</v>
      </c>
      <c r="D2036" s="817" t="s">
        <v>35</v>
      </c>
      <c r="E2036" s="1021" t="s">
        <v>13490</v>
      </c>
      <c r="F2036" s="1021"/>
      <c r="G2036" s="818" t="s">
        <v>19</v>
      </c>
      <c r="H2036" s="819">
        <v>0.216</v>
      </c>
      <c r="I2036" s="820">
        <v>19.53</v>
      </c>
      <c r="J2036" s="820">
        <v>4.21</v>
      </c>
    </row>
    <row r="2037" spans="1:10" ht="38.25" customHeight="1">
      <c r="A2037" s="817" t="s">
        <v>13491</v>
      </c>
      <c r="B2037" s="816" t="s">
        <v>14121</v>
      </c>
      <c r="C2037" s="817" t="s">
        <v>6</v>
      </c>
      <c r="D2037" s="817" t="s">
        <v>37</v>
      </c>
      <c r="E2037" s="1021" t="s">
        <v>13490</v>
      </c>
      <c r="F2037" s="1021"/>
      <c r="G2037" s="818" t="s">
        <v>19</v>
      </c>
      <c r="H2037" s="819">
        <v>3.4000000000000002E-2</v>
      </c>
      <c r="I2037" s="820">
        <v>15.19</v>
      </c>
      <c r="J2037" s="820">
        <v>0.51</v>
      </c>
    </row>
    <row r="2038" spans="1:10" ht="25.5">
      <c r="A2038" s="827"/>
      <c r="B2038" s="827"/>
      <c r="C2038" s="827"/>
      <c r="D2038" s="827"/>
      <c r="E2038" s="827" t="s">
        <v>13503</v>
      </c>
      <c r="F2038" s="826">
        <v>3.49</v>
      </c>
      <c r="G2038" s="827" t="s">
        <v>13504</v>
      </c>
      <c r="H2038" s="826">
        <v>0</v>
      </c>
      <c r="I2038" s="827" t="s">
        <v>13505</v>
      </c>
      <c r="J2038" s="826">
        <v>3.49</v>
      </c>
    </row>
    <row r="2039" spans="1:10" ht="13.5" customHeight="1" thickBot="1">
      <c r="A2039" s="827"/>
      <c r="B2039" s="827"/>
      <c r="C2039" s="827"/>
      <c r="D2039" s="827"/>
      <c r="E2039" s="827" t="s">
        <v>13506</v>
      </c>
      <c r="F2039" s="826">
        <v>1.33</v>
      </c>
      <c r="G2039" s="827"/>
      <c r="H2039" s="1018" t="s">
        <v>13507</v>
      </c>
      <c r="I2039" s="1018"/>
      <c r="J2039" s="826">
        <v>6.05</v>
      </c>
    </row>
    <row r="2040" spans="1:10" ht="13.5" thickTop="1">
      <c r="A2040" s="828"/>
      <c r="B2040" s="828"/>
      <c r="C2040" s="828"/>
      <c r="D2040" s="828"/>
      <c r="E2040" s="828"/>
      <c r="F2040" s="828"/>
      <c r="G2040" s="828"/>
      <c r="H2040" s="828"/>
      <c r="I2040" s="828"/>
      <c r="J2040" s="828"/>
    </row>
    <row r="2041" spans="1:10" ht="15">
      <c r="A2041" s="809" t="s">
        <v>14267</v>
      </c>
      <c r="B2041" s="808" t="s">
        <v>13481</v>
      </c>
      <c r="C2041" s="809" t="s">
        <v>13482</v>
      </c>
      <c r="D2041" s="809" t="s">
        <v>13483</v>
      </c>
      <c r="E2041" s="1019" t="s">
        <v>13484</v>
      </c>
      <c r="F2041" s="1019"/>
      <c r="G2041" s="810" t="s">
        <v>13485</v>
      </c>
      <c r="H2041" s="808" t="s">
        <v>13486</v>
      </c>
      <c r="I2041" s="808" t="s">
        <v>13487</v>
      </c>
      <c r="J2041" s="808" t="s">
        <v>4867</v>
      </c>
    </row>
    <row r="2042" spans="1:10" ht="25.5" customHeight="1">
      <c r="A2042" s="812" t="s">
        <v>13488</v>
      </c>
      <c r="B2042" s="811" t="s">
        <v>14268</v>
      </c>
      <c r="C2042" s="812" t="s">
        <v>6</v>
      </c>
      <c r="D2042" s="812" t="s">
        <v>398</v>
      </c>
      <c r="E2042" s="1020" t="s">
        <v>13898</v>
      </c>
      <c r="F2042" s="1020"/>
      <c r="G2042" s="813" t="s">
        <v>14</v>
      </c>
      <c r="H2042" s="814">
        <v>1</v>
      </c>
      <c r="I2042" s="815">
        <v>10.220000000000001</v>
      </c>
      <c r="J2042" s="815">
        <v>10.220000000000001</v>
      </c>
    </row>
    <row r="2043" spans="1:10" ht="25.5" customHeight="1">
      <c r="A2043" s="817" t="s">
        <v>13491</v>
      </c>
      <c r="B2043" s="816" t="s">
        <v>13909</v>
      </c>
      <c r="C2043" s="817" t="s">
        <v>6</v>
      </c>
      <c r="D2043" s="817" t="s">
        <v>986</v>
      </c>
      <c r="E2043" s="1021" t="s">
        <v>13490</v>
      </c>
      <c r="F2043" s="1021"/>
      <c r="G2043" s="818" t="s">
        <v>19</v>
      </c>
      <c r="H2043" s="819">
        <v>7.5999999999999998E-2</v>
      </c>
      <c r="I2043" s="820">
        <v>15.54</v>
      </c>
      <c r="J2043" s="820">
        <v>1.18</v>
      </c>
    </row>
    <row r="2044" spans="1:10" ht="38.25" customHeight="1">
      <c r="A2044" s="817" t="s">
        <v>13491</v>
      </c>
      <c r="B2044" s="816" t="s">
        <v>13574</v>
      </c>
      <c r="C2044" s="817" t="s">
        <v>6</v>
      </c>
      <c r="D2044" s="817" t="s">
        <v>34</v>
      </c>
      <c r="E2044" s="1021" t="s">
        <v>13490</v>
      </c>
      <c r="F2044" s="1021"/>
      <c r="G2044" s="818" t="s">
        <v>19</v>
      </c>
      <c r="H2044" s="819">
        <v>0.48299999999999998</v>
      </c>
      <c r="I2044" s="820">
        <v>18.72</v>
      </c>
      <c r="J2044" s="820">
        <v>9.0399999999999991</v>
      </c>
    </row>
    <row r="2045" spans="1:10" ht="25.5">
      <c r="A2045" s="827"/>
      <c r="B2045" s="827"/>
      <c r="C2045" s="827"/>
      <c r="D2045" s="827"/>
      <c r="E2045" s="827" t="s">
        <v>13503</v>
      </c>
      <c r="F2045" s="826">
        <v>7.8</v>
      </c>
      <c r="G2045" s="827" t="s">
        <v>13504</v>
      </c>
      <c r="H2045" s="826">
        <v>0</v>
      </c>
      <c r="I2045" s="827" t="s">
        <v>13505</v>
      </c>
      <c r="J2045" s="826">
        <v>7.8</v>
      </c>
    </row>
    <row r="2046" spans="1:10" ht="13.5" customHeight="1" thickBot="1">
      <c r="A2046" s="827"/>
      <c r="B2046" s="827"/>
      <c r="C2046" s="827"/>
      <c r="D2046" s="827"/>
      <c r="E2046" s="827" t="s">
        <v>13506</v>
      </c>
      <c r="F2046" s="826">
        <v>2.88</v>
      </c>
      <c r="G2046" s="827"/>
      <c r="H2046" s="1018" t="s">
        <v>13507</v>
      </c>
      <c r="I2046" s="1018"/>
      <c r="J2046" s="826">
        <v>13.1</v>
      </c>
    </row>
    <row r="2047" spans="1:10" ht="13.5" thickTop="1">
      <c r="A2047" s="828"/>
      <c r="B2047" s="828"/>
      <c r="C2047" s="828"/>
      <c r="D2047" s="828"/>
      <c r="E2047" s="828"/>
      <c r="F2047" s="828"/>
      <c r="G2047" s="828"/>
      <c r="H2047" s="828"/>
      <c r="I2047" s="828"/>
      <c r="J2047" s="828"/>
    </row>
    <row r="2048" spans="1:10" ht="15">
      <c r="A2048" s="809" t="s">
        <v>14269</v>
      </c>
      <c r="B2048" s="808" t="s">
        <v>13481</v>
      </c>
      <c r="C2048" s="809" t="s">
        <v>13482</v>
      </c>
      <c r="D2048" s="809" t="s">
        <v>13483</v>
      </c>
      <c r="E2048" s="1019" t="s">
        <v>13484</v>
      </c>
      <c r="F2048" s="1019"/>
      <c r="G2048" s="810" t="s">
        <v>13485</v>
      </c>
      <c r="H2048" s="808" t="s">
        <v>13486</v>
      </c>
      <c r="I2048" s="808" t="s">
        <v>13487</v>
      </c>
      <c r="J2048" s="808" t="s">
        <v>4867</v>
      </c>
    </row>
    <row r="2049" spans="1:10" ht="13.5" customHeight="1">
      <c r="A2049" s="812" t="s">
        <v>13488</v>
      </c>
      <c r="B2049" s="811" t="s">
        <v>14270</v>
      </c>
      <c r="C2049" s="812" t="s">
        <v>6</v>
      </c>
      <c r="D2049" s="812" t="s">
        <v>1589</v>
      </c>
      <c r="E2049" s="1020" t="s">
        <v>13898</v>
      </c>
      <c r="F2049" s="1020"/>
      <c r="G2049" s="813" t="s">
        <v>24</v>
      </c>
      <c r="H2049" s="814">
        <v>1</v>
      </c>
      <c r="I2049" s="815">
        <v>3.04</v>
      </c>
      <c r="J2049" s="815">
        <v>3.04</v>
      </c>
    </row>
    <row r="2050" spans="1:10" ht="38.25" customHeight="1">
      <c r="A2050" s="817" t="s">
        <v>13491</v>
      </c>
      <c r="B2050" s="816" t="s">
        <v>13909</v>
      </c>
      <c r="C2050" s="817" t="s">
        <v>6</v>
      </c>
      <c r="D2050" s="817" t="s">
        <v>986</v>
      </c>
      <c r="E2050" s="1021" t="s">
        <v>13490</v>
      </c>
      <c r="F2050" s="1021"/>
      <c r="G2050" s="818" t="s">
        <v>19</v>
      </c>
      <c r="H2050" s="819">
        <v>2.3E-2</v>
      </c>
      <c r="I2050" s="820">
        <v>15.54</v>
      </c>
      <c r="J2050" s="820">
        <v>0.35</v>
      </c>
    </row>
    <row r="2051" spans="1:10" ht="38.25" customHeight="1">
      <c r="A2051" s="817" t="s">
        <v>13491</v>
      </c>
      <c r="B2051" s="816" t="s">
        <v>13574</v>
      </c>
      <c r="C2051" s="817" t="s">
        <v>6</v>
      </c>
      <c r="D2051" s="817" t="s">
        <v>34</v>
      </c>
      <c r="E2051" s="1021" t="s">
        <v>13490</v>
      </c>
      <c r="F2051" s="1021"/>
      <c r="G2051" s="818" t="s">
        <v>19</v>
      </c>
      <c r="H2051" s="819">
        <v>0.14399999999999999</v>
      </c>
      <c r="I2051" s="820">
        <v>18.72</v>
      </c>
      <c r="J2051" s="820">
        <v>2.69</v>
      </c>
    </row>
    <row r="2052" spans="1:10" ht="12.75" customHeight="1">
      <c r="A2052" s="827"/>
      <c r="B2052" s="827"/>
      <c r="C2052" s="827"/>
      <c r="D2052" s="827"/>
      <c r="E2052" s="827" t="s">
        <v>13503</v>
      </c>
      <c r="F2052" s="826">
        <v>2.3199999999999998</v>
      </c>
      <c r="G2052" s="827" t="s">
        <v>13504</v>
      </c>
      <c r="H2052" s="826">
        <v>0</v>
      </c>
      <c r="I2052" s="827" t="s">
        <v>13505</v>
      </c>
      <c r="J2052" s="826">
        <v>2.3199999999999998</v>
      </c>
    </row>
    <row r="2053" spans="1:10" ht="13.5" customHeight="1" thickBot="1">
      <c r="A2053" s="827"/>
      <c r="B2053" s="827"/>
      <c r="C2053" s="827"/>
      <c r="D2053" s="827"/>
      <c r="E2053" s="827" t="s">
        <v>13506</v>
      </c>
      <c r="F2053" s="826">
        <v>0.85</v>
      </c>
      <c r="G2053" s="827"/>
      <c r="H2053" s="1018" t="s">
        <v>13507</v>
      </c>
      <c r="I2053" s="1018"/>
      <c r="J2053" s="826">
        <v>3.89</v>
      </c>
    </row>
    <row r="2054" spans="1:10" ht="13.5" thickTop="1">
      <c r="A2054" s="828"/>
      <c r="B2054" s="828"/>
      <c r="C2054" s="828"/>
      <c r="D2054" s="828"/>
      <c r="E2054" s="828"/>
      <c r="F2054" s="828"/>
      <c r="G2054" s="828"/>
      <c r="H2054" s="828"/>
      <c r="I2054" s="828"/>
      <c r="J2054" s="828"/>
    </row>
    <row r="2055" spans="1:10" ht="15">
      <c r="A2055" s="809" t="s">
        <v>14271</v>
      </c>
      <c r="B2055" s="808" t="s">
        <v>13481</v>
      </c>
      <c r="C2055" s="809" t="s">
        <v>13482</v>
      </c>
      <c r="D2055" s="809" t="s">
        <v>13483</v>
      </c>
      <c r="E2055" s="1019" t="s">
        <v>13484</v>
      </c>
      <c r="F2055" s="1019"/>
      <c r="G2055" s="810" t="s">
        <v>13485</v>
      </c>
      <c r="H2055" s="808" t="s">
        <v>13486</v>
      </c>
      <c r="I2055" s="808" t="s">
        <v>13487</v>
      </c>
      <c r="J2055" s="808" t="s">
        <v>4867</v>
      </c>
    </row>
    <row r="2056" spans="1:10" ht="25.5" customHeight="1">
      <c r="A2056" s="812" t="s">
        <v>13488</v>
      </c>
      <c r="B2056" s="811" t="s">
        <v>14272</v>
      </c>
      <c r="C2056" s="812" t="s">
        <v>6</v>
      </c>
      <c r="D2056" s="812" t="s">
        <v>328</v>
      </c>
      <c r="E2056" s="1020" t="s">
        <v>13898</v>
      </c>
      <c r="F2056" s="1020"/>
      <c r="G2056" s="813" t="s">
        <v>14</v>
      </c>
      <c r="H2056" s="814">
        <v>1</v>
      </c>
      <c r="I2056" s="815">
        <v>17.940000000000001</v>
      </c>
      <c r="J2056" s="815">
        <v>17.940000000000001</v>
      </c>
    </row>
    <row r="2057" spans="1:10" ht="13.5" customHeight="1">
      <c r="A2057" s="817" t="s">
        <v>13491</v>
      </c>
      <c r="B2057" s="816" t="s">
        <v>13591</v>
      </c>
      <c r="C2057" s="817" t="s">
        <v>6</v>
      </c>
      <c r="D2057" s="817" t="s">
        <v>52</v>
      </c>
      <c r="E2057" s="1021" t="s">
        <v>13539</v>
      </c>
      <c r="F2057" s="1021"/>
      <c r="G2057" s="818" t="s">
        <v>28</v>
      </c>
      <c r="H2057" s="819">
        <v>0.157</v>
      </c>
      <c r="I2057" s="820">
        <v>15.95</v>
      </c>
      <c r="J2057" s="820">
        <v>2.5</v>
      </c>
    </row>
    <row r="2058" spans="1:10" ht="38.25" customHeight="1">
      <c r="A2058" s="817" t="s">
        <v>13491</v>
      </c>
      <c r="B2058" s="816" t="s">
        <v>13592</v>
      </c>
      <c r="C2058" s="817" t="s">
        <v>6</v>
      </c>
      <c r="D2058" s="817" t="s">
        <v>66</v>
      </c>
      <c r="E2058" s="1021" t="s">
        <v>13539</v>
      </c>
      <c r="F2058" s="1021"/>
      <c r="G2058" s="818" t="s">
        <v>42</v>
      </c>
      <c r="H2058" s="819">
        <v>0.34599999999999997</v>
      </c>
      <c r="I2058" s="820">
        <v>13.93</v>
      </c>
      <c r="J2058" s="820">
        <v>4.8099999999999996</v>
      </c>
    </row>
    <row r="2059" spans="1:10" ht="38.25" customHeight="1">
      <c r="A2059" s="817" t="s">
        <v>13491</v>
      </c>
      <c r="B2059" s="816" t="s">
        <v>13909</v>
      </c>
      <c r="C2059" s="817" t="s">
        <v>6</v>
      </c>
      <c r="D2059" s="817" t="s">
        <v>986</v>
      </c>
      <c r="E2059" s="1021" t="s">
        <v>13490</v>
      </c>
      <c r="F2059" s="1021"/>
      <c r="G2059" s="818" t="s">
        <v>19</v>
      </c>
      <c r="H2059" s="819">
        <v>7.9000000000000001E-2</v>
      </c>
      <c r="I2059" s="820">
        <v>15.54</v>
      </c>
      <c r="J2059" s="820">
        <v>1.22</v>
      </c>
    </row>
    <row r="2060" spans="1:10" ht="25.5" customHeight="1">
      <c r="A2060" s="817" t="s">
        <v>13491</v>
      </c>
      <c r="B2060" s="816" t="s">
        <v>13574</v>
      </c>
      <c r="C2060" s="817" t="s">
        <v>6</v>
      </c>
      <c r="D2060" s="817" t="s">
        <v>34</v>
      </c>
      <c r="E2060" s="1021" t="s">
        <v>13490</v>
      </c>
      <c r="F2060" s="1021"/>
      <c r="G2060" s="818" t="s">
        <v>19</v>
      </c>
      <c r="H2060" s="819">
        <v>0.503</v>
      </c>
      <c r="I2060" s="820">
        <v>18.72</v>
      </c>
      <c r="J2060" s="820">
        <v>9.41</v>
      </c>
    </row>
    <row r="2061" spans="1:10" ht="25.5">
      <c r="A2061" s="827"/>
      <c r="B2061" s="827"/>
      <c r="C2061" s="827"/>
      <c r="D2061" s="827"/>
      <c r="E2061" s="827" t="s">
        <v>13503</v>
      </c>
      <c r="F2061" s="826">
        <v>12.27</v>
      </c>
      <c r="G2061" s="827" t="s">
        <v>13504</v>
      </c>
      <c r="H2061" s="826">
        <v>0</v>
      </c>
      <c r="I2061" s="827" t="s">
        <v>13505</v>
      </c>
      <c r="J2061" s="826">
        <v>12.27</v>
      </c>
    </row>
    <row r="2062" spans="1:10" ht="13.5" customHeight="1" thickBot="1">
      <c r="A2062" s="827"/>
      <c r="B2062" s="827"/>
      <c r="C2062" s="827"/>
      <c r="D2062" s="827"/>
      <c r="E2062" s="827" t="s">
        <v>13506</v>
      </c>
      <c r="F2062" s="826">
        <v>5.0599999999999996</v>
      </c>
      <c r="G2062" s="827"/>
      <c r="H2062" s="1018" t="s">
        <v>13507</v>
      </c>
      <c r="I2062" s="1018"/>
      <c r="J2062" s="826">
        <v>23</v>
      </c>
    </row>
    <row r="2063" spans="1:10" ht="13.5" thickTop="1">
      <c r="A2063" s="828"/>
      <c r="B2063" s="828"/>
      <c r="C2063" s="828"/>
      <c r="D2063" s="828"/>
      <c r="E2063" s="828"/>
      <c r="F2063" s="828"/>
      <c r="G2063" s="828"/>
      <c r="H2063" s="828"/>
      <c r="I2063" s="828"/>
      <c r="J2063" s="828"/>
    </row>
    <row r="2064" spans="1:10" ht="15">
      <c r="A2064" s="809" t="s">
        <v>14273</v>
      </c>
      <c r="B2064" s="808" t="s">
        <v>13481</v>
      </c>
      <c r="C2064" s="809" t="s">
        <v>13482</v>
      </c>
      <c r="D2064" s="809" t="s">
        <v>13483</v>
      </c>
      <c r="E2064" s="1019" t="s">
        <v>13484</v>
      </c>
      <c r="F2064" s="1019"/>
      <c r="G2064" s="810" t="s">
        <v>13485</v>
      </c>
      <c r="H2064" s="808" t="s">
        <v>13486</v>
      </c>
      <c r="I2064" s="808" t="s">
        <v>13487</v>
      </c>
      <c r="J2064" s="808" t="s">
        <v>4867</v>
      </c>
    </row>
    <row r="2065" spans="1:10" ht="25.5" customHeight="1">
      <c r="A2065" s="812" t="s">
        <v>13488</v>
      </c>
      <c r="B2065" s="811" t="s">
        <v>14274</v>
      </c>
      <c r="C2065" s="812" t="s">
        <v>6</v>
      </c>
      <c r="D2065" s="812" t="s">
        <v>1591</v>
      </c>
      <c r="E2065" s="1020" t="s">
        <v>13898</v>
      </c>
      <c r="F2065" s="1020"/>
      <c r="G2065" s="813" t="s">
        <v>24</v>
      </c>
      <c r="H2065" s="814">
        <v>1</v>
      </c>
      <c r="I2065" s="815">
        <v>19.7</v>
      </c>
      <c r="J2065" s="815">
        <v>19.7</v>
      </c>
    </row>
    <row r="2066" spans="1:10" ht="13.5" customHeight="1">
      <c r="A2066" s="817" t="s">
        <v>13491</v>
      </c>
      <c r="B2066" s="816" t="s">
        <v>13909</v>
      </c>
      <c r="C2066" s="817" t="s">
        <v>6</v>
      </c>
      <c r="D2066" s="817" t="s">
        <v>986</v>
      </c>
      <c r="E2066" s="1021" t="s">
        <v>13490</v>
      </c>
      <c r="F2066" s="1021"/>
      <c r="G2066" s="818" t="s">
        <v>19</v>
      </c>
      <c r="H2066" s="819">
        <v>0.14599999999999999</v>
      </c>
      <c r="I2066" s="820">
        <v>15.54</v>
      </c>
      <c r="J2066" s="820">
        <v>2.2599999999999998</v>
      </c>
    </row>
    <row r="2067" spans="1:10" ht="38.25" customHeight="1">
      <c r="A2067" s="817" t="s">
        <v>13491</v>
      </c>
      <c r="B2067" s="816" t="s">
        <v>13574</v>
      </c>
      <c r="C2067" s="817" t="s">
        <v>6</v>
      </c>
      <c r="D2067" s="817" t="s">
        <v>34</v>
      </c>
      <c r="E2067" s="1021" t="s">
        <v>13490</v>
      </c>
      <c r="F2067" s="1021"/>
      <c r="G2067" s="818" t="s">
        <v>19</v>
      </c>
      <c r="H2067" s="819">
        <v>0.93200000000000005</v>
      </c>
      <c r="I2067" s="820">
        <v>18.72</v>
      </c>
      <c r="J2067" s="820">
        <v>17.440000000000001</v>
      </c>
    </row>
    <row r="2068" spans="1:10" ht="25.5">
      <c r="A2068" s="827"/>
      <c r="B2068" s="827"/>
      <c r="C2068" s="827"/>
      <c r="D2068" s="827"/>
      <c r="E2068" s="827" t="s">
        <v>13503</v>
      </c>
      <c r="F2068" s="826">
        <v>15.04</v>
      </c>
      <c r="G2068" s="827" t="s">
        <v>13504</v>
      </c>
      <c r="H2068" s="826">
        <v>0</v>
      </c>
      <c r="I2068" s="827" t="s">
        <v>13505</v>
      </c>
      <c r="J2068" s="826">
        <v>15.04</v>
      </c>
    </row>
    <row r="2069" spans="1:10" ht="38.25" customHeight="1" thickBot="1">
      <c r="A2069" s="827"/>
      <c r="B2069" s="827"/>
      <c r="C2069" s="827"/>
      <c r="D2069" s="827"/>
      <c r="E2069" s="827" t="s">
        <v>13506</v>
      </c>
      <c r="F2069" s="826">
        <v>5.56</v>
      </c>
      <c r="G2069" s="827"/>
      <c r="H2069" s="1018" t="s">
        <v>13507</v>
      </c>
      <c r="I2069" s="1018"/>
      <c r="J2069" s="826">
        <v>25.26</v>
      </c>
    </row>
    <row r="2070" spans="1:10" ht="25.5" customHeight="1" thickTop="1">
      <c r="A2070" s="828"/>
      <c r="B2070" s="828"/>
      <c r="C2070" s="828"/>
      <c r="D2070" s="828"/>
      <c r="E2070" s="828"/>
      <c r="F2070" s="828"/>
      <c r="G2070" s="828"/>
      <c r="H2070" s="828"/>
      <c r="I2070" s="828"/>
      <c r="J2070" s="828"/>
    </row>
    <row r="2071" spans="1:10" ht="25.5" customHeight="1">
      <c r="A2071" s="809" t="s">
        <v>14275</v>
      </c>
      <c r="B2071" s="808" t="s">
        <v>13481</v>
      </c>
      <c r="C2071" s="809" t="s">
        <v>13482</v>
      </c>
      <c r="D2071" s="809" t="s">
        <v>13483</v>
      </c>
      <c r="E2071" s="1019" t="s">
        <v>13484</v>
      </c>
      <c r="F2071" s="1019"/>
      <c r="G2071" s="810" t="s">
        <v>13485</v>
      </c>
      <c r="H2071" s="808" t="s">
        <v>13486</v>
      </c>
      <c r="I2071" s="808" t="s">
        <v>13487</v>
      </c>
      <c r="J2071" s="808" t="s">
        <v>4867</v>
      </c>
    </row>
    <row r="2072" spans="1:10" ht="25.5" customHeight="1">
      <c r="A2072" s="812" t="s">
        <v>13488</v>
      </c>
      <c r="B2072" s="811" t="s">
        <v>14276</v>
      </c>
      <c r="C2072" s="812" t="s">
        <v>6</v>
      </c>
      <c r="D2072" s="812" t="s">
        <v>5767</v>
      </c>
      <c r="E2072" s="1020" t="s">
        <v>14194</v>
      </c>
      <c r="F2072" s="1020"/>
      <c r="G2072" s="813" t="s">
        <v>24</v>
      </c>
      <c r="H2072" s="814">
        <v>1</v>
      </c>
      <c r="I2072" s="815">
        <v>11.61</v>
      </c>
      <c r="J2072" s="815">
        <v>11.61</v>
      </c>
    </row>
    <row r="2073" spans="1:10" ht="38.25" customHeight="1">
      <c r="A2073" s="817" t="s">
        <v>13491</v>
      </c>
      <c r="B2073" s="816" t="s">
        <v>14121</v>
      </c>
      <c r="C2073" s="817" t="s">
        <v>6</v>
      </c>
      <c r="D2073" s="817" t="s">
        <v>37</v>
      </c>
      <c r="E2073" s="1021" t="s">
        <v>13490</v>
      </c>
      <c r="F2073" s="1021"/>
      <c r="G2073" s="818" t="s">
        <v>19</v>
      </c>
      <c r="H2073" s="819">
        <v>3.5200000000000002E-2</v>
      </c>
      <c r="I2073" s="820">
        <v>15.19</v>
      </c>
      <c r="J2073" s="820">
        <v>0.53</v>
      </c>
    </row>
    <row r="2074" spans="1:10" ht="38.25" customHeight="1">
      <c r="A2074" s="817" t="s">
        <v>13491</v>
      </c>
      <c r="B2074" s="816" t="s">
        <v>13567</v>
      </c>
      <c r="C2074" s="817" t="s">
        <v>6</v>
      </c>
      <c r="D2074" s="817" t="s">
        <v>35</v>
      </c>
      <c r="E2074" s="1021" t="s">
        <v>13490</v>
      </c>
      <c r="F2074" s="1021"/>
      <c r="G2074" s="818" t="s">
        <v>19</v>
      </c>
      <c r="H2074" s="819">
        <v>3.5200000000000002E-2</v>
      </c>
      <c r="I2074" s="820">
        <v>19.53</v>
      </c>
      <c r="J2074" s="820">
        <v>0.68</v>
      </c>
    </row>
    <row r="2075" spans="1:10" ht="13.5" customHeight="1">
      <c r="A2075" s="822" t="s">
        <v>13493</v>
      </c>
      <c r="B2075" s="821" t="s">
        <v>14277</v>
      </c>
      <c r="C2075" s="822" t="s">
        <v>6</v>
      </c>
      <c r="D2075" s="822" t="s">
        <v>4638</v>
      </c>
      <c r="E2075" s="1017" t="s">
        <v>13514</v>
      </c>
      <c r="F2075" s="1017"/>
      <c r="G2075" s="823" t="s">
        <v>24</v>
      </c>
      <c r="H2075" s="824">
        <v>1</v>
      </c>
      <c r="I2075" s="825">
        <v>9.64</v>
      </c>
      <c r="J2075" s="825">
        <v>9.64</v>
      </c>
    </row>
    <row r="2076" spans="1:10" ht="25.5">
      <c r="A2076" s="822" t="s">
        <v>13493</v>
      </c>
      <c r="B2076" s="821" t="s">
        <v>14278</v>
      </c>
      <c r="C2076" s="822" t="s">
        <v>6</v>
      </c>
      <c r="D2076" s="822" t="s">
        <v>4802</v>
      </c>
      <c r="E2076" s="1017" t="s">
        <v>13514</v>
      </c>
      <c r="F2076" s="1017"/>
      <c r="G2076" s="823" t="s">
        <v>24</v>
      </c>
      <c r="H2076" s="824">
        <v>1</v>
      </c>
      <c r="I2076" s="825">
        <v>0.76</v>
      </c>
      <c r="J2076" s="825">
        <v>0.76</v>
      </c>
    </row>
    <row r="2077" spans="1:10" ht="25.5">
      <c r="A2077" s="827"/>
      <c r="B2077" s="827"/>
      <c r="C2077" s="827"/>
      <c r="D2077" s="827"/>
      <c r="E2077" s="827" t="s">
        <v>13503</v>
      </c>
      <c r="F2077" s="826">
        <v>0.87</v>
      </c>
      <c r="G2077" s="827" t="s">
        <v>13504</v>
      </c>
      <c r="H2077" s="826">
        <v>0</v>
      </c>
      <c r="I2077" s="827" t="s">
        <v>13505</v>
      </c>
      <c r="J2077" s="826">
        <v>0.87</v>
      </c>
    </row>
    <row r="2078" spans="1:10" ht="25.5" customHeight="1" thickBot="1">
      <c r="A2078" s="827"/>
      <c r="B2078" s="827"/>
      <c r="C2078" s="827"/>
      <c r="D2078" s="827"/>
      <c r="E2078" s="827" t="s">
        <v>13506</v>
      </c>
      <c r="F2078" s="826">
        <v>3.27</v>
      </c>
      <c r="G2078" s="827"/>
      <c r="H2078" s="1018" t="s">
        <v>13507</v>
      </c>
      <c r="I2078" s="1018"/>
      <c r="J2078" s="826">
        <v>14.88</v>
      </c>
    </row>
    <row r="2079" spans="1:10" ht="25.5" customHeight="1" thickTop="1">
      <c r="A2079" s="828"/>
      <c r="B2079" s="828"/>
      <c r="C2079" s="828"/>
      <c r="D2079" s="828"/>
      <c r="E2079" s="828"/>
      <c r="F2079" s="828"/>
      <c r="G2079" s="828"/>
      <c r="H2079" s="828"/>
      <c r="I2079" s="828"/>
      <c r="J2079" s="828"/>
    </row>
    <row r="2080" spans="1:10" ht="25.5" customHeight="1">
      <c r="A2080" s="809" t="s">
        <v>14279</v>
      </c>
      <c r="B2080" s="808" t="s">
        <v>13481</v>
      </c>
      <c r="C2080" s="809" t="s">
        <v>13482</v>
      </c>
      <c r="D2080" s="809" t="s">
        <v>13483</v>
      </c>
      <c r="E2080" s="1019" t="s">
        <v>13484</v>
      </c>
      <c r="F2080" s="1019"/>
      <c r="G2080" s="810" t="s">
        <v>13485</v>
      </c>
      <c r="H2080" s="808" t="s">
        <v>13486</v>
      </c>
      <c r="I2080" s="808" t="s">
        <v>13487</v>
      </c>
      <c r="J2080" s="808" t="s">
        <v>4867</v>
      </c>
    </row>
    <row r="2081" spans="1:10" ht="25.5" customHeight="1">
      <c r="A2081" s="812" t="s">
        <v>13488</v>
      </c>
      <c r="B2081" s="811" t="s">
        <v>14280</v>
      </c>
      <c r="C2081" s="812" t="s">
        <v>6</v>
      </c>
      <c r="D2081" s="812" t="s">
        <v>5768</v>
      </c>
      <c r="E2081" s="1020" t="s">
        <v>14194</v>
      </c>
      <c r="F2081" s="1020"/>
      <c r="G2081" s="813" t="s">
        <v>24</v>
      </c>
      <c r="H2081" s="814">
        <v>1</v>
      </c>
      <c r="I2081" s="815">
        <v>12.04</v>
      </c>
      <c r="J2081" s="815">
        <v>12.04</v>
      </c>
    </row>
    <row r="2082" spans="1:10" ht="38.25" customHeight="1">
      <c r="A2082" s="817" t="s">
        <v>13491</v>
      </c>
      <c r="B2082" s="816" t="s">
        <v>14121</v>
      </c>
      <c r="C2082" s="817" t="s">
        <v>6</v>
      </c>
      <c r="D2082" s="817" t="s">
        <v>37</v>
      </c>
      <c r="E2082" s="1021" t="s">
        <v>13490</v>
      </c>
      <c r="F2082" s="1021"/>
      <c r="G2082" s="818" t="s">
        <v>19</v>
      </c>
      <c r="H2082" s="819">
        <v>4.7600000000000003E-2</v>
      </c>
      <c r="I2082" s="820">
        <v>15.19</v>
      </c>
      <c r="J2082" s="820">
        <v>0.72</v>
      </c>
    </row>
    <row r="2083" spans="1:10" ht="38.25" customHeight="1">
      <c r="A2083" s="817" t="s">
        <v>13491</v>
      </c>
      <c r="B2083" s="816" t="s">
        <v>13567</v>
      </c>
      <c r="C2083" s="817" t="s">
        <v>6</v>
      </c>
      <c r="D2083" s="817" t="s">
        <v>35</v>
      </c>
      <c r="E2083" s="1021" t="s">
        <v>13490</v>
      </c>
      <c r="F2083" s="1021"/>
      <c r="G2083" s="818" t="s">
        <v>19</v>
      </c>
      <c r="H2083" s="819">
        <v>4.7600000000000003E-2</v>
      </c>
      <c r="I2083" s="820">
        <v>19.53</v>
      </c>
      <c r="J2083" s="820">
        <v>0.92</v>
      </c>
    </row>
    <row r="2084" spans="1:10" ht="13.5" customHeight="1">
      <c r="A2084" s="822" t="s">
        <v>13493</v>
      </c>
      <c r="B2084" s="821" t="s">
        <v>14277</v>
      </c>
      <c r="C2084" s="822" t="s">
        <v>6</v>
      </c>
      <c r="D2084" s="822" t="s">
        <v>4638</v>
      </c>
      <c r="E2084" s="1017" t="s">
        <v>13514</v>
      </c>
      <c r="F2084" s="1017"/>
      <c r="G2084" s="823" t="s">
        <v>24</v>
      </c>
      <c r="H2084" s="824">
        <v>1</v>
      </c>
      <c r="I2084" s="825">
        <v>9.64</v>
      </c>
      <c r="J2084" s="825">
        <v>9.64</v>
      </c>
    </row>
    <row r="2085" spans="1:10" ht="25.5">
      <c r="A2085" s="822" t="s">
        <v>13493</v>
      </c>
      <c r="B2085" s="821" t="s">
        <v>14278</v>
      </c>
      <c r="C2085" s="822" t="s">
        <v>6</v>
      </c>
      <c r="D2085" s="822" t="s">
        <v>4802</v>
      </c>
      <c r="E2085" s="1017" t="s">
        <v>13514</v>
      </c>
      <c r="F2085" s="1017"/>
      <c r="G2085" s="823" t="s">
        <v>24</v>
      </c>
      <c r="H2085" s="824">
        <v>1</v>
      </c>
      <c r="I2085" s="825">
        <v>0.76</v>
      </c>
      <c r="J2085" s="825">
        <v>0.76</v>
      </c>
    </row>
    <row r="2086" spans="1:10" ht="25.5">
      <c r="A2086" s="827"/>
      <c r="B2086" s="827"/>
      <c r="C2086" s="827"/>
      <c r="D2086" s="827"/>
      <c r="E2086" s="827" t="s">
        <v>13503</v>
      </c>
      <c r="F2086" s="826">
        <v>1.17</v>
      </c>
      <c r="G2086" s="827" t="s">
        <v>13504</v>
      </c>
      <c r="H2086" s="826">
        <v>0</v>
      </c>
      <c r="I2086" s="827" t="s">
        <v>13505</v>
      </c>
      <c r="J2086" s="826">
        <v>1.17</v>
      </c>
    </row>
    <row r="2087" spans="1:10" ht="13.5" customHeight="1" thickBot="1">
      <c r="A2087" s="827"/>
      <c r="B2087" s="827"/>
      <c r="C2087" s="827"/>
      <c r="D2087" s="827"/>
      <c r="E2087" s="827" t="s">
        <v>13506</v>
      </c>
      <c r="F2087" s="826">
        <v>3.4</v>
      </c>
      <c r="G2087" s="827"/>
      <c r="H2087" s="1018" t="s">
        <v>13507</v>
      </c>
      <c r="I2087" s="1018"/>
      <c r="J2087" s="826">
        <v>15.44</v>
      </c>
    </row>
    <row r="2088" spans="1:10" ht="13.5" thickTop="1">
      <c r="A2088" s="828"/>
      <c r="B2088" s="828"/>
      <c r="C2088" s="828"/>
      <c r="D2088" s="828"/>
      <c r="E2088" s="828"/>
      <c r="F2088" s="828"/>
      <c r="G2088" s="828"/>
      <c r="H2088" s="828"/>
      <c r="I2088" s="828"/>
      <c r="J2088" s="828"/>
    </row>
    <row r="2089" spans="1:10" ht="15">
      <c r="A2089" s="809" t="s">
        <v>14281</v>
      </c>
      <c r="B2089" s="808" t="s">
        <v>13481</v>
      </c>
      <c r="C2089" s="809" t="s">
        <v>13482</v>
      </c>
      <c r="D2089" s="809" t="s">
        <v>13483</v>
      </c>
      <c r="E2089" s="1019" t="s">
        <v>13484</v>
      </c>
      <c r="F2089" s="1019"/>
      <c r="G2089" s="810" t="s">
        <v>13485</v>
      </c>
      <c r="H2089" s="808" t="s">
        <v>13486</v>
      </c>
      <c r="I2089" s="808" t="s">
        <v>13487</v>
      </c>
      <c r="J2089" s="808" t="s">
        <v>4867</v>
      </c>
    </row>
    <row r="2090" spans="1:10" ht="25.5" customHeight="1">
      <c r="A2090" s="812" t="s">
        <v>13488</v>
      </c>
      <c r="B2090" s="811" t="s">
        <v>14282</v>
      </c>
      <c r="C2090" s="812" t="s">
        <v>6</v>
      </c>
      <c r="D2090" s="812" t="s">
        <v>5769</v>
      </c>
      <c r="E2090" s="1020" t="s">
        <v>14194</v>
      </c>
      <c r="F2090" s="1020"/>
      <c r="G2090" s="813" t="s">
        <v>24</v>
      </c>
      <c r="H2090" s="814">
        <v>1</v>
      </c>
      <c r="I2090" s="815">
        <v>12.92</v>
      </c>
      <c r="J2090" s="815">
        <v>12.92</v>
      </c>
    </row>
    <row r="2091" spans="1:10" ht="38.25" customHeight="1">
      <c r="A2091" s="817" t="s">
        <v>13491</v>
      </c>
      <c r="B2091" s="816" t="s">
        <v>14121</v>
      </c>
      <c r="C2091" s="817" t="s">
        <v>6</v>
      </c>
      <c r="D2091" s="817" t="s">
        <v>37</v>
      </c>
      <c r="E2091" s="1021" t="s">
        <v>13490</v>
      </c>
      <c r="F2091" s="1021"/>
      <c r="G2091" s="818" t="s">
        <v>19</v>
      </c>
      <c r="H2091" s="819">
        <v>6.6299999999999998E-2</v>
      </c>
      <c r="I2091" s="820">
        <v>15.19</v>
      </c>
      <c r="J2091" s="820">
        <v>1</v>
      </c>
    </row>
    <row r="2092" spans="1:10" ht="13.5" customHeight="1">
      <c r="A2092" s="817" t="s">
        <v>13491</v>
      </c>
      <c r="B2092" s="816" t="s">
        <v>13567</v>
      </c>
      <c r="C2092" s="817" t="s">
        <v>6</v>
      </c>
      <c r="D2092" s="817" t="s">
        <v>35</v>
      </c>
      <c r="E2092" s="1021" t="s">
        <v>13490</v>
      </c>
      <c r="F2092" s="1021"/>
      <c r="G2092" s="818" t="s">
        <v>19</v>
      </c>
      <c r="H2092" s="819">
        <v>6.6299999999999998E-2</v>
      </c>
      <c r="I2092" s="820">
        <v>19.53</v>
      </c>
      <c r="J2092" s="820">
        <v>1.29</v>
      </c>
    </row>
    <row r="2093" spans="1:10">
      <c r="A2093" s="822" t="s">
        <v>13493</v>
      </c>
      <c r="B2093" s="821" t="s">
        <v>14277</v>
      </c>
      <c r="C2093" s="822" t="s">
        <v>6</v>
      </c>
      <c r="D2093" s="822" t="s">
        <v>4638</v>
      </c>
      <c r="E2093" s="1017" t="s">
        <v>13514</v>
      </c>
      <c r="F2093" s="1017"/>
      <c r="G2093" s="823" t="s">
        <v>24</v>
      </c>
      <c r="H2093" s="824">
        <v>1</v>
      </c>
      <c r="I2093" s="825">
        <v>9.64</v>
      </c>
      <c r="J2093" s="825">
        <v>9.64</v>
      </c>
    </row>
    <row r="2094" spans="1:10" ht="25.5">
      <c r="A2094" s="822" t="s">
        <v>13493</v>
      </c>
      <c r="B2094" s="821" t="s">
        <v>14283</v>
      </c>
      <c r="C2094" s="822" t="s">
        <v>6</v>
      </c>
      <c r="D2094" s="822" t="s">
        <v>4803</v>
      </c>
      <c r="E2094" s="1017" t="s">
        <v>13514</v>
      </c>
      <c r="F2094" s="1017"/>
      <c r="G2094" s="823" t="s">
        <v>24</v>
      </c>
      <c r="H2094" s="824">
        <v>1</v>
      </c>
      <c r="I2094" s="825">
        <v>0.99</v>
      </c>
      <c r="J2094" s="825">
        <v>0.99</v>
      </c>
    </row>
    <row r="2095" spans="1:10" ht="25.5">
      <c r="A2095" s="827"/>
      <c r="B2095" s="827"/>
      <c r="C2095" s="827"/>
      <c r="D2095" s="827"/>
      <c r="E2095" s="827" t="s">
        <v>13503</v>
      </c>
      <c r="F2095" s="826">
        <v>1.64</v>
      </c>
      <c r="G2095" s="827" t="s">
        <v>13504</v>
      </c>
      <c r="H2095" s="826">
        <v>0</v>
      </c>
      <c r="I2095" s="827" t="s">
        <v>13505</v>
      </c>
      <c r="J2095" s="826">
        <v>1.64</v>
      </c>
    </row>
    <row r="2096" spans="1:10" ht="13.5" customHeight="1" thickBot="1">
      <c r="A2096" s="827"/>
      <c r="B2096" s="827"/>
      <c r="C2096" s="827"/>
      <c r="D2096" s="827"/>
      <c r="E2096" s="827" t="s">
        <v>13506</v>
      </c>
      <c r="F2096" s="826">
        <v>3.64</v>
      </c>
      <c r="G2096" s="827"/>
      <c r="H2096" s="1018" t="s">
        <v>13507</v>
      </c>
      <c r="I2096" s="1018"/>
      <c r="J2096" s="826">
        <v>16.559999999999999</v>
      </c>
    </row>
    <row r="2097" spans="1:10" ht="13.5" thickTop="1">
      <c r="A2097" s="828"/>
      <c r="B2097" s="828"/>
      <c r="C2097" s="828"/>
      <c r="D2097" s="828"/>
      <c r="E2097" s="828"/>
      <c r="F2097" s="828"/>
      <c r="G2097" s="828"/>
      <c r="H2097" s="828"/>
      <c r="I2097" s="828"/>
      <c r="J2097" s="828"/>
    </row>
    <row r="2098" spans="1:10" ht="15">
      <c r="A2098" s="809" t="s">
        <v>14284</v>
      </c>
      <c r="B2098" s="808" t="s">
        <v>13481</v>
      </c>
      <c r="C2098" s="809" t="s">
        <v>13482</v>
      </c>
      <c r="D2098" s="809" t="s">
        <v>13483</v>
      </c>
      <c r="E2098" s="1019" t="s">
        <v>13484</v>
      </c>
      <c r="F2098" s="1019"/>
      <c r="G2098" s="810" t="s">
        <v>13485</v>
      </c>
      <c r="H2098" s="808" t="s">
        <v>13486</v>
      </c>
      <c r="I2098" s="808" t="s">
        <v>13487</v>
      </c>
      <c r="J2098" s="808" t="s">
        <v>4867</v>
      </c>
    </row>
    <row r="2099" spans="1:10" ht="25.5" customHeight="1">
      <c r="A2099" s="812" t="s">
        <v>13488</v>
      </c>
      <c r="B2099" s="811" t="s">
        <v>14285</v>
      </c>
      <c r="C2099" s="812" t="s">
        <v>6</v>
      </c>
      <c r="D2099" s="812" t="s">
        <v>5770</v>
      </c>
      <c r="E2099" s="1020" t="s">
        <v>14194</v>
      </c>
      <c r="F2099" s="1020"/>
      <c r="G2099" s="813" t="s">
        <v>24</v>
      </c>
      <c r="H2099" s="814">
        <v>1</v>
      </c>
      <c r="I2099" s="815">
        <v>12.92</v>
      </c>
      <c r="J2099" s="815">
        <v>12.92</v>
      </c>
    </row>
    <row r="2100" spans="1:10" ht="13.5" customHeight="1">
      <c r="A2100" s="817" t="s">
        <v>13491</v>
      </c>
      <c r="B2100" s="816" t="s">
        <v>14121</v>
      </c>
      <c r="C2100" s="817" t="s">
        <v>6</v>
      </c>
      <c r="D2100" s="817" t="s">
        <v>37</v>
      </c>
      <c r="E2100" s="1021" t="s">
        <v>13490</v>
      </c>
      <c r="F2100" s="1021"/>
      <c r="G2100" s="818" t="s">
        <v>19</v>
      </c>
      <c r="H2100" s="819">
        <v>6.6299999999999998E-2</v>
      </c>
      <c r="I2100" s="820">
        <v>15.19</v>
      </c>
      <c r="J2100" s="820">
        <v>1</v>
      </c>
    </row>
    <row r="2101" spans="1:10" ht="38.25" customHeight="1">
      <c r="A2101" s="817" t="s">
        <v>13491</v>
      </c>
      <c r="B2101" s="816" t="s">
        <v>13567</v>
      </c>
      <c r="C2101" s="817" t="s">
        <v>6</v>
      </c>
      <c r="D2101" s="817" t="s">
        <v>35</v>
      </c>
      <c r="E2101" s="1021" t="s">
        <v>13490</v>
      </c>
      <c r="F2101" s="1021"/>
      <c r="G2101" s="818" t="s">
        <v>19</v>
      </c>
      <c r="H2101" s="819">
        <v>6.6299999999999998E-2</v>
      </c>
      <c r="I2101" s="820">
        <v>19.53</v>
      </c>
      <c r="J2101" s="820">
        <v>1.29</v>
      </c>
    </row>
    <row r="2102" spans="1:10">
      <c r="A2102" s="822" t="s">
        <v>13493</v>
      </c>
      <c r="B2102" s="821" t="s">
        <v>14277</v>
      </c>
      <c r="C2102" s="822" t="s">
        <v>6</v>
      </c>
      <c r="D2102" s="822" t="s">
        <v>4638</v>
      </c>
      <c r="E2102" s="1017" t="s">
        <v>13514</v>
      </c>
      <c r="F2102" s="1017"/>
      <c r="G2102" s="823" t="s">
        <v>24</v>
      </c>
      <c r="H2102" s="824">
        <v>1</v>
      </c>
      <c r="I2102" s="825">
        <v>9.64</v>
      </c>
      <c r="J2102" s="825">
        <v>9.64</v>
      </c>
    </row>
    <row r="2103" spans="1:10" ht="12.75" customHeight="1">
      <c r="A2103" s="822" t="s">
        <v>13493</v>
      </c>
      <c r="B2103" s="821" t="s">
        <v>14283</v>
      </c>
      <c r="C2103" s="822" t="s">
        <v>6</v>
      </c>
      <c r="D2103" s="822" t="s">
        <v>4803</v>
      </c>
      <c r="E2103" s="1017" t="s">
        <v>13514</v>
      </c>
      <c r="F2103" s="1017"/>
      <c r="G2103" s="823" t="s">
        <v>24</v>
      </c>
      <c r="H2103" s="824">
        <v>1</v>
      </c>
      <c r="I2103" s="825">
        <v>0.99</v>
      </c>
      <c r="J2103" s="825">
        <v>0.99</v>
      </c>
    </row>
    <row r="2104" spans="1:10" ht="25.5">
      <c r="A2104" s="827"/>
      <c r="B2104" s="827"/>
      <c r="C2104" s="827"/>
      <c r="D2104" s="827"/>
      <c r="E2104" s="827" t="s">
        <v>13503</v>
      </c>
      <c r="F2104" s="826">
        <v>1.64</v>
      </c>
      <c r="G2104" s="827" t="s">
        <v>13504</v>
      </c>
      <c r="H2104" s="826">
        <v>0</v>
      </c>
      <c r="I2104" s="827" t="s">
        <v>13505</v>
      </c>
      <c r="J2104" s="826">
        <v>1.64</v>
      </c>
    </row>
    <row r="2105" spans="1:10" ht="13.5" customHeight="1" thickBot="1">
      <c r="A2105" s="827"/>
      <c r="B2105" s="827"/>
      <c r="C2105" s="827"/>
      <c r="D2105" s="827"/>
      <c r="E2105" s="827" t="s">
        <v>13506</v>
      </c>
      <c r="F2105" s="826">
        <v>3.64</v>
      </c>
      <c r="G2105" s="827"/>
      <c r="H2105" s="1018" t="s">
        <v>13507</v>
      </c>
      <c r="I2105" s="1018"/>
      <c r="J2105" s="826">
        <v>16.559999999999999</v>
      </c>
    </row>
    <row r="2106" spans="1:10" ht="13.5" thickTop="1">
      <c r="A2106" s="828"/>
      <c r="B2106" s="828"/>
      <c r="C2106" s="828"/>
      <c r="D2106" s="828"/>
      <c r="E2106" s="828"/>
      <c r="F2106" s="828"/>
      <c r="G2106" s="828"/>
      <c r="H2106" s="828"/>
      <c r="I2106" s="828"/>
      <c r="J2106" s="828"/>
    </row>
    <row r="2107" spans="1:10" ht="15">
      <c r="A2107" s="809" t="s">
        <v>14286</v>
      </c>
      <c r="B2107" s="808" t="s">
        <v>13481</v>
      </c>
      <c r="C2107" s="809" t="s">
        <v>13482</v>
      </c>
      <c r="D2107" s="809" t="s">
        <v>13483</v>
      </c>
      <c r="E2107" s="1019" t="s">
        <v>13484</v>
      </c>
      <c r="F2107" s="1019"/>
      <c r="G2107" s="810" t="s">
        <v>13485</v>
      </c>
      <c r="H2107" s="808" t="s">
        <v>13486</v>
      </c>
      <c r="I2107" s="808" t="s">
        <v>13487</v>
      </c>
      <c r="J2107" s="808" t="s">
        <v>4867</v>
      </c>
    </row>
    <row r="2108" spans="1:10" ht="25.5" customHeight="1">
      <c r="A2108" s="812" t="s">
        <v>13488</v>
      </c>
      <c r="B2108" s="811" t="s">
        <v>14287</v>
      </c>
      <c r="C2108" s="812" t="s">
        <v>6</v>
      </c>
      <c r="D2108" s="812" t="s">
        <v>5774</v>
      </c>
      <c r="E2108" s="1020" t="s">
        <v>14194</v>
      </c>
      <c r="F2108" s="1020"/>
      <c r="G2108" s="813" t="s">
        <v>24</v>
      </c>
      <c r="H2108" s="814">
        <v>1</v>
      </c>
      <c r="I2108" s="815">
        <v>59.23</v>
      </c>
      <c r="J2108" s="815">
        <v>59.23</v>
      </c>
    </row>
    <row r="2109" spans="1:10" ht="38.25" customHeight="1">
      <c r="A2109" s="817" t="s">
        <v>13491</v>
      </c>
      <c r="B2109" s="816" t="s">
        <v>14121</v>
      </c>
      <c r="C2109" s="817" t="s">
        <v>6</v>
      </c>
      <c r="D2109" s="817" t="s">
        <v>37</v>
      </c>
      <c r="E2109" s="1021" t="s">
        <v>13490</v>
      </c>
      <c r="F2109" s="1021"/>
      <c r="G2109" s="818" t="s">
        <v>19</v>
      </c>
      <c r="H2109" s="819">
        <v>7.0300000000000001E-2</v>
      </c>
      <c r="I2109" s="820">
        <v>15.19</v>
      </c>
      <c r="J2109" s="820">
        <v>1.06</v>
      </c>
    </row>
    <row r="2110" spans="1:10" ht="38.25" customHeight="1">
      <c r="A2110" s="817" t="s">
        <v>13491</v>
      </c>
      <c r="B2110" s="816" t="s">
        <v>13567</v>
      </c>
      <c r="C2110" s="817" t="s">
        <v>6</v>
      </c>
      <c r="D2110" s="817" t="s">
        <v>35</v>
      </c>
      <c r="E2110" s="1021" t="s">
        <v>13490</v>
      </c>
      <c r="F2110" s="1021"/>
      <c r="G2110" s="818" t="s">
        <v>19</v>
      </c>
      <c r="H2110" s="819">
        <v>7.0300000000000001E-2</v>
      </c>
      <c r="I2110" s="820">
        <v>19.53</v>
      </c>
      <c r="J2110" s="820">
        <v>1.37</v>
      </c>
    </row>
    <row r="2111" spans="1:10">
      <c r="A2111" s="822" t="s">
        <v>13493</v>
      </c>
      <c r="B2111" s="821" t="s">
        <v>14288</v>
      </c>
      <c r="C2111" s="822" t="s">
        <v>6</v>
      </c>
      <c r="D2111" s="822" t="s">
        <v>4637</v>
      </c>
      <c r="E2111" s="1017" t="s">
        <v>13514</v>
      </c>
      <c r="F2111" s="1017"/>
      <c r="G2111" s="823" t="s">
        <v>24</v>
      </c>
      <c r="H2111" s="824">
        <v>1</v>
      </c>
      <c r="I2111" s="825">
        <v>55.28</v>
      </c>
      <c r="J2111" s="825">
        <v>55.28</v>
      </c>
    </row>
    <row r="2112" spans="1:10" ht="25.5">
      <c r="A2112" s="822" t="s">
        <v>13493</v>
      </c>
      <c r="B2112" s="821" t="s">
        <v>14278</v>
      </c>
      <c r="C2112" s="822" t="s">
        <v>6</v>
      </c>
      <c r="D2112" s="822" t="s">
        <v>4802</v>
      </c>
      <c r="E2112" s="1017" t="s">
        <v>13514</v>
      </c>
      <c r="F2112" s="1017"/>
      <c r="G2112" s="823" t="s">
        <v>24</v>
      </c>
      <c r="H2112" s="824">
        <v>2</v>
      </c>
      <c r="I2112" s="825">
        <v>0.76</v>
      </c>
      <c r="J2112" s="825">
        <v>1.52</v>
      </c>
    </row>
    <row r="2113" spans="1:10" ht="13.5" customHeight="1">
      <c r="A2113" s="827"/>
      <c r="B2113" s="827"/>
      <c r="C2113" s="827"/>
      <c r="D2113" s="827"/>
      <c r="E2113" s="827" t="s">
        <v>13503</v>
      </c>
      <c r="F2113" s="826">
        <v>1.74</v>
      </c>
      <c r="G2113" s="827" t="s">
        <v>13504</v>
      </c>
      <c r="H2113" s="826">
        <v>0</v>
      </c>
      <c r="I2113" s="827" t="s">
        <v>13505</v>
      </c>
      <c r="J2113" s="826">
        <v>1.74</v>
      </c>
    </row>
    <row r="2114" spans="1:10" ht="13.5" customHeight="1" thickBot="1">
      <c r="A2114" s="827"/>
      <c r="B2114" s="827"/>
      <c r="C2114" s="827"/>
      <c r="D2114" s="827"/>
      <c r="E2114" s="827" t="s">
        <v>13506</v>
      </c>
      <c r="F2114" s="826">
        <v>16.72</v>
      </c>
      <c r="G2114" s="827"/>
      <c r="H2114" s="1018" t="s">
        <v>13507</v>
      </c>
      <c r="I2114" s="1018"/>
      <c r="J2114" s="826">
        <v>75.95</v>
      </c>
    </row>
    <row r="2115" spans="1:10" ht="13.5" thickTop="1">
      <c r="A2115" s="828"/>
      <c r="B2115" s="828"/>
      <c r="C2115" s="828"/>
      <c r="D2115" s="828"/>
      <c r="E2115" s="828"/>
      <c r="F2115" s="828"/>
      <c r="G2115" s="828"/>
      <c r="H2115" s="828"/>
      <c r="I2115" s="828"/>
      <c r="J2115" s="828"/>
    </row>
    <row r="2116" spans="1:10" ht="12.75" customHeight="1">
      <c r="A2116" s="809" t="s">
        <v>14289</v>
      </c>
      <c r="B2116" s="808" t="s">
        <v>13481</v>
      </c>
      <c r="C2116" s="809" t="s">
        <v>13482</v>
      </c>
      <c r="D2116" s="809" t="s">
        <v>13483</v>
      </c>
      <c r="E2116" s="1019" t="s">
        <v>13484</v>
      </c>
      <c r="F2116" s="1019"/>
      <c r="G2116" s="810" t="s">
        <v>13485</v>
      </c>
      <c r="H2116" s="808" t="s">
        <v>13486</v>
      </c>
      <c r="I2116" s="808" t="s">
        <v>13487</v>
      </c>
      <c r="J2116" s="808" t="s">
        <v>4867</v>
      </c>
    </row>
    <row r="2117" spans="1:10" ht="25.5" customHeight="1">
      <c r="A2117" s="812" t="s">
        <v>13488</v>
      </c>
      <c r="B2117" s="811" t="s">
        <v>14290</v>
      </c>
      <c r="C2117" s="812" t="s">
        <v>6</v>
      </c>
      <c r="D2117" s="812" t="s">
        <v>5777</v>
      </c>
      <c r="E2117" s="1020" t="s">
        <v>14194</v>
      </c>
      <c r="F2117" s="1020"/>
      <c r="G2117" s="813" t="s">
        <v>24</v>
      </c>
      <c r="H2117" s="814">
        <v>1</v>
      </c>
      <c r="I2117" s="815">
        <v>61.85</v>
      </c>
      <c r="J2117" s="815">
        <v>61.85</v>
      </c>
    </row>
    <row r="2118" spans="1:10" ht="38.25" customHeight="1">
      <c r="A2118" s="817" t="s">
        <v>13491</v>
      </c>
      <c r="B2118" s="816" t="s">
        <v>13567</v>
      </c>
      <c r="C2118" s="817" t="s">
        <v>6</v>
      </c>
      <c r="D2118" s="817" t="s">
        <v>35</v>
      </c>
      <c r="E2118" s="1021" t="s">
        <v>13490</v>
      </c>
      <c r="F2118" s="1021"/>
      <c r="G2118" s="818" t="s">
        <v>19</v>
      </c>
      <c r="H2118" s="819">
        <v>0.13250000000000001</v>
      </c>
      <c r="I2118" s="820">
        <v>19.53</v>
      </c>
      <c r="J2118" s="820">
        <v>2.58</v>
      </c>
    </row>
    <row r="2119" spans="1:10" ht="38.25" customHeight="1">
      <c r="A2119" s="817" t="s">
        <v>13491</v>
      </c>
      <c r="B2119" s="816" t="s">
        <v>14121</v>
      </c>
      <c r="C2119" s="817" t="s">
        <v>6</v>
      </c>
      <c r="D2119" s="817" t="s">
        <v>37</v>
      </c>
      <c r="E2119" s="1021" t="s">
        <v>13490</v>
      </c>
      <c r="F2119" s="1021"/>
      <c r="G2119" s="818" t="s">
        <v>19</v>
      </c>
      <c r="H2119" s="819">
        <v>0.13250000000000001</v>
      </c>
      <c r="I2119" s="820">
        <v>15.19</v>
      </c>
      <c r="J2119" s="820">
        <v>2.0099999999999998</v>
      </c>
    </row>
    <row r="2120" spans="1:10">
      <c r="A2120" s="822" t="s">
        <v>13493</v>
      </c>
      <c r="B2120" s="821" t="s">
        <v>14288</v>
      </c>
      <c r="C2120" s="822" t="s">
        <v>6</v>
      </c>
      <c r="D2120" s="822" t="s">
        <v>4637</v>
      </c>
      <c r="E2120" s="1017" t="s">
        <v>13514</v>
      </c>
      <c r="F2120" s="1017"/>
      <c r="G2120" s="823" t="s">
        <v>24</v>
      </c>
      <c r="H2120" s="824">
        <v>1</v>
      </c>
      <c r="I2120" s="825">
        <v>55.28</v>
      </c>
      <c r="J2120" s="825">
        <v>55.28</v>
      </c>
    </row>
    <row r="2121" spans="1:10" ht="25.5">
      <c r="A2121" s="822" t="s">
        <v>13493</v>
      </c>
      <c r="B2121" s="821" t="s">
        <v>14283</v>
      </c>
      <c r="C2121" s="822" t="s">
        <v>6</v>
      </c>
      <c r="D2121" s="822" t="s">
        <v>4803</v>
      </c>
      <c r="E2121" s="1017" t="s">
        <v>13514</v>
      </c>
      <c r="F2121" s="1017"/>
      <c r="G2121" s="823" t="s">
        <v>24</v>
      </c>
      <c r="H2121" s="824">
        <v>2</v>
      </c>
      <c r="I2121" s="825">
        <v>0.99</v>
      </c>
      <c r="J2121" s="825">
        <v>1.98</v>
      </c>
    </row>
    <row r="2122" spans="1:10" ht="25.5">
      <c r="A2122" s="827"/>
      <c r="B2122" s="827"/>
      <c r="C2122" s="827"/>
      <c r="D2122" s="827"/>
      <c r="E2122" s="827" t="s">
        <v>13503</v>
      </c>
      <c r="F2122" s="826">
        <v>3.29</v>
      </c>
      <c r="G2122" s="827" t="s">
        <v>13504</v>
      </c>
      <c r="H2122" s="826">
        <v>0</v>
      </c>
      <c r="I2122" s="827" t="s">
        <v>13505</v>
      </c>
      <c r="J2122" s="826">
        <v>3.29</v>
      </c>
    </row>
    <row r="2123" spans="1:10" ht="13.5" customHeight="1" thickBot="1">
      <c r="A2123" s="827"/>
      <c r="B2123" s="827"/>
      <c r="C2123" s="827"/>
      <c r="D2123" s="827"/>
      <c r="E2123" s="827" t="s">
        <v>13506</v>
      </c>
      <c r="F2123" s="826">
        <v>17.46</v>
      </c>
      <c r="G2123" s="827"/>
      <c r="H2123" s="1018" t="s">
        <v>13507</v>
      </c>
      <c r="I2123" s="1018"/>
      <c r="J2123" s="826">
        <v>79.31</v>
      </c>
    </row>
    <row r="2124" spans="1:10" ht="13.5" thickTop="1">
      <c r="A2124" s="828"/>
      <c r="B2124" s="828"/>
      <c r="C2124" s="828"/>
      <c r="D2124" s="828"/>
      <c r="E2124" s="828"/>
      <c r="F2124" s="828"/>
      <c r="G2124" s="828"/>
      <c r="H2124" s="828"/>
      <c r="I2124" s="828"/>
      <c r="J2124" s="828"/>
    </row>
    <row r="2125" spans="1:10" ht="15">
      <c r="A2125" s="809" t="s">
        <v>14291</v>
      </c>
      <c r="B2125" s="808" t="s">
        <v>13481</v>
      </c>
      <c r="C2125" s="809" t="s">
        <v>13482</v>
      </c>
      <c r="D2125" s="809" t="s">
        <v>13483</v>
      </c>
      <c r="E2125" s="1019" t="s">
        <v>13484</v>
      </c>
      <c r="F2125" s="1019"/>
      <c r="G2125" s="810" t="s">
        <v>13485</v>
      </c>
      <c r="H2125" s="808" t="s">
        <v>13486</v>
      </c>
      <c r="I2125" s="808" t="s">
        <v>13487</v>
      </c>
      <c r="J2125" s="808" t="s">
        <v>4867</v>
      </c>
    </row>
    <row r="2126" spans="1:10" ht="13.5" customHeight="1">
      <c r="A2126" s="812" t="s">
        <v>13488</v>
      </c>
      <c r="B2126" s="811" t="s">
        <v>14292</v>
      </c>
      <c r="C2126" s="812" t="s">
        <v>6</v>
      </c>
      <c r="D2126" s="812" t="s">
        <v>5785</v>
      </c>
      <c r="E2126" s="1020" t="s">
        <v>14194</v>
      </c>
      <c r="F2126" s="1020"/>
      <c r="G2126" s="813" t="s">
        <v>24</v>
      </c>
      <c r="H2126" s="814">
        <v>1</v>
      </c>
      <c r="I2126" s="815">
        <v>80.75</v>
      </c>
      <c r="J2126" s="815">
        <v>80.75</v>
      </c>
    </row>
    <row r="2127" spans="1:10" ht="38.25" customHeight="1">
      <c r="A2127" s="817" t="s">
        <v>13491</v>
      </c>
      <c r="B2127" s="816" t="s">
        <v>13567</v>
      </c>
      <c r="C2127" s="817" t="s">
        <v>6</v>
      </c>
      <c r="D2127" s="817" t="s">
        <v>35</v>
      </c>
      <c r="E2127" s="1021" t="s">
        <v>13490</v>
      </c>
      <c r="F2127" s="1021"/>
      <c r="G2127" s="818" t="s">
        <v>19</v>
      </c>
      <c r="H2127" s="819">
        <v>0.27339999999999998</v>
      </c>
      <c r="I2127" s="820">
        <v>19.53</v>
      </c>
      <c r="J2127" s="820">
        <v>5.33</v>
      </c>
    </row>
    <row r="2128" spans="1:10" ht="38.25" customHeight="1">
      <c r="A2128" s="817" t="s">
        <v>13491</v>
      </c>
      <c r="B2128" s="816" t="s">
        <v>14121</v>
      </c>
      <c r="C2128" s="817" t="s">
        <v>6</v>
      </c>
      <c r="D2128" s="817" t="s">
        <v>37</v>
      </c>
      <c r="E2128" s="1021" t="s">
        <v>13490</v>
      </c>
      <c r="F2128" s="1021"/>
      <c r="G2128" s="818" t="s">
        <v>19</v>
      </c>
      <c r="H2128" s="819">
        <v>0.27339999999999998</v>
      </c>
      <c r="I2128" s="820">
        <v>15.19</v>
      </c>
      <c r="J2128" s="820">
        <v>4.1500000000000004</v>
      </c>
    </row>
    <row r="2129" spans="1:10">
      <c r="A2129" s="822" t="s">
        <v>13493</v>
      </c>
      <c r="B2129" s="821" t="s">
        <v>14293</v>
      </c>
      <c r="C2129" s="822" t="s">
        <v>6</v>
      </c>
      <c r="D2129" s="822" t="s">
        <v>4639</v>
      </c>
      <c r="E2129" s="1017" t="s">
        <v>13514</v>
      </c>
      <c r="F2129" s="1017"/>
      <c r="G2129" s="823" t="s">
        <v>24</v>
      </c>
      <c r="H2129" s="824">
        <v>1</v>
      </c>
      <c r="I2129" s="825">
        <v>67.73</v>
      </c>
      <c r="J2129" s="825">
        <v>67.73</v>
      </c>
    </row>
    <row r="2130" spans="1:10" ht="25.5">
      <c r="A2130" s="822" t="s">
        <v>13493</v>
      </c>
      <c r="B2130" s="821" t="s">
        <v>14294</v>
      </c>
      <c r="C2130" s="822" t="s">
        <v>6</v>
      </c>
      <c r="D2130" s="822" t="s">
        <v>12644</v>
      </c>
      <c r="E2130" s="1017" t="s">
        <v>13514</v>
      </c>
      <c r="F2130" s="1017"/>
      <c r="G2130" s="823" t="s">
        <v>24</v>
      </c>
      <c r="H2130" s="824">
        <v>3</v>
      </c>
      <c r="I2130" s="825">
        <v>1.18</v>
      </c>
      <c r="J2130" s="825">
        <v>3.54</v>
      </c>
    </row>
    <row r="2131" spans="1:10" ht="25.5">
      <c r="A2131" s="827"/>
      <c r="B2131" s="827"/>
      <c r="C2131" s="827"/>
      <c r="D2131" s="827"/>
      <c r="E2131" s="827" t="s">
        <v>13503</v>
      </c>
      <c r="F2131" s="826">
        <v>6.79</v>
      </c>
      <c r="G2131" s="827" t="s">
        <v>13504</v>
      </c>
      <c r="H2131" s="826">
        <v>0</v>
      </c>
      <c r="I2131" s="827" t="s">
        <v>13505</v>
      </c>
      <c r="J2131" s="826">
        <v>6.79</v>
      </c>
    </row>
    <row r="2132" spans="1:10" ht="13.5" customHeight="1" thickBot="1">
      <c r="A2132" s="827"/>
      <c r="B2132" s="827"/>
      <c r="C2132" s="827"/>
      <c r="D2132" s="827"/>
      <c r="E2132" s="827" t="s">
        <v>13506</v>
      </c>
      <c r="F2132" s="826">
        <v>22.8</v>
      </c>
      <c r="G2132" s="827"/>
      <c r="H2132" s="1018" t="s">
        <v>13507</v>
      </c>
      <c r="I2132" s="1018"/>
      <c r="J2132" s="826">
        <v>103.55</v>
      </c>
    </row>
    <row r="2133" spans="1:10" ht="13.5" thickTop="1">
      <c r="A2133" s="828"/>
      <c r="B2133" s="828"/>
      <c r="C2133" s="828"/>
      <c r="D2133" s="828"/>
      <c r="E2133" s="828"/>
      <c r="F2133" s="828"/>
      <c r="G2133" s="828"/>
      <c r="H2133" s="828"/>
      <c r="I2133" s="828"/>
      <c r="J2133" s="828"/>
    </row>
    <row r="2134" spans="1:10" ht="15">
      <c r="A2134" s="809" t="s">
        <v>14295</v>
      </c>
      <c r="B2134" s="808" t="s">
        <v>13481</v>
      </c>
      <c r="C2134" s="809" t="s">
        <v>13482</v>
      </c>
      <c r="D2134" s="809" t="s">
        <v>13483</v>
      </c>
      <c r="E2134" s="1019" t="s">
        <v>13484</v>
      </c>
      <c r="F2134" s="1019"/>
      <c r="G2134" s="810" t="s">
        <v>13485</v>
      </c>
      <c r="H2134" s="808" t="s">
        <v>13486</v>
      </c>
      <c r="I2134" s="808" t="s">
        <v>13487</v>
      </c>
      <c r="J2134" s="808" t="s">
        <v>4867</v>
      </c>
    </row>
    <row r="2135" spans="1:10" ht="25.5" customHeight="1">
      <c r="A2135" s="812" t="s">
        <v>13488</v>
      </c>
      <c r="B2135" s="811" t="s">
        <v>14296</v>
      </c>
      <c r="C2135" s="812" t="s">
        <v>6</v>
      </c>
      <c r="D2135" s="812" t="s">
        <v>5813</v>
      </c>
      <c r="E2135" s="1020" t="s">
        <v>14194</v>
      </c>
      <c r="F2135" s="1020"/>
      <c r="G2135" s="813" t="s">
        <v>24</v>
      </c>
      <c r="H2135" s="814">
        <v>1</v>
      </c>
      <c r="I2135" s="815">
        <v>170.01</v>
      </c>
      <c r="J2135" s="815">
        <v>170.01</v>
      </c>
    </row>
    <row r="2136" spans="1:10" ht="38.25" customHeight="1">
      <c r="A2136" s="817" t="s">
        <v>13491</v>
      </c>
      <c r="B2136" s="816" t="s">
        <v>14121</v>
      </c>
      <c r="C2136" s="817" t="s">
        <v>6</v>
      </c>
      <c r="D2136" s="817" t="s">
        <v>37</v>
      </c>
      <c r="E2136" s="1021" t="s">
        <v>13490</v>
      </c>
      <c r="F2136" s="1021"/>
      <c r="G2136" s="818" t="s">
        <v>19</v>
      </c>
      <c r="H2136" s="819">
        <v>0.1988</v>
      </c>
      <c r="I2136" s="820">
        <v>15.19</v>
      </c>
      <c r="J2136" s="820">
        <v>3.01</v>
      </c>
    </row>
    <row r="2137" spans="1:10" ht="38.25" customHeight="1">
      <c r="A2137" s="817" t="s">
        <v>13491</v>
      </c>
      <c r="B2137" s="816" t="s">
        <v>13567</v>
      </c>
      <c r="C2137" s="817" t="s">
        <v>6</v>
      </c>
      <c r="D2137" s="817" t="s">
        <v>35</v>
      </c>
      <c r="E2137" s="1021" t="s">
        <v>13490</v>
      </c>
      <c r="F2137" s="1021"/>
      <c r="G2137" s="818" t="s">
        <v>19</v>
      </c>
      <c r="H2137" s="819">
        <v>0.1988</v>
      </c>
      <c r="I2137" s="820">
        <v>19.53</v>
      </c>
      <c r="J2137" s="820">
        <v>3.88</v>
      </c>
    </row>
    <row r="2138" spans="1:10" ht="25.5">
      <c r="A2138" s="822" t="s">
        <v>13493</v>
      </c>
      <c r="B2138" s="821" t="s">
        <v>14297</v>
      </c>
      <c r="C2138" s="822" t="s">
        <v>6</v>
      </c>
      <c r="D2138" s="822" t="s">
        <v>9768</v>
      </c>
      <c r="E2138" s="1017" t="s">
        <v>13514</v>
      </c>
      <c r="F2138" s="1017"/>
      <c r="G2138" s="823" t="s">
        <v>24</v>
      </c>
      <c r="H2138" s="824">
        <v>1</v>
      </c>
      <c r="I2138" s="825">
        <v>160.15</v>
      </c>
      <c r="J2138" s="825">
        <v>160.15</v>
      </c>
    </row>
    <row r="2139" spans="1:10" ht="13.5" customHeight="1">
      <c r="A2139" s="822" t="s">
        <v>13493</v>
      </c>
      <c r="B2139" s="821" t="s">
        <v>14283</v>
      </c>
      <c r="C2139" s="822" t="s">
        <v>6</v>
      </c>
      <c r="D2139" s="822" t="s">
        <v>4803</v>
      </c>
      <c r="E2139" s="1017" t="s">
        <v>13514</v>
      </c>
      <c r="F2139" s="1017"/>
      <c r="G2139" s="823" t="s">
        <v>24</v>
      </c>
      <c r="H2139" s="824">
        <v>3</v>
      </c>
      <c r="I2139" s="825">
        <v>0.99</v>
      </c>
      <c r="J2139" s="825">
        <v>2.97</v>
      </c>
    </row>
    <row r="2140" spans="1:10" ht="25.5">
      <c r="A2140" s="827"/>
      <c r="B2140" s="827"/>
      <c r="C2140" s="827"/>
      <c r="D2140" s="827"/>
      <c r="E2140" s="827" t="s">
        <v>13503</v>
      </c>
      <c r="F2140" s="826">
        <v>4.9400000000000004</v>
      </c>
      <c r="G2140" s="827" t="s">
        <v>13504</v>
      </c>
      <c r="H2140" s="826">
        <v>0</v>
      </c>
      <c r="I2140" s="827" t="s">
        <v>13505</v>
      </c>
      <c r="J2140" s="826">
        <v>4.9400000000000004</v>
      </c>
    </row>
    <row r="2141" spans="1:10" ht="13.5" customHeight="1" thickBot="1">
      <c r="A2141" s="827"/>
      <c r="B2141" s="827"/>
      <c r="C2141" s="827"/>
      <c r="D2141" s="827"/>
      <c r="E2141" s="827" t="s">
        <v>13506</v>
      </c>
      <c r="F2141" s="826">
        <v>48.01</v>
      </c>
      <c r="G2141" s="827"/>
      <c r="H2141" s="1018" t="s">
        <v>13507</v>
      </c>
      <c r="I2141" s="1018"/>
      <c r="J2141" s="826">
        <v>218.02</v>
      </c>
    </row>
    <row r="2142" spans="1:10" ht="12.75" customHeight="1" thickTop="1">
      <c r="A2142" s="828"/>
      <c r="B2142" s="828"/>
      <c r="C2142" s="828"/>
      <c r="D2142" s="828"/>
      <c r="E2142" s="828"/>
      <c r="F2142" s="828"/>
      <c r="G2142" s="828"/>
      <c r="H2142" s="828"/>
      <c r="I2142" s="828"/>
      <c r="J2142" s="828"/>
    </row>
    <row r="2143" spans="1:10" ht="15">
      <c r="A2143" s="809" t="s">
        <v>14298</v>
      </c>
      <c r="B2143" s="808" t="s">
        <v>13481</v>
      </c>
      <c r="C2143" s="809" t="s">
        <v>13482</v>
      </c>
      <c r="D2143" s="809" t="s">
        <v>13483</v>
      </c>
      <c r="E2143" s="1019" t="s">
        <v>13484</v>
      </c>
      <c r="F2143" s="1019"/>
      <c r="G2143" s="810" t="s">
        <v>13485</v>
      </c>
      <c r="H2143" s="808" t="s">
        <v>13486</v>
      </c>
      <c r="I2143" s="808" t="s">
        <v>13487</v>
      </c>
      <c r="J2143" s="808" t="s">
        <v>4867</v>
      </c>
    </row>
    <row r="2144" spans="1:10" ht="25.5" customHeight="1">
      <c r="A2144" s="812" t="s">
        <v>13488</v>
      </c>
      <c r="B2144" s="811" t="s">
        <v>14299</v>
      </c>
      <c r="C2144" s="812" t="s">
        <v>6</v>
      </c>
      <c r="D2144" s="812" t="s">
        <v>1807</v>
      </c>
      <c r="E2144" s="1020" t="s">
        <v>14194</v>
      </c>
      <c r="F2144" s="1020"/>
      <c r="G2144" s="813" t="s">
        <v>14</v>
      </c>
      <c r="H2144" s="814">
        <v>1</v>
      </c>
      <c r="I2144" s="815">
        <v>7.5</v>
      </c>
      <c r="J2144" s="815">
        <v>7.5</v>
      </c>
    </row>
    <row r="2145" spans="1:10" ht="38.25" customHeight="1">
      <c r="A2145" s="817" t="s">
        <v>13491</v>
      </c>
      <c r="B2145" s="816" t="s">
        <v>14300</v>
      </c>
      <c r="C2145" s="817" t="s">
        <v>6</v>
      </c>
      <c r="D2145" s="817" t="s">
        <v>1701</v>
      </c>
      <c r="E2145" s="1021" t="s">
        <v>13898</v>
      </c>
      <c r="F2145" s="1021"/>
      <c r="G2145" s="818" t="s">
        <v>14</v>
      </c>
      <c r="H2145" s="819">
        <v>1</v>
      </c>
      <c r="I2145" s="820">
        <v>2.81</v>
      </c>
      <c r="J2145" s="820">
        <v>2.81</v>
      </c>
    </row>
    <row r="2146" spans="1:10" ht="38.25" customHeight="1">
      <c r="A2146" s="817" t="s">
        <v>13491</v>
      </c>
      <c r="B2146" s="816" t="s">
        <v>14121</v>
      </c>
      <c r="C2146" s="817" t="s">
        <v>6</v>
      </c>
      <c r="D2146" s="817" t="s">
        <v>37</v>
      </c>
      <c r="E2146" s="1021" t="s">
        <v>13490</v>
      </c>
      <c r="F2146" s="1021"/>
      <c r="G2146" s="818" t="s">
        <v>19</v>
      </c>
      <c r="H2146" s="819">
        <v>7.0000000000000007E-2</v>
      </c>
      <c r="I2146" s="820">
        <v>15.19</v>
      </c>
      <c r="J2146" s="820">
        <v>1.06</v>
      </c>
    </row>
    <row r="2147" spans="1:10" ht="38.25" customHeight="1">
      <c r="A2147" s="817" t="s">
        <v>13491</v>
      </c>
      <c r="B2147" s="816" t="s">
        <v>13567</v>
      </c>
      <c r="C2147" s="817" t="s">
        <v>6</v>
      </c>
      <c r="D2147" s="817" t="s">
        <v>35</v>
      </c>
      <c r="E2147" s="1021" t="s">
        <v>13490</v>
      </c>
      <c r="F2147" s="1021"/>
      <c r="G2147" s="818" t="s">
        <v>19</v>
      </c>
      <c r="H2147" s="819">
        <v>7.0000000000000007E-2</v>
      </c>
      <c r="I2147" s="820">
        <v>19.53</v>
      </c>
      <c r="J2147" s="820">
        <v>1.36</v>
      </c>
    </row>
    <row r="2148" spans="1:10">
      <c r="A2148" s="822" t="s">
        <v>13493</v>
      </c>
      <c r="B2148" s="821" t="s">
        <v>14301</v>
      </c>
      <c r="C2148" s="822" t="s">
        <v>6</v>
      </c>
      <c r="D2148" s="822" t="s">
        <v>4643</v>
      </c>
      <c r="E2148" s="1017" t="s">
        <v>13514</v>
      </c>
      <c r="F2148" s="1017"/>
      <c r="G2148" s="823" t="s">
        <v>14</v>
      </c>
      <c r="H2148" s="824">
        <v>1.1000000000000001</v>
      </c>
      <c r="I2148" s="825">
        <v>2.0699999999999998</v>
      </c>
      <c r="J2148" s="825">
        <v>2.27</v>
      </c>
    </row>
    <row r="2149" spans="1:10" ht="25.5">
      <c r="A2149" s="827"/>
      <c r="B2149" s="827"/>
      <c r="C2149" s="827"/>
      <c r="D2149" s="827"/>
      <c r="E2149" s="827" t="s">
        <v>13503</v>
      </c>
      <c r="F2149" s="826">
        <v>2.83</v>
      </c>
      <c r="G2149" s="827" t="s">
        <v>13504</v>
      </c>
      <c r="H2149" s="826">
        <v>0</v>
      </c>
      <c r="I2149" s="827" t="s">
        <v>13505</v>
      </c>
      <c r="J2149" s="826">
        <v>2.83</v>
      </c>
    </row>
    <row r="2150" spans="1:10" ht="13.5" customHeight="1" thickBot="1">
      <c r="A2150" s="827"/>
      <c r="B2150" s="827"/>
      <c r="C2150" s="827"/>
      <c r="D2150" s="827"/>
      <c r="E2150" s="827" t="s">
        <v>13506</v>
      </c>
      <c r="F2150" s="826">
        <v>2.11</v>
      </c>
      <c r="G2150" s="827"/>
      <c r="H2150" s="1018" t="s">
        <v>13507</v>
      </c>
      <c r="I2150" s="1018"/>
      <c r="J2150" s="826">
        <v>9.61</v>
      </c>
    </row>
    <row r="2151" spans="1:10" ht="13.5" thickTop="1">
      <c r="A2151" s="828"/>
      <c r="B2151" s="828"/>
      <c r="C2151" s="828"/>
      <c r="D2151" s="828"/>
      <c r="E2151" s="828"/>
      <c r="F2151" s="828"/>
      <c r="G2151" s="828"/>
      <c r="H2151" s="828"/>
      <c r="I2151" s="828"/>
      <c r="J2151" s="828"/>
    </row>
    <row r="2152" spans="1:10" ht="13.5" customHeight="1">
      <c r="A2152" s="809" t="s">
        <v>14302</v>
      </c>
      <c r="B2152" s="808" t="s">
        <v>13481</v>
      </c>
      <c r="C2152" s="809" t="s">
        <v>13482</v>
      </c>
      <c r="D2152" s="809" t="s">
        <v>13483</v>
      </c>
      <c r="E2152" s="1019" t="s">
        <v>13484</v>
      </c>
      <c r="F2152" s="1019"/>
      <c r="G2152" s="810" t="s">
        <v>13485</v>
      </c>
      <c r="H2152" s="808" t="s">
        <v>13486</v>
      </c>
      <c r="I2152" s="808" t="s">
        <v>13487</v>
      </c>
      <c r="J2152" s="808" t="s">
        <v>4867</v>
      </c>
    </row>
    <row r="2153" spans="1:10" ht="25.5" customHeight="1">
      <c r="A2153" s="812" t="s">
        <v>13488</v>
      </c>
      <c r="B2153" s="811" t="s">
        <v>14303</v>
      </c>
      <c r="C2153" s="812" t="s">
        <v>6</v>
      </c>
      <c r="D2153" s="812" t="s">
        <v>1808</v>
      </c>
      <c r="E2153" s="1020" t="s">
        <v>14194</v>
      </c>
      <c r="F2153" s="1020"/>
      <c r="G2153" s="813" t="s">
        <v>14</v>
      </c>
      <c r="H2153" s="814">
        <v>1</v>
      </c>
      <c r="I2153" s="815">
        <v>9.81</v>
      </c>
      <c r="J2153" s="815">
        <v>9.81</v>
      </c>
    </row>
    <row r="2154" spans="1:10" ht="38.25" customHeight="1">
      <c r="A2154" s="817" t="s">
        <v>13491</v>
      </c>
      <c r="B2154" s="816" t="s">
        <v>14300</v>
      </c>
      <c r="C2154" s="817" t="s">
        <v>6</v>
      </c>
      <c r="D2154" s="817" t="s">
        <v>1701</v>
      </c>
      <c r="E2154" s="1021" t="s">
        <v>13898</v>
      </c>
      <c r="F2154" s="1021"/>
      <c r="G2154" s="818" t="s">
        <v>14</v>
      </c>
      <c r="H2154" s="819">
        <v>1</v>
      </c>
      <c r="I2154" s="820">
        <v>2.81</v>
      </c>
      <c r="J2154" s="820">
        <v>2.81</v>
      </c>
    </row>
    <row r="2155" spans="1:10" ht="38.25" customHeight="1">
      <c r="A2155" s="817" t="s">
        <v>13491</v>
      </c>
      <c r="B2155" s="816" t="s">
        <v>13567</v>
      </c>
      <c r="C2155" s="817" t="s">
        <v>6</v>
      </c>
      <c r="D2155" s="817" t="s">
        <v>35</v>
      </c>
      <c r="E2155" s="1021" t="s">
        <v>13490</v>
      </c>
      <c r="F2155" s="1021"/>
      <c r="G2155" s="818" t="s">
        <v>19</v>
      </c>
      <c r="H2155" s="819">
        <v>0.09</v>
      </c>
      <c r="I2155" s="820">
        <v>19.53</v>
      </c>
      <c r="J2155" s="820">
        <v>1.75</v>
      </c>
    </row>
    <row r="2156" spans="1:10" ht="38.25" customHeight="1">
      <c r="A2156" s="817" t="s">
        <v>13491</v>
      </c>
      <c r="B2156" s="816" t="s">
        <v>14121</v>
      </c>
      <c r="C2156" s="817" t="s">
        <v>6</v>
      </c>
      <c r="D2156" s="817" t="s">
        <v>37</v>
      </c>
      <c r="E2156" s="1021" t="s">
        <v>13490</v>
      </c>
      <c r="F2156" s="1021"/>
      <c r="G2156" s="818" t="s">
        <v>19</v>
      </c>
      <c r="H2156" s="819">
        <v>0.09</v>
      </c>
      <c r="I2156" s="820">
        <v>15.19</v>
      </c>
      <c r="J2156" s="820">
        <v>1.36</v>
      </c>
    </row>
    <row r="2157" spans="1:10">
      <c r="A2157" s="822" t="s">
        <v>13493</v>
      </c>
      <c r="B2157" s="821" t="s">
        <v>14304</v>
      </c>
      <c r="C2157" s="822" t="s">
        <v>6</v>
      </c>
      <c r="D2157" s="822" t="s">
        <v>4644</v>
      </c>
      <c r="E2157" s="1017" t="s">
        <v>13514</v>
      </c>
      <c r="F2157" s="1017"/>
      <c r="G2157" s="823" t="s">
        <v>14</v>
      </c>
      <c r="H2157" s="824">
        <v>1.1000000000000001</v>
      </c>
      <c r="I2157" s="825">
        <v>3.54</v>
      </c>
      <c r="J2157" s="825">
        <v>3.89</v>
      </c>
    </row>
    <row r="2158" spans="1:10" ht="25.5">
      <c r="A2158" s="827"/>
      <c r="B2158" s="827"/>
      <c r="C2158" s="827"/>
      <c r="D2158" s="827"/>
      <c r="E2158" s="827" t="s">
        <v>13503</v>
      </c>
      <c r="F2158" s="826">
        <v>3.33</v>
      </c>
      <c r="G2158" s="827" t="s">
        <v>13504</v>
      </c>
      <c r="H2158" s="826">
        <v>0</v>
      </c>
      <c r="I2158" s="827" t="s">
        <v>13505</v>
      </c>
      <c r="J2158" s="826">
        <v>3.33</v>
      </c>
    </row>
    <row r="2159" spans="1:10" ht="13.5" customHeight="1" thickBot="1">
      <c r="A2159" s="827"/>
      <c r="B2159" s="827"/>
      <c r="C2159" s="827"/>
      <c r="D2159" s="827"/>
      <c r="E2159" s="827" t="s">
        <v>13506</v>
      </c>
      <c r="F2159" s="826">
        <v>2.77</v>
      </c>
      <c r="G2159" s="827"/>
      <c r="H2159" s="1018" t="s">
        <v>13507</v>
      </c>
      <c r="I2159" s="1018"/>
      <c r="J2159" s="826">
        <v>12.58</v>
      </c>
    </row>
    <row r="2160" spans="1:10" ht="13.5" thickTop="1">
      <c r="A2160" s="828"/>
      <c r="B2160" s="828"/>
      <c r="C2160" s="828"/>
      <c r="D2160" s="828"/>
      <c r="E2160" s="828"/>
      <c r="F2160" s="828"/>
      <c r="G2160" s="828"/>
      <c r="H2160" s="828"/>
      <c r="I2160" s="828"/>
      <c r="J2160" s="828"/>
    </row>
    <row r="2161" spans="1:10" ht="15">
      <c r="A2161" s="809" t="s">
        <v>14305</v>
      </c>
      <c r="B2161" s="808" t="s">
        <v>13481</v>
      </c>
      <c r="C2161" s="809" t="s">
        <v>13482</v>
      </c>
      <c r="D2161" s="809" t="s">
        <v>13483</v>
      </c>
      <c r="E2161" s="1019" t="s">
        <v>13484</v>
      </c>
      <c r="F2161" s="1019"/>
      <c r="G2161" s="810" t="s">
        <v>13485</v>
      </c>
      <c r="H2161" s="808" t="s">
        <v>13486</v>
      </c>
      <c r="I2161" s="808" t="s">
        <v>13487</v>
      </c>
      <c r="J2161" s="808" t="s">
        <v>4867</v>
      </c>
    </row>
    <row r="2162" spans="1:10" ht="25.5" customHeight="1">
      <c r="A2162" s="812" t="s">
        <v>13488</v>
      </c>
      <c r="B2162" s="811" t="s">
        <v>14306</v>
      </c>
      <c r="C2162" s="812" t="s">
        <v>6</v>
      </c>
      <c r="D2162" s="812" t="s">
        <v>8224</v>
      </c>
      <c r="E2162" s="1020" t="s">
        <v>14194</v>
      </c>
      <c r="F2162" s="1020"/>
      <c r="G2162" s="813" t="s">
        <v>14</v>
      </c>
      <c r="H2162" s="814">
        <v>1</v>
      </c>
      <c r="I2162" s="815">
        <v>12.96</v>
      </c>
      <c r="J2162" s="815">
        <v>12.96</v>
      </c>
    </row>
    <row r="2163" spans="1:10" ht="38.25" customHeight="1">
      <c r="A2163" s="817" t="s">
        <v>13491</v>
      </c>
      <c r="B2163" s="816" t="s">
        <v>14121</v>
      </c>
      <c r="C2163" s="817" t="s">
        <v>6</v>
      </c>
      <c r="D2163" s="817" t="s">
        <v>37</v>
      </c>
      <c r="E2163" s="1021" t="s">
        <v>13490</v>
      </c>
      <c r="F2163" s="1021"/>
      <c r="G2163" s="818" t="s">
        <v>19</v>
      </c>
      <c r="H2163" s="819">
        <v>0.15110000000000001</v>
      </c>
      <c r="I2163" s="820">
        <v>15.19</v>
      </c>
      <c r="J2163" s="820">
        <v>2.29</v>
      </c>
    </row>
    <row r="2164" spans="1:10" ht="38.25" customHeight="1">
      <c r="A2164" s="817" t="s">
        <v>13491</v>
      </c>
      <c r="B2164" s="816" t="s">
        <v>13567</v>
      </c>
      <c r="C2164" s="817" t="s">
        <v>6</v>
      </c>
      <c r="D2164" s="817" t="s">
        <v>35</v>
      </c>
      <c r="E2164" s="1021" t="s">
        <v>13490</v>
      </c>
      <c r="F2164" s="1021"/>
      <c r="G2164" s="818" t="s">
        <v>19</v>
      </c>
      <c r="H2164" s="819">
        <v>0.15110000000000001</v>
      </c>
      <c r="I2164" s="820">
        <v>19.53</v>
      </c>
      <c r="J2164" s="820">
        <v>2.95</v>
      </c>
    </row>
    <row r="2165" spans="1:10" ht="13.5" customHeight="1">
      <c r="A2165" s="822" t="s">
        <v>13493</v>
      </c>
      <c r="B2165" s="821" t="s">
        <v>14307</v>
      </c>
      <c r="C2165" s="822" t="s">
        <v>6</v>
      </c>
      <c r="D2165" s="822" t="s">
        <v>4645</v>
      </c>
      <c r="E2165" s="1017" t="s">
        <v>13514</v>
      </c>
      <c r="F2165" s="1017"/>
      <c r="G2165" s="823" t="s">
        <v>14</v>
      </c>
      <c r="H2165" s="824">
        <v>1.1000000000000001</v>
      </c>
      <c r="I2165" s="825">
        <v>7.02</v>
      </c>
      <c r="J2165" s="825">
        <v>7.72</v>
      </c>
    </row>
    <row r="2166" spans="1:10" ht="25.5">
      <c r="A2166" s="827"/>
      <c r="B2166" s="827"/>
      <c r="C2166" s="827"/>
      <c r="D2166" s="827"/>
      <c r="E2166" s="827" t="s">
        <v>13503</v>
      </c>
      <c r="F2166" s="826">
        <v>3.75</v>
      </c>
      <c r="G2166" s="827" t="s">
        <v>13504</v>
      </c>
      <c r="H2166" s="826">
        <v>0</v>
      </c>
      <c r="I2166" s="827" t="s">
        <v>13505</v>
      </c>
      <c r="J2166" s="826">
        <v>3.75</v>
      </c>
    </row>
    <row r="2167" spans="1:10" ht="13.5" customHeight="1" thickBot="1">
      <c r="A2167" s="827"/>
      <c r="B2167" s="827"/>
      <c r="C2167" s="827"/>
      <c r="D2167" s="827"/>
      <c r="E2167" s="827" t="s">
        <v>13506</v>
      </c>
      <c r="F2167" s="826">
        <v>3.65</v>
      </c>
      <c r="G2167" s="827"/>
      <c r="H2167" s="1018" t="s">
        <v>13507</v>
      </c>
      <c r="I2167" s="1018"/>
      <c r="J2167" s="826">
        <v>16.61</v>
      </c>
    </row>
    <row r="2168" spans="1:10" ht="12.75" customHeight="1" thickTop="1">
      <c r="A2168" s="828"/>
      <c r="B2168" s="828"/>
      <c r="C2168" s="828"/>
      <c r="D2168" s="828"/>
      <c r="E2168" s="828"/>
      <c r="F2168" s="828"/>
      <c r="G2168" s="828"/>
      <c r="H2168" s="828"/>
      <c r="I2168" s="828"/>
      <c r="J2168" s="828"/>
    </row>
    <row r="2169" spans="1:10" ht="15">
      <c r="A2169" s="809" t="s">
        <v>14308</v>
      </c>
      <c r="B2169" s="808" t="s">
        <v>13481</v>
      </c>
      <c r="C2169" s="809" t="s">
        <v>13482</v>
      </c>
      <c r="D2169" s="809" t="s">
        <v>13483</v>
      </c>
      <c r="E2169" s="1019" t="s">
        <v>13484</v>
      </c>
      <c r="F2169" s="1019"/>
      <c r="G2169" s="810" t="s">
        <v>13485</v>
      </c>
      <c r="H2169" s="808" t="s">
        <v>13486</v>
      </c>
      <c r="I2169" s="808" t="s">
        <v>13487</v>
      </c>
      <c r="J2169" s="808" t="s">
        <v>4867</v>
      </c>
    </row>
    <row r="2170" spans="1:10" ht="25.5" customHeight="1">
      <c r="A2170" s="812" t="s">
        <v>13488</v>
      </c>
      <c r="B2170" s="811" t="s">
        <v>14309</v>
      </c>
      <c r="C2170" s="812" t="s">
        <v>6</v>
      </c>
      <c r="D2170" s="812" t="s">
        <v>4838</v>
      </c>
      <c r="E2170" s="1020" t="s">
        <v>14194</v>
      </c>
      <c r="F2170" s="1020"/>
      <c r="G2170" s="813" t="s">
        <v>24</v>
      </c>
      <c r="H2170" s="814">
        <v>1</v>
      </c>
      <c r="I2170" s="815">
        <v>23.32</v>
      </c>
      <c r="J2170" s="815">
        <v>23.32</v>
      </c>
    </row>
    <row r="2171" spans="1:10" ht="38.25" customHeight="1">
      <c r="A2171" s="817" t="s">
        <v>13491</v>
      </c>
      <c r="B2171" s="816" t="s">
        <v>13567</v>
      </c>
      <c r="C2171" s="817" t="s">
        <v>6</v>
      </c>
      <c r="D2171" s="817" t="s">
        <v>35</v>
      </c>
      <c r="E2171" s="1021" t="s">
        <v>13490</v>
      </c>
      <c r="F2171" s="1021"/>
      <c r="G2171" s="818" t="s">
        <v>19</v>
      </c>
      <c r="H2171" s="819">
        <v>0.17949999999999999</v>
      </c>
      <c r="I2171" s="820">
        <v>19.53</v>
      </c>
      <c r="J2171" s="820">
        <v>3.5</v>
      </c>
    </row>
    <row r="2172" spans="1:10" ht="38.25" customHeight="1">
      <c r="A2172" s="817" t="s">
        <v>13491</v>
      </c>
      <c r="B2172" s="816" t="s">
        <v>14121</v>
      </c>
      <c r="C2172" s="817" t="s">
        <v>6</v>
      </c>
      <c r="D2172" s="817" t="s">
        <v>37</v>
      </c>
      <c r="E2172" s="1021" t="s">
        <v>13490</v>
      </c>
      <c r="F2172" s="1021"/>
      <c r="G2172" s="818" t="s">
        <v>19</v>
      </c>
      <c r="H2172" s="819">
        <v>7.4800000000000005E-2</v>
      </c>
      <c r="I2172" s="820">
        <v>15.19</v>
      </c>
      <c r="J2172" s="820">
        <v>1.1299999999999999</v>
      </c>
    </row>
    <row r="2173" spans="1:10" ht="25.5">
      <c r="A2173" s="822" t="s">
        <v>13493</v>
      </c>
      <c r="B2173" s="821" t="s">
        <v>14310</v>
      </c>
      <c r="C2173" s="822" t="s">
        <v>6</v>
      </c>
      <c r="D2173" s="822" t="s">
        <v>4708</v>
      </c>
      <c r="E2173" s="1017" t="s">
        <v>13514</v>
      </c>
      <c r="F2173" s="1017"/>
      <c r="G2173" s="823" t="s">
        <v>24</v>
      </c>
      <c r="H2173" s="824">
        <v>1</v>
      </c>
      <c r="I2173" s="825">
        <v>18.690000000000001</v>
      </c>
      <c r="J2173" s="825">
        <v>18.690000000000001</v>
      </c>
    </row>
    <row r="2174" spans="1:10" ht="25.5">
      <c r="A2174" s="827"/>
      <c r="B2174" s="827"/>
      <c r="C2174" s="827"/>
      <c r="D2174" s="827"/>
      <c r="E2174" s="827" t="s">
        <v>13503</v>
      </c>
      <c r="F2174" s="826">
        <v>3.38</v>
      </c>
      <c r="G2174" s="827" t="s">
        <v>13504</v>
      </c>
      <c r="H2174" s="826">
        <v>0</v>
      </c>
      <c r="I2174" s="827" t="s">
        <v>13505</v>
      </c>
      <c r="J2174" s="826">
        <v>3.38</v>
      </c>
    </row>
    <row r="2175" spans="1:10" ht="13.5" customHeight="1" thickBot="1">
      <c r="A2175" s="827"/>
      <c r="B2175" s="827"/>
      <c r="C2175" s="827"/>
      <c r="D2175" s="827"/>
      <c r="E2175" s="827" t="s">
        <v>13506</v>
      </c>
      <c r="F2175" s="826">
        <v>6.58</v>
      </c>
      <c r="G2175" s="827"/>
      <c r="H2175" s="1018" t="s">
        <v>13507</v>
      </c>
      <c r="I2175" s="1018"/>
      <c r="J2175" s="826">
        <v>29.9</v>
      </c>
    </row>
    <row r="2176" spans="1:10" ht="13.5" customHeight="1" thickTop="1">
      <c r="A2176" s="828"/>
      <c r="B2176" s="828"/>
      <c r="C2176" s="828"/>
      <c r="D2176" s="828"/>
      <c r="E2176" s="828"/>
      <c r="F2176" s="828"/>
      <c r="G2176" s="828"/>
      <c r="H2176" s="828"/>
      <c r="I2176" s="828"/>
      <c r="J2176" s="828"/>
    </row>
    <row r="2177" spans="1:10" ht="15">
      <c r="A2177" s="809" t="s">
        <v>14311</v>
      </c>
      <c r="B2177" s="808" t="s">
        <v>13481</v>
      </c>
      <c r="C2177" s="809" t="s">
        <v>13482</v>
      </c>
      <c r="D2177" s="809" t="s">
        <v>13483</v>
      </c>
      <c r="E2177" s="1019" t="s">
        <v>13484</v>
      </c>
      <c r="F2177" s="1019"/>
      <c r="G2177" s="810" t="s">
        <v>13485</v>
      </c>
      <c r="H2177" s="808" t="s">
        <v>13486</v>
      </c>
      <c r="I2177" s="808" t="s">
        <v>13487</v>
      </c>
      <c r="J2177" s="808" t="s">
        <v>4867</v>
      </c>
    </row>
    <row r="2178" spans="1:10" ht="25.5" customHeight="1">
      <c r="A2178" s="812" t="s">
        <v>13488</v>
      </c>
      <c r="B2178" s="811" t="s">
        <v>14312</v>
      </c>
      <c r="C2178" s="812" t="s">
        <v>6</v>
      </c>
      <c r="D2178" s="812" t="s">
        <v>1867</v>
      </c>
      <c r="E2178" s="1020" t="s">
        <v>14194</v>
      </c>
      <c r="F2178" s="1020"/>
      <c r="G2178" s="813" t="s">
        <v>24</v>
      </c>
      <c r="H2178" s="814">
        <v>1</v>
      </c>
      <c r="I2178" s="815">
        <v>8.9499999999999993</v>
      </c>
      <c r="J2178" s="815">
        <v>8.9499999999999993</v>
      </c>
    </row>
    <row r="2179" spans="1:10" ht="12.75" customHeight="1">
      <c r="A2179" s="817" t="s">
        <v>13491</v>
      </c>
      <c r="B2179" s="816" t="s">
        <v>13567</v>
      </c>
      <c r="C2179" s="817" t="s">
        <v>6</v>
      </c>
      <c r="D2179" s="817" t="s">
        <v>35</v>
      </c>
      <c r="E2179" s="1021" t="s">
        <v>13490</v>
      </c>
      <c r="F2179" s="1021"/>
      <c r="G2179" s="818" t="s">
        <v>19</v>
      </c>
      <c r="H2179" s="819">
        <v>0.14299999999999999</v>
      </c>
      <c r="I2179" s="820">
        <v>19.53</v>
      </c>
      <c r="J2179" s="820">
        <v>2.79</v>
      </c>
    </row>
    <row r="2180" spans="1:10" ht="38.25" customHeight="1">
      <c r="A2180" s="817" t="s">
        <v>13491</v>
      </c>
      <c r="B2180" s="816" t="s">
        <v>14121</v>
      </c>
      <c r="C2180" s="817" t="s">
        <v>6</v>
      </c>
      <c r="D2180" s="817" t="s">
        <v>37</v>
      </c>
      <c r="E2180" s="1021" t="s">
        <v>13490</v>
      </c>
      <c r="F2180" s="1021"/>
      <c r="G2180" s="818" t="s">
        <v>19</v>
      </c>
      <c r="H2180" s="819">
        <v>0.14299999999999999</v>
      </c>
      <c r="I2180" s="820">
        <v>15.19</v>
      </c>
      <c r="J2180" s="820">
        <v>2.17</v>
      </c>
    </row>
    <row r="2181" spans="1:10" ht="25.5">
      <c r="A2181" s="822" t="s">
        <v>13493</v>
      </c>
      <c r="B2181" s="821" t="s">
        <v>14313</v>
      </c>
      <c r="C2181" s="822" t="s">
        <v>6</v>
      </c>
      <c r="D2181" s="822" t="s">
        <v>4612</v>
      </c>
      <c r="E2181" s="1017" t="s">
        <v>13514</v>
      </c>
      <c r="F2181" s="1017"/>
      <c r="G2181" s="823" t="s">
        <v>24</v>
      </c>
      <c r="H2181" s="824">
        <v>1</v>
      </c>
      <c r="I2181" s="825">
        <v>3.99</v>
      </c>
      <c r="J2181" s="825">
        <v>3.99</v>
      </c>
    </row>
    <row r="2182" spans="1:10" ht="25.5">
      <c r="A2182" s="827"/>
      <c r="B2182" s="827"/>
      <c r="C2182" s="827"/>
      <c r="D2182" s="827"/>
      <c r="E2182" s="827" t="s">
        <v>13503</v>
      </c>
      <c r="F2182" s="826">
        <v>3.54</v>
      </c>
      <c r="G2182" s="827" t="s">
        <v>13504</v>
      </c>
      <c r="H2182" s="826">
        <v>0</v>
      </c>
      <c r="I2182" s="827" t="s">
        <v>13505</v>
      </c>
      <c r="J2182" s="826">
        <v>3.54</v>
      </c>
    </row>
    <row r="2183" spans="1:10" ht="13.5" customHeight="1" thickBot="1">
      <c r="A2183" s="827"/>
      <c r="B2183" s="827"/>
      <c r="C2183" s="827"/>
      <c r="D2183" s="827"/>
      <c r="E2183" s="827" t="s">
        <v>13506</v>
      </c>
      <c r="F2183" s="826">
        <v>2.52</v>
      </c>
      <c r="G2183" s="827"/>
      <c r="H2183" s="1018" t="s">
        <v>13507</v>
      </c>
      <c r="I2183" s="1018"/>
      <c r="J2183" s="826">
        <v>11.47</v>
      </c>
    </row>
    <row r="2184" spans="1:10" ht="13.5" thickTop="1">
      <c r="A2184" s="828"/>
      <c r="B2184" s="828"/>
      <c r="C2184" s="828"/>
      <c r="D2184" s="828"/>
      <c r="E2184" s="828"/>
      <c r="F2184" s="828"/>
      <c r="G2184" s="828"/>
      <c r="H2184" s="828"/>
      <c r="I2184" s="828"/>
      <c r="J2184" s="828"/>
    </row>
    <row r="2185" spans="1:10" ht="15">
      <c r="A2185" s="809" t="s">
        <v>14314</v>
      </c>
      <c r="B2185" s="808" t="s">
        <v>13481</v>
      </c>
      <c r="C2185" s="809" t="s">
        <v>13482</v>
      </c>
      <c r="D2185" s="809" t="s">
        <v>13483</v>
      </c>
      <c r="E2185" s="1019" t="s">
        <v>13484</v>
      </c>
      <c r="F2185" s="1019"/>
      <c r="G2185" s="810" t="s">
        <v>13485</v>
      </c>
      <c r="H2185" s="808" t="s">
        <v>13486</v>
      </c>
      <c r="I2185" s="808" t="s">
        <v>13487</v>
      </c>
      <c r="J2185" s="808" t="s">
        <v>4867</v>
      </c>
    </row>
    <row r="2186" spans="1:10" ht="25.5" customHeight="1">
      <c r="A2186" s="812" t="s">
        <v>13488</v>
      </c>
      <c r="B2186" s="811" t="s">
        <v>14315</v>
      </c>
      <c r="C2186" s="812" t="s">
        <v>6</v>
      </c>
      <c r="D2186" s="812" t="s">
        <v>5793</v>
      </c>
      <c r="E2186" s="1020" t="s">
        <v>14194</v>
      </c>
      <c r="F2186" s="1020"/>
      <c r="G2186" s="813" t="s">
        <v>24</v>
      </c>
      <c r="H2186" s="814">
        <v>1</v>
      </c>
      <c r="I2186" s="815">
        <v>68.25</v>
      </c>
      <c r="J2186" s="815">
        <v>68.25</v>
      </c>
    </row>
    <row r="2187" spans="1:10" ht="38.25" customHeight="1">
      <c r="A2187" s="817" t="s">
        <v>13491</v>
      </c>
      <c r="B2187" s="816" t="s">
        <v>14316</v>
      </c>
      <c r="C2187" s="817" t="s">
        <v>6</v>
      </c>
      <c r="D2187" s="817" t="s">
        <v>3902</v>
      </c>
      <c r="E2187" s="1021" t="s">
        <v>13490</v>
      </c>
      <c r="F2187" s="1021"/>
      <c r="G2187" s="818" t="s">
        <v>13543</v>
      </c>
      <c r="H2187" s="819">
        <v>4.4000000000000003E-3</v>
      </c>
      <c r="I2187" s="820">
        <v>554.6</v>
      </c>
      <c r="J2187" s="820">
        <v>2.44</v>
      </c>
    </row>
    <row r="2188" spans="1:10" ht="38.25" customHeight="1">
      <c r="A2188" s="817" t="s">
        <v>13491</v>
      </c>
      <c r="B2188" s="816" t="s">
        <v>14121</v>
      </c>
      <c r="C2188" s="817" t="s">
        <v>6</v>
      </c>
      <c r="D2188" s="817" t="s">
        <v>37</v>
      </c>
      <c r="E2188" s="1021" t="s">
        <v>13490</v>
      </c>
      <c r="F2188" s="1021"/>
      <c r="G2188" s="818" t="s">
        <v>19</v>
      </c>
      <c r="H2188" s="819">
        <v>0.32590000000000002</v>
      </c>
      <c r="I2188" s="820">
        <v>15.19</v>
      </c>
      <c r="J2188" s="820">
        <v>4.95</v>
      </c>
    </row>
    <row r="2189" spans="1:10" ht="13.5" customHeight="1">
      <c r="A2189" s="817" t="s">
        <v>13491</v>
      </c>
      <c r="B2189" s="816" t="s">
        <v>13567</v>
      </c>
      <c r="C2189" s="817" t="s">
        <v>6</v>
      </c>
      <c r="D2189" s="817" t="s">
        <v>35</v>
      </c>
      <c r="E2189" s="1021" t="s">
        <v>13490</v>
      </c>
      <c r="F2189" s="1021"/>
      <c r="G2189" s="818" t="s">
        <v>19</v>
      </c>
      <c r="H2189" s="819">
        <v>0.32590000000000002</v>
      </c>
      <c r="I2189" s="820">
        <v>19.53</v>
      </c>
      <c r="J2189" s="820">
        <v>6.36</v>
      </c>
    </row>
    <row r="2190" spans="1:10" ht="25.5">
      <c r="A2190" s="822" t="s">
        <v>13493</v>
      </c>
      <c r="B2190" s="821" t="s">
        <v>14317</v>
      </c>
      <c r="C2190" s="822" t="s">
        <v>6</v>
      </c>
      <c r="D2190" s="822" t="s">
        <v>12047</v>
      </c>
      <c r="E2190" s="1017" t="s">
        <v>13514</v>
      </c>
      <c r="F2190" s="1017"/>
      <c r="G2190" s="823" t="s">
        <v>24</v>
      </c>
      <c r="H2190" s="824">
        <v>1</v>
      </c>
      <c r="I2190" s="825">
        <v>54.5</v>
      </c>
      <c r="J2190" s="825">
        <v>54.5</v>
      </c>
    </row>
    <row r="2191" spans="1:10" ht="25.5">
      <c r="A2191" s="827"/>
      <c r="B2191" s="827"/>
      <c r="C2191" s="827"/>
      <c r="D2191" s="827"/>
      <c r="E2191" s="827" t="s">
        <v>13503</v>
      </c>
      <c r="F2191" s="826">
        <v>8.61</v>
      </c>
      <c r="G2191" s="827" t="s">
        <v>13504</v>
      </c>
      <c r="H2191" s="826">
        <v>0</v>
      </c>
      <c r="I2191" s="827" t="s">
        <v>13505</v>
      </c>
      <c r="J2191" s="826">
        <v>8.61</v>
      </c>
    </row>
    <row r="2192" spans="1:10" ht="12.75" customHeight="1" thickBot="1">
      <c r="A2192" s="827"/>
      <c r="B2192" s="827"/>
      <c r="C2192" s="827"/>
      <c r="D2192" s="827"/>
      <c r="E2192" s="827" t="s">
        <v>13506</v>
      </c>
      <c r="F2192" s="826">
        <v>19.27</v>
      </c>
      <c r="G2192" s="827"/>
      <c r="H2192" s="1018" t="s">
        <v>13507</v>
      </c>
      <c r="I2192" s="1018"/>
      <c r="J2192" s="826">
        <v>87.52</v>
      </c>
    </row>
    <row r="2193" spans="1:10" ht="13.5" thickTop="1">
      <c r="A2193" s="828"/>
      <c r="B2193" s="828"/>
      <c r="C2193" s="828"/>
      <c r="D2193" s="828"/>
      <c r="E2193" s="828"/>
      <c r="F2193" s="828"/>
      <c r="G2193" s="828"/>
      <c r="H2193" s="828"/>
      <c r="I2193" s="828"/>
      <c r="J2193" s="828"/>
    </row>
    <row r="2194" spans="1:10" ht="15">
      <c r="A2194" s="809" t="s">
        <v>14318</v>
      </c>
      <c r="B2194" s="808" t="s">
        <v>13481</v>
      </c>
      <c r="C2194" s="809" t="s">
        <v>13482</v>
      </c>
      <c r="D2194" s="809" t="s">
        <v>13483</v>
      </c>
      <c r="E2194" s="1019" t="s">
        <v>13484</v>
      </c>
      <c r="F2194" s="1019"/>
      <c r="G2194" s="810" t="s">
        <v>13485</v>
      </c>
      <c r="H2194" s="808" t="s">
        <v>13486</v>
      </c>
      <c r="I2194" s="808" t="s">
        <v>13487</v>
      </c>
      <c r="J2194" s="808" t="s">
        <v>4867</v>
      </c>
    </row>
    <row r="2195" spans="1:10" ht="38.25" customHeight="1">
      <c r="A2195" s="812" t="s">
        <v>13488</v>
      </c>
      <c r="B2195" s="811" t="s">
        <v>14319</v>
      </c>
      <c r="C2195" s="812" t="s">
        <v>6</v>
      </c>
      <c r="D2195" s="812" t="s">
        <v>5800</v>
      </c>
      <c r="E2195" s="1020" t="s">
        <v>14194</v>
      </c>
      <c r="F2195" s="1020"/>
      <c r="G2195" s="813" t="s">
        <v>24</v>
      </c>
      <c r="H2195" s="814">
        <v>1</v>
      </c>
      <c r="I2195" s="815">
        <v>636.65</v>
      </c>
      <c r="J2195" s="815">
        <v>636.65</v>
      </c>
    </row>
    <row r="2196" spans="1:10" ht="38.25" customHeight="1">
      <c r="A2196" s="817" t="s">
        <v>13491</v>
      </c>
      <c r="B2196" s="816" t="s">
        <v>14316</v>
      </c>
      <c r="C2196" s="817" t="s">
        <v>6</v>
      </c>
      <c r="D2196" s="817" t="s">
        <v>3902</v>
      </c>
      <c r="E2196" s="1021" t="s">
        <v>13490</v>
      </c>
      <c r="F2196" s="1021"/>
      <c r="G2196" s="818" t="s">
        <v>13543</v>
      </c>
      <c r="H2196" s="819">
        <v>1.34E-2</v>
      </c>
      <c r="I2196" s="820">
        <v>554.6</v>
      </c>
      <c r="J2196" s="820">
        <v>7.43</v>
      </c>
    </row>
    <row r="2197" spans="1:10" ht="38.25" customHeight="1">
      <c r="A2197" s="817" t="s">
        <v>13491</v>
      </c>
      <c r="B2197" s="816" t="s">
        <v>14121</v>
      </c>
      <c r="C2197" s="817" t="s">
        <v>6</v>
      </c>
      <c r="D2197" s="817" t="s">
        <v>37</v>
      </c>
      <c r="E2197" s="1021" t="s">
        <v>13490</v>
      </c>
      <c r="F2197" s="1021"/>
      <c r="G2197" s="818" t="s">
        <v>19</v>
      </c>
      <c r="H2197" s="819">
        <v>0.53349999999999997</v>
      </c>
      <c r="I2197" s="820">
        <v>15.19</v>
      </c>
      <c r="J2197" s="820">
        <v>8.1</v>
      </c>
    </row>
    <row r="2198" spans="1:10" ht="38.25" customHeight="1">
      <c r="A2198" s="817" t="s">
        <v>13491</v>
      </c>
      <c r="B2198" s="816" t="s">
        <v>13567</v>
      </c>
      <c r="C2198" s="817" t="s">
        <v>6</v>
      </c>
      <c r="D2198" s="817" t="s">
        <v>35</v>
      </c>
      <c r="E2198" s="1021" t="s">
        <v>13490</v>
      </c>
      <c r="F2198" s="1021"/>
      <c r="G2198" s="818" t="s">
        <v>19</v>
      </c>
      <c r="H2198" s="819">
        <v>0.53349999999999997</v>
      </c>
      <c r="I2198" s="820">
        <v>19.53</v>
      </c>
      <c r="J2198" s="820">
        <v>10.41</v>
      </c>
    </row>
    <row r="2199" spans="1:10" ht="38.25">
      <c r="A2199" s="822" t="s">
        <v>13493</v>
      </c>
      <c r="B2199" s="821" t="s">
        <v>14320</v>
      </c>
      <c r="C2199" s="822" t="s">
        <v>6</v>
      </c>
      <c r="D2199" s="822" t="s">
        <v>12023</v>
      </c>
      <c r="E2199" s="1017" t="s">
        <v>13514</v>
      </c>
      <c r="F2199" s="1017"/>
      <c r="G2199" s="823" t="s">
        <v>24</v>
      </c>
      <c r="H2199" s="824">
        <v>1</v>
      </c>
      <c r="I2199" s="825">
        <v>610.71</v>
      </c>
      <c r="J2199" s="825">
        <v>610.71</v>
      </c>
    </row>
    <row r="2200" spans="1:10" ht="25.5">
      <c r="A2200" s="827"/>
      <c r="B2200" s="827"/>
      <c r="C2200" s="827"/>
      <c r="D2200" s="827"/>
      <c r="E2200" s="827" t="s">
        <v>13503</v>
      </c>
      <c r="F2200" s="826">
        <v>14.82</v>
      </c>
      <c r="G2200" s="827" t="s">
        <v>13504</v>
      </c>
      <c r="H2200" s="826">
        <v>0</v>
      </c>
      <c r="I2200" s="827" t="s">
        <v>13505</v>
      </c>
      <c r="J2200" s="826">
        <v>14.82</v>
      </c>
    </row>
    <row r="2201" spans="1:10" ht="13.5" customHeight="1" thickBot="1">
      <c r="A2201" s="827"/>
      <c r="B2201" s="827"/>
      <c r="C2201" s="827"/>
      <c r="D2201" s="827"/>
      <c r="E2201" s="827" t="s">
        <v>13506</v>
      </c>
      <c r="F2201" s="826">
        <v>179.78</v>
      </c>
      <c r="G2201" s="827"/>
      <c r="H2201" s="1018" t="s">
        <v>13507</v>
      </c>
      <c r="I2201" s="1018"/>
      <c r="J2201" s="826">
        <v>816.43</v>
      </c>
    </row>
    <row r="2202" spans="1:10" ht="13.5" customHeight="1" thickTop="1">
      <c r="A2202" s="828"/>
      <c r="B2202" s="828"/>
      <c r="C2202" s="828"/>
      <c r="D2202" s="828"/>
      <c r="E2202" s="828"/>
      <c r="F2202" s="828"/>
      <c r="G2202" s="828"/>
      <c r="H2202" s="828"/>
      <c r="I2202" s="828"/>
      <c r="J2202" s="828"/>
    </row>
    <row r="2203" spans="1:10" ht="15">
      <c r="A2203" s="809" t="s">
        <v>14321</v>
      </c>
      <c r="B2203" s="808" t="s">
        <v>13481</v>
      </c>
      <c r="C2203" s="809" t="s">
        <v>13482</v>
      </c>
      <c r="D2203" s="809" t="s">
        <v>13483</v>
      </c>
      <c r="E2203" s="1019" t="s">
        <v>13484</v>
      </c>
      <c r="F2203" s="1019"/>
      <c r="G2203" s="810" t="s">
        <v>13485</v>
      </c>
      <c r="H2203" s="808" t="s">
        <v>13486</v>
      </c>
      <c r="I2203" s="808" t="s">
        <v>13487</v>
      </c>
      <c r="J2203" s="808" t="s">
        <v>4867</v>
      </c>
    </row>
    <row r="2204" spans="1:10" ht="25.5" customHeight="1">
      <c r="A2204" s="812" t="s">
        <v>13488</v>
      </c>
      <c r="B2204" s="811" t="s">
        <v>14322</v>
      </c>
      <c r="C2204" s="812" t="s">
        <v>6</v>
      </c>
      <c r="D2204" s="812" t="s">
        <v>4397</v>
      </c>
      <c r="E2204" s="1020" t="s">
        <v>14323</v>
      </c>
      <c r="F2204" s="1020"/>
      <c r="G2204" s="813" t="s">
        <v>24</v>
      </c>
      <c r="H2204" s="814">
        <v>1</v>
      </c>
      <c r="I2204" s="815">
        <v>687.61</v>
      </c>
      <c r="J2204" s="815">
        <v>687.61</v>
      </c>
    </row>
    <row r="2205" spans="1:10" ht="12.75" customHeight="1">
      <c r="A2205" s="817" t="s">
        <v>13491</v>
      </c>
      <c r="B2205" s="816" t="s">
        <v>14121</v>
      </c>
      <c r="C2205" s="817" t="s">
        <v>6</v>
      </c>
      <c r="D2205" s="817" t="s">
        <v>37</v>
      </c>
      <c r="E2205" s="1021" t="s">
        <v>13490</v>
      </c>
      <c r="F2205" s="1021"/>
      <c r="G2205" s="818" t="s">
        <v>19</v>
      </c>
      <c r="H2205" s="819">
        <v>6.2007000000000003</v>
      </c>
      <c r="I2205" s="820">
        <v>15.19</v>
      </c>
      <c r="J2205" s="820">
        <v>94.18</v>
      </c>
    </row>
    <row r="2206" spans="1:10" ht="38.25" customHeight="1">
      <c r="A2206" s="817" t="s">
        <v>13491</v>
      </c>
      <c r="B2206" s="816" t="s">
        <v>13567</v>
      </c>
      <c r="C2206" s="817" t="s">
        <v>6</v>
      </c>
      <c r="D2206" s="817" t="s">
        <v>35</v>
      </c>
      <c r="E2206" s="1021" t="s">
        <v>13490</v>
      </c>
      <c r="F2206" s="1021"/>
      <c r="G2206" s="818" t="s">
        <v>19</v>
      </c>
      <c r="H2206" s="819">
        <v>6.2007000000000003</v>
      </c>
      <c r="I2206" s="820">
        <v>19.53</v>
      </c>
      <c r="J2206" s="820">
        <v>121.09</v>
      </c>
    </row>
    <row r="2207" spans="1:10" ht="25.5">
      <c r="A2207" s="822" t="s">
        <v>13493</v>
      </c>
      <c r="B2207" s="821" t="s">
        <v>14324</v>
      </c>
      <c r="C2207" s="822" t="s">
        <v>6</v>
      </c>
      <c r="D2207" s="822" t="s">
        <v>11657</v>
      </c>
      <c r="E2207" s="1017" t="s">
        <v>13514</v>
      </c>
      <c r="F2207" s="1017"/>
      <c r="G2207" s="823" t="s">
        <v>24</v>
      </c>
      <c r="H2207" s="824">
        <v>1</v>
      </c>
      <c r="I2207" s="825">
        <v>472.34</v>
      </c>
      <c r="J2207" s="825">
        <v>472.34</v>
      </c>
    </row>
    <row r="2208" spans="1:10" ht="25.5">
      <c r="A2208" s="827"/>
      <c r="B2208" s="827"/>
      <c r="C2208" s="827"/>
      <c r="D2208" s="827"/>
      <c r="E2208" s="827" t="s">
        <v>13503</v>
      </c>
      <c r="F2208" s="826">
        <v>154.27000000000001</v>
      </c>
      <c r="G2208" s="827" t="s">
        <v>13504</v>
      </c>
      <c r="H2208" s="826">
        <v>0</v>
      </c>
      <c r="I2208" s="827" t="s">
        <v>13505</v>
      </c>
      <c r="J2208" s="826">
        <v>154.27000000000001</v>
      </c>
    </row>
    <row r="2209" spans="1:10" ht="13.5" customHeight="1" thickBot="1">
      <c r="A2209" s="827"/>
      <c r="B2209" s="827"/>
      <c r="C2209" s="827"/>
      <c r="D2209" s="827"/>
      <c r="E2209" s="827" t="s">
        <v>13506</v>
      </c>
      <c r="F2209" s="826">
        <v>194.18</v>
      </c>
      <c r="G2209" s="827"/>
      <c r="H2209" s="1018" t="s">
        <v>13507</v>
      </c>
      <c r="I2209" s="1018"/>
      <c r="J2209" s="826">
        <v>881.79</v>
      </c>
    </row>
    <row r="2210" spans="1:10" ht="13.5" thickTop="1">
      <c r="A2210" s="828"/>
      <c r="B2210" s="828"/>
      <c r="C2210" s="828"/>
      <c r="D2210" s="828"/>
      <c r="E2210" s="828"/>
      <c r="F2210" s="828"/>
      <c r="G2210" s="828"/>
      <c r="H2210" s="828"/>
      <c r="I2210" s="828"/>
      <c r="J2210" s="828"/>
    </row>
    <row r="2211" spans="1:10" ht="15">
      <c r="A2211" s="809" t="s">
        <v>14325</v>
      </c>
      <c r="B2211" s="808" t="s">
        <v>13481</v>
      </c>
      <c r="C2211" s="809" t="s">
        <v>13482</v>
      </c>
      <c r="D2211" s="809" t="s">
        <v>13483</v>
      </c>
      <c r="E2211" s="1019" t="s">
        <v>13484</v>
      </c>
      <c r="F2211" s="1019"/>
      <c r="G2211" s="810" t="s">
        <v>13485</v>
      </c>
      <c r="H2211" s="808" t="s">
        <v>13486</v>
      </c>
      <c r="I2211" s="808" t="s">
        <v>13487</v>
      </c>
      <c r="J2211" s="808" t="s">
        <v>4867</v>
      </c>
    </row>
    <row r="2212" spans="1:10" ht="25.5" customHeight="1">
      <c r="A2212" s="812" t="s">
        <v>13488</v>
      </c>
      <c r="B2212" s="811" t="s">
        <v>14326</v>
      </c>
      <c r="C2212" s="812" t="s">
        <v>6</v>
      </c>
      <c r="D2212" s="812" t="s">
        <v>4395</v>
      </c>
      <c r="E2212" s="1020" t="s">
        <v>14323</v>
      </c>
      <c r="F2212" s="1020"/>
      <c r="G2212" s="813" t="s">
        <v>14</v>
      </c>
      <c r="H2212" s="814">
        <v>1</v>
      </c>
      <c r="I2212" s="815">
        <v>2.79</v>
      </c>
      <c r="J2212" s="815">
        <v>2.79</v>
      </c>
    </row>
    <row r="2213" spans="1:10" ht="38.25" customHeight="1">
      <c r="A2213" s="817" t="s">
        <v>13491</v>
      </c>
      <c r="B2213" s="816" t="s">
        <v>14121</v>
      </c>
      <c r="C2213" s="817" t="s">
        <v>6</v>
      </c>
      <c r="D2213" s="817" t="s">
        <v>37</v>
      </c>
      <c r="E2213" s="1021" t="s">
        <v>13490</v>
      </c>
      <c r="F2213" s="1021"/>
      <c r="G2213" s="818" t="s">
        <v>19</v>
      </c>
      <c r="H2213" s="819">
        <v>4.4999999999999997E-3</v>
      </c>
      <c r="I2213" s="820">
        <v>15.19</v>
      </c>
      <c r="J2213" s="820">
        <v>0.06</v>
      </c>
    </row>
    <row r="2214" spans="1:10" ht="38.25" customHeight="1">
      <c r="A2214" s="817" t="s">
        <v>13491</v>
      </c>
      <c r="B2214" s="816" t="s">
        <v>13567</v>
      </c>
      <c r="C2214" s="817" t="s">
        <v>6</v>
      </c>
      <c r="D2214" s="817" t="s">
        <v>35</v>
      </c>
      <c r="E2214" s="1021" t="s">
        <v>13490</v>
      </c>
      <c r="F2214" s="1021"/>
      <c r="G2214" s="818" t="s">
        <v>19</v>
      </c>
      <c r="H2214" s="819">
        <v>4.4999999999999997E-3</v>
      </c>
      <c r="I2214" s="820">
        <v>19.53</v>
      </c>
      <c r="J2214" s="820">
        <v>0.08</v>
      </c>
    </row>
    <row r="2215" spans="1:10" ht="13.5" customHeight="1">
      <c r="A2215" s="822" t="s">
        <v>13493</v>
      </c>
      <c r="B2215" s="821" t="s">
        <v>14327</v>
      </c>
      <c r="C2215" s="822" t="s">
        <v>6</v>
      </c>
      <c r="D2215" s="822" t="s">
        <v>9167</v>
      </c>
      <c r="E2215" s="1017" t="s">
        <v>13514</v>
      </c>
      <c r="F2215" s="1017"/>
      <c r="G2215" s="823" t="s">
        <v>14</v>
      </c>
      <c r="H2215" s="824">
        <v>1.05</v>
      </c>
      <c r="I2215" s="825">
        <v>2.5299999999999998</v>
      </c>
      <c r="J2215" s="825">
        <v>2.65</v>
      </c>
    </row>
    <row r="2216" spans="1:10" ht="25.5">
      <c r="A2216" s="827"/>
      <c r="B2216" s="827"/>
      <c r="C2216" s="827"/>
      <c r="D2216" s="827"/>
      <c r="E2216" s="827" t="s">
        <v>13503</v>
      </c>
      <c r="F2216" s="826">
        <v>0.1</v>
      </c>
      <c r="G2216" s="827" t="s">
        <v>13504</v>
      </c>
      <c r="H2216" s="826">
        <v>0</v>
      </c>
      <c r="I2216" s="827" t="s">
        <v>13505</v>
      </c>
      <c r="J2216" s="826">
        <v>0.1</v>
      </c>
    </row>
    <row r="2217" spans="1:10" ht="13.5" customHeight="1" thickBot="1">
      <c r="A2217" s="827"/>
      <c r="B2217" s="827"/>
      <c r="C2217" s="827"/>
      <c r="D2217" s="827"/>
      <c r="E2217" s="827" t="s">
        <v>13506</v>
      </c>
      <c r="F2217" s="826">
        <v>0.78</v>
      </c>
      <c r="G2217" s="827"/>
      <c r="H2217" s="1018" t="s">
        <v>13507</v>
      </c>
      <c r="I2217" s="1018"/>
      <c r="J2217" s="826">
        <v>3.57</v>
      </c>
    </row>
    <row r="2218" spans="1:10" ht="12.75" customHeight="1" thickTop="1">
      <c r="A2218" s="828"/>
      <c r="B2218" s="828"/>
      <c r="C2218" s="828"/>
      <c r="D2218" s="828"/>
      <c r="E2218" s="828"/>
      <c r="F2218" s="828"/>
      <c r="G2218" s="828"/>
      <c r="H2218" s="828"/>
      <c r="I2218" s="828"/>
      <c r="J2218" s="828"/>
    </row>
    <row r="2219" spans="1:10" ht="15">
      <c r="A2219" s="809" t="s">
        <v>14328</v>
      </c>
      <c r="B2219" s="808" t="s">
        <v>13481</v>
      </c>
      <c r="C2219" s="809" t="s">
        <v>13482</v>
      </c>
      <c r="D2219" s="809" t="s">
        <v>13483</v>
      </c>
      <c r="E2219" s="1019" t="s">
        <v>13484</v>
      </c>
      <c r="F2219" s="1019"/>
      <c r="G2219" s="810" t="s">
        <v>13485</v>
      </c>
      <c r="H2219" s="808" t="s">
        <v>13486</v>
      </c>
      <c r="I2219" s="808" t="s">
        <v>13487</v>
      </c>
      <c r="J2219" s="808" t="s">
        <v>4867</v>
      </c>
    </row>
    <row r="2220" spans="1:10" ht="25.5" customHeight="1">
      <c r="A2220" s="812" t="s">
        <v>13488</v>
      </c>
      <c r="B2220" s="811" t="s">
        <v>14329</v>
      </c>
      <c r="C2220" s="812" t="s">
        <v>6</v>
      </c>
      <c r="D2220" s="812" t="s">
        <v>4399</v>
      </c>
      <c r="E2220" s="1020" t="s">
        <v>14323</v>
      </c>
      <c r="F2220" s="1020"/>
      <c r="G2220" s="813" t="s">
        <v>24</v>
      </c>
      <c r="H2220" s="814">
        <v>1</v>
      </c>
      <c r="I2220" s="815">
        <v>37.840000000000003</v>
      </c>
      <c r="J2220" s="815">
        <v>37.840000000000003</v>
      </c>
    </row>
    <row r="2221" spans="1:10" ht="38.25" customHeight="1">
      <c r="A2221" s="817" t="s">
        <v>13491</v>
      </c>
      <c r="B2221" s="816" t="s">
        <v>13567</v>
      </c>
      <c r="C2221" s="817" t="s">
        <v>6</v>
      </c>
      <c r="D2221" s="817" t="s">
        <v>35</v>
      </c>
      <c r="E2221" s="1021" t="s">
        <v>13490</v>
      </c>
      <c r="F2221" s="1021"/>
      <c r="G2221" s="818" t="s">
        <v>19</v>
      </c>
      <c r="H2221" s="819">
        <v>0.20619999999999999</v>
      </c>
      <c r="I2221" s="820">
        <v>19.53</v>
      </c>
      <c r="J2221" s="820">
        <v>4.0199999999999996</v>
      </c>
    </row>
    <row r="2222" spans="1:10" ht="38.25" customHeight="1">
      <c r="A2222" s="817" t="s">
        <v>13491</v>
      </c>
      <c r="B2222" s="816" t="s">
        <v>14121</v>
      </c>
      <c r="C2222" s="817" t="s">
        <v>6</v>
      </c>
      <c r="D2222" s="817" t="s">
        <v>37</v>
      </c>
      <c r="E2222" s="1021" t="s">
        <v>13490</v>
      </c>
      <c r="F2222" s="1021"/>
      <c r="G2222" s="818" t="s">
        <v>19</v>
      </c>
      <c r="H2222" s="819">
        <v>0.20619999999999999</v>
      </c>
      <c r="I2222" s="820">
        <v>15.19</v>
      </c>
      <c r="J2222" s="820">
        <v>3.13</v>
      </c>
    </row>
    <row r="2223" spans="1:10" ht="25.5">
      <c r="A2223" s="822" t="s">
        <v>13493</v>
      </c>
      <c r="B2223" s="821" t="s">
        <v>14330</v>
      </c>
      <c r="C2223" s="822" t="s">
        <v>6</v>
      </c>
      <c r="D2223" s="822" t="s">
        <v>12713</v>
      </c>
      <c r="E2223" s="1017" t="s">
        <v>13514</v>
      </c>
      <c r="F2223" s="1017"/>
      <c r="G2223" s="823" t="s">
        <v>24</v>
      </c>
      <c r="H2223" s="824">
        <v>1</v>
      </c>
      <c r="I2223" s="825">
        <v>30.69</v>
      </c>
      <c r="J2223" s="825">
        <v>30.69</v>
      </c>
    </row>
    <row r="2224" spans="1:10" ht="25.5">
      <c r="A2224" s="827"/>
      <c r="B2224" s="827"/>
      <c r="C2224" s="827"/>
      <c r="D2224" s="827"/>
      <c r="E2224" s="827" t="s">
        <v>13503</v>
      </c>
      <c r="F2224" s="826">
        <v>5.12</v>
      </c>
      <c r="G2224" s="827" t="s">
        <v>13504</v>
      </c>
      <c r="H2224" s="826">
        <v>0</v>
      </c>
      <c r="I2224" s="827" t="s">
        <v>13505</v>
      </c>
      <c r="J2224" s="826">
        <v>5.12</v>
      </c>
    </row>
    <row r="2225" spans="1:10" ht="13.5" customHeight="1" thickBot="1">
      <c r="A2225" s="827"/>
      <c r="B2225" s="827"/>
      <c r="C2225" s="827"/>
      <c r="D2225" s="827"/>
      <c r="E2225" s="827" t="s">
        <v>13506</v>
      </c>
      <c r="F2225" s="826">
        <v>10.68</v>
      </c>
      <c r="G2225" s="827"/>
      <c r="H2225" s="1018" t="s">
        <v>13507</v>
      </c>
      <c r="I2225" s="1018"/>
      <c r="J2225" s="826">
        <v>48.52</v>
      </c>
    </row>
    <row r="2226" spans="1:10" ht="13.5" thickTop="1">
      <c r="A2226" s="828"/>
      <c r="B2226" s="828"/>
      <c r="C2226" s="828"/>
      <c r="D2226" s="828"/>
      <c r="E2226" s="828"/>
      <c r="F2226" s="828"/>
      <c r="G2226" s="828"/>
      <c r="H2226" s="828"/>
      <c r="I2226" s="828"/>
      <c r="J2226" s="828"/>
    </row>
    <row r="2227" spans="1:10" ht="15">
      <c r="A2227" s="809" t="s">
        <v>14331</v>
      </c>
      <c r="B2227" s="808" t="s">
        <v>13481</v>
      </c>
      <c r="C2227" s="809" t="s">
        <v>13482</v>
      </c>
      <c r="D2227" s="809" t="s">
        <v>13483</v>
      </c>
      <c r="E2227" s="1019" t="s">
        <v>13484</v>
      </c>
      <c r="F2227" s="1019"/>
      <c r="G2227" s="810" t="s">
        <v>13485</v>
      </c>
      <c r="H2227" s="808" t="s">
        <v>13486</v>
      </c>
      <c r="I2227" s="808" t="s">
        <v>13487</v>
      </c>
      <c r="J2227" s="808" t="s">
        <v>4867</v>
      </c>
    </row>
    <row r="2228" spans="1:10" ht="13.5" customHeight="1">
      <c r="A2228" s="812" t="s">
        <v>13488</v>
      </c>
      <c r="B2228" s="811" t="s">
        <v>14332</v>
      </c>
      <c r="C2228" s="812" t="s">
        <v>6</v>
      </c>
      <c r="D2228" s="812" t="s">
        <v>4400</v>
      </c>
      <c r="E2228" s="1020" t="s">
        <v>14323</v>
      </c>
      <c r="F2228" s="1020"/>
      <c r="G2228" s="813" t="s">
        <v>24</v>
      </c>
      <c r="H2228" s="814">
        <v>1</v>
      </c>
      <c r="I2228" s="815">
        <v>24.54</v>
      </c>
      <c r="J2228" s="815">
        <v>24.54</v>
      </c>
    </row>
    <row r="2229" spans="1:10" ht="38.25" customHeight="1">
      <c r="A2229" s="817" t="s">
        <v>13491</v>
      </c>
      <c r="B2229" s="816" t="s">
        <v>14121</v>
      </c>
      <c r="C2229" s="817" t="s">
        <v>6</v>
      </c>
      <c r="D2229" s="817" t="s">
        <v>37</v>
      </c>
      <c r="E2229" s="1021" t="s">
        <v>13490</v>
      </c>
      <c r="F2229" s="1021"/>
      <c r="G2229" s="818" t="s">
        <v>19</v>
      </c>
      <c r="H2229" s="819">
        <v>0.20619999999999999</v>
      </c>
      <c r="I2229" s="820">
        <v>15.19</v>
      </c>
      <c r="J2229" s="820">
        <v>3.13</v>
      </c>
    </row>
    <row r="2230" spans="1:10" ht="38.25" customHeight="1">
      <c r="A2230" s="817" t="s">
        <v>13491</v>
      </c>
      <c r="B2230" s="816" t="s">
        <v>13567</v>
      </c>
      <c r="C2230" s="817" t="s">
        <v>6</v>
      </c>
      <c r="D2230" s="817" t="s">
        <v>35</v>
      </c>
      <c r="E2230" s="1021" t="s">
        <v>13490</v>
      </c>
      <c r="F2230" s="1021"/>
      <c r="G2230" s="818" t="s">
        <v>19</v>
      </c>
      <c r="H2230" s="819">
        <v>0.20619999999999999</v>
      </c>
      <c r="I2230" s="820">
        <v>19.53</v>
      </c>
      <c r="J2230" s="820">
        <v>4.0199999999999996</v>
      </c>
    </row>
    <row r="2231" spans="1:10" ht="12.75" customHeight="1">
      <c r="A2231" s="822" t="s">
        <v>13493</v>
      </c>
      <c r="B2231" s="821" t="s">
        <v>14333</v>
      </c>
      <c r="C2231" s="822" t="s">
        <v>6</v>
      </c>
      <c r="D2231" s="822" t="s">
        <v>12711</v>
      </c>
      <c r="E2231" s="1017" t="s">
        <v>13514</v>
      </c>
      <c r="F2231" s="1017"/>
      <c r="G2231" s="823" t="s">
        <v>24</v>
      </c>
      <c r="H2231" s="824">
        <v>1</v>
      </c>
      <c r="I2231" s="825">
        <v>17.39</v>
      </c>
      <c r="J2231" s="825">
        <v>17.39</v>
      </c>
    </row>
    <row r="2232" spans="1:10" ht="25.5">
      <c r="A2232" s="827"/>
      <c r="B2232" s="827"/>
      <c r="C2232" s="827"/>
      <c r="D2232" s="827"/>
      <c r="E2232" s="827" t="s">
        <v>13503</v>
      </c>
      <c r="F2232" s="826">
        <v>5.12</v>
      </c>
      <c r="G2232" s="827" t="s">
        <v>13504</v>
      </c>
      <c r="H2232" s="826">
        <v>0</v>
      </c>
      <c r="I2232" s="827" t="s">
        <v>13505</v>
      </c>
      <c r="J2232" s="826">
        <v>5.12</v>
      </c>
    </row>
    <row r="2233" spans="1:10" ht="13.5" customHeight="1" thickBot="1">
      <c r="A2233" s="827"/>
      <c r="B2233" s="827"/>
      <c r="C2233" s="827"/>
      <c r="D2233" s="827"/>
      <c r="E2233" s="827" t="s">
        <v>13506</v>
      </c>
      <c r="F2233" s="826">
        <v>6.93</v>
      </c>
      <c r="G2233" s="827"/>
      <c r="H2233" s="1018" t="s">
        <v>13507</v>
      </c>
      <c r="I2233" s="1018"/>
      <c r="J2233" s="826">
        <v>31.47</v>
      </c>
    </row>
    <row r="2234" spans="1:10" ht="13.5" thickTop="1">
      <c r="A2234" s="828"/>
      <c r="B2234" s="828"/>
      <c r="C2234" s="828"/>
      <c r="D2234" s="828"/>
      <c r="E2234" s="828"/>
      <c r="F2234" s="828"/>
      <c r="G2234" s="828"/>
      <c r="H2234" s="828"/>
      <c r="I2234" s="828"/>
      <c r="J2234" s="828"/>
    </row>
    <row r="2235" spans="1:10" ht="15">
      <c r="A2235" s="809" t="s">
        <v>14334</v>
      </c>
      <c r="B2235" s="808" t="s">
        <v>13481</v>
      </c>
      <c r="C2235" s="809" t="s">
        <v>13482</v>
      </c>
      <c r="D2235" s="809" t="s">
        <v>13483</v>
      </c>
      <c r="E2235" s="1019" t="s">
        <v>13484</v>
      </c>
      <c r="F2235" s="1019"/>
      <c r="G2235" s="810" t="s">
        <v>13485</v>
      </c>
      <c r="H2235" s="808" t="s">
        <v>13486</v>
      </c>
      <c r="I2235" s="808" t="s">
        <v>13487</v>
      </c>
      <c r="J2235" s="808" t="s">
        <v>4867</v>
      </c>
    </row>
    <row r="2236" spans="1:10" ht="25.5" customHeight="1">
      <c r="A2236" s="812" t="s">
        <v>13488</v>
      </c>
      <c r="B2236" s="811" t="s">
        <v>14335</v>
      </c>
      <c r="C2236" s="812" t="s">
        <v>6</v>
      </c>
      <c r="D2236" s="812" t="s">
        <v>1817</v>
      </c>
      <c r="E2236" s="1020" t="s">
        <v>14194</v>
      </c>
      <c r="F2236" s="1020"/>
      <c r="G2236" s="813" t="s">
        <v>14</v>
      </c>
      <c r="H2236" s="814">
        <v>1</v>
      </c>
      <c r="I2236" s="815">
        <v>12.74</v>
      </c>
      <c r="J2236" s="815">
        <v>12.74</v>
      </c>
    </row>
    <row r="2237" spans="1:10" ht="38.25" customHeight="1">
      <c r="A2237" s="817" t="s">
        <v>13491</v>
      </c>
      <c r="B2237" s="816" t="s">
        <v>14300</v>
      </c>
      <c r="C2237" s="817" t="s">
        <v>6</v>
      </c>
      <c r="D2237" s="817" t="s">
        <v>1701</v>
      </c>
      <c r="E2237" s="1021" t="s">
        <v>13898</v>
      </c>
      <c r="F2237" s="1021"/>
      <c r="G2237" s="818" t="s">
        <v>14</v>
      </c>
      <c r="H2237" s="819">
        <v>1</v>
      </c>
      <c r="I2237" s="820">
        <v>2.81</v>
      </c>
      <c r="J2237" s="820">
        <v>2.81</v>
      </c>
    </row>
    <row r="2238" spans="1:10" ht="38.25" customHeight="1">
      <c r="A2238" s="817" t="s">
        <v>13491</v>
      </c>
      <c r="B2238" s="816" t="s">
        <v>13567</v>
      </c>
      <c r="C2238" s="817" t="s">
        <v>6</v>
      </c>
      <c r="D2238" s="817" t="s">
        <v>35</v>
      </c>
      <c r="E2238" s="1021" t="s">
        <v>13490</v>
      </c>
      <c r="F2238" s="1021"/>
      <c r="G2238" s="818" t="s">
        <v>19</v>
      </c>
      <c r="H2238" s="819">
        <v>0.106</v>
      </c>
      <c r="I2238" s="820">
        <v>19.53</v>
      </c>
      <c r="J2238" s="820">
        <v>2.0699999999999998</v>
      </c>
    </row>
    <row r="2239" spans="1:10" ht="38.25" customHeight="1">
      <c r="A2239" s="817" t="s">
        <v>13491</v>
      </c>
      <c r="B2239" s="816" t="s">
        <v>14121</v>
      </c>
      <c r="C2239" s="817" t="s">
        <v>6</v>
      </c>
      <c r="D2239" s="817" t="s">
        <v>37</v>
      </c>
      <c r="E2239" s="1021" t="s">
        <v>13490</v>
      </c>
      <c r="F2239" s="1021"/>
      <c r="G2239" s="818" t="s">
        <v>19</v>
      </c>
      <c r="H2239" s="819">
        <v>0.106</v>
      </c>
      <c r="I2239" s="820">
        <v>15.19</v>
      </c>
      <c r="J2239" s="820">
        <v>1.61</v>
      </c>
    </row>
    <row r="2240" spans="1:10">
      <c r="A2240" s="822" t="s">
        <v>13493</v>
      </c>
      <c r="B2240" s="821" t="s">
        <v>14336</v>
      </c>
      <c r="C2240" s="822" t="s">
        <v>6</v>
      </c>
      <c r="D2240" s="822" t="s">
        <v>10208</v>
      </c>
      <c r="E2240" s="1017" t="s">
        <v>13514</v>
      </c>
      <c r="F2240" s="1017"/>
      <c r="G2240" s="823" t="s">
        <v>14</v>
      </c>
      <c r="H2240" s="824">
        <v>1.0169999999999999</v>
      </c>
      <c r="I2240" s="825">
        <v>6.15</v>
      </c>
      <c r="J2240" s="825">
        <v>6.25</v>
      </c>
    </row>
    <row r="2241" spans="1:10" ht="13.5" customHeight="1">
      <c r="A2241" s="827"/>
      <c r="B2241" s="827"/>
      <c r="C2241" s="827"/>
      <c r="D2241" s="827"/>
      <c r="E2241" s="827" t="s">
        <v>13503</v>
      </c>
      <c r="F2241" s="826">
        <v>3.72</v>
      </c>
      <c r="G2241" s="827" t="s">
        <v>13504</v>
      </c>
      <c r="H2241" s="826">
        <v>0</v>
      </c>
      <c r="I2241" s="827" t="s">
        <v>13505</v>
      </c>
      <c r="J2241" s="826">
        <v>3.72</v>
      </c>
    </row>
    <row r="2242" spans="1:10" ht="13.5" customHeight="1" thickBot="1">
      <c r="A2242" s="827"/>
      <c r="B2242" s="827"/>
      <c r="C2242" s="827"/>
      <c r="D2242" s="827"/>
      <c r="E2242" s="827" t="s">
        <v>13506</v>
      </c>
      <c r="F2242" s="826">
        <v>3.59</v>
      </c>
      <c r="G2242" s="827"/>
      <c r="H2242" s="1018" t="s">
        <v>13507</v>
      </c>
      <c r="I2242" s="1018"/>
      <c r="J2242" s="826">
        <v>16.329999999999998</v>
      </c>
    </row>
    <row r="2243" spans="1:10" ht="13.5" thickTop="1">
      <c r="A2243" s="828"/>
      <c r="B2243" s="828"/>
      <c r="C2243" s="828"/>
      <c r="D2243" s="828"/>
      <c r="E2243" s="828"/>
      <c r="F2243" s="828"/>
      <c r="G2243" s="828"/>
      <c r="H2243" s="828"/>
      <c r="I2243" s="828"/>
      <c r="J2243" s="828"/>
    </row>
    <row r="2244" spans="1:10" ht="12.75" customHeight="1">
      <c r="A2244" s="809" t="s">
        <v>14337</v>
      </c>
      <c r="B2244" s="808" t="s">
        <v>13481</v>
      </c>
      <c r="C2244" s="809" t="s">
        <v>13482</v>
      </c>
      <c r="D2244" s="809" t="s">
        <v>13483</v>
      </c>
      <c r="E2244" s="1019" t="s">
        <v>13484</v>
      </c>
      <c r="F2244" s="1019"/>
      <c r="G2244" s="810" t="s">
        <v>13485</v>
      </c>
      <c r="H2244" s="808" t="s">
        <v>13486</v>
      </c>
      <c r="I2244" s="808" t="s">
        <v>13487</v>
      </c>
      <c r="J2244" s="808" t="s">
        <v>4867</v>
      </c>
    </row>
    <row r="2245" spans="1:10" ht="25.5" customHeight="1">
      <c r="A2245" s="812" t="s">
        <v>13488</v>
      </c>
      <c r="B2245" s="811" t="s">
        <v>14338</v>
      </c>
      <c r="C2245" s="812" t="s">
        <v>6</v>
      </c>
      <c r="D2245" s="812" t="s">
        <v>304</v>
      </c>
      <c r="E2245" s="1020" t="s">
        <v>13898</v>
      </c>
      <c r="F2245" s="1020"/>
      <c r="G2245" s="813" t="s">
        <v>14</v>
      </c>
      <c r="H2245" s="814">
        <v>1</v>
      </c>
      <c r="I2245" s="815">
        <v>10.83</v>
      </c>
      <c r="J2245" s="815">
        <v>10.83</v>
      </c>
    </row>
    <row r="2246" spans="1:10" ht="38.25" customHeight="1">
      <c r="A2246" s="817" t="s">
        <v>13491</v>
      </c>
      <c r="B2246" s="816" t="s">
        <v>13909</v>
      </c>
      <c r="C2246" s="817" t="s">
        <v>6</v>
      </c>
      <c r="D2246" s="817" t="s">
        <v>986</v>
      </c>
      <c r="E2246" s="1021" t="s">
        <v>13490</v>
      </c>
      <c r="F2246" s="1021"/>
      <c r="G2246" s="818" t="s">
        <v>19</v>
      </c>
      <c r="H2246" s="819">
        <v>0.19</v>
      </c>
      <c r="I2246" s="820">
        <v>15.54</v>
      </c>
      <c r="J2246" s="820">
        <v>2.95</v>
      </c>
    </row>
    <row r="2247" spans="1:10" ht="38.25" customHeight="1">
      <c r="A2247" s="817" t="s">
        <v>13491</v>
      </c>
      <c r="B2247" s="816" t="s">
        <v>13574</v>
      </c>
      <c r="C2247" s="817" t="s">
        <v>6</v>
      </c>
      <c r="D2247" s="817" t="s">
        <v>34</v>
      </c>
      <c r="E2247" s="1021" t="s">
        <v>13490</v>
      </c>
      <c r="F2247" s="1021"/>
      <c r="G2247" s="818" t="s">
        <v>19</v>
      </c>
      <c r="H2247" s="819">
        <v>0.19</v>
      </c>
      <c r="I2247" s="820">
        <v>18.72</v>
      </c>
      <c r="J2247" s="820">
        <v>3.55</v>
      </c>
    </row>
    <row r="2248" spans="1:10">
      <c r="A2248" s="822" t="s">
        <v>13493</v>
      </c>
      <c r="B2248" s="821" t="s">
        <v>13913</v>
      </c>
      <c r="C2248" s="822" t="s">
        <v>6</v>
      </c>
      <c r="D2248" s="822" t="s">
        <v>4706</v>
      </c>
      <c r="E2248" s="1017" t="s">
        <v>13514</v>
      </c>
      <c r="F2248" s="1017"/>
      <c r="G2248" s="823" t="s">
        <v>24</v>
      </c>
      <c r="H2248" s="824">
        <v>6.3E-2</v>
      </c>
      <c r="I2248" s="825">
        <v>2.2000000000000002</v>
      </c>
      <c r="J2248" s="825">
        <v>0.13</v>
      </c>
    </row>
    <row r="2249" spans="1:10">
      <c r="A2249" s="822" t="s">
        <v>13493</v>
      </c>
      <c r="B2249" s="821" t="s">
        <v>14083</v>
      </c>
      <c r="C2249" s="822" t="s">
        <v>6</v>
      </c>
      <c r="D2249" s="822" t="s">
        <v>4815</v>
      </c>
      <c r="E2249" s="1017" t="s">
        <v>13514</v>
      </c>
      <c r="F2249" s="1017"/>
      <c r="G2249" s="823" t="s">
        <v>14</v>
      </c>
      <c r="H2249" s="824">
        <v>1.05</v>
      </c>
      <c r="I2249" s="825">
        <v>4</v>
      </c>
      <c r="J2249" s="825">
        <v>4.2</v>
      </c>
    </row>
    <row r="2250" spans="1:10" ht="25.5">
      <c r="A2250" s="827"/>
      <c r="B2250" s="827"/>
      <c r="C2250" s="827"/>
      <c r="D2250" s="827"/>
      <c r="E2250" s="827" t="s">
        <v>13503</v>
      </c>
      <c r="F2250" s="826">
        <v>4.8499999999999996</v>
      </c>
      <c r="G2250" s="827" t="s">
        <v>13504</v>
      </c>
      <c r="H2250" s="826">
        <v>0</v>
      </c>
      <c r="I2250" s="827" t="s">
        <v>13505</v>
      </c>
      <c r="J2250" s="826">
        <v>4.8499999999999996</v>
      </c>
    </row>
    <row r="2251" spans="1:10" ht="13.5" customHeight="1" thickBot="1">
      <c r="A2251" s="827"/>
      <c r="B2251" s="827"/>
      <c r="C2251" s="827"/>
      <c r="D2251" s="827"/>
      <c r="E2251" s="827" t="s">
        <v>13506</v>
      </c>
      <c r="F2251" s="826">
        <v>3.05</v>
      </c>
      <c r="G2251" s="827"/>
      <c r="H2251" s="1018" t="s">
        <v>13507</v>
      </c>
      <c r="I2251" s="1018"/>
      <c r="J2251" s="826">
        <v>13.88</v>
      </c>
    </row>
    <row r="2252" spans="1:10" ht="13.5" thickTop="1">
      <c r="A2252" s="828"/>
      <c r="B2252" s="828"/>
      <c r="C2252" s="828"/>
      <c r="D2252" s="828"/>
      <c r="E2252" s="828"/>
      <c r="F2252" s="828"/>
      <c r="G2252" s="828"/>
      <c r="H2252" s="828"/>
      <c r="I2252" s="828"/>
      <c r="J2252" s="828"/>
    </row>
    <row r="2253" spans="1:10" ht="15">
      <c r="A2253" s="809" t="s">
        <v>14339</v>
      </c>
      <c r="B2253" s="808" t="s">
        <v>13481</v>
      </c>
      <c r="C2253" s="809" t="s">
        <v>13482</v>
      </c>
      <c r="D2253" s="809" t="s">
        <v>13483</v>
      </c>
      <c r="E2253" s="1019" t="s">
        <v>13484</v>
      </c>
      <c r="F2253" s="1019"/>
      <c r="G2253" s="810" t="s">
        <v>13485</v>
      </c>
      <c r="H2253" s="808" t="s">
        <v>13486</v>
      </c>
      <c r="I2253" s="808" t="s">
        <v>13487</v>
      </c>
      <c r="J2253" s="808" t="s">
        <v>4867</v>
      </c>
    </row>
    <row r="2254" spans="1:10" ht="13.5" customHeight="1">
      <c r="A2254" s="812" t="s">
        <v>13488</v>
      </c>
      <c r="B2254" s="811" t="s">
        <v>14340</v>
      </c>
      <c r="C2254" s="812" t="s">
        <v>6</v>
      </c>
      <c r="D2254" s="812" t="s">
        <v>1565</v>
      </c>
      <c r="E2254" s="1020" t="s">
        <v>13898</v>
      </c>
      <c r="F2254" s="1020"/>
      <c r="G2254" s="813" t="s">
        <v>24</v>
      </c>
      <c r="H2254" s="814">
        <v>1</v>
      </c>
      <c r="I2254" s="815">
        <v>4.45</v>
      </c>
      <c r="J2254" s="815">
        <v>4.45</v>
      </c>
    </row>
    <row r="2255" spans="1:10" ht="38.25" customHeight="1">
      <c r="A2255" s="817" t="s">
        <v>13491</v>
      </c>
      <c r="B2255" s="816" t="s">
        <v>13909</v>
      </c>
      <c r="C2255" s="817" t="s">
        <v>6</v>
      </c>
      <c r="D2255" s="817" t="s">
        <v>986</v>
      </c>
      <c r="E2255" s="1021" t="s">
        <v>13490</v>
      </c>
      <c r="F2255" s="1021"/>
      <c r="G2255" s="818" t="s">
        <v>19</v>
      </c>
      <c r="H2255" s="819">
        <v>7.0000000000000007E-2</v>
      </c>
      <c r="I2255" s="820">
        <v>15.54</v>
      </c>
      <c r="J2255" s="820">
        <v>1.08</v>
      </c>
    </row>
    <row r="2256" spans="1:10" ht="38.25" customHeight="1">
      <c r="A2256" s="817" t="s">
        <v>13491</v>
      </c>
      <c r="B2256" s="816" t="s">
        <v>13574</v>
      </c>
      <c r="C2256" s="817" t="s">
        <v>6</v>
      </c>
      <c r="D2256" s="817" t="s">
        <v>34</v>
      </c>
      <c r="E2256" s="1021" t="s">
        <v>13490</v>
      </c>
      <c r="F2256" s="1021"/>
      <c r="G2256" s="818" t="s">
        <v>19</v>
      </c>
      <c r="H2256" s="819">
        <v>7.0000000000000007E-2</v>
      </c>
      <c r="I2256" s="820">
        <v>18.72</v>
      </c>
      <c r="J2256" s="820">
        <v>1.31</v>
      </c>
    </row>
    <row r="2257" spans="1:10" ht="12.75" customHeight="1">
      <c r="A2257" s="822" t="s">
        <v>13493</v>
      </c>
      <c r="B2257" s="821" t="s">
        <v>13910</v>
      </c>
      <c r="C2257" s="822" t="s">
        <v>6</v>
      </c>
      <c r="D2257" s="822" t="s">
        <v>8519</v>
      </c>
      <c r="E2257" s="1017" t="s">
        <v>13514</v>
      </c>
      <c r="F2257" s="1017"/>
      <c r="G2257" s="823" t="s">
        <v>24</v>
      </c>
      <c r="H2257" s="824">
        <v>7.1000000000000004E-3</v>
      </c>
      <c r="I2257" s="825">
        <v>76.94</v>
      </c>
      <c r="J2257" s="825">
        <v>0.54</v>
      </c>
    </row>
    <row r="2258" spans="1:10">
      <c r="A2258" s="822" t="s">
        <v>13493</v>
      </c>
      <c r="B2258" s="821" t="s">
        <v>13913</v>
      </c>
      <c r="C2258" s="822" t="s">
        <v>6</v>
      </c>
      <c r="D2258" s="822" t="s">
        <v>4706</v>
      </c>
      <c r="E2258" s="1017" t="s">
        <v>13514</v>
      </c>
      <c r="F2258" s="1017"/>
      <c r="G2258" s="823" t="s">
        <v>24</v>
      </c>
      <c r="H2258" s="824">
        <v>2.1000000000000001E-2</v>
      </c>
      <c r="I2258" s="825">
        <v>2.2000000000000002</v>
      </c>
      <c r="J2258" s="825">
        <v>0.04</v>
      </c>
    </row>
    <row r="2259" spans="1:10">
      <c r="A2259" s="822" t="s">
        <v>13493</v>
      </c>
      <c r="B2259" s="821" t="s">
        <v>14074</v>
      </c>
      <c r="C2259" s="822" t="s">
        <v>6</v>
      </c>
      <c r="D2259" s="822" t="s">
        <v>4698</v>
      </c>
      <c r="E2259" s="1017" t="s">
        <v>13514</v>
      </c>
      <c r="F2259" s="1017"/>
      <c r="G2259" s="823" t="s">
        <v>24</v>
      </c>
      <c r="H2259" s="824">
        <v>1</v>
      </c>
      <c r="I2259" s="825">
        <v>0.79</v>
      </c>
      <c r="J2259" s="825">
        <v>0.79</v>
      </c>
    </row>
    <row r="2260" spans="1:10" ht="25.5">
      <c r="A2260" s="822" t="s">
        <v>13493</v>
      </c>
      <c r="B2260" s="821" t="s">
        <v>13915</v>
      </c>
      <c r="C2260" s="822" t="s">
        <v>6</v>
      </c>
      <c r="D2260" s="822" t="s">
        <v>12249</v>
      </c>
      <c r="E2260" s="1017" t="s">
        <v>13514</v>
      </c>
      <c r="F2260" s="1017"/>
      <c r="G2260" s="823" t="s">
        <v>24</v>
      </c>
      <c r="H2260" s="824">
        <v>8.0000000000000002E-3</v>
      </c>
      <c r="I2260" s="825">
        <v>87.17</v>
      </c>
      <c r="J2260" s="825">
        <v>0.69</v>
      </c>
    </row>
    <row r="2261" spans="1:10" ht="25.5">
      <c r="A2261" s="827"/>
      <c r="B2261" s="827"/>
      <c r="C2261" s="827"/>
      <c r="D2261" s="827"/>
      <c r="E2261" s="827" t="s">
        <v>13503</v>
      </c>
      <c r="F2261" s="826">
        <v>1.78</v>
      </c>
      <c r="G2261" s="827" t="s">
        <v>13504</v>
      </c>
      <c r="H2261" s="826">
        <v>0</v>
      </c>
      <c r="I2261" s="827" t="s">
        <v>13505</v>
      </c>
      <c r="J2261" s="826">
        <v>1.78</v>
      </c>
    </row>
    <row r="2262" spans="1:10" ht="13.5" customHeight="1" thickBot="1">
      <c r="A2262" s="827"/>
      <c r="B2262" s="827"/>
      <c r="C2262" s="827"/>
      <c r="D2262" s="827"/>
      <c r="E2262" s="827" t="s">
        <v>13506</v>
      </c>
      <c r="F2262" s="826">
        <v>1.25</v>
      </c>
      <c r="G2262" s="827"/>
      <c r="H2262" s="1018" t="s">
        <v>13507</v>
      </c>
      <c r="I2262" s="1018"/>
      <c r="J2262" s="826">
        <v>5.7</v>
      </c>
    </row>
    <row r="2263" spans="1:10" ht="13.5" thickTop="1">
      <c r="A2263" s="828"/>
      <c r="B2263" s="828"/>
      <c r="C2263" s="828"/>
      <c r="D2263" s="828"/>
      <c r="E2263" s="828"/>
      <c r="F2263" s="828"/>
      <c r="G2263" s="828"/>
      <c r="H2263" s="828"/>
      <c r="I2263" s="828"/>
      <c r="J2263" s="828"/>
    </row>
    <row r="2264" spans="1:10" ht="15">
      <c r="A2264" s="809" t="s">
        <v>14341</v>
      </c>
      <c r="B2264" s="808" t="s">
        <v>13481</v>
      </c>
      <c r="C2264" s="809" t="s">
        <v>13482</v>
      </c>
      <c r="D2264" s="809" t="s">
        <v>13483</v>
      </c>
      <c r="E2264" s="1019" t="s">
        <v>13484</v>
      </c>
      <c r="F2264" s="1019"/>
      <c r="G2264" s="810" t="s">
        <v>13485</v>
      </c>
      <c r="H2264" s="808" t="s">
        <v>13486</v>
      </c>
      <c r="I2264" s="808" t="s">
        <v>13487</v>
      </c>
      <c r="J2264" s="808" t="s">
        <v>4867</v>
      </c>
    </row>
    <row r="2265" spans="1:10" ht="25.5" customHeight="1">
      <c r="A2265" s="812" t="s">
        <v>13488</v>
      </c>
      <c r="B2265" s="811" t="s">
        <v>14342</v>
      </c>
      <c r="C2265" s="812" t="s">
        <v>6</v>
      </c>
      <c r="D2265" s="812" t="s">
        <v>1566</v>
      </c>
      <c r="E2265" s="1020" t="s">
        <v>13898</v>
      </c>
      <c r="F2265" s="1020"/>
      <c r="G2265" s="813" t="s">
        <v>24</v>
      </c>
      <c r="H2265" s="814">
        <v>1</v>
      </c>
      <c r="I2265" s="815">
        <v>5.27</v>
      </c>
      <c r="J2265" s="815">
        <v>5.27</v>
      </c>
    </row>
    <row r="2266" spans="1:10" ht="38.25" customHeight="1">
      <c r="A2266" s="817" t="s">
        <v>13491</v>
      </c>
      <c r="B2266" s="816" t="s">
        <v>13909</v>
      </c>
      <c r="C2266" s="817" t="s">
        <v>6</v>
      </c>
      <c r="D2266" s="817" t="s">
        <v>986</v>
      </c>
      <c r="E2266" s="1021" t="s">
        <v>13490</v>
      </c>
      <c r="F2266" s="1021"/>
      <c r="G2266" s="818" t="s">
        <v>19</v>
      </c>
      <c r="H2266" s="819">
        <v>7.0000000000000007E-2</v>
      </c>
      <c r="I2266" s="820">
        <v>15.54</v>
      </c>
      <c r="J2266" s="820">
        <v>1.08</v>
      </c>
    </row>
    <row r="2267" spans="1:10" ht="13.5" customHeight="1">
      <c r="A2267" s="817" t="s">
        <v>13491</v>
      </c>
      <c r="B2267" s="816" t="s">
        <v>13574</v>
      </c>
      <c r="C2267" s="817" t="s">
        <v>6</v>
      </c>
      <c r="D2267" s="817" t="s">
        <v>34</v>
      </c>
      <c r="E2267" s="1021" t="s">
        <v>13490</v>
      </c>
      <c r="F2267" s="1021"/>
      <c r="G2267" s="818" t="s">
        <v>19</v>
      </c>
      <c r="H2267" s="819">
        <v>7.0000000000000007E-2</v>
      </c>
      <c r="I2267" s="820">
        <v>18.72</v>
      </c>
      <c r="J2267" s="820">
        <v>1.31</v>
      </c>
    </row>
    <row r="2268" spans="1:10">
      <c r="A2268" s="822" t="s">
        <v>13493</v>
      </c>
      <c r="B2268" s="821" t="s">
        <v>13910</v>
      </c>
      <c r="C2268" s="822" t="s">
        <v>6</v>
      </c>
      <c r="D2268" s="822" t="s">
        <v>8519</v>
      </c>
      <c r="E2268" s="1017" t="s">
        <v>13514</v>
      </c>
      <c r="F2268" s="1017"/>
      <c r="G2268" s="823" t="s">
        <v>24</v>
      </c>
      <c r="H2268" s="824">
        <v>7.1000000000000004E-3</v>
      </c>
      <c r="I2268" s="825">
        <v>76.94</v>
      </c>
      <c r="J2268" s="825">
        <v>0.54</v>
      </c>
    </row>
    <row r="2269" spans="1:10">
      <c r="A2269" s="822" t="s">
        <v>13493</v>
      </c>
      <c r="B2269" s="821" t="s">
        <v>14068</v>
      </c>
      <c r="C2269" s="822" t="s">
        <v>6</v>
      </c>
      <c r="D2269" s="822" t="s">
        <v>4702</v>
      </c>
      <c r="E2269" s="1017" t="s">
        <v>13514</v>
      </c>
      <c r="F2269" s="1017"/>
      <c r="G2269" s="823" t="s">
        <v>24</v>
      </c>
      <c r="H2269" s="824">
        <v>1</v>
      </c>
      <c r="I2269" s="825">
        <v>1.61</v>
      </c>
      <c r="J2269" s="825">
        <v>1.61</v>
      </c>
    </row>
    <row r="2270" spans="1:10" ht="25.5" customHeight="1">
      <c r="A2270" s="822" t="s">
        <v>13493</v>
      </c>
      <c r="B2270" s="821" t="s">
        <v>13913</v>
      </c>
      <c r="C2270" s="822" t="s">
        <v>6</v>
      </c>
      <c r="D2270" s="822" t="s">
        <v>4706</v>
      </c>
      <c r="E2270" s="1017" t="s">
        <v>13514</v>
      </c>
      <c r="F2270" s="1017"/>
      <c r="G2270" s="823" t="s">
        <v>24</v>
      </c>
      <c r="H2270" s="824">
        <v>2.1000000000000001E-2</v>
      </c>
      <c r="I2270" s="825">
        <v>2.2000000000000002</v>
      </c>
      <c r="J2270" s="825">
        <v>0.04</v>
      </c>
    </row>
    <row r="2271" spans="1:10" ht="25.5" customHeight="1">
      <c r="A2271" s="822" t="s">
        <v>13493</v>
      </c>
      <c r="B2271" s="821" t="s">
        <v>13915</v>
      </c>
      <c r="C2271" s="822" t="s">
        <v>6</v>
      </c>
      <c r="D2271" s="822" t="s">
        <v>12249</v>
      </c>
      <c r="E2271" s="1017" t="s">
        <v>13514</v>
      </c>
      <c r="F2271" s="1017"/>
      <c r="G2271" s="823" t="s">
        <v>24</v>
      </c>
      <c r="H2271" s="824">
        <v>8.0000000000000002E-3</v>
      </c>
      <c r="I2271" s="825">
        <v>87.17</v>
      </c>
      <c r="J2271" s="825">
        <v>0.69</v>
      </c>
    </row>
    <row r="2272" spans="1:10" ht="25.5" customHeight="1">
      <c r="A2272" s="827"/>
      <c r="B2272" s="827"/>
      <c r="C2272" s="827"/>
      <c r="D2272" s="827"/>
      <c r="E2272" s="827" t="s">
        <v>13503</v>
      </c>
      <c r="F2272" s="826">
        <v>1.78</v>
      </c>
      <c r="G2272" s="827" t="s">
        <v>13504</v>
      </c>
      <c r="H2272" s="826">
        <v>0</v>
      </c>
      <c r="I2272" s="827" t="s">
        <v>13505</v>
      </c>
      <c r="J2272" s="826">
        <v>1.78</v>
      </c>
    </row>
    <row r="2273" spans="1:10" ht="25.5" customHeight="1" thickBot="1">
      <c r="A2273" s="827"/>
      <c r="B2273" s="827"/>
      <c r="C2273" s="827"/>
      <c r="D2273" s="827"/>
      <c r="E2273" s="827" t="s">
        <v>13506</v>
      </c>
      <c r="F2273" s="826">
        <v>1.48</v>
      </c>
      <c r="G2273" s="827"/>
      <c r="H2273" s="1018" t="s">
        <v>13507</v>
      </c>
      <c r="I2273" s="1018"/>
      <c r="J2273" s="826">
        <v>6.75</v>
      </c>
    </row>
    <row r="2274" spans="1:10" ht="38.25" customHeight="1" thickTop="1">
      <c r="A2274" s="828"/>
      <c r="B2274" s="828"/>
      <c r="C2274" s="828"/>
      <c r="D2274" s="828"/>
      <c r="E2274" s="828"/>
      <c r="F2274" s="828"/>
      <c r="G2274" s="828"/>
      <c r="H2274" s="828"/>
      <c r="I2274" s="828"/>
      <c r="J2274" s="828"/>
    </row>
    <row r="2275" spans="1:10" ht="15">
      <c r="A2275" s="809" t="s">
        <v>14343</v>
      </c>
      <c r="B2275" s="808" t="s">
        <v>13481</v>
      </c>
      <c r="C2275" s="809" t="s">
        <v>13482</v>
      </c>
      <c r="D2275" s="809" t="s">
        <v>13483</v>
      </c>
      <c r="E2275" s="1019" t="s">
        <v>13484</v>
      </c>
      <c r="F2275" s="1019"/>
      <c r="G2275" s="810" t="s">
        <v>13485</v>
      </c>
      <c r="H2275" s="808" t="s">
        <v>13486</v>
      </c>
      <c r="I2275" s="808" t="s">
        <v>13487</v>
      </c>
      <c r="J2275" s="808" t="s">
        <v>4867</v>
      </c>
    </row>
    <row r="2276" spans="1:10" ht="13.5" customHeight="1">
      <c r="A2276" s="812" t="s">
        <v>13488</v>
      </c>
      <c r="B2276" s="811" t="s">
        <v>14344</v>
      </c>
      <c r="C2276" s="812" t="s">
        <v>6</v>
      </c>
      <c r="D2276" s="812" t="s">
        <v>1567</v>
      </c>
      <c r="E2276" s="1020" t="s">
        <v>13898</v>
      </c>
      <c r="F2276" s="1020"/>
      <c r="G2276" s="813" t="s">
        <v>24</v>
      </c>
      <c r="H2276" s="814">
        <v>1</v>
      </c>
      <c r="I2276" s="815">
        <v>7.57</v>
      </c>
      <c r="J2276" s="815">
        <v>7.57</v>
      </c>
    </row>
    <row r="2277" spans="1:10" ht="38.25" customHeight="1">
      <c r="A2277" s="817" t="s">
        <v>13491</v>
      </c>
      <c r="B2277" s="816" t="s">
        <v>13909</v>
      </c>
      <c r="C2277" s="817" t="s">
        <v>6</v>
      </c>
      <c r="D2277" s="817" t="s">
        <v>986</v>
      </c>
      <c r="E2277" s="1021" t="s">
        <v>13490</v>
      </c>
      <c r="F2277" s="1021"/>
      <c r="G2277" s="818" t="s">
        <v>19</v>
      </c>
      <c r="H2277" s="819">
        <v>0.09</v>
      </c>
      <c r="I2277" s="820">
        <v>15.54</v>
      </c>
      <c r="J2277" s="820">
        <v>1.39</v>
      </c>
    </row>
    <row r="2278" spans="1:10" ht="38.25" customHeight="1">
      <c r="A2278" s="817" t="s">
        <v>13491</v>
      </c>
      <c r="B2278" s="816" t="s">
        <v>13574</v>
      </c>
      <c r="C2278" s="817" t="s">
        <v>6</v>
      </c>
      <c r="D2278" s="817" t="s">
        <v>34</v>
      </c>
      <c r="E2278" s="1021" t="s">
        <v>13490</v>
      </c>
      <c r="F2278" s="1021"/>
      <c r="G2278" s="818" t="s">
        <v>19</v>
      </c>
      <c r="H2278" s="819">
        <v>0.09</v>
      </c>
      <c r="I2278" s="820">
        <v>18.72</v>
      </c>
      <c r="J2278" s="820">
        <v>1.68</v>
      </c>
    </row>
    <row r="2279" spans="1:10">
      <c r="A2279" s="822" t="s">
        <v>13493</v>
      </c>
      <c r="B2279" s="821" t="s">
        <v>13910</v>
      </c>
      <c r="C2279" s="822" t="s">
        <v>6</v>
      </c>
      <c r="D2279" s="822" t="s">
        <v>8519</v>
      </c>
      <c r="E2279" s="1017" t="s">
        <v>13514</v>
      </c>
      <c r="F2279" s="1017"/>
      <c r="G2279" s="823" t="s">
        <v>24</v>
      </c>
      <c r="H2279" s="824">
        <v>1.4800000000000001E-2</v>
      </c>
      <c r="I2279" s="825">
        <v>76.94</v>
      </c>
      <c r="J2279" s="825">
        <v>1.1299999999999999</v>
      </c>
    </row>
    <row r="2280" spans="1:10">
      <c r="A2280" s="822" t="s">
        <v>13493</v>
      </c>
      <c r="B2280" s="821" t="s">
        <v>13913</v>
      </c>
      <c r="C2280" s="822" t="s">
        <v>6</v>
      </c>
      <c r="D2280" s="822" t="s">
        <v>4706</v>
      </c>
      <c r="E2280" s="1017" t="s">
        <v>13514</v>
      </c>
      <c r="F2280" s="1017"/>
      <c r="G2280" s="823" t="s">
        <v>24</v>
      </c>
      <c r="H2280" s="824">
        <v>3.2000000000000001E-2</v>
      </c>
      <c r="I2280" s="825">
        <v>2.2000000000000002</v>
      </c>
      <c r="J2280" s="825">
        <v>7.0000000000000007E-2</v>
      </c>
    </row>
    <row r="2281" spans="1:10" ht="25.5">
      <c r="A2281" s="822" t="s">
        <v>13493</v>
      </c>
      <c r="B2281" s="821" t="s">
        <v>13915</v>
      </c>
      <c r="C2281" s="822" t="s">
        <v>6</v>
      </c>
      <c r="D2281" s="822" t="s">
        <v>12249</v>
      </c>
      <c r="E2281" s="1017" t="s">
        <v>13514</v>
      </c>
      <c r="F2281" s="1017"/>
      <c r="G2281" s="823" t="s">
        <v>24</v>
      </c>
      <c r="H2281" s="824">
        <v>2.2499999999999999E-2</v>
      </c>
      <c r="I2281" s="825">
        <v>87.17</v>
      </c>
      <c r="J2281" s="825">
        <v>1.96</v>
      </c>
    </row>
    <row r="2282" spans="1:10" ht="25.5">
      <c r="A2282" s="822" t="s">
        <v>13493</v>
      </c>
      <c r="B2282" s="821" t="s">
        <v>14095</v>
      </c>
      <c r="C2282" s="822" t="s">
        <v>6</v>
      </c>
      <c r="D2282" s="822" t="s">
        <v>4795</v>
      </c>
      <c r="E2282" s="1017" t="s">
        <v>13514</v>
      </c>
      <c r="F2282" s="1017"/>
      <c r="G2282" s="823" t="s">
        <v>24</v>
      </c>
      <c r="H2282" s="824">
        <v>1</v>
      </c>
      <c r="I2282" s="825">
        <v>1.34</v>
      </c>
      <c r="J2282" s="825">
        <v>1.34</v>
      </c>
    </row>
    <row r="2283" spans="1:10" ht="25.5">
      <c r="A2283" s="827"/>
      <c r="B2283" s="827"/>
      <c r="C2283" s="827"/>
      <c r="D2283" s="827"/>
      <c r="E2283" s="827" t="s">
        <v>13503</v>
      </c>
      <c r="F2283" s="826">
        <v>2.29</v>
      </c>
      <c r="G2283" s="827" t="s">
        <v>13504</v>
      </c>
      <c r="H2283" s="826">
        <v>0</v>
      </c>
      <c r="I2283" s="827" t="s">
        <v>13505</v>
      </c>
      <c r="J2283" s="826">
        <v>2.29</v>
      </c>
    </row>
    <row r="2284" spans="1:10" ht="13.5" customHeight="1" thickBot="1">
      <c r="A2284" s="827"/>
      <c r="B2284" s="827"/>
      <c r="C2284" s="827"/>
      <c r="D2284" s="827"/>
      <c r="E2284" s="827" t="s">
        <v>13506</v>
      </c>
      <c r="F2284" s="826">
        <v>2.13</v>
      </c>
      <c r="G2284" s="827"/>
      <c r="H2284" s="1018" t="s">
        <v>13507</v>
      </c>
      <c r="I2284" s="1018"/>
      <c r="J2284" s="826">
        <v>9.6999999999999993</v>
      </c>
    </row>
    <row r="2285" spans="1:10" ht="13.5" thickTop="1">
      <c r="A2285" s="828"/>
      <c r="B2285" s="828"/>
      <c r="C2285" s="828"/>
      <c r="D2285" s="828"/>
      <c r="E2285" s="828"/>
      <c r="F2285" s="828"/>
      <c r="G2285" s="828"/>
      <c r="H2285" s="828"/>
      <c r="I2285" s="828"/>
      <c r="J2285" s="828"/>
    </row>
    <row r="2286" spans="1:10" ht="13.5" customHeight="1">
      <c r="A2286" s="809" t="s">
        <v>14345</v>
      </c>
      <c r="B2286" s="808" t="s">
        <v>13481</v>
      </c>
      <c r="C2286" s="809" t="s">
        <v>13482</v>
      </c>
      <c r="D2286" s="809" t="s">
        <v>13483</v>
      </c>
      <c r="E2286" s="1019" t="s">
        <v>13484</v>
      </c>
      <c r="F2286" s="1019"/>
      <c r="G2286" s="810" t="s">
        <v>13485</v>
      </c>
      <c r="H2286" s="808" t="s">
        <v>13486</v>
      </c>
      <c r="I2286" s="808" t="s">
        <v>13487</v>
      </c>
      <c r="J2286" s="808" t="s">
        <v>4867</v>
      </c>
    </row>
    <row r="2287" spans="1:10" ht="25.5" customHeight="1">
      <c r="A2287" s="812" t="s">
        <v>13488</v>
      </c>
      <c r="B2287" s="811" t="s">
        <v>14346</v>
      </c>
      <c r="C2287" s="812" t="s">
        <v>6</v>
      </c>
      <c r="D2287" s="812" t="s">
        <v>3199</v>
      </c>
      <c r="E2287" s="1020" t="s">
        <v>14194</v>
      </c>
      <c r="F2287" s="1020"/>
      <c r="G2287" s="813" t="s">
        <v>24</v>
      </c>
      <c r="H2287" s="814">
        <v>1</v>
      </c>
      <c r="I2287" s="815">
        <v>45.57</v>
      </c>
      <c r="J2287" s="815">
        <v>45.57</v>
      </c>
    </row>
    <row r="2288" spans="1:10" ht="38.25" customHeight="1">
      <c r="A2288" s="817" t="s">
        <v>13491</v>
      </c>
      <c r="B2288" s="816" t="s">
        <v>14347</v>
      </c>
      <c r="C2288" s="817" t="s">
        <v>6</v>
      </c>
      <c r="D2288" s="817" t="s">
        <v>1704</v>
      </c>
      <c r="E2288" s="1021" t="s">
        <v>13898</v>
      </c>
      <c r="F2288" s="1021"/>
      <c r="G2288" s="818" t="s">
        <v>14</v>
      </c>
      <c r="H2288" s="819">
        <v>3</v>
      </c>
      <c r="I2288" s="820">
        <v>1.42</v>
      </c>
      <c r="J2288" s="820">
        <v>4.26</v>
      </c>
    </row>
    <row r="2289" spans="1:10" ht="38.25" customHeight="1">
      <c r="A2289" s="817" t="s">
        <v>13491</v>
      </c>
      <c r="B2289" s="816" t="s">
        <v>14121</v>
      </c>
      <c r="C2289" s="817" t="s">
        <v>6</v>
      </c>
      <c r="D2289" s="817" t="s">
        <v>37</v>
      </c>
      <c r="E2289" s="1021" t="s">
        <v>13490</v>
      </c>
      <c r="F2289" s="1021"/>
      <c r="G2289" s="818" t="s">
        <v>19</v>
      </c>
      <c r="H2289" s="819">
        <v>0.76319999999999999</v>
      </c>
      <c r="I2289" s="820">
        <v>15.19</v>
      </c>
      <c r="J2289" s="820">
        <v>11.59</v>
      </c>
    </row>
    <row r="2290" spans="1:10" ht="38.25" customHeight="1">
      <c r="A2290" s="817" t="s">
        <v>13491</v>
      </c>
      <c r="B2290" s="816" t="s">
        <v>13567</v>
      </c>
      <c r="C2290" s="817" t="s">
        <v>6</v>
      </c>
      <c r="D2290" s="817" t="s">
        <v>35</v>
      </c>
      <c r="E2290" s="1021" t="s">
        <v>13490</v>
      </c>
      <c r="F2290" s="1021"/>
      <c r="G2290" s="818" t="s">
        <v>19</v>
      </c>
      <c r="H2290" s="819">
        <v>0.76319999999999999</v>
      </c>
      <c r="I2290" s="820">
        <v>19.53</v>
      </c>
      <c r="J2290" s="820">
        <v>14.9</v>
      </c>
    </row>
    <row r="2291" spans="1:10">
      <c r="A2291" s="822" t="s">
        <v>13493</v>
      </c>
      <c r="B2291" s="821" t="s">
        <v>14348</v>
      </c>
      <c r="C2291" s="822" t="s">
        <v>6</v>
      </c>
      <c r="D2291" s="822" t="s">
        <v>4642</v>
      </c>
      <c r="E2291" s="1017" t="s">
        <v>13514</v>
      </c>
      <c r="F2291" s="1017"/>
      <c r="G2291" s="823" t="s">
        <v>14</v>
      </c>
      <c r="H2291" s="824">
        <v>3</v>
      </c>
      <c r="I2291" s="825">
        <v>4.9400000000000004</v>
      </c>
      <c r="J2291" s="825">
        <v>14.82</v>
      </c>
    </row>
    <row r="2292" spans="1:10" ht="25.5">
      <c r="A2292" s="827"/>
      <c r="B2292" s="827"/>
      <c r="C2292" s="827"/>
      <c r="D2292" s="827"/>
      <c r="E2292" s="827" t="s">
        <v>13503</v>
      </c>
      <c r="F2292" s="826">
        <v>20.63</v>
      </c>
      <c r="G2292" s="827" t="s">
        <v>13504</v>
      </c>
      <c r="H2292" s="826">
        <v>0</v>
      </c>
      <c r="I2292" s="827" t="s">
        <v>13505</v>
      </c>
      <c r="J2292" s="826">
        <v>20.63</v>
      </c>
    </row>
    <row r="2293" spans="1:10" ht="13.5" customHeight="1" thickBot="1">
      <c r="A2293" s="827"/>
      <c r="B2293" s="827"/>
      <c r="C2293" s="827"/>
      <c r="D2293" s="827"/>
      <c r="E2293" s="827" t="s">
        <v>13506</v>
      </c>
      <c r="F2293" s="826">
        <v>12.86</v>
      </c>
      <c r="G2293" s="827"/>
      <c r="H2293" s="1018" t="s">
        <v>13507</v>
      </c>
      <c r="I2293" s="1018"/>
      <c r="J2293" s="826">
        <v>58.43</v>
      </c>
    </row>
    <row r="2294" spans="1:10" ht="13.5" customHeight="1" thickTop="1">
      <c r="A2294" s="828"/>
      <c r="B2294" s="828"/>
      <c r="C2294" s="828"/>
      <c r="D2294" s="828"/>
      <c r="E2294" s="828"/>
      <c r="F2294" s="828"/>
      <c r="G2294" s="828"/>
      <c r="H2294" s="828"/>
      <c r="I2294" s="828"/>
      <c r="J2294" s="828"/>
    </row>
    <row r="2295" spans="1:10" ht="15">
      <c r="A2295" s="809" t="s">
        <v>14349</v>
      </c>
      <c r="B2295" s="808" t="s">
        <v>13481</v>
      </c>
      <c r="C2295" s="809" t="s">
        <v>13482</v>
      </c>
      <c r="D2295" s="809" t="s">
        <v>13483</v>
      </c>
      <c r="E2295" s="1019" t="s">
        <v>13484</v>
      </c>
      <c r="F2295" s="1019"/>
      <c r="G2295" s="810" t="s">
        <v>13485</v>
      </c>
      <c r="H2295" s="808" t="s">
        <v>13486</v>
      </c>
      <c r="I2295" s="808" t="s">
        <v>13487</v>
      </c>
      <c r="J2295" s="808" t="s">
        <v>4867</v>
      </c>
    </row>
    <row r="2296" spans="1:10" ht="25.5" customHeight="1">
      <c r="A2296" s="812" t="s">
        <v>13488</v>
      </c>
      <c r="B2296" s="811" t="s">
        <v>14350</v>
      </c>
      <c r="C2296" s="812" t="s">
        <v>6</v>
      </c>
      <c r="D2296" s="812" t="s">
        <v>3200</v>
      </c>
      <c r="E2296" s="1020" t="s">
        <v>14194</v>
      </c>
      <c r="F2296" s="1020"/>
      <c r="G2296" s="813" t="s">
        <v>24</v>
      </c>
      <c r="H2296" s="814">
        <v>1</v>
      </c>
      <c r="I2296" s="815">
        <v>60.39</v>
      </c>
      <c r="J2296" s="815">
        <v>60.39</v>
      </c>
    </row>
    <row r="2297" spans="1:10" ht="38.25" customHeight="1">
      <c r="A2297" s="817" t="s">
        <v>13491</v>
      </c>
      <c r="B2297" s="816" t="s">
        <v>13567</v>
      </c>
      <c r="C2297" s="817" t="s">
        <v>6</v>
      </c>
      <c r="D2297" s="817" t="s">
        <v>35</v>
      </c>
      <c r="E2297" s="1021" t="s">
        <v>13490</v>
      </c>
      <c r="F2297" s="1021"/>
      <c r="G2297" s="818" t="s">
        <v>19</v>
      </c>
      <c r="H2297" s="819">
        <v>0.25309999999999999</v>
      </c>
      <c r="I2297" s="820">
        <v>19.53</v>
      </c>
      <c r="J2297" s="820">
        <v>4.9400000000000004</v>
      </c>
    </row>
    <row r="2298" spans="1:10" ht="38.25" customHeight="1">
      <c r="A2298" s="817" t="s">
        <v>13491</v>
      </c>
      <c r="B2298" s="816" t="s">
        <v>14121</v>
      </c>
      <c r="C2298" s="817" t="s">
        <v>6</v>
      </c>
      <c r="D2298" s="817" t="s">
        <v>37</v>
      </c>
      <c r="E2298" s="1021" t="s">
        <v>13490</v>
      </c>
      <c r="F2298" s="1021"/>
      <c r="G2298" s="818" t="s">
        <v>19</v>
      </c>
      <c r="H2298" s="819">
        <v>0.25309999999999999</v>
      </c>
      <c r="I2298" s="820">
        <v>15.19</v>
      </c>
      <c r="J2298" s="820">
        <v>3.84</v>
      </c>
    </row>
    <row r="2299" spans="1:10" ht="38.25">
      <c r="A2299" s="822" t="s">
        <v>13493</v>
      </c>
      <c r="B2299" s="821" t="s">
        <v>14351</v>
      </c>
      <c r="C2299" s="822" t="s">
        <v>6</v>
      </c>
      <c r="D2299" s="822" t="s">
        <v>5455</v>
      </c>
      <c r="E2299" s="1017" t="s">
        <v>13514</v>
      </c>
      <c r="F2299" s="1017"/>
      <c r="G2299" s="823" t="s">
        <v>24</v>
      </c>
      <c r="H2299" s="824">
        <v>1</v>
      </c>
      <c r="I2299" s="825">
        <v>51.61</v>
      </c>
      <c r="J2299" s="825">
        <v>51.61</v>
      </c>
    </row>
    <row r="2300" spans="1:10" ht="13.5" customHeight="1">
      <c r="A2300" s="827"/>
      <c r="B2300" s="827"/>
      <c r="C2300" s="827"/>
      <c r="D2300" s="827"/>
      <c r="E2300" s="827" t="s">
        <v>13503</v>
      </c>
      <c r="F2300" s="826">
        <v>6.28</v>
      </c>
      <c r="G2300" s="827" t="s">
        <v>13504</v>
      </c>
      <c r="H2300" s="826">
        <v>0</v>
      </c>
      <c r="I2300" s="827" t="s">
        <v>13505</v>
      </c>
      <c r="J2300" s="826">
        <v>6.28</v>
      </c>
    </row>
    <row r="2301" spans="1:10" ht="13.5" customHeight="1" thickBot="1">
      <c r="A2301" s="827"/>
      <c r="B2301" s="827"/>
      <c r="C2301" s="827"/>
      <c r="D2301" s="827"/>
      <c r="E2301" s="827" t="s">
        <v>13506</v>
      </c>
      <c r="F2301" s="826">
        <v>17.05</v>
      </c>
      <c r="G2301" s="827"/>
      <c r="H2301" s="1018" t="s">
        <v>13507</v>
      </c>
      <c r="I2301" s="1018"/>
      <c r="J2301" s="826">
        <v>77.44</v>
      </c>
    </row>
    <row r="2302" spans="1:10" ht="13.5" thickTop="1">
      <c r="A2302" s="828"/>
      <c r="B2302" s="828"/>
      <c r="C2302" s="828"/>
      <c r="D2302" s="828"/>
      <c r="E2302" s="828"/>
      <c r="F2302" s="828"/>
      <c r="G2302" s="828"/>
      <c r="H2302" s="828"/>
      <c r="I2302" s="828"/>
      <c r="J2302" s="828"/>
    </row>
    <row r="2303" spans="1:10" ht="25.5" customHeight="1">
      <c r="A2303" s="809" t="s">
        <v>14352</v>
      </c>
      <c r="B2303" s="808" t="s">
        <v>13481</v>
      </c>
      <c r="C2303" s="809" t="s">
        <v>13482</v>
      </c>
      <c r="D2303" s="809" t="s">
        <v>13483</v>
      </c>
      <c r="E2303" s="1019" t="s">
        <v>13484</v>
      </c>
      <c r="F2303" s="1019"/>
      <c r="G2303" s="810" t="s">
        <v>13485</v>
      </c>
      <c r="H2303" s="808" t="s">
        <v>13486</v>
      </c>
      <c r="I2303" s="808" t="s">
        <v>13487</v>
      </c>
      <c r="J2303" s="808" t="s">
        <v>4867</v>
      </c>
    </row>
    <row r="2304" spans="1:10" ht="25.5" customHeight="1">
      <c r="A2304" s="812" t="s">
        <v>13488</v>
      </c>
      <c r="B2304" s="811" t="s">
        <v>14353</v>
      </c>
      <c r="C2304" s="812" t="s">
        <v>6</v>
      </c>
      <c r="D2304" s="812" t="s">
        <v>3195</v>
      </c>
      <c r="E2304" s="1020" t="s">
        <v>14194</v>
      </c>
      <c r="F2304" s="1020"/>
      <c r="G2304" s="813" t="s">
        <v>14</v>
      </c>
      <c r="H2304" s="814">
        <v>1</v>
      </c>
      <c r="I2304" s="815">
        <v>46.72</v>
      </c>
      <c r="J2304" s="815">
        <v>46.72</v>
      </c>
    </row>
    <row r="2305" spans="1:10" ht="38.25" customHeight="1">
      <c r="A2305" s="817" t="s">
        <v>13491</v>
      </c>
      <c r="B2305" s="816" t="s">
        <v>14121</v>
      </c>
      <c r="C2305" s="817" t="s">
        <v>6</v>
      </c>
      <c r="D2305" s="817" t="s">
        <v>37</v>
      </c>
      <c r="E2305" s="1021" t="s">
        <v>13490</v>
      </c>
      <c r="F2305" s="1021"/>
      <c r="G2305" s="818" t="s">
        <v>19</v>
      </c>
      <c r="H2305" s="819">
        <v>3.3700000000000001E-2</v>
      </c>
      <c r="I2305" s="820">
        <v>15.19</v>
      </c>
      <c r="J2305" s="820">
        <v>0.51</v>
      </c>
    </row>
    <row r="2306" spans="1:10" ht="38.25" customHeight="1">
      <c r="A2306" s="817" t="s">
        <v>13491</v>
      </c>
      <c r="B2306" s="816" t="s">
        <v>13567</v>
      </c>
      <c r="C2306" s="817" t="s">
        <v>6</v>
      </c>
      <c r="D2306" s="817" t="s">
        <v>35</v>
      </c>
      <c r="E2306" s="1021" t="s">
        <v>13490</v>
      </c>
      <c r="F2306" s="1021"/>
      <c r="G2306" s="818" t="s">
        <v>19</v>
      </c>
      <c r="H2306" s="819">
        <v>3.3700000000000001E-2</v>
      </c>
      <c r="I2306" s="820">
        <v>19.53</v>
      </c>
      <c r="J2306" s="820">
        <v>0.65</v>
      </c>
    </row>
    <row r="2307" spans="1:10">
      <c r="A2307" s="822" t="s">
        <v>13493</v>
      </c>
      <c r="B2307" s="821" t="s">
        <v>14354</v>
      </c>
      <c r="C2307" s="822" t="s">
        <v>6</v>
      </c>
      <c r="D2307" s="822" t="s">
        <v>4564</v>
      </c>
      <c r="E2307" s="1017" t="s">
        <v>13514</v>
      </c>
      <c r="F2307" s="1017"/>
      <c r="G2307" s="823" t="s">
        <v>14</v>
      </c>
      <c r="H2307" s="824">
        <v>1.1000000000000001</v>
      </c>
      <c r="I2307" s="825">
        <v>41.42</v>
      </c>
      <c r="J2307" s="825">
        <v>45.56</v>
      </c>
    </row>
    <row r="2308" spans="1:10" ht="25.5">
      <c r="A2308" s="827"/>
      <c r="B2308" s="827"/>
      <c r="C2308" s="827"/>
      <c r="D2308" s="827"/>
      <c r="E2308" s="827" t="s">
        <v>13503</v>
      </c>
      <c r="F2308" s="826">
        <v>0.83</v>
      </c>
      <c r="G2308" s="827" t="s">
        <v>13504</v>
      </c>
      <c r="H2308" s="826">
        <v>0</v>
      </c>
      <c r="I2308" s="827" t="s">
        <v>13505</v>
      </c>
      <c r="J2308" s="826">
        <v>0.83</v>
      </c>
    </row>
    <row r="2309" spans="1:10" ht="13.5" customHeight="1" thickBot="1">
      <c r="A2309" s="827"/>
      <c r="B2309" s="827"/>
      <c r="C2309" s="827"/>
      <c r="D2309" s="827"/>
      <c r="E2309" s="827" t="s">
        <v>13506</v>
      </c>
      <c r="F2309" s="826">
        <v>13.19</v>
      </c>
      <c r="G2309" s="827"/>
      <c r="H2309" s="1018" t="s">
        <v>13507</v>
      </c>
      <c r="I2309" s="1018"/>
      <c r="J2309" s="826">
        <v>59.91</v>
      </c>
    </row>
    <row r="2310" spans="1:10" ht="13.5" thickTop="1">
      <c r="A2310" s="828"/>
      <c r="B2310" s="828"/>
      <c r="C2310" s="828"/>
      <c r="D2310" s="828"/>
      <c r="E2310" s="828"/>
      <c r="F2310" s="828"/>
      <c r="G2310" s="828"/>
      <c r="H2310" s="828"/>
      <c r="I2310" s="828"/>
      <c r="J2310" s="828"/>
    </row>
    <row r="2311" spans="1:10" ht="15">
      <c r="A2311" s="809" t="s">
        <v>14355</v>
      </c>
      <c r="B2311" s="808" t="s">
        <v>13481</v>
      </c>
      <c r="C2311" s="809" t="s">
        <v>13482</v>
      </c>
      <c r="D2311" s="809" t="s">
        <v>13483</v>
      </c>
      <c r="E2311" s="1019" t="s">
        <v>13484</v>
      </c>
      <c r="F2311" s="1019"/>
      <c r="G2311" s="810" t="s">
        <v>13485</v>
      </c>
      <c r="H2311" s="808" t="s">
        <v>13486</v>
      </c>
      <c r="I2311" s="808" t="s">
        <v>13487</v>
      </c>
      <c r="J2311" s="808" t="s">
        <v>4867</v>
      </c>
    </row>
    <row r="2312" spans="1:10" ht="13.5" customHeight="1">
      <c r="A2312" s="812" t="s">
        <v>13488</v>
      </c>
      <c r="B2312" s="811" t="s">
        <v>14356</v>
      </c>
      <c r="C2312" s="812" t="s">
        <v>6</v>
      </c>
      <c r="D2312" s="812" t="s">
        <v>3192</v>
      </c>
      <c r="E2312" s="1020" t="s">
        <v>14194</v>
      </c>
      <c r="F2312" s="1020"/>
      <c r="G2312" s="813" t="s">
        <v>14</v>
      </c>
      <c r="H2312" s="814">
        <v>1</v>
      </c>
      <c r="I2312" s="815">
        <v>64.459999999999994</v>
      </c>
      <c r="J2312" s="815">
        <v>64.459999999999994</v>
      </c>
    </row>
    <row r="2313" spans="1:10" ht="38.25" customHeight="1">
      <c r="A2313" s="817" t="s">
        <v>13491</v>
      </c>
      <c r="B2313" s="816" t="s">
        <v>14357</v>
      </c>
      <c r="C2313" s="817" t="s">
        <v>6</v>
      </c>
      <c r="D2313" s="817" t="s">
        <v>3198</v>
      </c>
      <c r="E2313" s="1021" t="s">
        <v>14194</v>
      </c>
      <c r="F2313" s="1021"/>
      <c r="G2313" s="818" t="s">
        <v>24</v>
      </c>
      <c r="H2313" s="819">
        <v>0.5</v>
      </c>
      <c r="I2313" s="820">
        <v>19.41</v>
      </c>
      <c r="J2313" s="820">
        <v>9.6999999999999993</v>
      </c>
    </row>
    <row r="2314" spans="1:10" ht="38.25" customHeight="1">
      <c r="A2314" s="817" t="s">
        <v>13491</v>
      </c>
      <c r="B2314" s="816" t="s">
        <v>14121</v>
      </c>
      <c r="C2314" s="817" t="s">
        <v>6</v>
      </c>
      <c r="D2314" s="817" t="s">
        <v>37</v>
      </c>
      <c r="E2314" s="1021" t="s">
        <v>13490</v>
      </c>
      <c r="F2314" s="1021"/>
      <c r="G2314" s="818" t="s">
        <v>19</v>
      </c>
      <c r="H2314" s="819">
        <v>0.3251</v>
      </c>
      <c r="I2314" s="820">
        <v>15.19</v>
      </c>
      <c r="J2314" s="820">
        <v>4.93</v>
      </c>
    </row>
    <row r="2315" spans="1:10" ht="38.25" customHeight="1">
      <c r="A2315" s="817" t="s">
        <v>13491</v>
      </c>
      <c r="B2315" s="816" t="s">
        <v>13567</v>
      </c>
      <c r="C2315" s="817" t="s">
        <v>6</v>
      </c>
      <c r="D2315" s="817" t="s">
        <v>35</v>
      </c>
      <c r="E2315" s="1021" t="s">
        <v>13490</v>
      </c>
      <c r="F2315" s="1021"/>
      <c r="G2315" s="818" t="s">
        <v>19</v>
      </c>
      <c r="H2315" s="819">
        <v>0.3251</v>
      </c>
      <c r="I2315" s="820">
        <v>19.53</v>
      </c>
      <c r="J2315" s="820">
        <v>6.34</v>
      </c>
    </row>
    <row r="2316" spans="1:10" ht="38.25" customHeight="1">
      <c r="A2316" s="822" t="s">
        <v>13493</v>
      </c>
      <c r="B2316" s="821" t="s">
        <v>14354</v>
      </c>
      <c r="C2316" s="822" t="s">
        <v>6</v>
      </c>
      <c r="D2316" s="822" t="s">
        <v>4564</v>
      </c>
      <c r="E2316" s="1017" t="s">
        <v>13514</v>
      </c>
      <c r="F2316" s="1017"/>
      <c r="G2316" s="823" t="s">
        <v>14</v>
      </c>
      <c r="H2316" s="824">
        <v>1.05</v>
      </c>
      <c r="I2316" s="825">
        <v>41.42</v>
      </c>
      <c r="J2316" s="825">
        <v>43.49</v>
      </c>
    </row>
    <row r="2317" spans="1:10" ht="38.25" customHeight="1">
      <c r="A2317" s="827"/>
      <c r="B2317" s="827"/>
      <c r="C2317" s="827"/>
      <c r="D2317" s="827"/>
      <c r="E2317" s="827" t="s">
        <v>13503</v>
      </c>
      <c r="F2317" s="826">
        <v>12</v>
      </c>
      <c r="G2317" s="827" t="s">
        <v>13504</v>
      </c>
      <c r="H2317" s="826">
        <v>0</v>
      </c>
      <c r="I2317" s="827" t="s">
        <v>13505</v>
      </c>
      <c r="J2317" s="826">
        <v>12</v>
      </c>
    </row>
    <row r="2318" spans="1:10" ht="13.5" customHeight="1" thickBot="1">
      <c r="A2318" s="827"/>
      <c r="B2318" s="827"/>
      <c r="C2318" s="827"/>
      <c r="D2318" s="827"/>
      <c r="E2318" s="827" t="s">
        <v>13506</v>
      </c>
      <c r="F2318" s="826">
        <v>18.2</v>
      </c>
      <c r="G2318" s="827"/>
      <c r="H2318" s="1018" t="s">
        <v>13507</v>
      </c>
      <c r="I2318" s="1018"/>
      <c r="J2318" s="826">
        <v>82.66</v>
      </c>
    </row>
    <row r="2319" spans="1:10" ht="13.5" thickTop="1">
      <c r="A2319" s="828"/>
      <c r="B2319" s="828"/>
      <c r="C2319" s="828"/>
      <c r="D2319" s="828"/>
      <c r="E2319" s="828"/>
      <c r="F2319" s="828"/>
      <c r="G2319" s="828"/>
      <c r="H2319" s="828"/>
      <c r="I2319" s="828"/>
      <c r="J2319" s="828"/>
    </row>
    <row r="2320" spans="1:10" ht="15">
      <c r="A2320" s="809" t="s">
        <v>14358</v>
      </c>
      <c r="B2320" s="808" t="s">
        <v>13481</v>
      </c>
      <c r="C2320" s="809" t="s">
        <v>13482</v>
      </c>
      <c r="D2320" s="809" t="s">
        <v>13483</v>
      </c>
      <c r="E2320" s="1019" t="s">
        <v>13484</v>
      </c>
      <c r="F2320" s="1019"/>
      <c r="G2320" s="810" t="s">
        <v>13485</v>
      </c>
      <c r="H2320" s="808" t="s">
        <v>13486</v>
      </c>
      <c r="I2320" s="808" t="s">
        <v>13487</v>
      </c>
      <c r="J2320" s="808" t="s">
        <v>4867</v>
      </c>
    </row>
    <row r="2321" spans="1:10" ht="25.5" customHeight="1">
      <c r="A2321" s="812" t="s">
        <v>13488</v>
      </c>
      <c r="B2321" s="811" t="s">
        <v>14359</v>
      </c>
      <c r="C2321" s="812" t="s">
        <v>6</v>
      </c>
      <c r="D2321" s="812" t="s">
        <v>3191</v>
      </c>
      <c r="E2321" s="1020" t="s">
        <v>14194</v>
      </c>
      <c r="F2321" s="1020"/>
      <c r="G2321" s="813" t="s">
        <v>14</v>
      </c>
      <c r="H2321" s="814">
        <v>1</v>
      </c>
      <c r="I2321" s="815">
        <v>49.7</v>
      </c>
      <c r="J2321" s="815">
        <v>49.7</v>
      </c>
    </row>
    <row r="2322" spans="1:10" ht="38.25" customHeight="1">
      <c r="A2322" s="817" t="s">
        <v>13491</v>
      </c>
      <c r="B2322" s="816" t="s">
        <v>14357</v>
      </c>
      <c r="C2322" s="817" t="s">
        <v>6</v>
      </c>
      <c r="D2322" s="817" t="s">
        <v>3198</v>
      </c>
      <c r="E2322" s="1021" t="s">
        <v>14194</v>
      </c>
      <c r="F2322" s="1021"/>
      <c r="G2322" s="818" t="s">
        <v>24</v>
      </c>
      <c r="H2322" s="819">
        <v>0.5</v>
      </c>
      <c r="I2322" s="820">
        <v>19.41</v>
      </c>
      <c r="J2322" s="820">
        <v>9.6999999999999993</v>
      </c>
    </row>
    <row r="2323" spans="1:10" ht="13.5" customHeight="1">
      <c r="A2323" s="817" t="s">
        <v>13491</v>
      </c>
      <c r="B2323" s="816" t="s">
        <v>14121</v>
      </c>
      <c r="C2323" s="817" t="s">
        <v>6</v>
      </c>
      <c r="D2323" s="817" t="s">
        <v>37</v>
      </c>
      <c r="E2323" s="1021" t="s">
        <v>13490</v>
      </c>
      <c r="F2323" s="1021"/>
      <c r="G2323" s="818" t="s">
        <v>19</v>
      </c>
      <c r="H2323" s="819">
        <v>0.25330000000000003</v>
      </c>
      <c r="I2323" s="820">
        <v>15.19</v>
      </c>
      <c r="J2323" s="820">
        <v>3.84</v>
      </c>
    </row>
    <row r="2324" spans="1:10" ht="38.25" customHeight="1">
      <c r="A2324" s="817" t="s">
        <v>13491</v>
      </c>
      <c r="B2324" s="816" t="s">
        <v>13567</v>
      </c>
      <c r="C2324" s="817" t="s">
        <v>6</v>
      </c>
      <c r="D2324" s="817" t="s">
        <v>35</v>
      </c>
      <c r="E2324" s="1021" t="s">
        <v>13490</v>
      </c>
      <c r="F2324" s="1021"/>
      <c r="G2324" s="818" t="s">
        <v>19</v>
      </c>
      <c r="H2324" s="819">
        <v>0.25330000000000003</v>
      </c>
      <c r="I2324" s="820">
        <v>19.53</v>
      </c>
      <c r="J2324" s="820">
        <v>4.9400000000000004</v>
      </c>
    </row>
    <row r="2325" spans="1:10">
      <c r="A2325" s="822" t="s">
        <v>13493</v>
      </c>
      <c r="B2325" s="821" t="s">
        <v>14360</v>
      </c>
      <c r="C2325" s="822" t="s">
        <v>6</v>
      </c>
      <c r="D2325" s="822" t="s">
        <v>9087</v>
      </c>
      <c r="E2325" s="1017" t="s">
        <v>13514</v>
      </c>
      <c r="F2325" s="1017"/>
      <c r="G2325" s="823" t="s">
        <v>14</v>
      </c>
      <c r="H2325" s="824">
        <v>1.05</v>
      </c>
      <c r="I2325" s="825">
        <v>29.74</v>
      </c>
      <c r="J2325" s="825">
        <v>31.22</v>
      </c>
    </row>
    <row r="2326" spans="1:10" ht="25.5">
      <c r="A2326" s="827"/>
      <c r="B2326" s="827"/>
      <c r="C2326" s="827"/>
      <c r="D2326" s="827"/>
      <c r="E2326" s="827" t="s">
        <v>13503</v>
      </c>
      <c r="F2326" s="826">
        <v>10.23</v>
      </c>
      <c r="G2326" s="827" t="s">
        <v>13504</v>
      </c>
      <c r="H2326" s="826">
        <v>0</v>
      </c>
      <c r="I2326" s="827" t="s">
        <v>13505</v>
      </c>
      <c r="J2326" s="826">
        <v>10.23</v>
      </c>
    </row>
    <row r="2327" spans="1:10" ht="25.5" customHeight="1" thickBot="1">
      <c r="A2327" s="827"/>
      <c r="B2327" s="827"/>
      <c r="C2327" s="827"/>
      <c r="D2327" s="827"/>
      <c r="E2327" s="827" t="s">
        <v>13506</v>
      </c>
      <c r="F2327" s="826">
        <v>14.03</v>
      </c>
      <c r="G2327" s="827"/>
      <c r="H2327" s="1018" t="s">
        <v>13507</v>
      </c>
      <c r="I2327" s="1018"/>
      <c r="J2327" s="826">
        <v>63.73</v>
      </c>
    </row>
    <row r="2328" spans="1:10" ht="25.5" customHeight="1" thickTop="1">
      <c r="A2328" s="828"/>
      <c r="B2328" s="828"/>
      <c r="C2328" s="828"/>
      <c r="D2328" s="828"/>
      <c r="E2328" s="828"/>
      <c r="F2328" s="828"/>
      <c r="G2328" s="828"/>
      <c r="H2328" s="828"/>
      <c r="I2328" s="828"/>
      <c r="J2328" s="828"/>
    </row>
    <row r="2329" spans="1:10" ht="15">
      <c r="A2329" s="809" t="s">
        <v>14361</v>
      </c>
      <c r="B2329" s="808" t="s">
        <v>13481</v>
      </c>
      <c r="C2329" s="809" t="s">
        <v>13482</v>
      </c>
      <c r="D2329" s="809" t="s">
        <v>13483</v>
      </c>
      <c r="E2329" s="1019" t="s">
        <v>13484</v>
      </c>
      <c r="F2329" s="1019"/>
      <c r="G2329" s="810" t="s">
        <v>13485</v>
      </c>
      <c r="H2329" s="808" t="s">
        <v>13486</v>
      </c>
      <c r="I2329" s="808" t="s">
        <v>13487</v>
      </c>
      <c r="J2329" s="808" t="s">
        <v>4867</v>
      </c>
    </row>
    <row r="2330" spans="1:10" ht="25.5" customHeight="1">
      <c r="A2330" s="812" t="s">
        <v>13488</v>
      </c>
      <c r="B2330" s="811" t="s">
        <v>14362</v>
      </c>
      <c r="C2330" s="812" t="s">
        <v>6</v>
      </c>
      <c r="D2330" s="812" t="s">
        <v>6785</v>
      </c>
      <c r="E2330" s="1020" t="s">
        <v>13623</v>
      </c>
      <c r="F2330" s="1020"/>
      <c r="G2330" s="813" t="s">
        <v>13543</v>
      </c>
      <c r="H2330" s="814">
        <v>1</v>
      </c>
      <c r="I2330" s="815">
        <v>59.97</v>
      </c>
      <c r="J2330" s="815">
        <v>59.97</v>
      </c>
    </row>
    <row r="2331" spans="1:10" ht="38.25" customHeight="1">
      <c r="A2331" s="817" t="s">
        <v>13491</v>
      </c>
      <c r="B2331" s="816" t="s">
        <v>13553</v>
      </c>
      <c r="C2331" s="817" t="s">
        <v>6</v>
      </c>
      <c r="D2331" s="817" t="s">
        <v>21</v>
      </c>
      <c r="E2331" s="1021" t="s">
        <v>13490</v>
      </c>
      <c r="F2331" s="1021"/>
      <c r="G2331" s="818" t="s">
        <v>19</v>
      </c>
      <c r="H2331" s="819">
        <v>3.956</v>
      </c>
      <c r="I2331" s="820">
        <v>15.16</v>
      </c>
      <c r="J2331" s="820">
        <v>59.97</v>
      </c>
    </row>
    <row r="2332" spans="1:10" ht="25.5">
      <c r="A2332" s="827"/>
      <c r="B2332" s="827"/>
      <c r="C2332" s="827"/>
      <c r="D2332" s="827"/>
      <c r="E2332" s="827" t="s">
        <v>13503</v>
      </c>
      <c r="F2332" s="826">
        <v>41.06</v>
      </c>
      <c r="G2332" s="827" t="s">
        <v>13504</v>
      </c>
      <c r="H2332" s="826">
        <v>0</v>
      </c>
      <c r="I2332" s="827" t="s">
        <v>13505</v>
      </c>
      <c r="J2332" s="826">
        <v>41.06</v>
      </c>
    </row>
    <row r="2333" spans="1:10" ht="13.5" customHeight="1" thickBot="1">
      <c r="A2333" s="827"/>
      <c r="B2333" s="827"/>
      <c r="C2333" s="827"/>
      <c r="D2333" s="827"/>
      <c r="E2333" s="827" t="s">
        <v>13506</v>
      </c>
      <c r="F2333" s="826">
        <v>16.93</v>
      </c>
      <c r="G2333" s="827"/>
      <c r="H2333" s="1018" t="s">
        <v>13507</v>
      </c>
      <c r="I2333" s="1018"/>
      <c r="J2333" s="826">
        <v>76.900000000000006</v>
      </c>
    </row>
    <row r="2334" spans="1:10" ht="13.5" thickTop="1">
      <c r="A2334" s="828"/>
      <c r="B2334" s="828"/>
      <c r="C2334" s="828"/>
      <c r="D2334" s="828"/>
      <c r="E2334" s="828"/>
      <c r="F2334" s="828"/>
      <c r="G2334" s="828"/>
      <c r="H2334" s="828"/>
      <c r="I2334" s="828"/>
      <c r="J2334" s="828"/>
    </row>
    <row r="2335" spans="1:10" ht="13.5" customHeight="1">
      <c r="A2335" s="809" t="s">
        <v>14363</v>
      </c>
      <c r="B2335" s="808" t="s">
        <v>13481</v>
      </c>
      <c r="C2335" s="809" t="s">
        <v>13482</v>
      </c>
      <c r="D2335" s="809" t="s">
        <v>13483</v>
      </c>
      <c r="E2335" s="1019" t="s">
        <v>13484</v>
      </c>
      <c r="F2335" s="1019"/>
      <c r="G2335" s="810" t="s">
        <v>13485</v>
      </c>
      <c r="H2335" s="808" t="s">
        <v>13486</v>
      </c>
      <c r="I2335" s="808" t="s">
        <v>13487</v>
      </c>
      <c r="J2335" s="808" t="s">
        <v>4867</v>
      </c>
    </row>
    <row r="2336" spans="1:10" ht="25.5" customHeight="1">
      <c r="A2336" s="812" t="s">
        <v>13488</v>
      </c>
      <c r="B2336" s="811" t="s">
        <v>14364</v>
      </c>
      <c r="C2336" s="812" t="s">
        <v>6</v>
      </c>
      <c r="D2336" s="812" t="s">
        <v>3092</v>
      </c>
      <c r="E2336" s="1020" t="s">
        <v>13623</v>
      </c>
      <c r="F2336" s="1020"/>
      <c r="G2336" s="813" t="s">
        <v>13543</v>
      </c>
      <c r="H2336" s="814">
        <v>1</v>
      </c>
      <c r="I2336" s="815">
        <v>36.36</v>
      </c>
      <c r="J2336" s="815">
        <v>36.36</v>
      </c>
    </row>
    <row r="2337" spans="1:10" ht="38.25" customHeight="1">
      <c r="A2337" s="817" t="s">
        <v>13491</v>
      </c>
      <c r="B2337" s="816" t="s">
        <v>13553</v>
      </c>
      <c r="C2337" s="817" t="s">
        <v>6</v>
      </c>
      <c r="D2337" s="817" t="s">
        <v>21</v>
      </c>
      <c r="E2337" s="1021" t="s">
        <v>13490</v>
      </c>
      <c r="F2337" s="1021"/>
      <c r="G2337" s="818" t="s">
        <v>19</v>
      </c>
      <c r="H2337" s="819">
        <v>2.3986000000000001</v>
      </c>
      <c r="I2337" s="820">
        <v>15.16</v>
      </c>
      <c r="J2337" s="820">
        <v>36.36</v>
      </c>
    </row>
    <row r="2338" spans="1:10" ht="25.5" customHeight="1">
      <c r="A2338" s="827"/>
      <c r="B2338" s="827"/>
      <c r="C2338" s="827"/>
      <c r="D2338" s="827"/>
      <c r="E2338" s="827" t="s">
        <v>13503</v>
      </c>
      <c r="F2338" s="826">
        <v>24.89</v>
      </c>
      <c r="G2338" s="827" t="s">
        <v>13504</v>
      </c>
      <c r="H2338" s="826">
        <v>0</v>
      </c>
      <c r="I2338" s="827" t="s">
        <v>13505</v>
      </c>
      <c r="J2338" s="826">
        <v>24.89</v>
      </c>
    </row>
    <row r="2339" spans="1:10" ht="38.25" customHeight="1" thickBot="1">
      <c r="A2339" s="827"/>
      <c r="B2339" s="827"/>
      <c r="C2339" s="827"/>
      <c r="D2339" s="827"/>
      <c r="E2339" s="827" t="s">
        <v>13506</v>
      </c>
      <c r="F2339" s="826">
        <v>10.26</v>
      </c>
      <c r="G2339" s="827"/>
      <c r="H2339" s="1018" t="s">
        <v>13507</v>
      </c>
      <c r="I2339" s="1018"/>
      <c r="J2339" s="826">
        <v>46.62</v>
      </c>
    </row>
    <row r="2340" spans="1:10" ht="38.25" customHeight="1" thickTop="1">
      <c r="A2340" s="828"/>
      <c r="B2340" s="828"/>
      <c r="C2340" s="828"/>
      <c r="D2340" s="828"/>
      <c r="E2340" s="828"/>
      <c r="F2340" s="828"/>
      <c r="G2340" s="828"/>
      <c r="H2340" s="828"/>
      <c r="I2340" s="828"/>
      <c r="J2340" s="828"/>
    </row>
    <row r="2341" spans="1:10" ht="15">
      <c r="A2341" s="809" t="s">
        <v>14365</v>
      </c>
      <c r="B2341" s="808" t="s">
        <v>13481</v>
      </c>
      <c r="C2341" s="809" t="s">
        <v>13482</v>
      </c>
      <c r="D2341" s="809" t="s">
        <v>13483</v>
      </c>
      <c r="E2341" s="1019" t="s">
        <v>13484</v>
      </c>
      <c r="F2341" s="1019"/>
      <c r="G2341" s="810" t="s">
        <v>13485</v>
      </c>
      <c r="H2341" s="808" t="s">
        <v>13486</v>
      </c>
      <c r="I2341" s="808" t="s">
        <v>13487</v>
      </c>
      <c r="J2341" s="808" t="s">
        <v>4867</v>
      </c>
    </row>
    <row r="2342" spans="1:10" ht="25.5" customHeight="1">
      <c r="A2342" s="812" t="s">
        <v>13488</v>
      </c>
      <c r="B2342" s="811" t="s">
        <v>14366</v>
      </c>
      <c r="C2342" s="812" t="s">
        <v>6</v>
      </c>
      <c r="D2342" s="812" t="s">
        <v>5817</v>
      </c>
      <c r="E2342" s="1020" t="s">
        <v>14323</v>
      </c>
      <c r="F2342" s="1020"/>
      <c r="G2342" s="813" t="s">
        <v>24</v>
      </c>
      <c r="H2342" s="814">
        <v>1</v>
      </c>
      <c r="I2342" s="815">
        <v>186.74</v>
      </c>
      <c r="J2342" s="815">
        <v>186.74</v>
      </c>
    </row>
    <row r="2343" spans="1:10" ht="38.25" customHeight="1">
      <c r="A2343" s="817" t="s">
        <v>13491</v>
      </c>
      <c r="B2343" s="816" t="s">
        <v>13909</v>
      </c>
      <c r="C2343" s="817" t="s">
        <v>6</v>
      </c>
      <c r="D2343" s="817" t="s">
        <v>986</v>
      </c>
      <c r="E2343" s="1021" t="s">
        <v>13490</v>
      </c>
      <c r="F2343" s="1021"/>
      <c r="G2343" s="818" t="s">
        <v>19</v>
      </c>
      <c r="H2343" s="819">
        <v>0.45739999999999997</v>
      </c>
      <c r="I2343" s="820">
        <v>15.54</v>
      </c>
      <c r="J2343" s="820">
        <v>7.1</v>
      </c>
    </row>
    <row r="2344" spans="1:10" ht="38.25" customHeight="1">
      <c r="A2344" s="817" t="s">
        <v>13491</v>
      </c>
      <c r="B2344" s="816" t="s">
        <v>13574</v>
      </c>
      <c r="C2344" s="817" t="s">
        <v>6</v>
      </c>
      <c r="D2344" s="817" t="s">
        <v>34</v>
      </c>
      <c r="E2344" s="1021" t="s">
        <v>13490</v>
      </c>
      <c r="F2344" s="1021"/>
      <c r="G2344" s="818" t="s">
        <v>19</v>
      </c>
      <c r="H2344" s="819">
        <v>0.45739999999999997</v>
      </c>
      <c r="I2344" s="820">
        <v>18.72</v>
      </c>
      <c r="J2344" s="820">
        <v>8.56</v>
      </c>
    </row>
    <row r="2345" spans="1:10" ht="38.25">
      <c r="A2345" s="822" t="s">
        <v>13493</v>
      </c>
      <c r="B2345" s="821" t="s">
        <v>14367</v>
      </c>
      <c r="C2345" s="822" t="s">
        <v>6</v>
      </c>
      <c r="D2345" s="822" t="s">
        <v>4601</v>
      </c>
      <c r="E2345" s="1017" t="s">
        <v>13514</v>
      </c>
      <c r="F2345" s="1017"/>
      <c r="G2345" s="823" t="s">
        <v>24</v>
      </c>
      <c r="H2345" s="824">
        <v>2</v>
      </c>
      <c r="I2345" s="825">
        <v>0.73</v>
      </c>
      <c r="J2345" s="825">
        <v>1.46</v>
      </c>
    </row>
    <row r="2346" spans="1:10" ht="25.5">
      <c r="A2346" s="822" t="s">
        <v>13493</v>
      </c>
      <c r="B2346" s="821" t="s">
        <v>14368</v>
      </c>
      <c r="C2346" s="822" t="s">
        <v>6</v>
      </c>
      <c r="D2346" s="822" t="s">
        <v>4666</v>
      </c>
      <c r="E2346" s="1017" t="s">
        <v>13514</v>
      </c>
      <c r="F2346" s="1017"/>
      <c r="G2346" s="823" t="s">
        <v>24</v>
      </c>
      <c r="H2346" s="824">
        <v>1</v>
      </c>
      <c r="I2346" s="825">
        <v>169.62</v>
      </c>
      <c r="J2346" s="825">
        <v>169.62</v>
      </c>
    </row>
    <row r="2347" spans="1:10" ht="13.5" customHeight="1">
      <c r="A2347" s="827"/>
      <c r="B2347" s="827"/>
      <c r="C2347" s="827"/>
      <c r="D2347" s="827"/>
      <c r="E2347" s="827" t="s">
        <v>13503</v>
      </c>
      <c r="F2347" s="826">
        <v>11.7</v>
      </c>
      <c r="G2347" s="827" t="s">
        <v>13504</v>
      </c>
      <c r="H2347" s="826">
        <v>0</v>
      </c>
      <c r="I2347" s="827" t="s">
        <v>13505</v>
      </c>
      <c r="J2347" s="826">
        <v>11.7</v>
      </c>
    </row>
    <row r="2348" spans="1:10" ht="13.5" customHeight="1" thickBot="1">
      <c r="A2348" s="827"/>
      <c r="B2348" s="827"/>
      <c r="C2348" s="827"/>
      <c r="D2348" s="827"/>
      <c r="E2348" s="827" t="s">
        <v>13506</v>
      </c>
      <c r="F2348" s="826">
        <v>52.73</v>
      </c>
      <c r="G2348" s="827"/>
      <c r="H2348" s="1018" t="s">
        <v>13507</v>
      </c>
      <c r="I2348" s="1018"/>
      <c r="J2348" s="826">
        <v>239.47</v>
      </c>
    </row>
    <row r="2349" spans="1:10" ht="13.5" thickTop="1">
      <c r="A2349" s="828"/>
      <c r="B2349" s="828"/>
      <c r="C2349" s="828"/>
      <c r="D2349" s="828"/>
      <c r="E2349" s="828"/>
      <c r="F2349" s="828"/>
      <c r="G2349" s="828"/>
      <c r="H2349" s="828"/>
      <c r="I2349" s="828"/>
      <c r="J2349" s="828"/>
    </row>
    <row r="2350" spans="1:10" ht="15">
      <c r="A2350" s="809" t="s">
        <v>14369</v>
      </c>
      <c r="B2350" s="808" t="s">
        <v>13481</v>
      </c>
      <c r="C2350" s="809" t="s">
        <v>13482</v>
      </c>
      <c r="D2350" s="809" t="s">
        <v>13483</v>
      </c>
      <c r="E2350" s="1019" t="s">
        <v>13484</v>
      </c>
      <c r="F2350" s="1019"/>
      <c r="G2350" s="810" t="s">
        <v>13485</v>
      </c>
      <c r="H2350" s="808" t="s">
        <v>13486</v>
      </c>
      <c r="I2350" s="808" t="s">
        <v>13487</v>
      </c>
      <c r="J2350" s="808" t="s">
        <v>4867</v>
      </c>
    </row>
    <row r="2351" spans="1:10" ht="25.5" customHeight="1">
      <c r="A2351" s="812" t="s">
        <v>13488</v>
      </c>
      <c r="B2351" s="811" t="s">
        <v>14370</v>
      </c>
      <c r="C2351" s="812" t="s">
        <v>6</v>
      </c>
      <c r="D2351" s="812" t="s">
        <v>5821</v>
      </c>
      <c r="E2351" s="1020" t="s">
        <v>14323</v>
      </c>
      <c r="F2351" s="1020"/>
      <c r="G2351" s="813" t="s">
        <v>24</v>
      </c>
      <c r="H2351" s="814">
        <v>1</v>
      </c>
      <c r="I2351" s="815">
        <v>210.98</v>
      </c>
      <c r="J2351" s="815">
        <v>210.98</v>
      </c>
    </row>
    <row r="2352" spans="1:10" ht="38.25" customHeight="1">
      <c r="A2352" s="817" t="s">
        <v>13491</v>
      </c>
      <c r="B2352" s="816" t="s">
        <v>13909</v>
      </c>
      <c r="C2352" s="817" t="s">
        <v>6</v>
      </c>
      <c r="D2352" s="817" t="s">
        <v>986</v>
      </c>
      <c r="E2352" s="1021" t="s">
        <v>13490</v>
      </c>
      <c r="F2352" s="1021"/>
      <c r="G2352" s="818" t="s">
        <v>19</v>
      </c>
      <c r="H2352" s="819">
        <v>0.45739999999999997</v>
      </c>
      <c r="I2352" s="820">
        <v>15.54</v>
      </c>
      <c r="J2352" s="820">
        <v>7.1</v>
      </c>
    </row>
    <row r="2353" spans="1:10" ht="38.25" customHeight="1">
      <c r="A2353" s="817" t="s">
        <v>13491</v>
      </c>
      <c r="B2353" s="816" t="s">
        <v>13574</v>
      </c>
      <c r="C2353" s="817" t="s">
        <v>6</v>
      </c>
      <c r="D2353" s="817" t="s">
        <v>34</v>
      </c>
      <c r="E2353" s="1021" t="s">
        <v>13490</v>
      </c>
      <c r="F2353" s="1021"/>
      <c r="G2353" s="818" t="s">
        <v>19</v>
      </c>
      <c r="H2353" s="819">
        <v>0.45739999999999997</v>
      </c>
      <c r="I2353" s="820">
        <v>18.72</v>
      </c>
      <c r="J2353" s="820">
        <v>8.56</v>
      </c>
    </row>
    <row r="2354" spans="1:10" ht="38.25">
      <c r="A2354" s="822" t="s">
        <v>13493</v>
      </c>
      <c r="B2354" s="821" t="s">
        <v>14367</v>
      </c>
      <c r="C2354" s="822" t="s">
        <v>6</v>
      </c>
      <c r="D2354" s="822" t="s">
        <v>4601</v>
      </c>
      <c r="E2354" s="1017" t="s">
        <v>13514</v>
      </c>
      <c r="F2354" s="1017"/>
      <c r="G2354" s="823" t="s">
        <v>24</v>
      </c>
      <c r="H2354" s="824">
        <v>2</v>
      </c>
      <c r="I2354" s="825">
        <v>0.73</v>
      </c>
      <c r="J2354" s="825">
        <v>1.46</v>
      </c>
    </row>
    <row r="2355" spans="1:10" ht="25.5">
      <c r="A2355" s="822" t="s">
        <v>13493</v>
      </c>
      <c r="B2355" s="821" t="s">
        <v>14371</v>
      </c>
      <c r="C2355" s="822" t="s">
        <v>6</v>
      </c>
      <c r="D2355" s="822" t="s">
        <v>10369</v>
      </c>
      <c r="E2355" s="1017" t="s">
        <v>13514</v>
      </c>
      <c r="F2355" s="1017"/>
      <c r="G2355" s="823" t="s">
        <v>24</v>
      </c>
      <c r="H2355" s="824">
        <v>1</v>
      </c>
      <c r="I2355" s="825">
        <v>193.86</v>
      </c>
      <c r="J2355" s="825">
        <v>193.86</v>
      </c>
    </row>
    <row r="2356" spans="1:10" ht="25.5">
      <c r="A2356" s="827"/>
      <c r="B2356" s="827"/>
      <c r="C2356" s="827"/>
      <c r="D2356" s="827"/>
      <c r="E2356" s="827" t="s">
        <v>13503</v>
      </c>
      <c r="F2356" s="826">
        <v>11.7</v>
      </c>
      <c r="G2356" s="827" t="s">
        <v>13504</v>
      </c>
      <c r="H2356" s="826">
        <v>0</v>
      </c>
      <c r="I2356" s="827" t="s">
        <v>13505</v>
      </c>
      <c r="J2356" s="826">
        <v>11.7</v>
      </c>
    </row>
    <row r="2357" spans="1:10" ht="13.5" customHeight="1" thickBot="1">
      <c r="A2357" s="827"/>
      <c r="B2357" s="827"/>
      <c r="C2357" s="827"/>
      <c r="D2357" s="827"/>
      <c r="E2357" s="827" t="s">
        <v>13506</v>
      </c>
      <c r="F2357" s="826">
        <v>59.58</v>
      </c>
      <c r="G2357" s="827"/>
      <c r="H2357" s="1018" t="s">
        <v>13507</v>
      </c>
      <c r="I2357" s="1018"/>
      <c r="J2357" s="826">
        <v>270.56</v>
      </c>
    </row>
    <row r="2358" spans="1:10" ht="13.5" thickTop="1">
      <c r="A2358" s="828"/>
      <c r="B2358" s="828"/>
      <c r="C2358" s="828"/>
      <c r="D2358" s="828"/>
      <c r="E2358" s="828"/>
      <c r="F2358" s="828"/>
      <c r="G2358" s="828"/>
      <c r="H2358" s="828"/>
      <c r="I2358" s="828"/>
      <c r="J2358" s="828"/>
    </row>
    <row r="2359" spans="1:10" ht="15">
      <c r="A2359" s="809" t="s">
        <v>14372</v>
      </c>
      <c r="B2359" s="808" t="s">
        <v>13481</v>
      </c>
      <c r="C2359" s="809" t="s">
        <v>13482</v>
      </c>
      <c r="D2359" s="809" t="s">
        <v>13483</v>
      </c>
      <c r="E2359" s="1019" t="s">
        <v>13484</v>
      </c>
      <c r="F2359" s="1019"/>
      <c r="G2359" s="810" t="s">
        <v>13485</v>
      </c>
      <c r="H2359" s="808" t="s">
        <v>13486</v>
      </c>
      <c r="I2359" s="808" t="s">
        <v>13487</v>
      </c>
      <c r="J2359" s="808" t="s">
        <v>4867</v>
      </c>
    </row>
    <row r="2360" spans="1:10" ht="25.5" customHeight="1">
      <c r="A2360" s="812" t="s">
        <v>13488</v>
      </c>
      <c r="B2360" s="811" t="s">
        <v>14373</v>
      </c>
      <c r="C2360" s="812" t="s">
        <v>6</v>
      </c>
      <c r="D2360" s="812" t="s">
        <v>3368</v>
      </c>
      <c r="E2360" s="1020" t="s">
        <v>13600</v>
      </c>
      <c r="F2360" s="1020"/>
      <c r="G2360" s="813" t="s">
        <v>13537</v>
      </c>
      <c r="H2360" s="814">
        <v>1</v>
      </c>
      <c r="I2360" s="815">
        <v>13.72</v>
      </c>
      <c r="J2360" s="815">
        <v>13.72</v>
      </c>
    </row>
    <row r="2361" spans="1:10" ht="38.25" customHeight="1">
      <c r="A2361" s="817" t="s">
        <v>13491</v>
      </c>
      <c r="B2361" s="816" t="s">
        <v>13553</v>
      </c>
      <c r="C2361" s="817" t="s">
        <v>6</v>
      </c>
      <c r="D2361" s="817" t="s">
        <v>21</v>
      </c>
      <c r="E2361" s="1021" t="s">
        <v>13490</v>
      </c>
      <c r="F2361" s="1021"/>
      <c r="G2361" s="818" t="s">
        <v>19</v>
      </c>
      <c r="H2361" s="819">
        <v>0.15640000000000001</v>
      </c>
      <c r="I2361" s="820">
        <v>15.16</v>
      </c>
      <c r="J2361" s="820">
        <v>2.37</v>
      </c>
    </row>
    <row r="2362" spans="1:10" ht="38.25" customHeight="1">
      <c r="A2362" s="817" t="s">
        <v>13491</v>
      </c>
      <c r="B2362" s="816" t="s">
        <v>13603</v>
      </c>
      <c r="C2362" s="817" t="s">
        <v>6</v>
      </c>
      <c r="D2362" s="817" t="s">
        <v>179</v>
      </c>
      <c r="E2362" s="1021" t="s">
        <v>13490</v>
      </c>
      <c r="F2362" s="1021"/>
      <c r="G2362" s="818" t="s">
        <v>19</v>
      </c>
      <c r="H2362" s="819">
        <v>3.9100000000000003E-2</v>
      </c>
      <c r="I2362" s="820">
        <v>16.41</v>
      </c>
      <c r="J2362" s="820">
        <v>0.64</v>
      </c>
    </row>
    <row r="2363" spans="1:10">
      <c r="A2363" s="822" t="s">
        <v>13493</v>
      </c>
      <c r="B2363" s="821" t="s">
        <v>14374</v>
      </c>
      <c r="C2363" s="822" t="s">
        <v>6</v>
      </c>
      <c r="D2363" s="822" t="s">
        <v>10564</v>
      </c>
      <c r="E2363" s="1017" t="s">
        <v>13514</v>
      </c>
      <c r="F2363" s="1017"/>
      <c r="G2363" s="823" t="s">
        <v>13537</v>
      </c>
      <c r="H2363" s="824">
        <v>1</v>
      </c>
      <c r="I2363" s="825">
        <v>10.71</v>
      </c>
      <c r="J2363" s="825">
        <v>10.71</v>
      </c>
    </row>
    <row r="2364" spans="1:10" ht="25.5">
      <c r="A2364" s="827"/>
      <c r="B2364" s="827"/>
      <c r="C2364" s="827"/>
      <c r="D2364" s="827"/>
      <c r="E2364" s="827" t="s">
        <v>13503</v>
      </c>
      <c r="F2364" s="826">
        <v>2.0699999999999998</v>
      </c>
      <c r="G2364" s="827" t="s">
        <v>13504</v>
      </c>
      <c r="H2364" s="826">
        <v>0</v>
      </c>
      <c r="I2364" s="827" t="s">
        <v>13505</v>
      </c>
      <c r="J2364" s="826">
        <v>2.0699999999999998</v>
      </c>
    </row>
    <row r="2365" spans="1:10" ht="13.5" customHeight="1" thickBot="1">
      <c r="A2365" s="827"/>
      <c r="B2365" s="827"/>
      <c r="C2365" s="827"/>
      <c r="D2365" s="827"/>
      <c r="E2365" s="827" t="s">
        <v>13506</v>
      </c>
      <c r="F2365" s="826">
        <v>3.87</v>
      </c>
      <c r="G2365" s="827"/>
      <c r="H2365" s="1018" t="s">
        <v>13507</v>
      </c>
      <c r="I2365" s="1018"/>
      <c r="J2365" s="826">
        <v>17.59</v>
      </c>
    </row>
    <row r="2366" spans="1:10" ht="13.5" thickTop="1">
      <c r="A2366" s="828"/>
      <c r="B2366" s="828"/>
      <c r="C2366" s="828"/>
      <c r="D2366" s="828"/>
      <c r="E2366" s="828"/>
      <c r="F2366" s="828"/>
      <c r="G2366" s="828"/>
      <c r="H2366" s="828"/>
      <c r="I2366" s="828"/>
      <c r="J2366" s="828"/>
    </row>
    <row r="2367" spans="1:10" ht="15">
      <c r="A2367" s="809" t="s">
        <v>14375</v>
      </c>
      <c r="B2367" s="808" t="s">
        <v>13481</v>
      </c>
      <c r="C2367" s="809" t="s">
        <v>13482</v>
      </c>
      <c r="D2367" s="809" t="s">
        <v>13483</v>
      </c>
      <c r="E2367" s="1019" t="s">
        <v>13484</v>
      </c>
      <c r="F2367" s="1019"/>
      <c r="G2367" s="810" t="s">
        <v>13485</v>
      </c>
      <c r="H2367" s="808" t="s">
        <v>13486</v>
      </c>
      <c r="I2367" s="808" t="s">
        <v>13487</v>
      </c>
      <c r="J2367" s="808" t="s">
        <v>4867</v>
      </c>
    </row>
    <row r="2368" spans="1:10" ht="25.5" customHeight="1">
      <c r="A2368" s="812" t="s">
        <v>13488</v>
      </c>
      <c r="B2368" s="811" t="s">
        <v>14376</v>
      </c>
      <c r="C2368" s="812" t="s">
        <v>6</v>
      </c>
      <c r="D2368" s="812" t="s">
        <v>3756</v>
      </c>
      <c r="E2368" s="1020" t="s">
        <v>13807</v>
      </c>
      <c r="F2368" s="1020"/>
      <c r="G2368" s="813" t="s">
        <v>14</v>
      </c>
      <c r="H2368" s="814">
        <v>1</v>
      </c>
      <c r="I2368" s="815">
        <v>74.150000000000006</v>
      </c>
      <c r="J2368" s="815">
        <v>74.150000000000006</v>
      </c>
    </row>
    <row r="2369" spans="1:10" ht="38.25" customHeight="1">
      <c r="A2369" s="817" t="s">
        <v>13491</v>
      </c>
      <c r="B2369" s="816" t="s">
        <v>14377</v>
      </c>
      <c r="C2369" s="817" t="s">
        <v>6</v>
      </c>
      <c r="D2369" s="817" t="s">
        <v>116</v>
      </c>
      <c r="E2369" s="1021" t="s">
        <v>13490</v>
      </c>
      <c r="F2369" s="1021"/>
      <c r="G2369" s="818" t="s">
        <v>19</v>
      </c>
      <c r="H2369" s="819">
        <v>1.093</v>
      </c>
      <c r="I2369" s="820">
        <v>16.05</v>
      </c>
      <c r="J2369" s="820">
        <v>17.54</v>
      </c>
    </row>
    <row r="2370" spans="1:10" ht="38.25" customHeight="1">
      <c r="A2370" s="817" t="s">
        <v>13491</v>
      </c>
      <c r="B2370" s="816" t="s">
        <v>14378</v>
      </c>
      <c r="C2370" s="817" t="s">
        <v>6</v>
      </c>
      <c r="D2370" s="817" t="s">
        <v>33</v>
      </c>
      <c r="E2370" s="1021" t="s">
        <v>13490</v>
      </c>
      <c r="F2370" s="1021"/>
      <c r="G2370" s="818" t="s">
        <v>19</v>
      </c>
      <c r="H2370" s="819">
        <v>1.33</v>
      </c>
      <c r="I2370" s="820">
        <v>18.75</v>
      </c>
      <c r="J2370" s="820">
        <v>24.93</v>
      </c>
    </row>
    <row r="2371" spans="1:10" ht="38.25">
      <c r="A2371" s="822" t="s">
        <v>13493</v>
      </c>
      <c r="B2371" s="821" t="s">
        <v>13816</v>
      </c>
      <c r="C2371" s="822" t="s">
        <v>6</v>
      </c>
      <c r="D2371" s="822" t="s">
        <v>4600</v>
      </c>
      <c r="E2371" s="1017" t="s">
        <v>13514</v>
      </c>
      <c r="F2371" s="1017"/>
      <c r="G2371" s="823" t="s">
        <v>24</v>
      </c>
      <c r="H2371" s="824">
        <v>2.1819999999999999</v>
      </c>
      <c r="I2371" s="825">
        <v>0.61</v>
      </c>
      <c r="J2371" s="825">
        <v>1.33</v>
      </c>
    </row>
    <row r="2372" spans="1:10">
      <c r="A2372" s="822" t="s">
        <v>13493</v>
      </c>
      <c r="B2372" s="821" t="s">
        <v>14379</v>
      </c>
      <c r="C2372" s="822" t="s">
        <v>6</v>
      </c>
      <c r="D2372" s="822" t="s">
        <v>11698</v>
      </c>
      <c r="E2372" s="1017" t="s">
        <v>13514</v>
      </c>
      <c r="F2372" s="1017"/>
      <c r="G2372" s="823" t="s">
        <v>16</v>
      </c>
      <c r="H2372" s="824">
        <v>0.47699999999999998</v>
      </c>
      <c r="I2372" s="825">
        <v>47.31</v>
      </c>
      <c r="J2372" s="825">
        <v>22.56</v>
      </c>
    </row>
    <row r="2373" spans="1:10" ht="25.5">
      <c r="A2373" s="822" t="s">
        <v>13493</v>
      </c>
      <c r="B2373" s="821" t="s">
        <v>13862</v>
      </c>
      <c r="C2373" s="822" t="s">
        <v>6</v>
      </c>
      <c r="D2373" s="822" t="s">
        <v>4767</v>
      </c>
      <c r="E2373" s="1017" t="s">
        <v>13514</v>
      </c>
      <c r="F2373" s="1017"/>
      <c r="G2373" s="823" t="s">
        <v>16</v>
      </c>
      <c r="H2373" s="824">
        <v>2E-3</v>
      </c>
      <c r="I2373" s="825">
        <v>77.14</v>
      </c>
      <c r="J2373" s="825">
        <v>0.15</v>
      </c>
    </row>
    <row r="2374" spans="1:10" ht="13.5" customHeight="1">
      <c r="A2374" s="822" t="s">
        <v>13493</v>
      </c>
      <c r="B2374" s="821" t="s">
        <v>14380</v>
      </c>
      <c r="C2374" s="822" t="s">
        <v>6</v>
      </c>
      <c r="D2374" s="822" t="s">
        <v>12271</v>
      </c>
      <c r="E2374" s="1017" t="s">
        <v>13514</v>
      </c>
      <c r="F2374" s="1017"/>
      <c r="G2374" s="823" t="s">
        <v>24</v>
      </c>
      <c r="H2374" s="824">
        <v>1.091</v>
      </c>
      <c r="I2374" s="825">
        <v>7.01</v>
      </c>
      <c r="J2374" s="825">
        <v>7.64</v>
      </c>
    </row>
    <row r="2375" spans="1:10" ht="25.5">
      <c r="A2375" s="827"/>
      <c r="B2375" s="827"/>
      <c r="C2375" s="827"/>
      <c r="D2375" s="827"/>
      <c r="E2375" s="827" t="s">
        <v>13503</v>
      </c>
      <c r="F2375" s="826">
        <v>30.6</v>
      </c>
      <c r="G2375" s="827" t="s">
        <v>13504</v>
      </c>
      <c r="H2375" s="826">
        <v>0</v>
      </c>
      <c r="I2375" s="827" t="s">
        <v>13505</v>
      </c>
      <c r="J2375" s="826">
        <v>30.6</v>
      </c>
    </row>
    <row r="2376" spans="1:10" ht="13.5" customHeight="1" thickBot="1">
      <c r="A2376" s="827"/>
      <c r="B2376" s="827"/>
      <c r="C2376" s="827"/>
      <c r="D2376" s="827"/>
      <c r="E2376" s="827" t="s">
        <v>13506</v>
      </c>
      <c r="F2376" s="826">
        <v>20.93</v>
      </c>
      <c r="G2376" s="827"/>
      <c r="H2376" s="1018" t="s">
        <v>13507</v>
      </c>
      <c r="I2376" s="1018"/>
      <c r="J2376" s="826">
        <v>95.08</v>
      </c>
    </row>
    <row r="2377" spans="1:10" ht="13.5" thickTop="1">
      <c r="A2377" s="828"/>
      <c r="B2377" s="828"/>
      <c r="C2377" s="828"/>
      <c r="D2377" s="828"/>
      <c r="E2377" s="828"/>
      <c r="F2377" s="828"/>
      <c r="G2377" s="828"/>
      <c r="H2377" s="828"/>
      <c r="I2377" s="828"/>
      <c r="J2377" s="828"/>
    </row>
    <row r="2378" spans="1:10" ht="38.25" customHeight="1">
      <c r="A2378" s="809" t="s">
        <v>14381</v>
      </c>
      <c r="B2378" s="808" t="s">
        <v>13481</v>
      </c>
      <c r="C2378" s="809" t="s">
        <v>13482</v>
      </c>
      <c r="D2378" s="809" t="s">
        <v>13483</v>
      </c>
      <c r="E2378" s="1019" t="s">
        <v>13484</v>
      </c>
      <c r="F2378" s="1019"/>
      <c r="G2378" s="810" t="s">
        <v>13485</v>
      </c>
      <c r="H2378" s="808" t="s">
        <v>13486</v>
      </c>
      <c r="I2378" s="808" t="s">
        <v>13487</v>
      </c>
      <c r="J2378" s="808" t="s">
        <v>4867</v>
      </c>
    </row>
    <row r="2379" spans="1:10" ht="38.25" customHeight="1">
      <c r="A2379" s="812" t="s">
        <v>13488</v>
      </c>
      <c r="B2379" s="811" t="s">
        <v>14382</v>
      </c>
      <c r="C2379" s="812" t="s">
        <v>6</v>
      </c>
      <c r="D2379" s="812" t="s">
        <v>6935</v>
      </c>
      <c r="E2379" s="1020" t="s">
        <v>13600</v>
      </c>
      <c r="F2379" s="1020"/>
      <c r="G2379" s="813" t="s">
        <v>13537</v>
      </c>
      <c r="H2379" s="814">
        <v>1</v>
      </c>
      <c r="I2379" s="815">
        <v>167.33</v>
      </c>
      <c r="J2379" s="815">
        <v>167.33</v>
      </c>
    </row>
    <row r="2380" spans="1:10" ht="38.25" customHeight="1">
      <c r="A2380" s="817" t="s">
        <v>13491</v>
      </c>
      <c r="B2380" s="816" t="s">
        <v>14383</v>
      </c>
      <c r="C2380" s="817" t="s">
        <v>6</v>
      </c>
      <c r="D2380" s="817" t="s">
        <v>6574</v>
      </c>
      <c r="E2380" s="1021" t="s">
        <v>13542</v>
      </c>
      <c r="F2380" s="1021"/>
      <c r="G2380" s="818" t="s">
        <v>13543</v>
      </c>
      <c r="H2380" s="819">
        <v>4.4999999999999997E-3</v>
      </c>
      <c r="I2380" s="820">
        <v>327.99</v>
      </c>
      <c r="J2380" s="820">
        <v>1.47</v>
      </c>
    </row>
    <row r="2381" spans="1:10" ht="38.25" customHeight="1">
      <c r="A2381" s="817" t="s">
        <v>13491</v>
      </c>
      <c r="B2381" s="816" t="s">
        <v>13553</v>
      </c>
      <c r="C2381" s="817" t="s">
        <v>6</v>
      </c>
      <c r="D2381" s="817" t="s">
        <v>21</v>
      </c>
      <c r="E2381" s="1021" t="s">
        <v>13490</v>
      </c>
      <c r="F2381" s="1021"/>
      <c r="G2381" s="818" t="s">
        <v>19</v>
      </c>
      <c r="H2381" s="819">
        <v>0.99739999999999995</v>
      </c>
      <c r="I2381" s="820">
        <v>15.16</v>
      </c>
      <c r="J2381" s="820">
        <v>15.12</v>
      </c>
    </row>
    <row r="2382" spans="1:10" ht="38.25" customHeight="1">
      <c r="A2382" s="817" t="s">
        <v>13491</v>
      </c>
      <c r="B2382" s="816" t="s">
        <v>14378</v>
      </c>
      <c r="C2382" s="817" t="s">
        <v>6</v>
      </c>
      <c r="D2382" s="817" t="s">
        <v>33</v>
      </c>
      <c r="E2382" s="1021" t="s">
        <v>13490</v>
      </c>
      <c r="F2382" s="1021"/>
      <c r="G2382" s="818" t="s">
        <v>19</v>
      </c>
      <c r="H2382" s="819">
        <v>0.97740000000000005</v>
      </c>
      <c r="I2382" s="820">
        <v>18.75</v>
      </c>
      <c r="J2382" s="820">
        <v>18.32</v>
      </c>
    </row>
    <row r="2383" spans="1:10" ht="25.5">
      <c r="A2383" s="822" t="s">
        <v>13493</v>
      </c>
      <c r="B2383" s="821" t="s">
        <v>14384</v>
      </c>
      <c r="C2383" s="822" t="s">
        <v>6</v>
      </c>
      <c r="D2383" s="822" t="s">
        <v>8686</v>
      </c>
      <c r="E2383" s="1017" t="s">
        <v>13514</v>
      </c>
      <c r="F2383" s="1017"/>
      <c r="G2383" s="823" t="s">
        <v>16</v>
      </c>
      <c r="H2383" s="824">
        <v>7.9699999999999993E-2</v>
      </c>
      <c r="I2383" s="825">
        <v>20</v>
      </c>
      <c r="J2383" s="825">
        <v>1.59</v>
      </c>
    </row>
    <row r="2384" spans="1:10">
      <c r="A2384" s="822" t="s">
        <v>13493</v>
      </c>
      <c r="B2384" s="821" t="s">
        <v>14385</v>
      </c>
      <c r="C2384" s="822" t="s">
        <v>6</v>
      </c>
      <c r="D2384" s="822" t="s">
        <v>10206</v>
      </c>
      <c r="E2384" s="1017" t="s">
        <v>13514</v>
      </c>
      <c r="F2384" s="1017"/>
      <c r="G2384" s="823" t="s">
        <v>16</v>
      </c>
      <c r="H2384" s="824">
        <v>2.5000000000000001E-3</v>
      </c>
      <c r="I2384" s="825">
        <v>27.51</v>
      </c>
      <c r="J2384" s="825">
        <v>0.06</v>
      </c>
    </row>
    <row r="2385" spans="1:10" ht="25.5">
      <c r="A2385" s="822" t="s">
        <v>13493</v>
      </c>
      <c r="B2385" s="821" t="s">
        <v>14386</v>
      </c>
      <c r="C2385" s="822" t="s">
        <v>6</v>
      </c>
      <c r="D2385" s="822" t="s">
        <v>12575</v>
      </c>
      <c r="E2385" s="1017" t="s">
        <v>13514</v>
      </c>
      <c r="F2385" s="1017"/>
      <c r="G2385" s="823" t="s">
        <v>13537</v>
      </c>
      <c r="H2385" s="824">
        <v>1.0203</v>
      </c>
      <c r="I2385" s="825">
        <v>27.21</v>
      </c>
      <c r="J2385" s="825">
        <v>27.76</v>
      </c>
    </row>
    <row r="2386" spans="1:10" ht="13.5" customHeight="1">
      <c r="A2386" s="822" t="s">
        <v>13493</v>
      </c>
      <c r="B2386" s="821" t="s">
        <v>14387</v>
      </c>
      <c r="C2386" s="822" t="s">
        <v>6</v>
      </c>
      <c r="D2386" s="822" t="s">
        <v>12831</v>
      </c>
      <c r="E2386" s="1017" t="s">
        <v>13514</v>
      </c>
      <c r="F2386" s="1017"/>
      <c r="G2386" s="823" t="s">
        <v>14</v>
      </c>
      <c r="H2386" s="824">
        <v>0.61050000000000004</v>
      </c>
      <c r="I2386" s="825">
        <v>91.18</v>
      </c>
      <c r="J2386" s="825">
        <v>55.66</v>
      </c>
    </row>
    <row r="2387" spans="1:10" ht="25.5">
      <c r="A2387" s="822" t="s">
        <v>13493</v>
      </c>
      <c r="B2387" s="821" t="s">
        <v>14388</v>
      </c>
      <c r="C2387" s="822" t="s">
        <v>6</v>
      </c>
      <c r="D2387" s="822" t="s">
        <v>12827</v>
      </c>
      <c r="E2387" s="1017" t="s">
        <v>13514</v>
      </c>
      <c r="F2387" s="1017"/>
      <c r="G2387" s="823" t="s">
        <v>14</v>
      </c>
      <c r="H2387" s="824">
        <v>0.87009999999999998</v>
      </c>
      <c r="I2387" s="825">
        <v>54.43</v>
      </c>
      <c r="J2387" s="825">
        <v>47.35</v>
      </c>
    </row>
    <row r="2388" spans="1:10" ht="25.5">
      <c r="A2388" s="827"/>
      <c r="B2388" s="827"/>
      <c r="C2388" s="827"/>
      <c r="D2388" s="827"/>
      <c r="E2388" s="827" t="s">
        <v>13503</v>
      </c>
      <c r="F2388" s="826">
        <v>24.05</v>
      </c>
      <c r="G2388" s="827" t="s">
        <v>13504</v>
      </c>
      <c r="H2388" s="826">
        <v>0</v>
      </c>
      <c r="I2388" s="827" t="s">
        <v>13505</v>
      </c>
      <c r="J2388" s="826">
        <v>24.05</v>
      </c>
    </row>
    <row r="2389" spans="1:10" ht="38.25" customHeight="1" thickBot="1">
      <c r="A2389" s="827"/>
      <c r="B2389" s="827"/>
      <c r="C2389" s="827"/>
      <c r="D2389" s="827"/>
      <c r="E2389" s="827" t="s">
        <v>13506</v>
      </c>
      <c r="F2389" s="826">
        <v>47.25</v>
      </c>
      <c r="G2389" s="827"/>
      <c r="H2389" s="1018" t="s">
        <v>13507</v>
      </c>
      <c r="I2389" s="1018"/>
      <c r="J2389" s="826">
        <v>214.58</v>
      </c>
    </row>
    <row r="2390" spans="1:10" ht="13.5" thickTop="1">
      <c r="A2390" s="828"/>
      <c r="B2390" s="828"/>
      <c r="C2390" s="828"/>
      <c r="D2390" s="828"/>
      <c r="E2390" s="828"/>
      <c r="F2390" s="828"/>
      <c r="G2390" s="828"/>
      <c r="H2390" s="828"/>
      <c r="I2390" s="828"/>
      <c r="J2390" s="828"/>
    </row>
    <row r="2391" spans="1:10" ht="15">
      <c r="A2391" s="809" t="s">
        <v>14389</v>
      </c>
      <c r="B2391" s="808" t="s">
        <v>13481</v>
      </c>
      <c r="C2391" s="809" t="s">
        <v>13482</v>
      </c>
      <c r="D2391" s="809" t="s">
        <v>13483</v>
      </c>
      <c r="E2391" s="1019" t="s">
        <v>13484</v>
      </c>
      <c r="F2391" s="1019"/>
      <c r="G2391" s="810" t="s">
        <v>13485</v>
      </c>
      <c r="H2391" s="808" t="s">
        <v>13486</v>
      </c>
      <c r="I2391" s="808" t="s">
        <v>13487</v>
      </c>
      <c r="J2391" s="808" t="s">
        <v>4867</v>
      </c>
    </row>
    <row r="2392" spans="1:10" ht="25.5" customHeight="1">
      <c r="A2392" s="812" t="s">
        <v>13488</v>
      </c>
      <c r="B2392" s="811" t="s">
        <v>14390</v>
      </c>
      <c r="C2392" s="812" t="s">
        <v>6</v>
      </c>
      <c r="D2392" s="812" t="s">
        <v>4071</v>
      </c>
      <c r="E2392" s="1020" t="s">
        <v>13490</v>
      </c>
      <c r="F2392" s="1020"/>
      <c r="G2392" s="813" t="s">
        <v>13537</v>
      </c>
      <c r="H2392" s="814">
        <v>1</v>
      </c>
      <c r="I2392" s="815">
        <v>0.6</v>
      </c>
      <c r="J2392" s="815">
        <v>0.6</v>
      </c>
    </row>
    <row r="2393" spans="1:10" ht="38.25" customHeight="1">
      <c r="A2393" s="817" t="s">
        <v>13491</v>
      </c>
      <c r="B2393" s="816" t="s">
        <v>13553</v>
      </c>
      <c r="C2393" s="817" t="s">
        <v>6</v>
      </c>
      <c r="D2393" s="817" t="s">
        <v>21</v>
      </c>
      <c r="E2393" s="1021" t="s">
        <v>13490</v>
      </c>
      <c r="F2393" s="1021"/>
      <c r="G2393" s="818" t="s">
        <v>19</v>
      </c>
      <c r="H2393" s="819">
        <v>0.04</v>
      </c>
      <c r="I2393" s="820">
        <v>15.16</v>
      </c>
      <c r="J2393" s="820">
        <v>0.6</v>
      </c>
    </row>
    <row r="2394" spans="1:10" ht="25.5">
      <c r="A2394" s="827"/>
      <c r="B2394" s="827"/>
      <c r="C2394" s="827"/>
      <c r="D2394" s="827"/>
      <c r="E2394" s="827" t="s">
        <v>13503</v>
      </c>
      <c r="F2394" s="826">
        <v>0.41</v>
      </c>
      <c r="G2394" s="827" t="s">
        <v>13504</v>
      </c>
      <c r="H2394" s="826">
        <v>0</v>
      </c>
      <c r="I2394" s="827" t="s">
        <v>13505</v>
      </c>
      <c r="J2394" s="826">
        <v>0.41</v>
      </c>
    </row>
    <row r="2395" spans="1:10" ht="13.5" customHeight="1" thickBot="1">
      <c r="A2395" s="827"/>
      <c r="B2395" s="827"/>
      <c r="C2395" s="827"/>
      <c r="D2395" s="827"/>
      <c r="E2395" s="827" t="s">
        <v>13506</v>
      </c>
      <c r="F2395" s="826">
        <v>0.16</v>
      </c>
      <c r="G2395" s="827"/>
      <c r="H2395" s="1018" t="s">
        <v>13507</v>
      </c>
      <c r="I2395" s="1018"/>
      <c r="J2395" s="826">
        <v>0.76</v>
      </c>
    </row>
    <row r="2396" spans="1:10" ht="13.5" thickTop="1">
      <c r="A2396" s="828"/>
      <c r="B2396" s="828"/>
      <c r="C2396" s="828"/>
      <c r="D2396" s="828"/>
      <c r="E2396" s="828"/>
      <c r="F2396" s="828"/>
      <c r="G2396" s="828"/>
      <c r="H2396" s="828"/>
      <c r="I2396" s="828"/>
      <c r="J2396" s="828"/>
    </row>
    <row r="2397" spans="1:10" ht="15">
      <c r="A2397" s="809" t="s">
        <v>14391</v>
      </c>
      <c r="B2397" s="808" t="s">
        <v>13481</v>
      </c>
      <c r="C2397" s="809" t="s">
        <v>13482</v>
      </c>
      <c r="D2397" s="809" t="s">
        <v>13483</v>
      </c>
      <c r="E2397" s="1019" t="s">
        <v>13484</v>
      </c>
      <c r="F2397" s="1019"/>
      <c r="G2397" s="810" t="s">
        <v>13485</v>
      </c>
      <c r="H2397" s="808" t="s">
        <v>13486</v>
      </c>
      <c r="I2397" s="808" t="s">
        <v>13487</v>
      </c>
      <c r="J2397" s="808" t="s">
        <v>4867</v>
      </c>
    </row>
    <row r="2398" spans="1:10" ht="25.5" customHeight="1">
      <c r="A2398" s="812" t="s">
        <v>13488</v>
      </c>
      <c r="B2398" s="811" t="s">
        <v>14392</v>
      </c>
      <c r="C2398" s="812" t="s">
        <v>6</v>
      </c>
      <c r="D2398" s="812" t="s">
        <v>4069</v>
      </c>
      <c r="E2398" s="1020" t="s">
        <v>13490</v>
      </c>
      <c r="F2398" s="1020"/>
      <c r="G2398" s="813" t="s">
        <v>13537</v>
      </c>
      <c r="H2398" s="814">
        <v>1</v>
      </c>
      <c r="I2398" s="815">
        <v>1.47</v>
      </c>
      <c r="J2398" s="815">
        <v>1.47</v>
      </c>
    </row>
    <row r="2399" spans="1:10" ht="38.25" customHeight="1">
      <c r="A2399" s="817" t="s">
        <v>13491</v>
      </c>
      <c r="B2399" s="816" t="s">
        <v>13553</v>
      </c>
      <c r="C2399" s="817" t="s">
        <v>6</v>
      </c>
      <c r="D2399" s="817" t="s">
        <v>21</v>
      </c>
      <c r="E2399" s="1021" t="s">
        <v>13490</v>
      </c>
      <c r="F2399" s="1021"/>
      <c r="G2399" s="818" t="s">
        <v>19</v>
      </c>
      <c r="H2399" s="819">
        <v>9.7000000000000003E-2</v>
      </c>
      <c r="I2399" s="820">
        <v>15.16</v>
      </c>
      <c r="J2399" s="820">
        <v>1.47</v>
      </c>
    </row>
    <row r="2400" spans="1:10" ht="25.5">
      <c r="A2400" s="827"/>
      <c r="B2400" s="827"/>
      <c r="C2400" s="827"/>
      <c r="D2400" s="827"/>
      <c r="E2400" s="827" t="s">
        <v>13503</v>
      </c>
      <c r="F2400" s="826">
        <v>1</v>
      </c>
      <c r="G2400" s="827" t="s">
        <v>13504</v>
      </c>
      <c r="H2400" s="826">
        <v>0</v>
      </c>
      <c r="I2400" s="827" t="s">
        <v>13505</v>
      </c>
      <c r="J2400" s="826">
        <v>1</v>
      </c>
    </row>
    <row r="2401" spans="1:10" ht="13.5" customHeight="1" thickBot="1">
      <c r="A2401" s="827"/>
      <c r="B2401" s="827"/>
      <c r="C2401" s="827"/>
      <c r="D2401" s="827"/>
      <c r="E2401" s="827" t="s">
        <v>13506</v>
      </c>
      <c r="F2401" s="826">
        <v>0.41</v>
      </c>
      <c r="G2401" s="827"/>
      <c r="H2401" s="1018" t="s">
        <v>13507</v>
      </c>
      <c r="I2401" s="1018"/>
      <c r="J2401" s="826">
        <v>1.88</v>
      </c>
    </row>
    <row r="2402" spans="1:10" ht="13.5" thickTop="1">
      <c r="A2402" s="828"/>
      <c r="B2402" s="828"/>
      <c r="C2402" s="828"/>
      <c r="D2402" s="828"/>
      <c r="E2402" s="828"/>
      <c r="F2402" s="828"/>
      <c r="G2402" s="828"/>
      <c r="H2402" s="828"/>
      <c r="I2402" s="828"/>
      <c r="J2402" s="828"/>
    </row>
    <row r="2403" spans="1:10" ht="15">
      <c r="A2403" s="809" t="s">
        <v>14393</v>
      </c>
      <c r="B2403" s="808" t="s">
        <v>13481</v>
      </c>
      <c r="C2403" s="809" t="s">
        <v>13482</v>
      </c>
      <c r="D2403" s="809" t="s">
        <v>13483</v>
      </c>
      <c r="E2403" s="1019" t="s">
        <v>13484</v>
      </c>
      <c r="F2403" s="1019"/>
      <c r="G2403" s="810" t="s">
        <v>13485</v>
      </c>
      <c r="H2403" s="808" t="s">
        <v>13486</v>
      </c>
      <c r="I2403" s="808" t="s">
        <v>13487</v>
      </c>
      <c r="J2403" s="808" t="s">
        <v>4867</v>
      </c>
    </row>
    <row r="2404" spans="1:10" ht="25.5" customHeight="1">
      <c r="A2404" s="812" t="s">
        <v>13488</v>
      </c>
      <c r="B2404" s="811" t="s">
        <v>14394</v>
      </c>
      <c r="C2404" s="812" t="s">
        <v>6</v>
      </c>
      <c r="D2404" s="812" t="s">
        <v>4076</v>
      </c>
      <c r="E2404" s="1020" t="s">
        <v>13490</v>
      </c>
      <c r="F2404" s="1020"/>
      <c r="G2404" s="813" t="s">
        <v>13537</v>
      </c>
      <c r="H2404" s="814">
        <v>1</v>
      </c>
      <c r="I2404" s="815">
        <v>1.4</v>
      </c>
      <c r="J2404" s="815">
        <v>1.4</v>
      </c>
    </row>
    <row r="2405" spans="1:10" ht="38.25" customHeight="1">
      <c r="A2405" s="817" t="s">
        <v>13491</v>
      </c>
      <c r="B2405" s="816" t="s">
        <v>14395</v>
      </c>
      <c r="C2405" s="817" t="s">
        <v>6</v>
      </c>
      <c r="D2405" s="817" t="s">
        <v>3586</v>
      </c>
      <c r="E2405" s="1021" t="s">
        <v>13539</v>
      </c>
      <c r="F2405" s="1021"/>
      <c r="G2405" s="818" t="s">
        <v>28</v>
      </c>
      <c r="H2405" s="819">
        <v>1.4999999999999999E-2</v>
      </c>
      <c r="I2405" s="820">
        <v>4.5599999999999996</v>
      </c>
      <c r="J2405" s="820">
        <v>0.06</v>
      </c>
    </row>
    <row r="2406" spans="1:10" ht="38.25" customHeight="1">
      <c r="A2406" s="817" t="s">
        <v>13491</v>
      </c>
      <c r="B2406" s="816" t="s">
        <v>13553</v>
      </c>
      <c r="C2406" s="817" t="s">
        <v>6</v>
      </c>
      <c r="D2406" s="817" t="s">
        <v>21</v>
      </c>
      <c r="E2406" s="1021" t="s">
        <v>13490</v>
      </c>
      <c r="F2406" s="1021"/>
      <c r="G2406" s="818" t="s">
        <v>19</v>
      </c>
      <c r="H2406" s="819">
        <v>8.8999999999999996E-2</v>
      </c>
      <c r="I2406" s="820">
        <v>15.16</v>
      </c>
      <c r="J2406" s="820">
        <v>1.34</v>
      </c>
    </row>
    <row r="2407" spans="1:10" ht="25.5">
      <c r="A2407" s="827"/>
      <c r="B2407" s="827"/>
      <c r="C2407" s="827"/>
      <c r="D2407" s="827"/>
      <c r="E2407" s="827" t="s">
        <v>13503</v>
      </c>
      <c r="F2407" s="826">
        <v>0.92</v>
      </c>
      <c r="G2407" s="827" t="s">
        <v>13504</v>
      </c>
      <c r="H2407" s="826">
        <v>0</v>
      </c>
      <c r="I2407" s="827" t="s">
        <v>13505</v>
      </c>
      <c r="J2407" s="826">
        <v>0.92</v>
      </c>
    </row>
    <row r="2408" spans="1:10" ht="13.5" customHeight="1" thickBot="1">
      <c r="A2408" s="827"/>
      <c r="B2408" s="827"/>
      <c r="C2408" s="827"/>
      <c r="D2408" s="827"/>
      <c r="E2408" s="827" t="s">
        <v>13506</v>
      </c>
      <c r="F2408" s="826">
        <v>0.39</v>
      </c>
      <c r="G2408" s="827"/>
      <c r="H2408" s="1018" t="s">
        <v>13507</v>
      </c>
      <c r="I2408" s="1018"/>
      <c r="J2408" s="826">
        <v>1.79</v>
      </c>
    </row>
    <row r="2409" spans="1:10" ht="13.5" thickTop="1">
      <c r="A2409" s="828"/>
      <c r="B2409" s="828"/>
      <c r="C2409" s="828"/>
      <c r="D2409" s="828"/>
      <c r="E2409" s="828"/>
      <c r="F2409" s="828"/>
      <c r="G2409" s="828"/>
      <c r="H2409" s="828"/>
      <c r="I2409" s="828"/>
      <c r="J2409" s="828"/>
    </row>
    <row r="2410" spans="1:10" ht="15">
      <c r="A2410" s="809" t="s">
        <v>14396</v>
      </c>
      <c r="B2410" s="808" t="s">
        <v>13481</v>
      </c>
      <c r="C2410" s="809" t="s">
        <v>13482</v>
      </c>
      <c r="D2410" s="809" t="s">
        <v>13483</v>
      </c>
      <c r="E2410" s="1019" t="s">
        <v>13484</v>
      </c>
      <c r="F2410" s="1019"/>
      <c r="G2410" s="810" t="s">
        <v>13485</v>
      </c>
      <c r="H2410" s="808" t="s">
        <v>13486</v>
      </c>
      <c r="I2410" s="808" t="s">
        <v>13487</v>
      </c>
      <c r="J2410" s="808" t="s">
        <v>4867</v>
      </c>
    </row>
    <row r="2411" spans="1:10" ht="25.5" customHeight="1">
      <c r="A2411" s="812" t="s">
        <v>13488</v>
      </c>
      <c r="B2411" s="811" t="s">
        <v>13607</v>
      </c>
      <c r="C2411" s="812" t="s">
        <v>6</v>
      </c>
      <c r="D2411" s="812" t="s">
        <v>1133</v>
      </c>
      <c r="E2411" s="1020" t="s">
        <v>13539</v>
      </c>
      <c r="F2411" s="1020"/>
      <c r="G2411" s="813" t="s">
        <v>28</v>
      </c>
      <c r="H2411" s="814">
        <v>1</v>
      </c>
      <c r="I2411" s="815">
        <v>176.12</v>
      </c>
      <c r="J2411" s="815">
        <v>176.12</v>
      </c>
    </row>
    <row r="2412" spans="1:10" ht="38.25" customHeight="1">
      <c r="A2412" s="817" t="s">
        <v>13491</v>
      </c>
      <c r="B2412" s="816" t="s">
        <v>14397</v>
      </c>
      <c r="C2412" s="817" t="s">
        <v>6</v>
      </c>
      <c r="D2412" s="817" t="s">
        <v>1128</v>
      </c>
      <c r="E2412" s="1021" t="s">
        <v>13539</v>
      </c>
      <c r="F2412" s="1021"/>
      <c r="G2412" s="818" t="s">
        <v>19</v>
      </c>
      <c r="H2412" s="819">
        <v>1</v>
      </c>
      <c r="I2412" s="820">
        <v>45.59</v>
      </c>
      <c r="J2412" s="820">
        <v>45.59</v>
      </c>
    </row>
    <row r="2413" spans="1:10" ht="13.5" customHeight="1">
      <c r="A2413" s="817" t="s">
        <v>13491</v>
      </c>
      <c r="B2413" s="816" t="s">
        <v>14398</v>
      </c>
      <c r="C2413" s="817" t="s">
        <v>6</v>
      </c>
      <c r="D2413" s="817" t="s">
        <v>1129</v>
      </c>
      <c r="E2413" s="1021" t="s">
        <v>13539</v>
      </c>
      <c r="F2413" s="1021"/>
      <c r="G2413" s="818" t="s">
        <v>19</v>
      </c>
      <c r="H2413" s="819">
        <v>1</v>
      </c>
      <c r="I2413" s="820">
        <v>8.1999999999999993</v>
      </c>
      <c r="J2413" s="820">
        <v>8.1999999999999993</v>
      </c>
    </row>
    <row r="2414" spans="1:10" ht="38.25" customHeight="1">
      <c r="A2414" s="817" t="s">
        <v>13491</v>
      </c>
      <c r="B2414" s="816" t="s">
        <v>14399</v>
      </c>
      <c r="C2414" s="817" t="s">
        <v>6</v>
      </c>
      <c r="D2414" s="817" t="s">
        <v>1131</v>
      </c>
      <c r="E2414" s="1021" t="s">
        <v>13539</v>
      </c>
      <c r="F2414" s="1021"/>
      <c r="G2414" s="818" t="s">
        <v>19</v>
      </c>
      <c r="H2414" s="819">
        <v>1</v>
      </c>
      <c r="I2414" s="820">
        <v>73.290000000000006</v>
      </c>
      <c r="J2414" s="820">
        <v>73.290000000000006</v>
      </c>
    </row>
    <row r="2415" spans="1:10" ht="38.25" customHeight="1">
      <c r="A2415" s="817" t="s">
        <v>13491</v>
      </c>
      <c r="B2415" s="816" t="s">
        <v>14400</v>
      </c>
      <c r="C2415" s="817" t="s">
        <v>6</v>
      </c>
      <c r="D2415" s="817" t="s">
        <v>1130</v>
      </c>
      <c r="E2415" s="1021" t="s">
        <v>13539</v>
      </c>
      <c r="F2415" s="1021"/>
      <c r="G2415" s="818" t="s">
        <v>19</v>
      </c>
      <c r="H2415" s="819">
        <v>1</v>
      </c>
      <c r="I2415" s="820">
        <v>6.49</v>
      </c>
      <c r="J2415" s="820">
        <v>6.49</v>
      </c>
    </row>
    <row r="2416" spans="1:10" ht="38.25" customHeight="1">
      <c r="A2416" s="817" t="s">
        <v>13491</v>
      </c>
      <c r="B2416" s="816" t="s">
        <v>14401</v>
      </c>
      <c r="C2416" s="817" t="s">
        <v>6</v>
      </c>
      <c r="D2416" s="817" t="s">
        <v>1132</v>
      </c>
      <c r="E2416" s="1021" t="s">
        <v>13539</v>
      </c>
      <c r="F2416" s="1021"/>
      <c r="G2416" s="818" t="s">
        <v>19</v>
      </c>
      <c r="H2416" s="819">
        <v>1</v>
      </c>
      <c r="I2416" s="820">
        <v>28.66</v>
      </c>
      <c r="J2416" s="820">
        <v>28.66</v>
      </c>
    </row>
    <row r="2417" spans="1:10" ht="38.25" customHeight="1">
      <c r="A2417" s="817" t="s">
        <v>13491</v>
      </c>
      <c r="B2417" s="816" t="s">
        <v>14402</v>
      </c>
      <c r="C2417" s="817" t="s">
        <v>6</v>
      </c>
      <c r="D2417" s="817" t="s">
        <v>145</v>
      </c>
      <c r="E2417" s="1021" t="s">
        <v>13490</v>
      </c>
      <c r="F2417" s="1021"/>
      <c r="G2417" s="818" t="s">
        <v>19</v>
      </c>
      <c r="H2417" s="819">
        <v>1</v>
      </c>
      <c r="I2417" s="820">
        <v>13.89</v>
      </c>
      <c r="J2417" s="820">
        <v>13.89</v>
      </c>
    </row>
    <row r="2418" spans="1:10" ht="25.5">
      <c r="A2418" s="827"/>
      <c r="B2418" s="827"/>
      <c r="C2418" s="827"/>
      <c r="D2418" s="827"/>
      <c r="E2418" s="827" t="s">
        <v>13503</v>
      </c>
      <c r="F2418" s="826">
        <v>10.050000000000001</v>
      </c>
      <c r="G2418" s="827" t="s">
        <v>13504</v>
      </c>
      <c r="H2418" s="826">
        <v>0</v>
      </c>
      <c r="I2418" s="827" t="s">
        <v>13505</v>
      </c>
      <c r="J2418" s="826">
        <v>10.050000000000001</v>
      </c>
    </row>
    <row r="2419" spans="1:10" ht="13.5" customHeight="1" thickBot="1">
      <c r="A2419" s="827"/>
      <c r="B2419" s="827"/>
      <c r="C2419" s="827"/>
      <c r="D2419" s="827"/>
      <c r="E2419" s="827" t="s">
        <v>13506</v>
      </c>
      <c r="F2419" s="826">
        <v>49.73</v>
      </c>
      <c r="G2419" s="827"/>
      <c r="H2419" s="1018" t="s">
        <v>13507</v>
      </c>
      <c r="I2419" s="1018"/>
      <c r="J2419" s="826">
        <v>225.85</v>
      </c>
    </row>
    <row r="2420" spans="1:10" ht="13.5" thickTop="1">
      <c r="A2420" s="828"/>
      <c r="B2420" s="828"/>
      <c r="C2420" s="828"/>
      <c r="D2420" s="828"/>
      <c r="E2420" s="828"/>
      <c r="F2420" s="828"/>
      <c r="G2420" s="828"/>
      <c r="H2420" s="828"/>
      <c r="I2420" s="828"/>
      <c r="J2420" s="828"/>
    </row>
    <row r="2421" spans="1:10" ht="13.5" customHeight="1">
      <c r="A2421" s="809" t="s">
        <v>14396</v>
      </c>
      <c r="B2421" s="808" t="s">
        <v>13481</v>
      </c>
      <c r="C2421" s="809" t="s">
        <v>13482</v>
      </c>
      <c r="D2421" s="809" t="s">
        <v>13483</v>
      </c>
      <c r="E2421" s="1019" t="s">
        <v>13484</v>
      </c>
      <c r="F2421" s="1019"/>
      <c r="G2421" s="810" t="s">
        <v>13485</v>
      </c>
      <c r="H2421" s="808" t="s">
        <v>13486</v>
      </c>
      <c r="I2421" s="808" t="s">
        <v>13487</v>
      </c>
      <c r="J2421" s="808" t="s">
        <v>4867</v>
      </c>
    </row>
    <row r="2422" spans="1:10" ht="25.5" customHeight="1">
      <c r="A2422" s="812" t="s">
        <v>13488</v>
      </c>
      <c r="B2422" s="811" t="s">
        <v>14403</v>
      </c>
      <c r="C2422" s="812" t="s">
        <v>6</v>
      </c>
      <c r="D2422" s="812" t="s">
        <v>4271</v>
      </c>
      <c r="E2422" s="1020" t="s">
        <v>13807</v>
      </c>
      <c r="F2422" s="1020"/>
      <c r="G2422" s="813" t="s">
        <v>24</v>
      </c>
      <c r="H2422" s="814">
        <v>1</v>
      </c>
      <c r="I2422" s="815">
        <v>35.81</v>
      </c>
      <c r="J2422" s="815">
        <v>35.81</v>
      </c>
    </row>
    <row r="2423" spans="1:10" ht="38.25" customHeight="1">
      <c r="A2423" s="817" t="s">
        <v>13491</v>
      </c>
      <c r="B2423" s="816" t="s">
        <v>13553</v>
      </c>
      <c r="C2423" s="817" t="s">
        <v>6</v>
      </c>
      <c r="D2423" s="817" t="s">
        <v>21</v>
      </c>
      <c r="E2423" s="1021" t="s">
        <v>13490</v>
      </c>
      <c r="F2423" s="1021"/>
      <c r="G2423" s="818" t="s">
        <v>19</v>
      </c>
      <c r="H2423" s="819">
        <v>0.45800000000000002</v>
      </c>
      <c r="I2423" s="820">
        <v>15.16</v>
      </c>
      <c r="J2423" s="820">
        <v>6.94</v>
      </c>
    </row>
    <row r="2424" spans="1:10" ht="38.25" customHeight="1">
      <c r="A2424" s="817" t="s">
        <v>13491</v>
      </c>
      <c r="B2424" s="816" t="s">
        <v>14404</v>
      </c>
      <c r="C2424" s="817" t="s">
        <v>6</v>
      </c>
      <c r="D2424" s="817" t="s">
        <v>36</v>
      </c>
      <c r="E2424" s="1021" t="s">
        <v>13490</v>
      </c>
      <c r="F2424" s="1021"/>
      <c r="G2424" s="818" t="s">
        <v>19</v>
      </c>
      <c r="H2424" s="819">
        <v>0.91600000000000004</v>
      </c>
      <c r="I2424" s="820">
        <v>17.84</v>
      </c>
      <c r="J2424" s="820">
        <v>16.34</v>
      </c>
    </row>
    <row r="2425" spans="1:10" ht="25.5">
      <c r="A2425" s="822" t="s">
        <v>13493</v>
      </c>
      <c r="B2425" s="821" t="s">
        <v>14405</v>
      </c>
      <c r="C2425" s="822" t="s">
        <v>6</v>
      </c>
      <c r="D2425" s="822" t="s">
        <v>10179</v>
      </c>
      <c r="E2425" s="1017" t="s">
        <v>13514</v>
      </c>
      <c r="F2425" s="1017"/>
      <c r="G2425" s="823" t="s">
        <v>24</v>
      </c>
      <c r="H2425" s="824">
        <v>1</v>
      </c>
      <c r="I2425" s="825">
        <v>12.53</v>
      </c>
      <c r="J2425" s="825">
        <v>12.53</v>
      </c>
    </row>
    <row r="2426" spans="1:10" ht="25.5">
      <c r="A2426" s="827"/>
      <c r="B2426" s="827"/>
      <c r="C2426" s="827"/>
      <c r="D2426" s="827"/>
      <c r="E2426" s="827" t="s">
        <v>13503</v>
      </c>
      <c r="F2426" s="826">
        <v>16.71</v>
      </c>
      <c r="G2426" s="827" t="s">
        <v>13504</v>
      </c>
      <c r="H2426" s="826">
        <v>0</v>
      </c>
      <c r="I2426" s="827" t="s">
        <v>13505</v>
      </c>
      <c r="J2426" s="826">
        <v>16.71</v>
      </c>
    </row>
    <row r="2427" spans="1:10" ht="13.5" customHeight="1" thickBot="1">
      <c r="A2427" s="827"/>
      <c r="B2427" s="827"/>
      <c r="C2427" s="827"/>
      <c r="D2427" s="827"/>
      <c r="E2427" s="827" t="s">
        <v>13506</v>
      </c>
      <c r="F2427" s="826">
        <v>10.11</v>
      </c>
      <c r="G2427" s="827"/>
      <c r="H2427" s="1018" t="s">
        <v>13507</v>
      </c>
      <c r="I2427" s="1018"/>
      <c r="J2427" s="826">
        <v>45.92</v>
      </c>
    </row>
    <row r="2428" spans="1:10" ht="13.5" thickTop="1">
      <c r="A2428" s="828"/>
      <c r="B2428" s="828"/>
      <c r="C2428" s="828"/>
      <c r="D2428" s="828"/>
      <c r="E2428" s="828"/>
      <c r="F2428" s="828"/>
      <c r="G2428" s="828"/>
      <c r="H2428" s="828"/>
      <c r="I2428" s="828"/>
      <c r="J2428" s="828"/>
    </row>
    <row r="2429" spans="1:10" ht="13.5" customHeight="1">
      <c r="A2429" s="809" t="s">
        <v>14396</v>
      </c>
      <c r="B2429" s="808" t="s">
        <v>13481</v>
      </c>
      <c r="C2429" s="809" t="s">
        <v>13482</v>
      </c>
      <c r="D2429" s="809" t="s">
        <v>13483</v>
      </c>
      <c r="E2429" s="1019" t="s">
        <v>13484</v>
      </c>
      <c r="F2429" s="1019"/>
      <c r="G2429" s="810" t="s">
        <v>13485</v>
      </c>
      <c r="H2429" s="808" t="s">
        <v>13486</v>
      </c>
      <c r="I2429" s="808" t="s">
        <v>13487</v>
      </c>
      <c r="J2429" s="808" t="s">
        <v>4867</v>
      </c>
    </row>
    <row r="2430" spans="1:10" ht="25.5" customHeight="1">
      <c r="A2430" s="812" t="s">
        <v>13488</v>
      </c>
      <c r="B2430" s="811" t="s">
        <v>14406</v>
      </c>
      <c r="C2430" s="812" t="s">
        <v>6</v>
      </c>
      <c r="D2430" s="812" t="s">
        <v>6445</v>
      </c>
      <c r="E2430" s="1020" t="s">
        <v>13807</v>
      </c>
      <c r="F2430" s="1020"/>
      <c r="G2430" s="813" t="s">
        <v>13537</v>
      </c>
      <c r="H2430" s="814">
        <v>1</v>
      </c>
      <c r="I2430" s="815">
        <v>384.64</v>
      </c>
      <c r="J2430" s="815">
        <v>384.64</v>
      </c>
    </row>
    <row r="2431" spans="1:10" ht="38.25" customHeight="1">
      <c r="A2431" s="817" t="s">
        <v>13491</v>
      </c>
      <c r="B2431" s="816" t="s">
        <v>13553</v>
      </c>
      <c r="C2431" s="817" t="s">
        <v>6</v>
      </c>
      <c r="D2431" s="817" t="s">
        <v>21</v>
      </c>
      <c r="E2431" s="1021" t="s">
        <v>13490</v>
      </c>
      <c r="F2431" s="1021"/>
      <c r="G2431" s="818" t="s">
        <v>19</v>
      </c>
      <c r="H2431" s="819">
        <v>1.542</v>
      </c>
      <c r="I2431" s="820">
        <v>15.16</v>
      </c>
      <c r="J2431" s="820">
        <v>23.37</v>
      </c>
    </row>
    <row r="2432" spans="1:10" ht="38.25" customHeight="1">
      <c r="A2432" s="817" t="s">
        <v>13491</v>
      </c>
      <c r="B2432" s="816" t="s">
        <v>14407</v>
      </c>
      <c r="C2432" s="817" t="s">
        <v>6</v>
      </c>
      <c r="D2432" s="817" t="s">
        <v>167</v>
      </c>
      <c r="E2432" s="1021" t="s">
        <v>13490</v>
      </c>
      <c r="F2432" s="1021"/>
      <c r="G2432" s="818" t="s">
        <v>19</v>
      </c>
      <c r="H2432" s="819">
        <v>1.5860000000000001</v>
      </c>
      <c r="I2432" s="820">
        <v>16.86</v>
      </c>
      <c r="J2432" s="820">
        <v>26.73</v>
      </c>
    </row>
    <row r="2433" spans="1:10" ht="38.25">
      <c r="A2433" s="822" t="s">
        <v>13493</v>
      </c>
      <c r="B2433" s="821" t="s">
        <v>14408</v>
      </c>
      <c r="C2433" s="822" t="s">
        <v>6</v>
      </c>
      <c r="D2433" s="822" t="s">
        <v>8944</v>
      </c>
      <c r="E2433" s="1017" t="s">
        <v>13514</v>
      </c>
      <c r="F2433" s="1017"/>
      <c r="G2433" s="823" t="s">
        <v>24</v>
      </c>
      <c r="H2433" s="824">
        <v>2.1960000000000002</v>
      </c>
      <c r="I2433" s="825">
        <v>0.2</v>
      </c>
      <c r="J2433" s="825">
        <v>0.43</v>
      </c>
    </row>
    <row r="2434" spans="1:10" ht="25.5">
      <c r="A2434" s="822" t="s">
        <v>13493</v>
      </c>
      <c r="B2434" s="821" t="s">
        <v>14409</v>
      </c>
      <c r="C2434" s="822" t="s">
        <v>6</v>
      </c>
      <c r="D2434" s="822" t="s">
        <v>10462</v>
      </c>
      <c r="E2434" s="1017" t="s">
        <v>13514</v>
      </c>
      <c r="F2434" s="1017"/>
      <c r="G2434" s="823" t="s">
        <v>14</v>
      </c>
      <c r="H2434" s="824">
        <v>2.992</v>
      </c>
      <c r="I2434" s="825">
        <v>2.97</v>
      </c>
      <c r="J2434" s="825">
        <v>8.8800000000000008</v>
      </c>
    </row>
    <row r="2435" spans="1:10">
      <c r="A2435" s="822" t="s">
        <v>13493</v>
      </c>
      <c r="B2435" s="821" t="s">
        <v>14379</v>
      </c>
      <c r="C2435" s="822" t="s">
        <v>6</v>
      </c>
      <c r="D2435" s="822" t="s">
        <v>11698</v>
      </c>
      <c r="E2435" s="1017" t="s">
        <v>13514</v>
      </c>
      <c r="F2435" s="1017"/>
      <c r="G2435" s="823" t="s">
        <v>16</v>
      </c>
      <c r="H2435" s="824">
        <v>0.96399999999999997</v>
      </c>
      <c r="I2435" s="825">
        <v>47.31</v>
      </c>
      <c r="J2435" s="825">
        <v>45.6</v>
      </c>
    </row>
    <row r="2436" spans="1:10">
      <c r="A2436" s="822" t="s">
        <v>13493</v>
      </c>
      <c r="B2436" s="821" t="s">
        <v>13810</v>
      </c>
      <c r="C2436" s="822" t="s">
        <v>6</v>
      </c>
      <c r="D2436" s="822" t="s">
        <v>4785</v>
      </c>
      <c r="E2436" s="1017" t="s">
        <v>13514</v>
      </c>
      <c r="F2436" s="1017"/>
      <c r="G2436" s="823" t="s">
        <v>24</v>
      </c>
      <c r="H2436" s="824">
        <v>0.39700000000000002</v>
      </c>
      <c r="I2436" s="825">
        <v>17.3</v>
      </c>
      <c r="J2436" s="825">
        <v>6.86</v>
      </c>
    </row>
    <row r="2437" spans="1:10">
      <c r="A2437" s="822" t="s">
        <v>13493</v>
      </c>
      <c r="B2437" s="821" t="s">
        <v>14410</v>
      </c>
      <c r="C2437" s="822" t="s">
        <v>6</v>
      </c>
      <c r="D2437" s="822" t="s">
        <v>13271</v>
      </c>
      <c r="E2437" s="1017" t="s">
        <v>13514</v>
      </c>
      <c r="F2437" s="1017"/>
      <c r="G2437" s="823" t="s">
        <v>13537</v>
      </c>
      <c r="H2437" s="824">
        <v>1</v>
      </c>
      <c r="I2437" s="825">
        <v>272.77</v>
      </c>
      <c r="J2437" s="825">
        <v>272.77</v>
      </c>
    </row>
    <row r="2438" spans="1:10" ht="13.5" customHeight="1">
      <c r="A2438" s="827"/>
      <c r="B2438" s="827"/>
      <c r="C2438" s="827"/>
      <c r="D2438" s="827"/>
      <c r="E2438" s="827" t="s">
        <v>13503</v>
      </c>
      <c r="F2438" s="826">
        <v>34.96</v>
      </c>
      <c r="G2438" s="827" t="s">
        <v>13504</v>
      </c>
      <c r="H2438" s="826">
        <v>0</v>
      </c>
      <c r="I2438" s="827" t="s">
        <v>13505</v>
      </c>
      <c r="J2438" s="826">
        <v>34.96</v>
      </c>
    </row>
    <row r="2439" spans="1:10" ht="13.5" customHeight="1" thickBot="1">
      <c r="A2439" s="827"/>
      <c r="B2439" s="827"/>
      <c r="C2439" s="827"/>
      <c r="D2439" s="827"/>
      <c r="E2439" s="827" t="s">
        <v>13506</v>
      </c>
      <c r="F2439" s="826">
        <v>108.62</v>
      </c>
      <c r="G2439" s="827"/>
      <c r="H2439" s="1018" t="s">
        <v>13507</v>
      </c>
      <c r="I2439" s="1018"/>
      <c r="J2439" s="826">
        <v>493.26</v>
      </c>
    </row>
    <row r="2440" spans="1:10" ht="13.5" thickTop="1">
      <c r="A2440" s="828"/>
      <c r="B2440" s="828"/>
      <c r="C2440" s="828"/>
      <c r="D2440" s="828"/>
      <c r="E2440" s="828"/>
      <c r="F2440" s="828"/>
      <c r="G2440" s="828"/>
      <c r="H2440" s="828"/>
      <c r="I2440" s="828"/>
      <c r="J2440" s="828"/>
    </row>
    <row r="2441" spans="1:10" ht="15">
      <c r="A2441" s="809" t="s">
        <v>14396</v>
      </c>
      <c r="B2441" s="808" t="s">
        <v>13481</v>
      </c>
      <c r="C2441" s="809" t="s">
        <v>13482</v>
      </c>
      <c r="D2441" s="809" t="s">
        <v>13483</v>
      </c>
      <c r="E2441" s="1019" t="s">
        <v>13484</v>
      </c>
      <c r="F2441" s="1019"/>
      <c r="G2441" s="810" t="s">
        <v>13485</v>
      </c>
      <c r="H2441" s="808" t="s">
        <v>13486</v>
      </c>
      <c r="I2441" s="808" t="s">
        <v>13487</v>
      </c>
      <c r="J2441" s="808" t="s">
        <v>4867</v>
      </c>
    </row>
    <row r="2442" spans="1:10" ht="38.25" customHeight="1">
      <c r="A2442" s="812" t="s">
        <v>13488</v>
      </c>
      <c r="B2442" s="811" t="s">
        <v>14411</v>
      </c>
      <c r="C2442" s="812" t="s">
        <v>6</v>
      </c>
      <c r="D2442" s="812" t="s">
        <v>4274</v>
      </c>
      <c r="E2442" s="1020" t="s">
        <v>13807</v>
      </c>
      <c r="F2442" s="1020"/>
      <c r="G2442" s="813" t="s">
        <v>13537</v>
      </c>
      <c r="H2442" s="814">
        <v>1</v>
      </c>
      <c r="I2442" s="815">
        <v>524.72</v>
      </c>
      <c r="J2442" s="815">
        <v>524.72</v>
      </c>
    </row>
    <row r="2443" spans="1:10" ht="38.25" customHeight="1">
      <c r="A2443" s="817" t="s">
        <v>13491</v>
      </c>
      <c r="B2443" s="816" t="s">
        <v>13577</v>
      </c>
      <c r="C2443" s="817" t="s">
        <v>6</v>
      </c>
      <c r="D2443" s="817" t="s">
        <v>31</v>
      </c>
      <c r="E2443" s="1021" t="s">
        <v>13490</v>
      </c>
      <c r="F2443" s="1021"/>
      <c r="G2443" s="818" t="s">
        <v>19</v>
      </c>
      <c r="H2443" s="819">
        <v>0.51900000000000002</v>
      </c>
      <c r="I2443" s="820">
        <v>18.86</v>
      </c>
      <c r="J2443" s="820">
        <v>9.7799999999999994</v>
      </c>
    </row>
    <row r="2444" spans="1:10" ht="38.25" customHeight="1">
      <c r="A2444" s="817" t="s">
        <v>13491</v>
      </c>
      <c r="B2444" s="816" t="s">
        <v>13553</v>
      </c>
      <c r="C2444" s="817" t="s">
        <v>6</v>
      </c>
      <c r="D2444" s="817" t="s">
        <v>21</v>
      </c>
      <c r="E2444" s="1021" t="s">
        <v>13490</v>
      </c>
      <c r="F2444" s="1021"/>
      <c r="G2444" s="818" t="s">
        <v>19</v>
      </c>
      <c r="H2444" s="819">
        <v>0.25900000000000001</v>
      </c>
      <c r="I2444" s="820">
        <v>15.16</v>
      </c>
      <c r="J2444" s="820">
        <v>3.92</v>
      </c>
    </row>
    <row r="2445" spans="1:10" ht="13.5" customHeight="1">
      <c r="A2445" s="822" t="s">
        <v>13493</v>
      </c>
      <c r="B2445" s="821" t="s">
        <v>14412</v>
      </c>
      <c r="C2445" s="822" t="s">
        <v>6</v>
      </c>
      <c r="D2445" s="822" t="s">
        <v>10696</v>
      </c>
      <c r="E2445" s="1017" t="s">
        <v>13514</v>
      </c>
      <c r="F2445" s="1017"/>
      <c r="G2445" s="823" t="s">
        <v>24</v>
      </c>
      <c r="H2445" s="824">
        <v>0.83330000000000004</v>
      </c>
      <c r="I2445" s="825">
        <v>598</v>
      </c>
      <c r="J2445" s="825">
        <v>498.31</v>
      </c>
    </row>
    <row r="2446" spans="1:10" ht="25.5">
      <c r="A2446" s="822" t="s">
        <v>13493</v>
      </c>
      <c r="B2446" s="821" t="s">
        <v>13809</v>
      </c>
      <c r="C2446" s="822" t="s">
        <v>6</v>
      </c>
      <c r="D2446" s="822" t="s">
        <v>4740</v>
      </c>
      <c r="E2446" s="1017" t="s">
        <v>13514</v>
      </c>
      <c r="F2446" s="1017"/>
      <c r="G2446" s="823" t="s">
        <v>24</v>
      </c>
      <c r="H2446" s="824">
        <v>9.1999999999999993</v>
      </c>
      <c r="I2446" s="825">
        <v>0.21</v>
      </c>
      <c r="J2446" s="825">
        <v>1.93</v>
      </c>
    </row>
    <row r="2447" spans="1:10">
      <c r="A2447" s="822" t="s">
        <v>13493</v>
      </c>
      <c r="B2447" s="821" t="s">
        <v>13810</v>
      </c>
      <c r="C2447" s="822" t="s">
        <v>6</v>
      </c>
      <c r="D2447" s="822" t="s">
        <v>4785</v>
      </c>
      <c r="E2447" s="1017" t="s">
        <v>13514</v>
      </c>
      <c r="F2447" s="1017"/>
      <c r="G2447" s="823" t="s">
        <v>24</v>
      </c>
      <c r="H2447" s="824">
        <v>0.62329999999999997</v>
      </c>
      <c r="I2447" s="825">
        <v>17.3</v>
      </c>
      <c r="J2447" s="825">
        <v>10.78</v>
      </c>
    </row>
    <row r="2448" spans="1:10" ht="25.5">
      <c r="A2448" s="827"/>
      <c r="B2448" s="827"/>
      <c r="C2448" s="827"/>
      <c r="D2448" s="827"/>
      <c r="E2448" s="827" t="s">
        <v>13503</v>
      </c>
      <c r="F2448" s="826">
        <v>9.92</v>
      </c>
      <c r="G2448" s="827" t="s">
        <v>13504</v>
      </c>
      <c r="H2448" s="826">
        <v>0</v>
      </c>
      <c r="I2448" s="827" t="s">
        <v>13505</v>
      </c>
      <c r="J2448" s="826">
        <v>9.92</v>
      </c>
    </row>
    <row r="2449" spans="1:10" ht="38.25" customHeight="1" thickBot="1">
      <c r="A2449" s="827"/>
      <c r="B2449" s="827"/>
      <c r="C2449" s="827"/>
      <c r="D2449" s="827"/>
      <c r="E2449" s="827" t="s">
        <v>13506</v>
      </c>
      <c r="F2449" s="826">
        <v>148.18</v>
      </c>
      <c r="G2449" s="827"/>
      <c r="H2449" s="1018" t="s">
        <v>13507</v>
      </c>
      <c r="I2449" s="1018"/>
      <c r="J2449" s="826">
        <v>672.9</v>
      </c>
    </row>
    <row r="2450" spans="1:10" ht="38.25" customHeight="1" thickTop="1">
      <c r="A2450" s="828"/>
      <c r="B2450" s="828"/>
      <c r="C2450" s="828"/>
      <c r="D2450" s="828"/>
      <c r="E2450" s="828"/>
      <c r="F2450" s="828"/>
      <c r="G2450" s="828"/>
      <c r="H2450" s="828"/>
      <c r="I2450" s="828"/>
      <c r="J2450" s="828"/>
    </row>
    <row r="2451" spans="1:10" ht="15">
      <c r="A2451" s="809" t="s">
        <v>14396</v>
      </c>
      <c r="B2451" s="808" t="s">
        <v>13481</v>
      </c>
      <c r="C2451" s="809" t="s">
        <v>13482</v>
      </c>
      <c r="D2451" s="809" t="s">
        <v>13483</v>
      </c>
      <c r="E2451" s="1019" t="s">
        <v>13484</v>
      </c>
      <c r="F2451" s="1019"/>
      <c r="G2451" s="810" t="s">
        <v>13485</v>
      </c>
      <c r="H2451" s="808" t="s">
        <v>13486</v>
      </c>
      <c r="I2451" s="808" t="s">
        <v>13487</v>
      </c>
      <c r="J2451" s="808" t="s">
        <v>4867</v>
      </c>
    </row>
    <row r="2452" spans="1:10" ht="25.5" customHeight="1">
      <c r="A2452" s="812" t="s">
        <v>13488</v>
      </c>
      <c r="B2452" s="811" t="s">
        <v>14413</v>
      </c>
      <c r="C2452" s="812" t="s">
        <v>6</v>
      </c>
      <c r="D2452" s="812" t="s">
        <v>3204</v>
      </c>
      <c r="E2452" s="1020" t="s">
        <v>14194</v>
      </c>
      <c r="F2452" s="1020"/>
      <c r="G2452" s="813" t="s">
        <v>24</v>
      </c>
      <c r="H2452" s="814">
        <v>1</v>
      </c>
      <c r="I2452" s="815">
        <v>138.91</v>
      </c>
      <c r="J2452" s="815">
        <v>138.91</v>
      </c>
    </row>
    <row r="2453" spans="1:10" ht="38.25" customHeight="1">
      <c r="A2453" s="817" t="s">
        <v>13491</v>
      </c>
      <c r="B2453" s="816" t="s">
        <v>14121</v>
      </c>
      <c r="C2453" s="817" t="s">
        <v>6</v>
      </c>
      <c r="D2453" s="817" t="s">
        <v>37</v>
      </c>
      <c r="E2453" s="1021" t="s">
        <v>13490</v>
      </c>
      <c r="F2453" s="1021"/>
      <c r="G2453" s="818" t="s">
        <v>19</v>
      </c>
      <c r="H2453" s="819">
        <v>0.12640000000000001</v>
      </c>
      <c r="I2453" s="820">
        <v>15.19</v>
      </c>
      <c r="J2453" s="820">
        <v>1.92</v>
      </c>
    </row>
    <row r="2454" spans="1:10" ht="38.25" customHeight="1">
      <c r="A2454" s="817" t="s">
        <v>13491</v>
      </c>
      <c r="B2454" s="816" t="s">
        <v>13567</v>
      </c>
      <c r="C2454" s="817" t="s">
        <v>6</v>
      </c>
      <c r="D2454" s="817" t="s">
        <v>35</v>
      </c>
      <c r="E2454" s="1021" t="s">
        <v>13490</v>
      </c>
      <c r="F2454" s="1021"/>
      <c r="G2454" s="818" t="s">
        <v>19</v>
      </c>
      <c r="H2454" s="819">
        <v>0.12640000000000001</v>
      </c>
      <c r="I2454" s="820">
        <v>19.53</v>
      </c>
      <c r="J2454" s="820">
        <v>2.46</v>
      </c>
    </row>
    <row r="2455" spans="1:10" ht="38.25">
      <c r="A2455" s="822" t="s">
        <v>13493</v>
      </c>
      <c r="B2455" s="821" t="s">
        <v>14414</v>
      </c>
      <c r="C2455" s="822" t="s">
        <v>6</v>
      </c>
      <c r="D2455" s="822" t="s">
        <v>4738</v>
      </c>
      <c r="E2455" s="1017" t="s">
        <v>13514</v>
      </c>
      <c r="F2455" s="1017"/>
      <c r="G2455" s="823" t="s">
        <v>24</v>
      </c>
      <c r="H2455" s="824">
        <v>1</v>
      </c>
      <c r="I2455" s="825">
        <v>134.53</v>
      </c>
      <c r="J2455" s="825">
        <v>134.53</v>
      </c>
    </row>
    <row r="2456" spans="1:10" ht="13.5" customHeight="1">
      <c r="A2456" s="827"/>
      <c r="B2456" s="827"/>
      <c r="C2456" s="827"/>
      <c r="D2456" s="827"/>
      <c r="E2456" s="827" t="s">
        <v>13503</v>
      </c>
      <c r="F2456" s="826">
        <v>3.13</v>
      </c>
      <c r="G2456" s="827" t="s">
        <v>13504</v>
      </c>
      <c r="H2456" s="826">
        <v>0</v>
      </c>
      <c r="I2456" s="827" t="s">
        <v>13505</v>
      </c>
      <c r="J2456" s="826">
        <v>3.13</v>
      </c>
    </row>
    <row r="2457" spans="1:10" ht="13.5" customHeight="1" thickBot="1">
      <c r="A2457" s="827"/>
      <c r="B2457" s="827"/>
      <c r="C2457" s="827"/>
      <c r="D2457" s="827"/>
      <c r="E2457" s="827" t="s">
        <v>13506</v>
      </c>
      <c r="F2457" s="826">
        <v>39.22</v>
      </c>
      <c r="G2457" s="827"/>
      <c r="H2457" s="1018" t="s">
        <v>13507</v>
      </c>
      <c r="I2457" s="1018"/>
      <c r="J2457" s="826">
        <v>178.13</v>
      </c>
    </row>
    <row r="2458" spans="1:10" ht="13.5" thickTop="1">
      <c r="A2458" s="828"/>
      <c r="B2458" s="828"/>
      <c r="C2458" s="828"/>
      <c r="D2458" s="828"/>
      <c r="E2458" s="828"/>
      <c r="F2458" s="828"/>
      <c r="G2458" s="828"/>
      <c r="H2458" s="828"/>
      <c r="I2458" s="828"/>
      <c r="J2458" s="828"/>
    </row>
    <row r="2459" spans="1:10" ht="15">
      <c r="A2459" s="809" t="s">
        <v>14396</v>
      </c>
      <c r="B2459" s="808" t="s">
        <v>13481</v>
      </c>
      <c r="C2459" s="809" t="s">
        <v>13482</v>
      </c>
      <c r="D2459" s="809" t="s">
        <v>13483</v>
      </c>
      <c r="E2459" s="1019" t="s">
        <v>13484</v>
      </c>
      <c r="F2459" s="1019"/>
      <c r="G2459" s="810" t="s">
        <v>13485</v>
      </c>
      <c r="H2459" s="808" t="s">
        <v>13486</v>
      </c>
      <c r="I2459" s="808" t="s">
        <v>13487</v>
      </c>
      <c r="J2459" s="808" t="s">
        <v>4867</v>
      </c>
    </row>
    <row r="2460" spans="1:10" ht="38.25" customHeight="1">
      <c r="A2460" s="812" t="s">
        <v>13488</v>
      </c>
      <c r="B2460" s="811" t="s">
        <v>13553</v>
      </c>
      <c r="C2460" s="812" t="s">
        <v>6</v>
      </c>
      <c r="D2460" s="812" t="s">
        <v>21</v>
      </c>
      <c r="E2460" s="1020" t="s">
        <v>13490</v>
      </c>
      <c r="F2460" s="1020"/>
      <c r="G2460" s="813" t="s">
        <v>19</v>
      </c>
      <c r="H2460" s="814">
        <v>1</v>
      </c>
      <c r="I2460" s="815">
        <v>15.16</v>
      </c>
      <c r="J2460" s="815">
        <v>15.16</v>
      </c>
    </row>
    <row r="2461" spans="1:10" ht="38.25" customHeight="1">
      <c r="A2461" s="817" t="s">
        <v>13491</v>
      </c>
      <c r="B2461" s="816" t="s">
        <v>14421</v>
      </c>
      <c r="C2461" s="817" t="s">
        <v>6</v>
      </c>
      <c r="D2461" s="817" t="s">
        <v>538</v>
      </c>
      <c r="E2461" s="1021" t="s">
        <v>13490</v>
      </c>
      <c r="F2461" s="1021"/>
      <c r="G2461" s="818" t="s">
        <v>19</v>
      </c>
      <c r="H2461" s="819">
        <v>1</v>
      </c>
      <c r="I2461" s="820">
        <v>0.17</v>
      </c>
      <c r="J2461" s="820">
        <v>0.17</v>
      </c>
    </row>
    <row r="2462" spans="1:10">
      <c r="A2462" s="822" t="s">
        <v>13493</v>
      </c>
      <c r="B2462" s="821" t="s">
        <v>13528</v>
      </c>
      <c r="C2462" s="822" t="s">
        <v>6</v>
      </c>
      <c r="D2462" s="822" t="s">
        <v>4581</v>
      </c>
      <c r="E2462" s="1017" t="s">
        <v>13499</v>
      </c>
      <c r="F2462" s="1017"/>
      <c r="G2462" s="823" t="s">
        <v>19</v>
      </c>
      <c r="H2462" s="824">
        <v>1</v>
      </c>
      <c r="I2462" s="825">
        <v>1.52</v>
      </c>
      <c r="J2462" s="825">
        <v>1.52</v>
      </c>
    </row>
    <row r="2463" spans="1:10" ht="25.5">
      <c r="A2463" s="822" t="s">
        <v>13493</v>
      </c>
      <c r="B2463" s="821" t="s">
        <v>13529</v>
      </c>
      <c r="C2463" s="822" t="s">
        <v>6</v>
      </c>
      <c r="D2463" s="822" t="s">
        <v>4659</v>
      </c>
      <c r="E2463" s="1017" t="s">
        <v>13497</v>
      </c>
      <c r="F2463" s="1017"/>
      <c r="G2463" s="823" t="s">
        <v>19</v>
      </c>
      <c r="H2463" s="824">
        <v>1</v>
      </c>
      <c r="I2463" s="825">
        <v>1.1499999999999999</v>
      </c>
      <c r="J2463" s="825">
        <v>1.1499999999999999</v>
      </c>
    </row>
    <row r="2464" spans="1:10">
      <c r="A2464" s="822" t="s">
        <v>13493</v>
      </c>
      <c r="B2464" s="821" t="s">
        <v>13498</v>
      </c>
      <c r="C2464" s="822" t="s">
        <v>6</v>
      </c>
      <c r="D2464" s="822" t="s">
        <v>4665</v>
      </c>
      <c r="E2464" s="1017" t="s">
        <v>13499</v>
      </c>
      <c r="F2464" s="1017"/>
      <c r="G2464" s="823" t="s">
        <v>19</v>
      </c>
      <c r="H2464" s="824">
        <v>1</v>
      </c>
      <c r="I2464" s="825">
        <v>0.81</v>
      </c>
      <c r="J2464" s="825">
        <v>0.81</v>
      </c>
    </row>
    <row r="2465" spans="1:10" ht="13.5" customHeight="1">
      <c r="A2465" s="822" t="s">
        <v>13493</v>
      </c>
      <c r="B2465" s="821" t="s">
        <v>13530</v>
      </c>
      <c r="C2465" s="822" t="s">
        <v>6</v>
      </c>
      <c r="D2465" s="822" t="s">
        <v>4675</v>
      </c>
      <c r="E2465" s="1017" t="s">
        <v>13497</v>
      </c>
      <c r="F2465" s="1017"/>
      <c r="G2465" s="823" t="s">
        <v>19</v>
      </c>
      <c r="H2465" s="824">
        <v>1</v>
      </c>
      <c r="I2465" s="825">
        <v>0.56000000000000005</v>
      </c>
      <c r="J2465" s="825">
        <v>0.56000000000000005</v>
      </c>
    </row>
    <row r="2466" spans="1:10">
      <c r="A2466" s="822" t="s">
        <v>13493</v>
      </c>
      <c r="B2466" s="821" t="s">
        <v>13501</v>
      </c>
      <c r="C2466" s="822" t="s">
        <v>6</v>
      </c>
      <c r="D2466" s="822" t="s">
        <v>4779</v>
      </c>
      <c r="E2466" s="1017" t="s">
        <v>13502</v>
      </c>
      <c r="F2466" s="1017"/>
      <c r="G2466" s="823" t="s">
        <v>19</v>
      </c>
      <c r="H2466" s="824">
        <v>1</v>
      </c>
      <c r="I2466" s="825">
        <v>0.06</v>
      </c>
      <c r="J2466" s="825">
        <v>0.06</v>
      </c>
    </row>
    <row r="2467" spans="1:10">
      <c r="A2467" s="822" t="s">
        <v>13493</v>
      </c>
      <c r="B2467" s="821" t="s">
        <v>14422</v>
      </c>
      <c r="C2467" s="822" t="s">
        <v>6</v>
      </c>
      <c r="D2467" s="822" t="s">
        <v>4782</v>
      </c>
      <c r="E2467" s="1017" t="s">
        <v>13495</v>
      </c>
      <c r="F2467" s="1017"/>
      <c r="G2467" s="823" t="s">
        <v>19</v>
      </c>
      <c r="H2467" s="824">
        <v>1</v>
      </c>
      <c r="I2467" s="825">
        <v>10.210000000000001</v>
      </c>
      <c r="J2467" s="825">
        <v>10.210000000000001</v>
      </c>
    </row>
    <row r="2468" spans="1:10">
      <c r="A2468" s="822" t="s">
        <v>13493</v>
      </c>
      <c r="B2468" s="821" t="s">
        <v>13531</v>
      </c>
      <c r="C2468" s="822" t="s">
        <v>6</v>
      </c>
      <c r="D2468" s="822" t="s">
        <v>4808</v>
      </c>
      <c r="E2468" s="1017" t="s">
        <v>13532</v>
      </c>
      <c r="F2468" s="1017"/>
      <c r="G2468" s="823" t="s">
        <v>19</v>
      </c>
      <c r="H2468" s="824">
        <v>1</v>
      </c>
      <c r="I2468" s="825">
        <v>0.68</v>
      </c>
      <c r="J2468" s="825">
        <v>0.68</v>
      </c>
    </row>
    <row r="2469" spans="1:10" ht="25.5">
      <c r="A2469" s="827"/>
      <c r="B2469" s="827"/>
      <c r="C2469" s="827"/>
      <c r="D2469" s="827"/>
      <c r="E2469" s="827" t="s">
        <v>13503</v>
      </c>
      <c r="F2469" s="826">
        <v>10.38</v>
      </c>
      <c r="G2469" s="827" t="s">
        <v>13504</v>
      </c>
      <c r="H2469" s="826">
        <v>0</v>
      </c>
      <c r="I2469" s="827" t="s">
        <v>13505</v>
      </c>
      <c r="J2469" s="826">
        <v>10.38</v>
      </c>
    </row>
    <row r="2470" spans="1:10" ht="13.5" customHeight="1" thickBot="1">
      <c r="A2470" s="827"/>
      <c r="B2470" s="827"/>
      <c r="C2470" s="827"/>
      <c r="D2470" s="827"/>
      <c r="E2470" s="827" t="s">
        <v>13506</v>
      </c>
      <c r="F2470" s="826">
        <v>4.28</v>
      </c>
      <c r="G2470" s="827"/>
      <c r="H2470" s="1018" t="s">
        <v>13507</v>
      </c>
      <c r="I2470" s="1018"/>
      <c r="J2470" s="826">
        <v>19.440000000000001</v>
      </c>
    </row>
    <row r="2471" spans="1:10" ht="13.5" thickTop="1">
      <c r="A2471" s="828"/>
      <c r="B2471" s="828"/>
      <c r="C2471" s="828"/>
      <c r="D2471" s="828"/>
      <c r="E2471" s="828"/>
      <c r="F2471" s="828"/>
      <c r="G2471" s="828"/>
      <c r="H2471" s="828"/>
      <c r="I2471" s="828"/>
      <c r="J2471" s="828"/>
    </row>
    <row r="2472" spans="1:10" ht="15">
      <c r="A2472" s="809" t="s">
        <v>14396</v>
      </c>
      <c r="B2472" s="808" t="s">
        <v>13481</v>
      </c>
      <c r="C2472" s="809" t="s">
        <v>13482</v>
      </c>
      <c r="D2472" s="809" t="s">
        <v>13483</v>
      </c>
      <c r="E2472" s="1019" t="s">
        <v>13484</v>
      </c>
      <c r="F2472" s="1019"/>
      <c r="G2472" s="810" t="s">
        <v>13485</v>
      </c>
      <c r="H2472" s="808" t="s">
        <v>13486</v>
      </c>
      <c r="I2472" s="808" t="s">
        <v>13487</v>
      </c>
      <c r="J2472" s="808" t="s">
        <v>4867</v>
      </c>
    </row>
    <row r="2473" spans="1:10" ht="13.5" customHeight="1">
      <c r="A2473" s="812" t="s">
        <v>13488</v>
      </c>
      <c r="B2473" s="811" t="s">
        <v>13909</v>
      </c>
      <c r="C2473" s="812" t="s">
        <v>6</v>
      </c>
      <c r="D2473" s="812" t="s">
        <v>986</v>
      </c>
      <c r="E2473" s="1020" t="s">
        <v>13490</v>
      </c>
      <c r="F2473" s="1020"/>
      <c r="G2473" s="813" t="s">
        <v>19</v>
      </c>
      <c r="H2473" s="814">
        <v>1</v>
      </c>
      <c r="I2473" s="815">
        <v>15.54</v>
      </c>
      <c r="J2473" s="815">
        <v>15.54</v>
      </c>
    </row>
    <row r="2474" spans="1:10" ht="38.25" customHeight="1">
      <c r="A2474" s="817" t="s">
        <v>13491</v>
      </c>
      <c r="B2474" s="816" t="s">
        <v>14415</v>
      </c>
      <c r="C2474" s="817" t="s">
        <v>6</v>
      </c>
      <c r="D2474" s="817" t="s">
        <v>2512</v>
      </c>
      <c r="E2474" s="1021" t="s">
        <v>13490</v>
      </c>
      <c r="F2474" s="1021"/>
      <c r="G2474" s="818" t="s">
        <v>19</v>
      </c>
      <c r="H2474" s="819">
        <v>1</v>
      </c>
      <c r="I2474" s="820">
        <v>0.16</v>
      </c>
      <c r="J2474" s="820">
        <v>0.16</v>
      </c>
    </row>
    <row r="2475" spans="1:10">
      <c r="A2475" s="822" t="s">
        <v>13493</v>
      </c>
      <c r="B2475" s="821" t="s">
        <v>13528</v>
      </c>
      <c r="C2475" s="822" t="s">
        <v>6</v>
      </c>
      <c r="D2475" s="822" t="s">
        <v>4581</v>
      </c>
      <c r="E2475" s="1017" t="s">
        <v>13499</v>
      </c>
      <c r="F2475" s="1017"/>
      <c r="G2475" s="823" t="s">
        <v>19</v>
      </c>
      <c r="H2475" s="824">
        <v>1</v>
      </c>
      <c r="I2475" s="825">
        <v>1.52</v>
      </c>
      <c r="J2475" s="825">
        <v>1.52</v>
      </c>
    </row>
    <row r="2476" spans="1:10" ht="12.75" customHeight="1">
      <c r="A2476" s="822" t="s">
        <v>13493</v>
      </c>
      <c r="B2476" s="821" t="s">
        <v>14416</v>
      </c>
      <c r="C2476" s="822" t="s">
        <v>6</v>
      </c>
      <c r="D2476" s="822" t="s">
        <v>13446</v>
      </c>
      <c r="E2476" s="1017" t="s">
        <v>13495</v>
      </c>
      <c r="F2476" s="1017"/>
      <c r="G2476" s="823" t="s">
        <v>19</v>
      </c>
      <c r="H2476" s="824">
        <v>1</v>
      </c>
      <c r="I2476" s="825">
        <v>11.05</v>
      </c>
      <c r="J2476" s="825">
        <v>11.05</v>
      </c>
    </row>
    <row r="2477" spans="1:10" ht="25.5">
      <c r="A2477" s="822" t="s">
        <v>13493</v>
      </c>
      <c r="B2477" s="821" t="s">
        <v>14417</v>
      </c>
      <c r="C2477" s="822" t="s">
        <v>6</v>
      </c>
      <c r="D2477" s="822" t="s">
        <v>4653</v>
      </c>
      <c r="E2477" s="1017" t="s">
        <v>13497</v>
      </c>
      <c r="F2477" s="1017"/>
      <c r="G2477" s="823" t="s">
        <v>19</v>
      </c>
      <c r="H2477" s="824">
        <v>1</v>
      </c>
      <c r="I2477" s="825">
        <v>0.94</v>
      </c>
      <c r="J2477" s="825">
        <v>0.94</v>
      </c>
    </row>
    <row r="2478" spans="1:10" ht="25.5">
      <c r="A2478" s="822" t="s">
        <v>13493</v>
      </c>
      <c r="B2478" s="821" t="s">
        <v>14418</v>
      </c>
      <c r="C2478" s="822" t="s">
        <v>6</v>
      </c>
      <c r="D2478" s="822" t="s">
        <v>4669</v>
      </c>
      <c r="E2478" s="1017" t="s">
        <v>13497</v>
      </c>
      <c r="F2478" s="1017"/>
      <c r="G2478" s="823" t="s">
        <v>19</v>
      </c>
      <c r="H2478" s="824">
        <v>1</v>
      </c>
      <c r="I2478" s="825">
        <v>0.32</v>
      </c>
      <c r="J2478" s="825">
        <v>0.32</v>
      </c>
    </row>
    <row r="2479" spans="1:10">
      <c r="A2479" s="822" t="s">
        <v>13493</v>
      </c>
      <c r="B2479" s="821" t="s">
        <v>13498</v>
      </c>
      <c r="C2479" s="822" t="s">
        <v>6</v>
      </c>
      <c r="D2479" s="822" t="s">
        <v>4665</v>
      </c>
      <c r="E2479" s="1017" t="s">
        <v>13499</v>
      </c>
      <c r="F2479" s="1017"/>
      <c r="G2479" s="823" t="s">
        <v>19</v>
      </c>
      <c r="H2479" s="824">
        <v>1</v>
      </c>
      <c r="I2479" s="825">
        <v>0.81</v>
      </c>
      <c r="J2479" s="825">
        <v>0.81</v>
      </c>
    </row>
    <row r="2480" spans="1:10">
      <c r="A2480" s="822" t="s">
        <v>13493</v>
      </c>
      <c r="B2480" s="821" t="s">
        <v>13501</v>
      </c>
      <c r="C2480" s="822" t="s">
        <v>6</v>
      </c>
      <c r="D2480" s="822" t="s">
        <v>4779</v>
      </c>
      <c r="E2480" s="1017" t="s">
        <v>13502</v>
      </c>
      <c r="F2480" s="1017"/>
      <c r="G2480" s="823" t="s">
        <v>19</v>
      </c>
      <c r="H2480" s="824">
        <v>1</v>
      </c>
      <c r="I2480" s="825">
        <v>0.06</v>
      </c>
      <c r="J2480" s="825">
        <v>0.06</v>
      </c>
    </row>
    <row r="2481" spans="1:10">
      <c r="A2481" s="822" t="s">
        <v>13493</v>
      </c>
      <c r="B2481" s="821" t="s">
        <v>13531</v>
      </c>
      <c r="C2481" s="822" t="s">
        <v>6</v>
      </c>
      <c r="D2481" s="822" t="s">
        <v>4808</v>
      </c>
      <c r="E2481" s="1017" t="s">
        <v>13532</v>
      </c>
      <c r="F2481" s="1017"/>
      <c r="G2481" s="823" t="s">
        <v>19</v>
      </c>
      <c r="H2481" s="824">
        <v>1</v>
      </c>
      <c r="I2481" s="825">
        <v>0.68</v>
      </c>
      <c r="J2481" s="825">
        <v>0.68</v>
      </c>
    </row>
    <row r="2482" spans="1:10" ht="25.5">
      <c r="A2482" s="827"/>
      <c r="B2482" s="827"/>
      <c r="C2482" s="827"/>
      <c r="D2482" s="827"/>
      <c r="E2482" s="827" t="s">
        <v>13503</v>
      </c>
      <c r="F2482" s="826">
        <v>11.21</v>
      </c>
      <c r="G2482" s="827" t="s">
        <v>13504</v>
      </c>
      <c r="H2482" s="826">
        <v>0</v>
      </c>
      <c r="I2482" s="827" t="s">
        <v>13505</v>
      </c>
      <c r="J2482" s="826">
        <v>11.21</v>
      </c>
    </row>
    <row r="2483" spans="1:10" ht="13.5" customHeight="1" thickBot="1">
      <c r="A2483" s="827"/>
      <c r="B2483" s="827"/>
      <c r="C2483" s="827"/>
      <c r="D2483" s="827"/>
      <c r="E2483" s="827" t="s">
        <v>13506</v>
      </c>
      <c r="F2483" s="826">
        <v>4.38</v>
      </c>
      <c r="G2483" s="827"/>
      <c r="H2483" s="1018" t="s">
        <v>13507</v>
      </c>
      <c r="I2483" s="1018"/>
      <c r="J2483" s="826">
        <v>19.920000000000002</v>
      </c>
    </row>
    <row r="2484" spans="1:10" ht="13.5" thickTop="1">
      <c r="A2484" s="828"/>
      <c r="B2484" s="828"/>
      <c r="C2484" s="828"/>
      <c r="D2484" s="828"/>
      <c r="E2484" s="828"/>
      <c r="F2484" s="828"/>
      <c r="G2484" s="828"/>
      <c r="H2484" s="828"/>
      <c r="I2484" s="828"/>
      <c r="J2484" s="828"/>
    </row>
    <row r="2485" spans="1:10" ht="15">
      <c r="A2485" s="809" t="s">
        <v>14396</v>
      </c>
      <c r="B2485" s="808" t="s">
        <v>13481</v>
      </c>
      <c r="C2485" s="809" t="s">
        <v>13482</v>
      </c>
      <c r="D2485" s="809" t="s">
        <v>13483</v>
      </c>
      <c r="E2485" s="1019" t="s">
        <v>13484</v>
      </c>
      <c r="F2485" s="1019"/>
      <c r="G2485" s="810" t="s">
        <v>13485</v>
      </c>
      <c r="H2485" s="808" t="s">
        <v>13486</v>
      </c>
      <c r="I2485" s="808" t="s">
        <v>13487</v>
      </c>
      <c r="J2485" s="808" t="s">
        <v>4867</v>
      </c>
    </row>
    <row r="2486" spans="1:10" ht="13.5" customHeight="1">
      <c r="A2486" s="812" t="s">
        <v>13488</v>
      </c>
      <c r="B2486" s="811" t="s">
        <v>13574</v>
      </c>
      <c r="C2486" s="812" t="s">
        <v>6</v>
      </c>
      <c r="D2486" s="812" t="s">
        <v>34</v>
      </c>
      <c r="E2486" s="1020" t="s">
        <v>13490</v>
      </c>
      <c r="F2486" s="1020"/>
      <c r="G2486" s="813" t="s">
        <v>19</v>
      </c>
      <c r="H2486" s="814">
        <v>1</v>
      </c>
      <c r="I2486" s="815">
        <v>18.72</v>
      </c>
      <c r="J2486" s="815">
        <v>18.72</v>
      </c>
    </row>
    <row r="2487" spans="1:10" ht="38.25" customHeight="1">
      <c r="A2487" s="817" t="s">
        <v>13491</v>
      </c>
      <c r="B2487" s="816" t="s">
        <v>14419</v>
      </c>
      <c r="C2487" s="817" t="s">
        <v>6</v>
      </c>
      <c r="D2487" s="817" t="s">
        <v>2529</v>
      </c>
      <c r="E2487" s="1021" t="s">
        <v>13490</v>
      </c>
      <c r="F2487" s="1021"/>
      <c r="G2487" s="818" t="s">
        <v>19</v>
      </c>
      <c r="H2487" s="819">
        <v>1</v>
      </c>
      <c r="I2487" s="820">
        <v>0.2</v>
      </c>
      <c r="J2487" s="820">
        <v>0.2</v>
      </c>
    </row>
    <row r="2488" spans="1:10">
      <c r="A2488" s="822" t="s">
        <v>13493</v>
      </c>
      <c r="B2488" s="821" t="s">
        <v>13528</v>
      </c>
      <c r="C2488" s="822" t="s">
        <v>6</v>
      </c>
      <c r="D2488" s="822" t="s">
        <v>4581</v>
      </c>
      <c r="E2488" s="1017" t="s">
        <v>13499</v>
      </c>
      <c r="F2488" s="1017"/>
      <c r="G2488" s="823" t="s">
        <v>19</v>
      </c>
      <c r="H2488" s="824">
        <v>1</v>
      </c>
      <c r="I2488" s="825">
        <v>1.52</v>
      </c>
      <c r="J2488" s="825">
        <v>1.52</v>
      </c>
    </row>
    <row r="2489" spans="1:10" ht="12.75" customHeight="1">
      <c r="A2489" s="822" t="s">
        <v>13493</v>
      </c>
      <c r="B2489" s="821" t="s">
        <v>14420</v>
      </c>
      <c r="C2489" s="822" t="s">
        <v>6</v>
      </c>
      <c r="D2489" s="822" t="s">
        <v>13450</v>
      </c>
      <c r="E2489" s="1017" t="s">
        <v>13495</v>
      </c>
      <c r="F2489" s="1017"/>
      <c r="G2489" s="823" t="s">
        <v>19</v>
      </c>
      <c r="H2489" s="824">
        <v>1</v>
      </c>
      <c r="I2489" s="825">
        <v>14.19</v>
      </c>
      <c r="J2489" s="825">
        <v>14.19</v>
      </c>
    </row>
    <row r="2490" spans="1:10" ht="25.5">
      <c r="A2490" s="822" t="s">
        <v>13493</v>
      </c>
      <c r="B2490" s="821" t="s">
        <v>14417</v>
      </c>
      <c r="C2490" s="822" t="s">
        <v>6</v>
      </c>
      <c r="D2490" s="822" t="s">
        <v>4653</v>
      </c>
      <c r="E2490" s="1017" t="s">
        <v>13497</v>
      </c>
      <c r="F2490" s="1017"/>
      <c r="G2490" s="823" t="s">
        <v>19</v>
      </c>
      <c r="H2490" s="824">
        <v>1</v>
      </c>
      <c r="I2490" s="825">
        <v>0.94</v>
      </c>
      <c r="J2490" s="825">
        <v>0.94</v>
      </c>
    </row>
    <row r="2491" spans="1:10" ht="25.5">
      <c r="A2491" s="822" t="s">
        <v>13493</v>
      </c>
      <c r="B2491" s="821" t="s">
        <v>14418</v>
      </c>
      <c r="C2491" s="822" t="s">
        <v>6</v>
      </c>
      <c r="D2491" s="822" t="s">
        <v>4669</v>
      </c>
      <c r="E2491" s="1017" t="s">
        <v>13497</v>
      </c>
      <c r="F2491" s="1017"/>
      <c r="G2491" s="823" t="s">
        <v>19</v>
      </c>
      <c r="H2491" s="824">
        <v>1</v>
      </c>
      <c r="I2491" s="825">
        <v>0.32</v>
      </c>
      <c r="J2491" s="825">
        <v>0.32</v>
      </c>
    </row>
    <row r="2492" spans="1:10">
      <c r="A2492" s="822" t="s">
        <v>13493</v>
      </c>
      <c r="B2492" s="821" t="s">
        <v>13498</v>
      </c>
      <c r="C2492" s="822" t="s">
        <v>6</v>
      </c>
      <c r="D2492" s="822" t="s">
        <v>4665</v>
      </c>
      <c r="E2492" s="1017" t="s">
        <v>13499</v>
      </c>
      <c r="F2492" s="1017"/>
      <c r="G2492" s="823" t="s">
        <v>19</v>
      </c>
      <c r="H2492" s="824">
        <v>1</v>
      </c>
      <c r="I2492" s="825">
        <v>0.81</v>
      </c>
      <c r="J2492" s="825">
        <v>0.81</v>
      </c>
    </row>
    <row r="2493" spans="1:10">
      <c r="A2493" s="822" t="s">
        <v>13493</v>
      </c>
      <c r="B2493" s="821" t="s">
        <v>13501</v>
      </c>
      <c r="C2493" s="822" t="s">
        <v>6</v>
      </c>
      <c r="D2493" s="822" t="s">
        <v>4779</v>
      </c>
      <c r="E2493" s="1017" t="s">
        <v>13502</v>
      </c>
      <c r="F2493" s="1017"/>
      <c r="G2493" s="823" t="s">
        <v>19</v>
      </c>
      <c r="H2493" s="824">
        <v>1</v>
      </c>
      <c r="I2493" s="825">
        <v>0.06</v>
      </c>
      <c r="J2493" s="825">
        <v>0.06</v>
      </c>
    </row>
    <row r="2494" spans="1:10">
      <c r="A2494" s="822" t="s">
        <v>13493</v>
      </c>
      <c r="B2494" s="821" t="s">
        <v>13531</v>
      </c>
      <c r="C2494" s="822" t="s">
        <v>6</v>
      </c>
      <c r="D2494" s="822" t="s">
        <v>4808</v>
      </c>
      <c r="E2494" s="1017" t="s">
        <v>13532</v>
      </c>
      <c r="F2494" s="1017"/>
      <c r="G2494" s="823" t="s">
        <v>19</v>
      </c>
      <c r="H2494" s="824">
        <v>1</v>
      </c>
      <c r="I2494" s="825">
        <v>0.68</v>
      </c>
      <c r="J2494" s="825">
        <v>0.68</v>
      </c>
    </row>
    <row r="2495" spans="1:10" ht="25.5">
      <c r="A2495" s="827"/>
      <c r="B2495" s="827"/>
      <c r="C2495" s="827"/>
      <c r="D2495" s="827"/>
      <c r="E2495" s="827" t="s">
        <v>13503</v>
      </c>
      <c r="F2495" s="826">
        <v>14.39</v>
      </c>
      <c r="G2495" s="827" t="s">
        <v>13504</v>
      </c>
      <c r="H2495" s="826">
        <v>0</v>
      </c>
      <c r="I2495" s="827" t="s">
        <v>13505</v>
      </c>
      <c r="J2495" s="826">
        <v>14.39</v>
      </c>
    </row>
    <row r="2496" spans="1:10" ht="13.5" customHeight="1" thickBot="1">
      <c r="A2496" s="827"/>
      <c r="B2496" s="827"/>
      <c r="C2496" s="827"/>
      <c r="D2496" s="827"/>
      <c r="E2496" s="827" t="s">
        <v>13506</v>
      </c>
      <c r="F2496" s="826">
        <v>5.28</v>
      </c>
      <c r="G2496" s="827"/>
      <c r="H2496" s="1018" t="s">
        <v>13507</v>
      </c>
      <c r="I2496" s="1018"/>
      <c r="J2496" s="826">
        <v>24</v>
      </c>
    </row>
    <row r="2497" spans="1:10" ht="13.5" thickTop="1">
      <c r="A2497" s="828"/>
      <c r="B2497" s="828"/>
      <c r="C2497" s="828"/>
      <c r="D2497" s="828"/>
      <c r="E2497" s="828"/>
      <c r="F2497" s="828"/>
      <c r="G2497" s="828"/>
      <c r="H2497" s="828"/>
      <c r="I2497" s="828"/>
      <c r="J2497" s="828"/>
    </row>
    <row r="2498" spans="1:10" ht="45" customHeight="1">
      <c r="A2498" s="809" t="s">
        <v>14423</v>
      </c>
      <c r="B2498" s="808" t="s">
        <v>13481</v>
      </c>
      <c r="C2498" s="809" t="s">
        <v>13482</v>
      </c>
      <c r="D2498" s="809" t="s">
        <v>13483</v>
      </c>
      <c r="E2498" s="1019" t="s">
        <v>13484</v>
      </c>
      <c r="F2498" s="1019"/>
      <c r="G2498" s="810" t="s">
        <v>13485</v>
      </c>
      <c r="H2498" s="808" t="s">
        <v>13486</v>
      </c>
      <c r="I2498" s="808" t="s">
        <v>13487</v>
      </c>
      <c r="J2498" s="808" t="s">
        <v>4867</v>
      </c>
    </row>
    <row r="2499" spans="1:10" ht="13.5" customHeight="1">
      <c r="A2499" s="812" t="s">
        <v>13488</v>
      </c>
      <c r="B2499" s="811" t="s">
        <v>14424</v>
      </c>
      <c r="C2499" s="812" t="s">
        <v>6</v>
      </c>
      <c r="D2499" s="812" t="s">
        <v>3384</v>
      </c>
      <c r="E2499" s="1020" t="s">
        <v>13542</v>
      </c>
      <c r="F2499" s="1020"/>
      <c r="G2499" s="813" t="s">
        <v>14</v>
      </c>
      <c r="H2499" s="814">
        <v>1</v>
      </c>
      <c r="I2499" s="815">
        <v>48.23</v>
      </c>
      <c r="J2499" s="815">
        <v>48.23</v>
      </c>
    </row>
    <row r="2500" spans="1:10" ht="38.25" customHeight="1">
      <c r="A2500" s="817" t="s">
        <v>13491</v>
      </c>
      <c r="B2500" s="816" t="s">
        <v>14425</v>
      </c>
      <c r="C2500" s="817" t="s">
        <v>6</v>
      </c>
      <c r="D2500" s="817" t="s">
        <v>161</v>
      </c>
      <c r="E2500" s="1021" t="s">
        <v>13490</v>
      </c>
      <c r="F2500" s="1021"/>
      <c r="G2500" s="818" t="s">
        <v>19</v>
      </c>
      <c r="H2500" s="819">
        <v>1.56</v>
      </c>
      <c r="I2500" s="820">
        <v>19.57</v>
      </c>
      <c r="J2500" s="820">
        <v>30.52</v>
      </c>
    </row>
    <row r="2501" spans="1:10">
      <c r="A2501" s="822" t="s">
        <v>13493</v>
      </c>
      <c r="B2501" s="821" t="s">
        <v>14426</v>
      </c>
      <c r="C2501" s="822" t="s">
        <v>6</v>
      </c>
      <c r="D2501" s="822" t="s">
        <v>10205</v>
      </c>
      <c r="E2501" s="1017" t="s">
        <v>13514</v>
      </c>
      <c r="F2501" s="1017"/>
      <c r="G2501" s="823" t="s">
        <v>16</v>
      </c>
      <c r="H2501" s="824">
        <v>0.59</v>
      </c>
      <c r="I2501" s="825">
        <v>30.03</v>
      </c>
      <c r="J2501" s="825">
        <v>17.71</v>
      </c>
    </row>
    <row r="2502" spans="1:10" ht="25.5">
      <c r="A2502" s="827"/>
      <c r="B2502" s="827"/>
      <c r="C2502" s="827"/>
      <c r="D2502" s="827"/>
      <c r="E2502" s="827" t="s">
        <v>13503</v>
      </c>
      <c r="F2502" s="826">
        <v>21.6</v>
      </c>
      <c r="G2502" s="827" t="s">
        <v>13504</v>
      </c>
      <c r="H2502" s="826">
        <v>0</v>
      </c>
      <c r="I2502" s="827" t="s">
        <v>13505</v>
      </c>
      <c r="J2502" s="826">
        <v>21.6</v>
      </c>
    </row>
    <row r="2503" spans="1:10" ht="13.5" customHeight="1" thickBot="1">
      <c r="A2503" s="827"/>
      <c r="B2503" s="827"/>
      <c r="C2503" s="827"/>
      <c r="D2503" s="827"/>
      <c r="E2503" s="827" t="s">
        <v>13506</v>
      </c>
      <c r="F2503" s="826">
        <v>13.62</v>
      </c>
      <c r="G2503" s="827"/>
      <c r="H2503" s="1018" t="s">
        <v>13507</v>
      </c>
      <c r="I2503" s="1018"/>
      <c r="J2503" s="826">
        <v>61.85</v>
      </c>
    </row>
    <row r="2504" spans="1:10" ht="13.5" thickTop="1">
      <c r="A2504" s="828"/>
      <c r="B2504" s="828"/>
      <c r="C2504" s="828"/>
      <c r="D2504" s="828"/>
      <c r="E2504" s="828"/>
      <c r="F2504" s="828"/>
      <c r="G2504" s="828"/>
      <c r="H2504" s="828"/>
      <c r="I2504" s="828"/>
      <c r="J2504" s="828"/>
    </row>
    <row r="2505" spans="1:10" ht="45" customHeight="1">
      <c r="A2505" s="809" t="s">
        <v>14423</v>
      </c>
      <c r="B2505" s="808" t="s">
        <v>13481</v>
      </c>
      <c r="C2505" s="809" t="s">
        <v>13482</v>
      </c>
      <c r="D2505" s="809" t="s">
        <v>13483</v>
      </c>
      <c r="E2505" s="1019" t="s">
        <v>13484</v>
      </c>
      <c r="F2505" s="1019"/>
      <c r="G2505" s="810" t="s">
        <v>13485</v>
      </c>
      <c r="H2505" s="808" t="s">
        <v>13486</v>
      </c>
      <c r="I2505" s="808" t="s">
        <v>13487</v>
      </c>
      <c r="J2505" s="808" t="s">
        <v>4867</v>
      </c>
    </row>
    <row r="2506" spans="1:10" ht="38.25">
      <c r="A2506" s="812" t="s">
        <v>13488</v>
      </c>
      <c r="B2506" s="811" t="s">
        <v>14427</v>
      </c>
      <c r="C2506" s="812" t="s">
        <v>6</v>
      </c>
      <c r="D2506" s="812" t="s">
        <v>6909</v>
      </c>
      <c r="E2506" s="1020" t="s">
        <v>13755</v>
      </c>
      <c r="F2506" s="1020"/>
      <c r="G2506" s="813" t="s">
        <v>13537</v>
      </c>
      <c r="H2506" s="814">
        <v>1</v>
      </c>
      <c r="I2506" s="815">
        <v>34.76</v>
      </c>
      <c r="J2506" s="815">
        <v>34.76</v>
      </c>
    </row>
    <row r="2507" spans="1:10" ht="38.25" customHeight="1">
      <c r="A2507" s="817" t="s">
        <v>13491</v>
      </c>
      <c r="B2507" s="816" t="s">
        <v>13782</v>
      </c>
      <c r="C2507" s="817" t="s">
        <v>6</v>
      </c>
      <c r="D2507" s="817" t="s">
        <v>156</v>
      </c>
      <c r="E2507" s="1021" t="s">
        <v>13490</v>
      </c>
      <c r="F2507" s="1021"/>
      <c r="G2507" s="818" t="s">
        <v>19</v>
      </c>
      <c r="H2507" s="819">
        <v>1.0530999999999999</v>
      </c>
      <c r="I2507" s="820">
        <v>19.940000000000001</v>
      </c>
      <c r="J2507" s="820">
        <v>20.99</v>
      </c>
    </row>
    <row r="2508" spans="1:10">
      <c r="A2508" s="822" t="s">
        <v>13493</v>
      </c>
      <c r="B2508" s="821" t="s">
        <v>13849</v>
      </c>
      <c r="C2508" s="822" t="s">
        <v>6</v>
      </c>
      <c r="D2508" s="822" t="s">
        <v>10091</v>
      </c>
      <c r="E2508" s="1017" t="s">
        <v>13514</v>
      </c>
      <c r="F2508" s="1017"/>
      <c r="G2508" s="823" t="s">
        <v>39</v>
      </c>
      <c r="H2508" s="824">
        <v>0.124</v>
      </c>
      <c r="I2508" s="825">
        <v>13.98</v>
      </c>
      <c r="J2508" s="825">
        <v>1.73</v>
      </c>
    </row>
    <row r="2509" spans="1:10">
      <c r="A2509" s="822" t="s">
        <v>13493</v>
      </c>
      <c r="B2509" s="821" t="s">
        <v>14428</v>
      </c>
      <c r="C2509" s="822" t="s">
        <v>6</v>
      </c>
      <c r="D2509" s="822" t="s">
        <v>12690</v>
      </c>
      <c r="E2509" s="1017" t="s">
        <v>13514</v>
      </c>
      <c r="F2509" s="1017"/>
      <c r="G2509" s="823" t="s">
        <v>39</v>
      </c>
      <c r="H2509" s="824">
        <v>0.41339999999999999</v>
      </c>
      <c r="I2509" s="825">
        <v>29.14</v>
      </c>
      <c r="J2509" s="825">
        <v>12.04</v>
      </c>
    </row>
    <row r="2510" spans="1:10" ht="25.5">
      <c r="A2510" s="827"/>
      <c r="B2510" s="827"/>
      <c r="C2510" s="827"/>
      <c r="D2510" s="827"/>
      <c r="E2510" s="827" t="s">
        <v>13503</v>
      </c>
      <c r="F2510" s="826">
        <v>14.62</v>
      </c>
      <c r="G2510" s="827" t="s">
        <v>13504</v>
      </c>
      <c r="H2510" s="826">
        <v>0</v>
      </c>
      <c r="I2510" s="827" t="s">
        <v>13505</v>
      </c>
      <c r="J2510" s="826">
        <v>14.62</v>
      </c>
    </row>
    <row r="2511" spans="1:10" ht="13.5" customHeight="1" thickBot="1">
      <c r="A2511" s="827"/>
      <c r="B2511" s="827"/>
      <c r="C2511" s="827"/>
      <c r="D2511" s="827"/>
      <c r="E2511" s="827" t="s">
        <v>13506</v>
      </c>
      <c r="F2511" s="826">
        <v>9.81</v>
      </c>
      <c r="G2511" s="827"/>
      <c r="H2511" s="1018" t="s">
        <v>13507</v>
      </c>
      <c r="I2511" s="1018"/>
      <c r="J2511" s="826">
        <v>44.57</v>
      </c>
    </row>
    <row r="2512" spans="1:10" ht="13.5" customHeight="1" thickTop="1">
      <c r="A2512" s="828"/>
      <c r="B2512" s="828"/>
      <c r="C2512" s="828"/>
      <c r="D2512" s="828"/>
      <c r="E2512" s="828"/>
      <c r="F2512" s="828"/>
      <c r="G2512" s="828"/>
      <c r="H2512" s="828"/>
      <c r="I2512" s="828"/>
      <c r="J2512" s="828"/>
    </row>
    <row r="2513" spans="1:10" ht="45" customHeight="1">
      <c r="A2513" s="809" t="s">
        <v>14423</v>
      </c>
      <c r="B2513" s="808" t="s">
        <v>13481</v>
      </c>
      <c r="C2513" s="809" t="s">
        <v>13482</v>
      </c>
      <c r="D2513" s="809" t="s">
        <v>13483</v>
      </c>
      <c r="E2513" s="1019" t="s">
        <v>13484</v>
      </c>
      <c r="F2513" s="1019"/>
      <c r="G2513" s="810" t="s">
        <v>13485</v>
      </c>
      <c r="H2513" s="808" t="s">
        <v>13486</v>
      </c>
      <c r="I2513" s="808" t="s">
        <v>13487</v>
      </c>
      <c r="J2513" s="808" t="s">
        <v>4867</v>
      </c>
    </row>
    <row r="2514" spans="1:10" ht="25.5" customHeight="1">
      <c r="A2514" s="812" t="s">
        <v>13488</v>
      </c>
      <c r="B2514" s="811" t="s">
        <v>14121</v>
      </c>
      <c r="C2514" s="812" t="s">
        <v>6</v>
      </c>
      <c r="D2514" s="812" t="s">
        <v>37</v>
      </c>
      <c r="E2514" s="1020" t="s">
        <v>13490</v>
      </c>
      <c r="F2514" s="1020"/>
      <c r="G2514" s="813" t="s">
        <v>19</v>
      </c>
      <c r="H2514" s="814">
        <v>1</v>
      </c>
      <c r="I2514" s="815">
        <v>15.19</v>
      </c>
      <c r="J2514" s="815">
        <v>15.19</v>
      </c>
    </row>
    <row r="2515" spans="1:10" ht="12.75" customHeight="1">
      <c r="A2515" s="817" t="s">
        <v>13491</v>
      </c>
      <c r="B2515" s="816" t="s">
        <v>14439</v>
      </c>
      <c r="C2515" s="817" t="s">
        <v>6</v>
      </c>
      <c r="D2515" s="817" t="s">
        <v>2511</v>
      </c>
      <c r="E2515" s="1021" t="s">
        <v>13490</v>
      </c>
      <c r="F2515" s="1021"/>
      <c r="G2515" s="818" t="s">
        <v>19</v>
      </c>
      <c r="H2515" s="819">
        <v>1</v>
      </c>
      <c r="I2515" s="820">
        <v>0.3</v>
      </c>
      <c r="J2515" s="820">
        <v>0.3</v>
      </c>
    </row>
    <row r="2516" spans="1:10">
      <c r="A2516" s="822" t="s">
        <v>13493</v>
      </c>
      <c r="B2516" s="821" t="s">
        <v>14440</v>
      </c>
      <c r="C2516" s="822" t="s">
        <v>6</v>
      </c>
      <c r="D2516" s="822" t="s">
        <v>4579</v>
      </c>
      <c r="E2516" s="1017" t="s">
        <v>13495</v>
      </c>
      <c r="F2516" s="1017"/>
      <c r="G2516" s="823" t="s">
        <v>19</v>
      </c>
      <c r="H2516" s="824">
        <v>1</v>
      </c>
      <c r="I2516" s="825">
        <v>9.9700000000000006</v>
      </c>
      <c r="J2516" s="825">
        <v>9.9700000000000006</v>
      </c>
    </row>
    <row r="2517" spans="1:10">
      <c r="A2517" s="822" t="s">
        <v>13493</v>
      </c>
      <c r="B2517" s="821" t="s">
        <v>13528</v>
      </c>
      <c r="C2517" s="822" t="s">
        <v>6</v>
      </c>
      <c r="D2517" s="822" t="s">
        <v>4581</v>
      </c>
      <c r="E2517" s="1017" t="s">
        <v>13499</v>
      </c>
      <c r="F2517" s="1017"/>
      <c r="G2517" s="823" t="s">
        <v>19</v>
      </c>
      <c r="H2517" s="824">
        <v>1</v>
      </c>
      <c r="I2517" s="825">
        <v>1.52</v>
      </c>
      <c r="J2517" s="825">
        <v>1.52</v>
      </c>
    </row>
    <row r="2518" spans="1:10" ht="25.5">
      <c r="A2518" s="822" t="s">
        <v>13493</v>
      </c>
      <c r="B2518" s="821" t="s">
        <v>14435</v>
      </c>
      <c r="C2518" s="822" t="s">
        <v>6</v>
      </c>
      <c r="D2518" s="822" t="s">
        <v>4652</v>
      </c>
      <c r="E2518" s="1017" t="s">
        <v>13497</v>
      </c>
      <c r="F2518" s="1017"/>
      <c r="G2518" s="823" t="s">
        <v>19</v>
      </c>
      <c r="H2518" s="824">
        <v>1</v>
      </c>
      <c r="I2518" s="825">
        <v>1.07</v>
      </c>
      <c r="J2518" s="825">
        <v>1.07</v>
      </c>
    </row>
    <row r="2519" spans="1:10">
      <c r="A2519" s="822" t="s">
        <v>13493</v>
      </c>
      <c r="B2519" s="821" t="s">
        <v>13498</v>
      </c>
      <c r="C2519" s="822" t="s">
        <v>6</v>
      </c>
      <c r="D2519" s="822" t="s">
        <v>4665</v>
      </c>
      <c r="E2519" s="1017" t="s">
        <v>13499</v>
      </c>
      <c r="F2519" s="1017"/>
      <c r="G2519" s="823" t="s">
        <v>19</v>
      </c>
      <c r="H2519" s="824">
        <v>1</v>
      </c>
      <c r="I2519" s="825">
        <v>0.81</v>
      </c>
      <c r="J2519" s="825">
        <v>0.81</v>
      </c>
    </row>
    <row r="2520" spans="1:10" ht="25.5">
      <c r="A2520" s="822" t="s">
        <v>13493</v>
      </c>
      <c r="B2520" s="821" t="s">
        <v>14436</v>
      </c>
      <c r="C2520" s="822" t="s">
        <v>6</v>
      </c>
      <c r="D2520" s="822" t="s">
        <v>4668</v>
      </c>
      <c r="E2520" s="1017" t="s">
        <v>13497</v>
      </c>
      <c r="F2520" s="1017"/>
      <c r="G2520" s="823" t="s">
        <v>19</v>
      </c>
      <c r="H2520" s="824">
        <v>1</v>
      </c>
      <c r="I2520" s="825">
        <v>0.78</v>
      </c>
      <c r="J2520" s="825">
        <v>0.78</v>
      </c>
    </row>
    <row r="2521" spans="1:10">
      <c r="A2521" s="822" t="s">
        <v>13493</v>
      </c>
      <c r="B2521" s="821" t="s">
        <v>13501</v>
      </c>
      <c r="C2521" s="822" t="s">
        <v>6</v>
      </c>
      <c r="D2521" s="822" t="s">
        <v>4779</v>
      </c>
      <c r="E2521" s="1017" t="s">
        <v>13502</v>
      </c>
      <c r="F2521" s="1017"/>
      <c r="G2521" s="823" t="s">
        <v>19</v>
      </c>
      <c r="H2521" s="824">
        <v>1</v>
      </c>
      <c r="I2521" s="825">
        <v>0.06</v>
      </c>
      <c r="J2521" s="825">
        <v>0.06</v>
      </c>
    </row>
    <row r="2522" spans="1:10">
      <c r="A2522" s="822" t="s">
        <v>13493</v>
      </c>
      <c r="B2522" s="821" t="s">
        <v>13531</v>
      </c>
      <c r="C2522" s="822" t="s">
        <v>6</v>
      </c>
      <c r="D2522" s="822" t="s">
        <v>4808</v>
      </c>
      <c r="E2522" s="1017" t="s">
        <v>13532</v>
      </c>
      <c r="F2522" s="1017"/>
      <c r="G2522" s="823" t="s">
        <v>19</v>
      </c>
      <c r="H2522" s="824">
        <v>1</v>
      </c>
      <c r="I2522" s="825">
        <v>0.68</v>
      </c>
      <c r="J2522" s="825">
        <v>0.68</v>
      </c>
    </row>
    <row r="2523" spans="1:10" ht="25.5">
      <c r="A2523" s="827"/>
      <c r="B2523" s="827"/>
      <c r="C2523" s="827"/>
      <c r="D2523" s="827"/>
      <c r="E2523" s="827" t="s">
        <v>13503</v>
      </c>
      <c r="F2523" s="826">
        <v>10.27</v>
      </c>
      <c r="G2523" s="827" t="s">
        <v>13504</v>
      </c>
      <c r="H2523" s="826">
        <v>0</v>
      </c>
      <c r="I2523" s="827" t="s">
        <v>13505</v>
      </c>
      <c r="J2523" s="826">
        <v>10.270000000000001</v>
      </c>
    </row>
    <row r="2524" spans="1:10" ht="13.5" customHeight="1" thickBot="1">
      <c r="A2524" s="827"/>
      <c r="B2524" s="827"/>
      <c r="C2524" s="827"/>
      <c r="D2524" s="827"/>
      <c r="E2524" s="827" t="s">
        <v>13506</v>
      </c>
      <c r="F2524" s="826">
        <v>4.28</v>
      </c>
      <c r="G2524" s="827"/>
      <c r="H2524" s="1018" t="s">
        <v>13507</v>
      </c>
      <c r="I2524" s="1018"/>
      <c r="J2524" s="826">
        <v>19.47</v>
      </c>
    </row>
    <row r="2525" spans="1:10" ht="13.5" customHeight="1" thickTop="1">
      <c r="A2525" s="828"/>
      <c r="B2525" s="828"/>
      <c r="C2525" s="828"/>
      <c r="D2525" s="828"/>
      <c r="E2525" s="828"/>
      <c r="F2525" s="828"/>
      <c r="G2525" s="828"/>
      <c r="H2525" s="828"/>
      <c r="I2525" s="828"/>
      <c r="J2525" s="828"/>
    </row>
    <row r="2526" spans="1:10" ht="45" customHeight="1">
      <c r="A2526" s="809" t="s">
        <v>14423</v>
      </c>
      <c r="B2526" s="808" t="s">
        <v>13481</v>
      </c>
      <c r="C2526" s="809" t="s">
        <v>13482</v>
      </c>
      <c r="D2526" s="809" t="s">
        <v>13483</v>
      </c>
      <c r="E2526" s="1019" t="s">
        <v>13484</v>
      </c>
      <c r="F2526" s="1019"/>
      <c r="G2526" s="810" t="s">
        <v>13485</v>
      </c>
      <c r="H2526" s="808" t="s">
        <v>13486</v>
      </c>
      <c r="I2526" s="808" t="s">
        <v>13487</v>
      </c>
      <c r="J2526" s="808" t="s">
        <v>4867</v>
      </c>
    </row>
    <row r="2527" spans="1:10" ht="25.5" customHeight="1">
      <c r="A2527" s="812" t="s">
        <v>13488</v>
      </c>
      <c r="B2527" s="811" t="s">
        <v>13749</v>
      </c>
      <c r="C2527" s="812" t="s">
        <v>6</v>
      </c>
      <c r="D2527" s="812" t="s">
        <v>128</v>
      </c>
      <c r="E2527" s="1020" t="s">
        <v>13490</v>
      </c>
      <c r="F2527" s="1020"/>
      <c r="G2527" s="813" t="s">
        <v>19</v>
      </c>
      <c r="H2527" s="814">
        <v>1</v>
      </c>
      <c r="I2527" s="815">
        <v>18.79</v>
      </c>
      <c r="J2527" s="815">
        <v>18.79</v>
      </c>
    </row>
    <row r="2528" spans="1:10" ht="38.25" customHeight="1">
      <c r="A2528" s="817" t="s">
        <v>13491</v>
      </c>
      <c r="B2528" s="816" t="s">
        <v>14429</v>
      </c>
      <c r="C2528" s="817" t="s">
        <v>6</v>
      </c>
      <c r="D2528" s="817" t="s">
        <v>2533</v>
      </c>
      <c r="E2528" s="1021" t="s">
        <v>13490</v>
      </c>
      <c r="F2528" s="1021"/>
      <c r="G2528" s="818" t="s">
        <v>19</v>
      </c>
      <c r="H2528" s="819">
        <v>1</v>
      </c>
      <c r="I2528" s="820">
        <v>0.16</v>
      </c>
      <c r="J2528" s="820">
        <v>0.16</v>
      </c>
    </row>
    <row r="2529" spans="1:10">
      <c r="A2529" s="822" t="s">
        <v>13493</v>
      </c>
      <c r="B2529" s="821" t="s">
        <v>13528</v>
      </c>
      <c r="C2529" s="822" t="s">
        <v>6</v>
      </c>
      <c r="D2529" s="822" t="s">
        <v>4581</v>
      </c>
      <c r="E2529" s="1017" t="s">
        <v>13499</v>
      </c>
      <c r="F2529" s="1017"/>
      <c r="G2529" s="823" t="s">
        <v>19</v>
      </c>
      <c r="H2529" s="824">
        <v>1</v>
      </c>
      <c r="I2529" s="825">
        <v>1.52</v>
      </c>
      <c r="J2529" s="825">
        <v>1.52</v>
      </c>
    </row>
    <row r="2530" spans="1:10" ht="25.5">
      <c r="A2530" s="822" t="s">
        <v>13493</v>
      </c>
      <c r="B2530" s="821" t="s">
        <v>14430</v>
      </c>
      <c r="C2530" s="822" t="s">
        <v>6</v>
      </c>
      <c r="D2530" s="822" t="s">
        <v>4657</v>
      </c>
      <c r="E2530" s="1017" t="s">
        <v>13497</v>
      </c>
      <c r="F2530" s="1017"/>
      <c r="G2530" s="823" t="s">
        <v>19</v>
      </c>
      <c r="H2530" s="824">
        <v>1</v>
      </c>
      <c r="I2530" s="825">
        <v>1.0900000000000001</v>
      </c>
      <c r="J2530" s="825">
        <v>1.0900000000000001</v>
      </c>
    </row>
    <row r="2531" spans="1:10">
      <c r="A2531" s="822" t="s">
        <v>13493</v>
      </c>
      <c r="B2531" s="821" t="s">
        <v>13498</v>
      </c>
      <c r="C2531" s="822" t="s">
        <v>6</v>
      </c>
      <c r="D2531" s="822" t="s">
        <v>4665</v>
      </c>
      <c r="E2531" s="1017" t="s">
        <v>13499</v>
      </c>
      <c r="F2531" s="1017"/>
      <c r="G2531" s="823" t="s">
        <v>19</v>
      </c>
      <c r="H2531" s="824">
        <v>1</v>
      </c>
      <c r="I2531" s="825">
        <v>0.81</v>
      </c>
      <c r="J2531" s="825">
        <v>0.81</v>
      </c>
    </row>
    <row r="2532" spans="1:10" ht="25.5">
      <c r="A2532" s="822" t="s">
        <v>13493</v>
      </c>
      <c r="B2532" s="821" t="s">
        <v>14431</v>
      </c>
      <c r="C2532" s="822" t="s">
        <v>6</v>
      </c>
      <c r="D2532" s="822" t="s">
        <v>4673</v>
      </c>
      <c r="E2532" s="1017" t="s">
        <v>13497</v>
      </c>
      <c r="F2532" s="1017"/>
      <c r="G2532" s="823" t="s">
        <v>19</v>
      </c>
      <c r="H2532" s="824">
        <v>1</v>
      </c>
      <c r="I2532" s="825">
        <v>0.74</v>
      </c>
      <c r="J2532" s="825">
        <v>0.74</v>
      </c>
    </row>
    <row r="2533" spans="1:10">
      <c r="A2533" s="822" t="s">
        <v>13493</v>
      </c>
      <c r="B2533" s="821" t="s">
        <v>14432</v>
      </c>
      <c r="C2533" s="822" t="s">
        <v>6</v>
      </c>
      <c r="D2533" s="822" t="s">
        <v>11342</v>
      </c>
      <c r="E2533" s="1017" t="s">
        <v>13495</v>
      </c>
      <c r="F2533" s="1017"/>
      <c r="G2533" s="823" t="s">
        <v>19</v>
      </c>
      <c r="H2533" s="824">
        <v>1</v>
      </c>
      <c r="I2533" s="825">
        <v>13.73</v>
      </c>
      <c r="J2533" s="825">
        <v>13.73</v>
      </c>
    </row>
    <row r="2534" spans="1:10" ht="13.5" customHeight="1">
      <c r="A2534" s="822" t="s">
        <v>13493</v>
      </c>
      <c r="B2534" s="821" t="s">
        <v>13501</v>
      </c>
      <c r="C2534" s="822" t="s">
        <v>6</v>
      </c>
      <c r="D2534" s="822" t="s">
        <v>4779</v>
      </c>
      <c r="E2534" s="1017" t="s">
        <v>13502</v>
      </c>
      <c r="F2534" s="1017"/>
      <c r="G2534" s="823" t="s">
        <v>19</v>
      </c>
      <c r="H2534" s="824">
        <v>1</v>
      </c>
      <c r="I2534" s="825">
        <v>0.06</v>
      </c>
      <c r="J2534" s="825">
        <v>0.06</v>
      </c>
    </row>
    <row r="2535" spans="1:10">
      <c r="A2535" s="822" t="s">
        <v>13493</v>
      </c>
      <c r="B2535" s="821" t="s">
        <v>13531</v>
      </c>
      <c r="C2535" s="822" t="s">
        <v>6</v>
      </c>
      <c r="D2535" s="822" t="s">
        <v>4808</v>
      </c>
      <c r="E2535" s="1017" t="s">
        <v>13532</v>
      </c>
      <c r="F2535" s="1017"/>
      <c r="G2535" s="823" t="s">
        <v>19</v>
      </c>
      <c r="H2535" s="824">
        <v>1</v>
      </c>
      <c r="I2535" s="825">
        <v>0.68</v>
      </c>
      <c r="J2535" s="825">
        <v>0.68</v>
      </c>
    </row>
    <row r="2536" spans="1:10" ht="25.5">
      <c r="A2536" s="827"/>
      <c r="B2536" s="827"/>
      <c r="C2536" s="827"/>
      <c r="D2536" s="827"/>
      <c r="E2536" s="827" t="s">
        <v>13503</v>
      </c>
      <c r="F2536" s="826">
        <v>13.89</v>
      </c>
      <c r="G2536" s="827" t="s">
        <v>13504</v>
      </c>
      <c r="H2536" s="826">
        <v>0</v>
      </c>
      <c r="I2536" s="827" t="s">
        <v>13505</v>
      </c>
      <c r="J2536" s="826">
        <v>13.89</v>
      </c>
    </row>
    <row r="2537" spans="1:10" ht="12.75" customHeight="1" thickBot="1">
      <c r="A2537" s="827"/>
      <c r="B2537" s="827"/>
      <c r="C2537" s="827"/>
      <c r="D2537" s="827"/>
      <c r="E2537" s="827" t="s">
        <v>13506</v>
      </c>
      <c r="F2537" s="826">
        <v>5.3</v>
      </c>
      <c r="G2537" s="827"/>
      <c r="H2537" s="1018" t="s">
        <v>13507</v>
      </c>
      <c r="I2537" s="1018"/>
      <c r="J2537" s="826">
        <v>24.09</v>
      </c>
    </row>
    <row r="2538" spans="1:10" ht="13.5" thickTop="1">
      <c r="A2538" s="828"/>
      <c r="B2538" s="828"/>
      <c r="C2538" s="828"/>
      <c r="D2538" s="828"/>
      <c r="E2538" s="828"/>
      <c r="F2538" s="828"/>
      <c r="G2538" s="828"/>
      <c r="H2538" s="828"/>
      <c r="I2538" s="828"/>
      <c r="J2538" s="828"/>
    </row>
    <row r="2539" spans="1:10" ht="45" customHeight="1">
      <c r="A2539" s="809" t="s">
        <v>14423</v>
      </c>
      <c r="B2539" s="808" t="s">
        <v>13481</v>
      </c>
      <c r="C2539" s="809" t="s">
        <v>13482</v>
      </c>
      <c r="D2539" s="809" t="s">
        <v>13483</v>
      </c>
      <c r="E2539" s="1019" t="s">
        <v>13484</v>
      </c>
      <c r="F2539" s="1019"/>
      <c r="G2539" s="810" t="s">
        <v>13485</v>
      </c>
      <c r="H2539" s="808" t="s">
        <v>13486</v>
      </c>
      <c r="I2539" s="808" t="s">
        <v>13487</v>
      </c>
      <c r="J2539" s="808" t="s">
        <v>4867</v>
      </c>
    </row>
    <row r="2540" spans="1:10" ht="25.5" customHeight="1">
      <c r="A2540" s="812" t="s">
        <v>13488</v>
      </c>
      <c r="B2540" s="811" t="s">
        <v>13577</v>
      </c>
      <c r="C2540" s="812" t="s">
        <v>6</v>
      </c>
      <c r="D2540" s="812" t="s">
        <v>31</v>
      </c>
      <c r="E2540" s="1020" t="s">
        <v>13490</v>
      </c>
      <c r="F2540" s="1020"/>
      <c r="G2540" s="813" t="s">
        <v>19</v>
      </c>
      <c r="H2540" s="814">
        <v>1</v>
      </c>
      <c r="I2540" s="815">
        <v>18.86</v>
      </c>
      <c r="J2540" s="815">
        <v>18.86</v>
      </c>
    </row>
    <row r="2541" spans="1:10" ht="38.25" customHeight="1">
      <c r="A2541" s="817" t="s">
        <v>13491</v>
      </c>
      <c r="B2541" s="816" t="s">
        <v>14437</v>
      </c>
      <c r="C2541" s="817" t="s">
        <v>6</v>
      </c>
      <c r="D2541" s="817" t="s">
        <v>535</v>
      </c>
      <c r="E2541" s="1021" t="s">
        <v>13490</v>
      </c>
      <c r="F2541" s="1021"/>
      <c r="G2541" s="818" t="s">
        <v>19</v>
      </c>
      <c r="H2541" s="819">
        <v>1</v>
      </c>
      <c r="I2541" s="820">
        <v>0.23</v>
      </c>
      <c r="J2541" s="820">
        <v>0.23</v>
      </c>
    </row>
    <row r="2542" spans="1:10">
      <c r="A2542" s="822" t="s">
        <v>13493</v>
      </c>
      <c r="B2542" s="821" t="s">
        <v>13528</v>
      </c>
      <c r="C2542" s="822" t="s">
        <v>6</v>
      </c>
      <c r="D2542" s="822" t="s">
        <v>4581</v>
      </c>
      <c r="E2542" s="1017" t="s">
        <v>13499</v>
      </c>
      <c r="F2542" s="1017"/>
      <c r="G2542" s="823" t="s">
        <v>19</v>
      </c>
      <c r="H2542" s="824">
        <v>1</v>
      </c>
      <c r="I2542" s="825">
        <v>1.52</v>
      </c>
      <c r="J2542" s="825">
        <v>1.52</v>
      </c>
    </row>
    <row r="2543" spans="1:10" ht="25.5">
      <c r="A2543" s="822" t="s">
        <v>13493</v>
      </c>
      <c r="B2543" s="821" t="s">
        <v>14430</v>
      </c>
      <c r="C2543" s="822" t="s">
        <v>6</v>
      </c>
      <c r="D2543" s="822" t="s">
        <v>4657</v>
      </c>
      <c r="E2543" s="1017" t="s">
        <v>13497</v>
      </c>
      <c r="F2543" s="1017"/>
      <c r="G2543" s="823" t="s">
        <v>19</v>
      </c>
      <c r="H2543" s="824">
        <v>1</v>
      </c>
      <c r="I2543" s="825">
        <v>1.0900000000000001</v>
      </c>
      <c r="J2543" s="825">
        <v>1.0900000000000001</v>
      </c>
    </row>
    <row r="2544" spans="1:10">
      <c r="A2544" s="822" t="s">
        <v>13493</v>
      </c>
      <c r="B2544" s="821" t="s">
        <v>13498</v>
      </c>
      <c r="C2544" s="822" t="s">
        <v>6</v>
      </c>
      <c r="D2544" s="822" t="s">
        <v>4665</v>
      </c>
      <c r="E2544" s="1017" t="s">
        <v>13499</v>
      </c>
      <c r="F2544" s="1017"/>
      <c r="G2544" s="823" t="s">
        <v>19</v>
      </c>
      <c r="H2544" s="824">
        <v>1</v>
      </c>
      <c r="I2544" s="825">
        <v>0.81</v>
      </c>
      <c r="J2544" s="825">
        <v>0.81</v>
      </c>
    </row>
    <row r="2545" spans="1:10" ht="25.5">
      <c r="A2545" s="822" t="s">
        <v>13493</v>
      </c>
      <c r="B2545" s="821" t="s">
        <v>14431</v>
      </c>
      <c r="C2545" s="822" t="s">
        <v>6</v>
      </c>
      <c r="D2545" s="822" t="s">
        <v>4673</v>
      </c>
      <c r="E2545" s="1017" t="s">
        <v>13497</v>
      </c>
      <c r="F2545" s="1017"/>
      <c r="G2545" s="823" t="s">
        <v>19</v>
      </c>
      <c r="H2545" s="824">
        <v>1</v>
      </c>
      <c r="I2545" s="825">
        <v>0.74</v>
      </c>
      <c r="J2545" s="825">
        <v>0.74</v>
      </c>
    </row>
    <row r="2546" spans="1:10">
      <c r="A2546" s="822" t="s">
        <v>13493</v>
      </c>
      <c r="B2546" s="821" t="s">
        <v>14438</v>
      </c>
      <c r="C2546" s="822" t="s">
        <v>6</v>
      </c>
      <c r="D2546" s="822" t="s">
        <v>11675</v>
      </c>
      <c r="E2546" s="1017" t="s">
        <v>13495</v>
      </c>
      <c r="F2546" s="1017"/>
      <c r="G2546" s="823" t="s">
        <v>19</v>
      </c>
      <c r="H2546" s="824">
        <v>1</v>
      </c>
      <c r="I2546" s="825">
        <v>13.73</v>
      </c>
      <c r="J2546" s="825">
        <v>13.73</v>
      </c>
    </row>
    <row r="2547" spans="1:10" ht="13.5" customHeight="1">
      <c r="A2547" s="822" t="s">
        <v>13493</v>
      </c>
      <c r="B2547" s="821" t="s">
        <v>13501</v>
      </c>
      <c r="C2547" s="822" t="s">
        <v>6</v>
      </c>
      <c r="D2547" s="822" t="s">
        <v>4779</v>
      </c>
      <c r="E2547" s="1017" t="s">
        <v>13502</v>
      </c>
      <c r="F2547" s="1017"/>
      <c r="G2547" s="823" t="s">
        <v>19</v>
      </c>
      <c r="H2547" s="824">
        <v>1</v>
      </c>
      <c r="I2547" s="825">
        <v>0.06</v>
      </c>
      <c r="J2547" s="825">
        <v>0.06</v>
      </c>
    </row>
    <row r="2548" spans="1:10">
      <c r="A2548" s="822" t="s">
        <v>13493</v>
      </c>
      <c r="B2548" s="821" t="s">
        <v>13531</v>
      </c>
      <c r="C2548" s="822" t="s">
        <v>6</v>
      </c>
      <c r="D2548" s="822" t="s">
        <v>4808</v>
      </c>
      <c r="E2548" s="1017" t="s">
        <v>13532</v>
      </c>
      <c r="F2548" s="1017"/>
      <c r="G2548" s="823" t="s">
        <v>19</v>
      </c>
      <c r="H2548" s="824">
        <v>1</v>
      </c>
      <c r="I2548" s="825">
        <v>0.68</v>
      </c>
      <c r="J2548" s="825">
        <v>0.68</v>
      </c>
    </row>
    <row r="2549" spans="1:10" ht="25.5">
      <c r="A2549" s="827"/>
      <c r="B2549" s="827"/>
      <c r="C2549" s="827"/>
      <c r="D2549" s="827"/>
      <c r="E2549" s="827" t="s">
        <v>13503</v>
      </c>
      <c r="F2549" s="826">
        <v>13.96</v>
      </c>
      <c r="G2549" s="827" t="s">
        <v>13504</v>
      </c>
      <c r="H2549" s="826">
        <v>0</v>
      </c>
      <c r="I2549" s="827" t="s">
        <v>13505</v>
      </c>
      <c r="J2549" s="826">
        <v>13.96</v>
      </c>
    </row>
    <row r="2550" spans="1:10" ht="12.75" customHeight="1" thickBot="1">
      <c r="A2550" s="827"/>
      <c r="B2550" s="827"/>
      <c r="C2550" s="827"/>
      <c r="D2550" s="827"/>
      <c r="E2550" s="827" t="s">
        <v>13506</v>
      </c>
      <c r="F2550" s="826">
        <v>5.32</v>
      </c>
      <c r="G2550" s="827"/>
      <c r="H2550" s="1018" t="s">
        <v>13507</v>
      </c>
      <c r="I2550" s="1018"/>
      <c r="J2550" s="826">
        <v>24.18</v>
      </c>
    </row>
    <row r="2551" spans="1:10" ht="13.5" thickTop="1">
      <c r="A2551" s="828"/>
      <c r="B2551" s="828"/>
      <c r="C2551" s="828"/>
      <c r="D2551" s="828"/>
      <c r="E2551" s="828"/>
      <c r="F2551" s="828"/>
      <c r="G2551" s="828"/>
      <c r="H2551" s="828"/>
      <c r="I2551" s="828"/>
      <c r="J2551" s="828"/>
    </row>
    <row r="2552" spans="1:10" ht="45" customHeight="1">
      <c r="A2552" s="809" t="s">
        <v>14423</v>
      </c>
      <c r="B2552" s="808" t="s">
        <v>13481</v>
      </c>
      <c r="C2552" s="809" t="s">
        <v>13482</v>
      </c>
      <c r="D2552" s="809" t="s">
        <v>13483</v>
      </c>
      <c r="E2552" s="1019" t="s">
        <v>13484</v>
      </c>
      <c r="F2552" s="1019"/>
      <c r="G2552" s="810" t="s">
        <v>13485</v>
      </c>
      <c r="H2552" s="808" t="s">
        <v>13486</v>
      </c>
      <c r="I2552" s="808" t="s">
        <v>13487</v>
      </c>
      <c r="J2552" s="808" t="s">
        <v>4867</v>
      </c>
    </row>
    <row r="2553" spans="1:10" ht="25.5" customHeight="1">
      <c r="A2553" s="812" t="s">
        <v>13488</v>
      </c>
      <c r="B2553" s="811" t="s">
        <v>13782</v>
      </c>
      <c r="C2553" s="812" t="s">
        <v>6</v>
      </c>
      <c r="D2553" s="812" t="s">
        <v>156</v>
      </c>
      <c r="E2553" s="1020" t="s">
        <v>13490</v>
      </c>
      <c r="F2553" s="1020"/>
      <c r="G2553" s="813" t="s">
        <v>19</v>
      </c>
      <c r="H2553" s="814">
        <v>1</v>
      </c>
      <c r="I2553" s="815">
        <v>19.940000000000001</v>
      </c>
      <c r="J2553" s="815">
        <v>19.940000000000001</v>
      </c>
    </row>
    <row r="2554" spans="1:10" ht="38.25" customHeight="1">
      <c r="A2554" s="817" t="s">
        <v>13491</v>
      </c>
      <c r="B2554" s="816" t="s">
        <v>14441</v>
      </c>
      <c r="C2554" s="817" t="s">
        <v>6</v>
      </c>
      <c r="D2554" s="817" t="s">
        <v>536</v>
      </c>
      <c r="E2554" s="1021" t="s">
        <v>13490</v>
      </c>
      <c r="F2554" s="1021"/>
      <c r="G2554" s="818" t="s">
        <v>19</v>
      </c>
      <c r="H2554" s="819">
        <v>1</v>
      </c>
      <c r="I2554" s="820">
        <v>0.16</v>
      </c>
      <c r="J2554" s="820">
        <v>0.16</v>
      </c>
    </row>
    <row r="2555" spans="1:10">
      <c r="A2555" s="822" t="s">
        <v>13493</v>
      </c>
      <c r="B2555" s="821" t="s">
        <v>13528</v>
      </c>
      <c r="C2555" s="822" t="s">
        <v>6</v>
      </c>
      <c r="D2555" s="822" t="s">
        <v>4581</v>
      </c>
      <c r="E2555" s="1017" t="s">
        <v>13499</v>
      </c>
      <c r="F2555" s="1017"/>
      <c r="G2555" s="823" t="s">
        <v>19</v>
      </c>
      <c r="H2555" s="824">
        <v>1</v>
      </c>
      <c r="I2555" s="825">
        <v>1.52</v>
      </c>
      <c r="J2555" s="825">
        <v>1.52</v>
      </c>
    </row>
    <row r="2556" spans="1:10" ht="25.5">
      <c r="A2556" s="822" t="s">
        <v>13493</v>
      </c>
      <c r="B2556" s="821" t="s">
        <v>14442</v>
      </c>
      <c r="C2556" s="822" t="s">
        <v>6</v>
      </c>
      <c r="D2556" s="822" t="s">
        <v>4658</v>
      </c>
      <c r="E2556" s="1017" t="s">
        <v>13497</v>
      </c>
      <c r="F2556" s="1017"/>
      <c r="G2556" s="823" t="s">
        <v>19</v>
      </c>
      <c r="H2556" s="824">
        <v>1</v>
      </c>
      <c r="I2556" s="825">
        <v>1.5</v>
      </c>
      <c r="J2556" s="825">
        <v>1.5</v>
      </c>
    </row>
    <row r="2557" spans="1:10" ht="25.5">
      <c r="A2557" s="822" t="s">
        <v>13493</v>
      </c>
      <c r="B2557" s="821" t="s">
        <v>14443</v>
      </c>
      <c r="C2557" s="822" t="s">
        <v>6</v>
      </c>
      <c r="D2557" s="822" t="s">
        <v>4674</v>
      </c>
      <c r="E2557" s="1017" t="s">
        <v>13497</v>
      </c>
      <c r="F2557" s="1017"/>
      <c r="G2557" s="823" t="s">
        <v>19</v>
      </c>
      <c r="H2557" s="824">
        <v>1</v>
      </c>
      <c r="I2557" s="825">
        <v>1.48</v>
      </c>
      <c r="J2557" s="825">
        <v>1.48</v>
      </c>
    </row>
    <row r="2558" spans="1:10">
      <c r="A2558" s="822" t="s">
        <v>13493</v>
      </c>
      <c r="B2558" s="821" t="s">
        <v>13498</v>
      </c>
      <c r="C2558" s="822" t="s">
        <v>6</v>
      </c>
      <c r="D2558" s="822" t="s">
        <v>4665</v>
      </c>
      <c r="E2558" s="1017" t="s">
        <v>13499</v>
      </c>
      <c r="F2558" s="1017"/>
      <c r="G2558" s="823" t="s">
        <v>19</v>
      </c>
      <c r="H2558" s="824">
        <v>1</v>
      </c>
      <c r="I2558" s="825">
        <v>0.81</v>
      </c>
      <c r="J2558" s="825">
        <v>0.81</v>
      </c>
    </row>
    <row r="2559" spans="1:10">
      <c r="A2559" s="822" t="s">
        <v>13493</v>
      </c>
      <c r="B2559" s="821" t="s">
        <v>14444</v>
      </c>
      <c r="C2559" s="822" t="s">
        <v>6</v>
      </c>
      <c r="D2559" s="822" t="s">
        <v>13458</v>
      </c>
      <c r="E2559" s="1017" t="s">
        <v>13495</v>
      </c>
      <c r="F2559" s="1017"/>
      <c r="G2559" s="823" t="s">
        <v>19</v>
      </c>
      <c r="H2559" s="824">
        <v>1</v>
      </c>
      <c r="I2559" s="825">
        <v>13.73</v>
      </c>
      <c r="J2559" s="825">
        <v>13.73</v>
      </c>
    </row>
    <row r="2560" spans="1:10" ht="13.5" customHeight="1">
      <c r="A2560" s="822" t="s">
        <v>13493</v>
      </c>
      <c r="B2560" s="821" t="s">
        <v>13501</v>
      </c>
      <c r="C2560" s="822" t="s">
        <v>6</v>
      </c>
      <c r="D2560" s="822" t="s">
        <v>4779</v>
      </c>
      <c r="E2560" s="1017" t="s">
        <v>13502</v>
      </c>
      <c r="F2560" s="1017"/>
      <c r="G2560" s="823" t="s">
        <v>19</v>
      </c>
      <c r="H2560" s="824">
        <v>1</v>
      </c>
      <c r="I2560" s="825">
        <v>0.06</v>
      </c>
      <c r="J2560" s="825">
        <v>0.06</v>
      </c>
    </row>
    <row r="2561" spans="1:10">
      <c r="A2561" s="822" t="s">
        <v>13493</v>
      </c>
      <c r="B2561" s="821" t="s">
        <v>13531</v>
      </c>
      <c r="C2561" s="822" t="s">
        <v>6</v>
      </c>
      <c r="D2561" s="822" t="s">
        <v>4808</v>
      </c>
      <c r="E2561" s="1017" t="s">
        <v>13532</v>
      </c>
      <c r="F2561" s="1017"/>
      <c r="G2561" s="823" t="s">
        <v>19</v>
      </c>
      <c r="H2561" s="824">
        <v>1</v>
      </c>
      <c r="I2561" s="825">
        <v>0.68</v>
      </c>
      <c r="J2561" s="825">
        <v>0.68</v>
      </c>
    </row>
    <row r="2562" spans="1:10" ht="25.5">
      <c r="A2562" s="827"/>
      <c r="B2562" s="827"/>
      <c r="C2562" s="827"/>
      <c r="D2562" s="827"/>
      <c r="E2562" s="827" t="s">
        <v>13503</v>
      </c>
      <c r="F2562" s="826">
        <v>13.89</v>
      </c>
      <c r="G2562" s="827" t="s">
        <v>13504</v>
      </c>
      <c r="H2562" s="826">
        <v>0</v>
      </c>
      <c r="I2562" s="827" t="s">
        <v>13505</v>
      </c>
      <c r="J2562" s="826">
        <v>13.89</v>
      </c>
    </row>
    <row r="2563" spans="1:10" ht="12.75" customHeight="1" thickBot="1">
      <c r="A2563" s="827"/>
      <c r="B2563" s="827"/>
      <c r="C2563" s="827"/>
      <c r="D2563" s="827"/>
      <c r="E2563" s="827" t="s">
        <v>13506</v>
      </c>
      <c r="F2563" s="826">
        <v>5.63</v>
      </c>
      <c r="G2563" s="827"/>
      <c r="H2563" s="1018" t="s">
        <v>13507</v>
      </c>
      <c r="I2563" s="1018"/>
      <c r="J2563" s="826">
        <v>25.57</v>
      </c>
    </row>
    <row r="2564" spans="1:10" ht="13.5" thickTop="1">
      <c r="A2564" s="828"/>
      <c r="B2564" s="828"/>
      <c r="C2564" s="828"/>
      <c r="D2564" s="828"/>
      <c r="E2564" s="828"/>
      <c r="F2564" s="828"/>
      <c r="G2564" s="828"/>
      <c r="H2564" s="828"/>
      <c r="I2564" s="828"/>
      <c r="J2564" s="828"/>
    </row>
    <row r="2565" spans="1:10" ht="45" customHeight="1">
      <c r="A2565" s="809" t="s">
        <v>14423</v>
      </c>
      <c r="B2565" s="808" t="s">
        <v>13481</v>
      </c>
      <c r="C2565" s="809" t="s">
        <v>13482</v>
      </c>
      <c r="D2565" s="809" t="s">
        <v>13483</v>
      </c>
      <c r="E2565" s="1019" t="s">
        <v>13484</v>
      </c>
      <c r="F2565" s="1019"/>
      <c r="G2565" s="810" t="s">
        <v>13485</v>
      </c>
      <c r="H2565" s="808" t="s">
        <v>13486</v>
      </c>
      <c r="I2565" s="808" t="s">
        <v>13487</v>
      </c>
      <c r="J2565" s="808" t="s">
        <v>4867</v>
      </c>
    </row>
    <row r="2566" spans="1:10" ht="25.5" customHeight="1">
      <c r="A2566" s="812" t="s">
        <v>13488</v>
      </c>
      <c r="B2566" s="811" t="s">
        <v>13567</v>
      </c>
      <c r="C2566" s="812" t="s">
        <v>6</v>
      </c>
      <c r="D2566" s="812" t="s">
        <v>35</v>
      </c>
      <c r="E2566" s="1020" t="s">
        <v>13490</v>
      </c>
      <c r="F2566" s="1020"/>
      <c r="G2566" s="813" t="s">
        <v>19</v>
      </c>
      <c r="H2566" s="814">
        <v>1</v>
      </c>
      <c r="I2566" s="815">
        <v>19.53</v>
      </c>
      <c r="J2566" s="815">
        <v>19.53</v>
      </c>
    </row>
    <row r="2567" spans="1:10" ht="38.25" customHeight="1">
      <c r="A2567" s="817" t="s">
        <v>13491</v>
      </c>
      <c r="B2567" s="816" t="s">
        <v>14433</v>
      </c>
      <c r="C2567" s="817" t="s">
        <v>6</v>
      </c>
      <c r="D2567" s="817" t="s">
        <v>2526</v>
      </c>
      <c r="E2567" s="1021" t="s">
        <v>13490</v>
      </c>
      <c r="F2567" s="1021"/>
      <c r="G2567" s="818" t="s">
        <v>19</v>
      </c>
      <c r="H2567" s="819">
        <v>1</v>
      </c>
      <c r="I2567" s="820">
        <v>0.42</v>
      </c>
      <c r="J2567" s="820">
        <v>0.42</v>
      </c>
    </row>
    <row r="2568" spans="1:10">
      <c r="A2568" s="822" t="s">
        <v>13493</v>
      </c>
      <c r="B2568" s="821" t="s">
        <v>13528</v>
      </c>
      <c r="C2568" s="822" t="s">
        <v>6</v>
      </c>
      <c r="D2568" s="822" t="s">
        <v>4581</v>
      </c>
      <c r="E2568" s="1017" t="s">
        <v>13499</v>
      </c>
      <c r="F2568" s="1017"/>
      <c r="G2568" s="823" t="s">
        <v>19</v>
      </c>
      <c r="H2568" s="824">
        <v>1</v>
      </c>
      <c r="I2568" s="825">
        <v>1.52</v>
      </c>
      <c r="J2568" s="825">
        <v>1.52</v>
      </c>
    </row>
    <row r="2569" spans="1:10">
      <c r="A2569" s="822" t="s">
        <v>13493</v>
      </c>
      <c r="B2569" s="821" t="s">
        <v>14434</v>
      </c>
      <c r="C2569" s="822" t="s">
        <v>6</v>
      </c>
      <c r="D2569" s="822" t="s">
        <v>4640</v>
      </c>
      <c r="E2569" s="1017" t="s">
        <v>13495</v>
      </c>
      <c r="F2569" s="1017"/>
      <c r="G2569" s="823" t="s">
        <v>19</v>
      </c>
      <c r="H2569" s="824">
        <v>1</v>
      </c>
      <c r="I2569" s="825">
        <v>14.19</v>
      </c>
      <c r="J2569" s="825">
        <v>14.19</v>
      </c>
    </row>
    <row r="2570" spans="1:10" ht="25.5">
      <c r="A2570" s="822" t="s">
        <v>13493</v>
      </c>
      <c r="B2570" s="821" t="s">
        <v>14435</v>
      </c>
      <c r="C2570" s="822" t="s">
        <v>6</v>
      </c>
      <c r="D2570" s="822" t="s">
        <v>4652</v>
      </c>
      <c r="E2570" s="1017" t="s">
        <v>13497</v>
      </c>
      <c r="F2570" s="1017"/>
      <c r="G2570" s="823" t="s">
        <v>19</v>
      </c>
      <c r="H2570" s="824">
        <v>1</v>
      </c>
      <c r="I2570" s="825">
        <v>1.07</v>
      </c>
      <c r="J2570" s="825">
        <v>1.07</v>
      </c>
    </row>
    <row r="2571" spans="1:10">
      <c r="A2571" s="822" t="s">
        <v>13493</v>
      </c>
      <c r="B2571" s="821" t="s">
        <v>13498</v>
      </c>
      <c r="C2571" s="822" t="s">
        <v>6</v>
      </c>
      <c r="D2571" s="822" t="s">
        <v>4665</v>
      </c>
      <c r="E2571" s="1017" t="s">
        <v>13499</v>
      </c>
      <c r="F2571" s="1017"/>
      <c r="G2571" s="823" t="s">
        <v>19</v>
      </c>
      <c r="H2571" s="824">
        <v>1</v>
      </c>
      <c r="I2571" s="825">
        <v>0.81</v>
      </c>
      <c r="J2571" s="825">
        <v>0.81</v>
      </c>
    </row>
    <row r="2572" spans="1:10" ht="25.5">
      <c r="A2572" s="822" t="s">
        <v>13493</v>
      </c>
      <c r="B2572" s="821" t="s">
        <v>14436</v>
      </c>
      <c r="C2572" s="822" t="s">
        <v>6</v>
      </c>
      <c r="D2572" s="822" t="s">
        <v>4668</v>
      </c>
      <c r="E2572" s="1017" t="s">
        <v>13497</v>
      </c>
      <c r="F2572" s="1017"/>
      <c r="G2572" s="823" t="s">
        <v>19</v>
      </c>
      <c r="H2572" s="824">
        <v>1</v>
      </c>
      <c r="I2572" s="825">
        <v>0.78</v>
      </c>
      <c r="J2572" s="825">
        <v>0.78</v>
      </c>
    </row>
    <row r="2573" spans="1:10" ht="13.5" customHeight="1">
      <c r="A2573" s="822" t="s">
        <v>13493</v>
      </c>
      <c r="B2573" s="821" t="s">
        <v>13501</v>
      </c>
      <c r="C2573" s="822" t="s">
        <v>6</v>
      </c>
      <c r="D2573" s="822" t="s">
        <v>4779</v>
      </c>
      <c r="E2573" s="1017" t="s">
        <v>13502</v>
      </c>
      <c r="F2573" s="1017"/>
      <c r="G2573" s="823" t="s">
        <v>19</v>
      </c>
      <c r="H2573" s="824">
        <v>1</v>
      </c>
      <c r="I2573" s="825">
        <v>0.06</v>
      </c>
      <c r="J2573" s="825">
        <v>0.06</v>
      </c>
    </row>
    <row r="2574" spans="1:10">
      <c r="A2574" s="822" t="s">
        <v>13493</v>
      </c>
      <c r="B2574" s="821" t="s">
        <v>13531</v>
      </c>
      <c r="C2574" s="822" t="s">
        <v>6</v>
      </c>
      <c r="D2574" s="822" t="s">
        <v>4808</v>
      </c>
      <c r="E2574" s="1017" t="s">
        <v>13532</v>
      </c>
      <c r="F2574" s="1017"/>
      <c r="G2574" s="823" t="s">
        <v>19</v>
      </c>
      <c r="H2574" s="824">
        <v>1</v>
      </c>
      <c r="I2574" s="825">
        <v>0.68</v>
      </c>
      <c r="J2574" s="825">
        <v>0.68</v>
      </c>
    </row>
    <row r="2575" spans="1:10" ht="25.5">
      <c r="A2575" s="827"/>
      <c r="B2575" s="827"/>
      <c r="C2575" s="827"/>
      <c r="D2575" s="827"/>
      <c r="E2575" s="827" t="s">
        <v>13503</v>
      </c>
      <c r="F2575" s="826">
        <v>14.61</v>
      </c>
      <c r="G2575" s="827" t="s">
        <v>13504</v>
      </c>
      <c r="H2575" s="826">
        <v>0</v>
      </c>
      <c r="I2575" s="827" t="s">
        <v>13505</v>
      </c>
      <c r="J2575" s="826">
        <v>14.61</v>
      </c>
    </row>
    <row r="2576" spans="1:10" ht="12.75" customHeight="1" thickBot="1">
      <c r="A2576" s="827"/>
      <c r="B2576" s="827"/>
      <c r="C2576" s="827"/>
      <c r="D2576" s="827"/>
      <c r="E2576" s="827" t="s">
        <v>13506</v>
      </c>
      <c r="F2576" s="826">
        <v>5.51</v>
      </c>
      <c r="G2576" s="827"/>
      <c r="H2576" s="1018" t="s">
        <v>13507</v>
      </c>
      <c r="I2576" s="1018"/>
      <c r="J2576" s="826">
        <v>25.04</v>
      </c>
    </row>
    <row r="2577" spans="1:10" ht="13.5" thickTop="1">
      <c r="A2577" s="828"/>
      <c r="B2577" s="828"/>
      <c r="C2577" s="828"/>
      <c r="D2577" s="828"/>
      <c r="E2577" s="828"/>
      <c r="F2577" s="828"/>
      <c r="G2577" s="828"/>
      <c r="H2577" s="828"/>
      <c r="I2577" s="828"/>
      <c r="J2577" s="828"/>
    </row>
    <row r="2578" spans="1:10" ht="45" customHeight="1">
      <c r="A2578" s="809" t="s">
        <v>14423</v>
      </c>
      <c r="B2578" s="808" t="s">
        <v>13481</v>
      </c>
      <c r="C2578" s="809" t="s">
        <v>13482</v>
      </c>
      <c r="D2578" s="809" t="s">
        <v>13483</v>
      </c>
      <c r="E2578" s="1019" t="s">
        <v>13484</v>
      </c>
      <c r="F2578" s="1019"/>
      <c r="G2578" s="810" t="s">
        <v>13485</v>
      </c>
      <c r="H2578" s="808" t="s">
        <v>13486</v>
      </c>
      <c r="I2578" s="808" t="s">
        <v>13487</v>
      </c>
      <c r="J2578" s="808" t="s">
        <v>4867</v>
      </c>
    </row>
    <row r="2579" spans="1:10" ht="25.5" customHeight="1">
      <c r="A2579" s="812" t="s">
        <v>13488</v>
      </c>
      <c r="B2579" s="811" t="s">
        <v>14378</v>
      </c>
      <c r="C2579" s="812" t="s">
        <v>6</v>
      </c>
      <c r="D2579" s="812" t="s">
        <v>33</v>
      </c>
      <c r="E2579" s="1020" t="s">
        <v>13490</v>
      </c>
      <c r="F2579" s="1020"/>
      <c r="G2579" s="813" t="s">
        <v>19</v>
      </c>
      <c r="H2579" s="814">
        <v>1</v>
      </c>
      <c r="I2579" s="815">
        <v>18.75</v>
      </c>
      <c r="J2579" s="815">
        <v>18.75</v>
      </c>
    </row>
    <row r="2580" spans="1:10" ht="38.25" customHeight="1">
      <c r="A2580" s="817" t="s">
        <v>13491</v>
      </c>
      <c r="B2580" s="816" t="s">
        <v>14445</v>
      </c>
      <c r="C2580" s="817" t="s">
        <v>6</v>
      </c>
      <c r="D2580" s="817" t="s">
        <v>2565</v>
      </c>
      <c r="E2580" s="1021" t="s">
        <v>13490</v>
      </c>
      <c r="F2580" s="1021"/>
      <c r="G2580" s="818" t="s">
        <v>19</v>
      </c>
      <c r="H2580" s="819">
        <v>1</v>
      </c>
      <c r="I2580" s="820">
        <v>0.12</v>
      </c>
      <c r="J2580" s="820">
        <v>0.12</v>
      </c>
    </row>
    <row r="2581" spans="1:10">
      <c r="A2581" s="822" t="s">
        <v>13493</v>
      </c>
      <c r="B2581" s="821" t="s">
        <v>13528</v>
      </c>
      <c r="C2581" s="822" t="s">
        <v>6</v>
      </c>
      <c r="D2581" s="822" t="s">
        <v>4581</v>
      </c>
      <c r="E2581" s="1017" t="s">
        <v>13499</v>
      </c>
      <c r="F2581" s="1017"/>
      <c r="G2581" s="823" t="s">
        <v>19</v>
      </c>
      <c r="H2581" s="824">
        <v>1</v>
      </c>
      <c r="I2581" s="825">
        <v>1.52</v>
      </c>
      <c r="J2581" s="825">
        <v>1.52</v>
      </c>
    </row>
    <row r="2582" spans="1:10" ht="25.5">
      <c r="A2582" s="822" t="s">
        <v>13493</v>
      </c>
      <c r="B2582" s="821" t="s">
        <v>14430</v>
      </c>
      <c r="C2582" s="822" t="s">
        <v>6</v>
      </c>
      <c r="D2582" s="822" t="s">
        <v>4657</v>
      </c>
      <c r="E2582" s="1017" t="s">
        <v>13497</v>
      </c>
      <c r="F2582" s="1017"/>
      <c r="G2582" s="823" t="s">
        <v>19</v>
      </c>
      <c r="H2582" s="824">
        <v>1</v>
      </c>
      <c r="I2582" s="825">
        <v>1.0900000000000001</v>
      </c>
      <c r="J2582" s="825">
        <v>1.0900000000000001</v>
      </c>
    </row>
    <row r="2583" spans="1:10">
      <c r="A2583" s="822" t="s">
        <v>13493</v>
      </c>
      <c r="B2583" s="821" t="s">
        <v>13498</v>
      </c>
      <c r="C2583" s="822" t="s">
        <v>6</v>
      </c>
      <c r="D2583" s="822" t="s">
        <v>4665</v>
      </c>
      <c r="E2583" s="1017" t="s">
        <v>13499</v>
      </c>
      <c r="F2583" s="1017"/>
      <c r="G2583" s="823" t="s">
        <v>19</v>
      </c>
      <c r="H2583" s="824">
        <v>1</v>
      </c>
      <c r="I2583" s="825">
        <v>0.81</v>
      </c>
      <c r="J2583" s="825">
        <v>0.81</v>
      </c>
    </row>
    <row r="2584" spans="1:10" ht="25.5">
      <c r="A2584" s="822" t="s">
        <v>13493</v>
      </c>
      <c r="B2584" s="821" t="s">
        <v>14431</v>
      </c>
      <c r="C2584" s="822" t="s">
        <v>6</v>
      </c>
      <c r="D2584" s="822" t="s">
        <v>4673</v>
      </c>
      <c r="E2584" s="1017" t="s">
        <v>13497</v>
      </c>
      <c r="F2584" s="1017"/>
      <c r="G2584" s="823" t="s">
        <v>19</v>
      </c>
      <c r="H2584" s="824">
        <v>1</v>
      </c>
      <c r="I2584" s="825">
        <v>0.74</v>
      </c>
      <c r="J2584" s="825">
        <v>0.74</v>
      </c>
    </row>
    <row r="2585" spans="1:10">
      <c r="A2585" s="822" t="s">
        <v>13493</v>
      </c>
      <c r="B2585" s="821" t="s">
        <v>13501</v>
      </c>
      <c r="C2585" s="822" t="s">
        <v>6</v>
      </c>
      <c r="D2585" s="822" t="s">
        <v>4779</v>
      </c>
      <c r="E2585" s="1017" t="s">
        <v>13502</v>
      </c>
      <c r="F2585" s="1017"/>
      <c r="G2585" s="823" t="s">
        <v>19</v>
      </c>
      <c r="H2585" s="824">
        <v>1</v>
      </c>
      <c r="I2585" s="825">
        <v>0.06</v>
      </c>
      <c r="J2585" s="825">
        <v>0.06</v>
      </c>
    </row>
    <row r="2586" spans="1:10" ht="13.5" customHeight="1">
      <c r="A2586" s="822" t="s">
        <v>13493</v>
      </c>
      <c r="B2586" s="821" t="s">
        <v>14446</v>
      </c>
      <c r="C2586" s="822" t="s">
        <v>6</v>
      </c>
      <c r="D2586" s="822" t="s">
        <v>12223</v>
      </c>
      <c r="E2586" s="1017" t="s">
        <v>13495</v>
      </c>
      <c r="F2586" s="1017"/>
      <c r="G2586" s="823" t="s">
        <v>19</v>
      </c>
      <c r="H2586" s="824">
        <v>1</v>
      </c>
      <c r="I2586" s="825">
        <v>13.73</v>
      </c>
      <c r="J2586" s="825">
        <v>13.73</v>
      </c>
    </row>
    <row r="2587" spans="1:10">
      <c r="A2587" s="822" t="s">
        <v>13493</v>
      </c>
      <c r="B2587" s="821" t="s">
        <v>13531</v>
      </c>
      <c r="C2587" s="822" t="s">
        <v>6</v>
      </c>
      <c r="D2587" s="822" t="s">
        <v>4808</v>
      </c>
      <c r="E2587" s="1017" t="s">
        <v>13532</v>
      </c>
      <c r="F2587" s="1017"/>
      <c r="G2587" s="823" t="s">
        <v>19</v>
      </c>
      <c r="H2587" s="824">
        <v>1</v>
      </c>
      <c r="I2587" s="825">
        <v>0.68</v>
      </c>
      <c r="J2587" s="825">
        <v>0.68</v>
      </c>
    </row>
    <row r="2588" spans="1:10" ht="25.5">
      <c r="A2588" s="827"/>
      <c r="B2588" s="827"/>
      <c r="C2588" s="827"/>
      <c r="D2588" s="827"/>
      <c r="E2588" s="827" t="s">
        <v>13503</v>
      </c>
      <c r="F2588" s="826">
        <v>13.85</v>
      </c>
      <c r="G2588" s="827" t="s">
        <v>13504</v>
      </c>
      <c r="H2588" s="826">
        <v>0</v>
      </c>
      <c r="I2588" s="827" t="s">
        <v>13505</v>
      </c>
      <c r="J2588" s="826">
        <v>13.85</v>
      </c>
    </row>
    <row r="2589" spans="1:10" ht="13.5" customHeight="1" thickBot="1">
      <c r="A2589" s="827"/>
      <c r="B2589" s="827"/>
      <c r="C2589" s="827"/>
      <c r="D2589" s="827"/>
      <c r="E2589" s="827" t="s">
        <v>13506</v>
      </c>
      <c r="F2589" s="826">
        <v>5.29</v>
      </c>
      <c r="G2589" s="827"/>
      <c r="H2589" s="1018" t="s">
        <v>13507</v>
      </c>
      <c r="I2589" s="1018"/>
      <c r="J2589" s="826">
        <v>24.04</v>
      </c>
    </row>
    <row r="2590" spans="1:10" ht="13.5" thickTop="1">
      <c r="A2590" s="828"/>
      <c r="B2590" s="828"/>
      <c r="C2590" s="828"/>
      <c r="D2590" s="828"/>
      <c r="E2590" s="828"/>
      <c r="F2590" s="828"/>
      <c r="G2590" s="828"/>
      <c r="H2590" s="828"/>
      <c r="I2590" s="828"/>
      <c r="J2590" s="828"/>
    </row>
    <row r="2591" spans="1:10" ht="45" customHeight="1">
      <c r="A2591" s="809" t="s">
        <v>14447</v>
      </c>
      <c r="B2591" s="808" t="s">
        <v>13481</v>
      </c>
      <c r="C2591" s="809" t="s">
        <v>13482</v>
      </c>
      <c r="D2591" s="809" t="s">
        <v>13483</v>
      </c>
      <c r="E2591" s="1019" t="s">
        <v>13484</v>
      </c>
      <c r="F2591" s="1019"/>
      <c r="G2591" s="810" t="s">
        <v>13485</v>
      </c>
      <c r="H2591" s="808" t="s">
        <v>13486</v>
      </c>
      <c r="I2591" s="808" t="s">
        <v>13487</v>
      </c>
      <c r="J2591" s="808" t="s">
        <v>4867</v>
      </c>
    </row>
    <row r="2592" spans="1:10" ht="38.25" customHeight="1">
      <c r="A2592" s="812" t="s">
        <v>13488</v>
      </c>
      <c r="B2592" s="811" t="s">
        <v>13591</v>
      </c>
      <c r="C2592" s="812" t="s">
        <v>6</v>
      </c>
      <c r="D2592" s="812" t="s">
        <v>52</v>
      </c>
      <c r="E2592" s="1020" t="s">
        <v>13539</v>
      </c>
      <c r="F2592" s="1020"/>
      <c r="G2592" s="813" t="s">
        <v>28</v>
      </c>
      <c r="H2592" s="814">
        <v>1</v>
      </c>
      <c r="I2592" s="815">
        <v>15.95</v>
      </c>
      <c r="J2592" s="815">
        <v>15.95</v>
      </c>
    </row>
    <row r="2593" spans="1:10" ht="38.25" customHeight="1">
      <c r="A2593" s="817" t="s">
        <v>13491</v>
      </c>
      <c r="B2593" s="816" t="s">
        <v>14453</v>
      </c>
      <c r="C2593" s="817" t="s">
        <v>6</v>
      </c>
      <c r="D2593" s="817" t="s">
        <v>792</v>
      </c>
      <c r="E2593" s="1021" t="s">
        <v>13539</v>
      </c>
      <c r="F2593" s="1021"/>
      <c r="G2593" s="818" t="s">
        <v>19</v>
      </c>
      <c r="H2593" s="819">
        <v>1</v>
      </c>
      <c r="I2593" s="820">
        <v>2.02</v>
      </c>
      <c r="J2593" s="820">
        <v>2.02</v>
      </c>
    </row>
    <row r="2594" spans="1:10" ht="38.25" customHeight="1">
      <c r="A2594" s="817" t="s">
        <v>13491</v>
      </c>
      <c r="B2594" s="816" t="s">
        <v>14455</v>
      </c>
      <c r="C2594" s="817" t="s">
        <v>6</v>
      </c>
      <c r="D2594" s="817" t="s">
        <v>2453</v>
      </c>
      <c r="E2594" s="1021" t="s">
        <v>13539</v>
      </c>
      <c r="F2594" s="1021"/>
      <c r="G2594" s="818" t="s">
        <v>19</v>
      </c>
      <c r="H2594" s="819">
        <v>1</v>
      </c>
      <c r="I2594" s="820">
        <v>1.61</v>
      </c>
      <c r="J2594" s="820">
        <v>1.61</v>
      </c>
    </row>
    <row r="2595" spans="1:10" ht="38.25" customHeight="1">
      <c r="A2595" s="817" t="s">
        <v>13491</v>
      </c>
      <c r="B2595" s="816" t="s">
        <v>14454</v>
      </c>
      <c r="C2595" s="817" t="s">
        <v>6</v>
      </c>
      <c r="D2595" s="817" t="s">
        <v>2454</v>
      </c>
      <c r="E2595" s="1021" t="s">
        <v>13539</v>
      </c>
      <c r="F2595" s="1021"/>
      <c r="G2595" s="818" t="s">
        <v>19</v>
      </c>
      <c r="H2595" s="819">
        <v>1</v>
      </c>
      <c r="I2595" s="820">
        <v>0.19</v>
      </c>
      <c r="J2595" s="820">
        <v>0.19</v>
      </c>
    </row>
    <row r="2596" spans="1:10" ht="38.25" customHeight="1">
      <c r="A2596" s="817" t="s">
        <v>13491</v>
      </c>
      <c r="B2596" s="816" t="s">
        <v>14456</v>
      </c>
      <c r="C2596" s="817" t="s">
        <v>6</v>
      </c>
      <c r="D2596" s="817" t="s">
        <v>147</v>
      </c>
      <c r="E2596" s="1021" t="s">
        <v>13490</v>
      </c>
      <c r="F2596" s="1021"/>
      <c r="G2596" s="818" t="s">
        <v>19</v>
      </c>
      <c r="H2596" s="819">
        <v>1</v>
      </c>
      <c r="I2596" s="820">
        <v>12.13</v>
      </c>
      <c r="J2596" s="820">
        <v>12.13</v>
      </c>
    </row>
    <row r="2597" spans="1:10" ht="38.25" customHeight="1">
      <c r="A2597" s="827"/>
      <c r="B2597" s="827"/>
      <c r="C2597" s="827"/>
      <c r="D2597" s="827"/>
      <c r="E2597" s="827" t="s">
        <v>13503</v>
      </c>
      <c r="F2597" s="826">
        <v>8.2899999999999991</v>
      </c>
      <c r="G2597" s="827" t="s">
        <v>13504</v>
      </c>
      <c r="H2597" s="826">
        <v>0</v>
      </c>
      <c r="I2597" s="827" t="s">
        <v>13505</v>
      </c>
      <c r="J2597" s="826">
        <v>8.2899999999999991</v>
      </c>
    </row>
    <row r="2598" spans="1:10" ht="13.5" customHeight="1" thickBot="1">
      <c r="A2598" s="827"/>
      <c r="B2598" s="827"/>
      <c r="C2598" s="827"/>
      <c r="D2598" s="827"/>
      <c r="E2598" s="827" t="s">
        <v>13506</v>
      </c>
      <c r="F2598" s="826">
        <v>4.5</v>
      </c>
      <c r="G2598" s="827"/>
      <c r="H2598" s="1018" t="s">
        <v>13507</v>
      </c>
      <c r="I2598" s="1018"/>
      <c r="J2598" s="826">
        <v>20.45</v>
      </c>
    </row>
    <row r="2599" spans="1:10" ht="13.5" customHeight="1" thickTop="1">
      <c r="A2599" s="828"/>
      <c r="B2599" s="828"/>
      <c r="C2599" s="828"/>
      <c r="D2599" s="828"/>
      <c r="E2599" s="828"/>
      <c r="F2599" s="828"/>
      <c r="G2599" s="828"/>
      <c r="H2599" s="828"/>
      <c r="I2599" s="828"/>
      <c r="J2599" s="828"/>
    </row>
    <row r="2600" spans="1:10" ht="45" customHeight="1">
      <c r="A2600" s="809" t="s">
        <v>14447</v>
      </c>
      <c r="B2600" s="808" t="s">
        <v>13481</v>
      </c>
      <c r="C2600" s="809" t="s">
        <v>13482</v>
      </c>
      <c r="D2600" s="809" t="s">
        <v>13483</v>
      </c>
      <c r="E2600" s="1019" t="s">
        <v>13484</v>
      </c>
      <c r="F2600" s="1019"/>
      <c r="G2600" s="810" t="s">
        <v>13485</v>
      </c>
      <c r="H2600" s="808" t="s">
        <v>13486</v>
      </c>
      <c r="I2600" s="808" t="s">
        <v>13487</v>
      </c>
      <c r="J2600" s="808" t="s">
        <v>4867</v>
      </c>
    </row>
    <row r="2601" spans="1:10" ht="51">
      <c r="A2601" s="812" t="s">
        <v>13488</v>
      </c>
      <c r="B2601" s="811" t="s">
        <v>13610</v>
      </c>
      <c r="C2601" s="812" t="s">
        <v>6</v>
      </c>
      <c r="D2601" s="812" t="s">
        <v>677</v>
      </c>
      <c r="E2601" s="1020" t="s">
        <v>13539</v>
      </c>
      <c r="F2601" s="1020"/>
      <c r="G2601" s="813" t="s">
        <v>28</v>
      </c>
      <c r="H2601" s="814">
        <v>1</v>
      </c>
      <c r="I2601" s="815">
        <v>115.29</v>
      </c>
      <c r="J2601" s="815">
        <v>115.29</v>
      </c>
    </row>
    <row r="2602" spans="1:10" ht="25.5" customHeight="1">
      <c r="A2602" s="817" t="s">
        <v>13491</v>
      </c>
      <c r="B2602" s="816" t="s">
        <v>14449</v>
      </c>
      <c r="C2602" s="817" t="s">
        <v>6</v>
      </c>
      <c r="D2602" s="817" t="s">
        <v>775</v>
      </c>
      <c r="E2602" s="1021" t="s">
        <v>13539</v>
      </c>
      <c r="F2602" s="1021"/>
      <c r="G2602" s="818" t="s">
        <v>19</v>
      </c>
      <c r="H2602" s="819">
        <v>1</v>
      </c>
      <c r="I2602" s="820">
        <v>50.41</v>
      </c>
      <c r="J2602" s="820">
        <v>50.41</v>
      </c>
    </row>
    <row r="2603" spans="1:10" ht="38.25" customHeight="1">
      <c r="A2603" s="817" t="s">
        <v>13491</v>
      </c>
      <c r="B2603" s="816" t="s">
        <v>14448</v>
      </c>
      <c r="C2603" s="817" t="s">
        <v>6</v>
      </c>
      <c r="D2603" s="817" t="s">
        <v>673</v>
      </c>
      <c r="E2603" s="1021" t="s">
        <v>13539</v>
      </c>
      <c r="F2603" s="1021"/>
      <c r="G2603" s="818" t="s">
        <v>19</v>
      </c>
      <c r="H2603" s="819">
        <v>1</v>
      </c>
      <c r="I2603" s="820">
        <v>24.73</v>
      </c>
      <c r="J2603" s="820">
        <v>24.73</v>
      </c>
    </row>
    <row r="2604" spans="1:10" ht="38.25" customHeight="1">
      <c r="A2604" s="817" t="s">
        <v>13491</v>
      </c>
      <c r="B2604" s="816" t="s">
        <v>14450</v>
      </c>
      <c r="C2604" s="817" t="s">
        <v>6</v>
      </c>
      <c r="D2604" s="817" t="s">
        <v>1060</v>
      </c>
      <c r="E2604" s="1021" t="s">
        <v>13539</v>
      </c>
      <c r="F2604" s="1021"/>
      <c r="G2604" s="818" t="s">
        <v>19</v>
      </c>
      <c r="H2604" s="819">
        <v>1</v>
      </c>
      <c r="I2604" s="820">
        <v>2.68</v>
      </c>
      <c r="J2604" s="820">
        <v>2.68</v>
      </c>
    </row>
    <row r="2605" spans="1:10" ht="38.25" customHeight="1">
      <c r="A2605" s="817" t="s">
        <v>13491</v>
      </c>
      <c r="B2605" s="816" t="s">
        <v>14451</v>
      </c>
      <c r="C2605" s="817" t="s">
        <v>6</v>
      </c>
      <c r="D2605" s="817" t="s">
        <v>1059</v>
      </c>
      <c r="E2605" s="1021" t="s">
        <v>13539</v>
      </c>
      <c r="F2605" s="1021"/>
      <c r="G2605" s="818" t="s">
        <v>19</v>
      </c>
      <c r="H2605" s="819">
        <v>1</v>
      </c>
      <c r="I2605" s="820">
        <v>19.78</v>
      </c>
      <c r="J2605" s="820">
        <v>19.78</v>
      </c>
    </row>
    <row r="2606" spans="1:10" ht="38.25" customHeight="1">
      <c r="A2606" s="817" t="s">
        <v>13491</v>
      </c>
      <c r="B2606" s="816" t="s">
        <v>14452</v>
      </c>
      <c r="C2606" s="817" t="s">
        <v>6</v>
      </c>
      <c r="D2606" s="817" t="s">
        <v>143</v>
      </c>
      <c r="E2606" s="1021" t="s">
        <v>13490</v>
      </c>
      <c r="F2606" s="1021"/>
      <c r="G2606" s="818" t="s">
        <v>19</v>
      </c>
      <c r="H2606" s="819">
        <v>1</v>
      </c>
      <c r="I2606" s="820">
        <v>17.690000000000001</v>
      </c>
      <c r="J2606" s="820">
        <v>17.690000000000001</v>
      </c>
    </row>
    <row r="2607" spans="1:10" ht="25.5">
      <c r="A2607" s="827"/>
      <c r="B2607" s="827"/>
      <c r="C2607" s="827"/>
      <c r="D2607" s="827"/>
      <c r="E2607" s="827" t="s">
        <v>13503</v>
      </c>
      <c r="F2607" s="826">
        <v>13.85</v>
      </c>
      <c r="G2607" s="827" t="s">
        <v>13504</v>
      </c>
      <c r="H2607" s="826">
        <v>0</v>
      </c>
      <c r="I2607" s="827" t="s">
        <v>13505</v>
      </c>
      <c r="J2607" s="826">
        <v>13.85</v>
      </c>
    </row>
    <row r="2608" spans="1:10" ht="13.5" customHeight="1" thickBot="1">
      <c r="A2608" s="827"/>
      <c r="B2608" s="827"/>
      <c r="C2608" s="827"/>
      <c r="D2608" s="827"/>
      <c r="E2608" s="827" t="s">
        <v>13506</v>
      </c>
      <c r="F2608" s="826">
        <v>32.549999999999997</v>
      </c>
      <c r="G2608" s="827"/>
      <c r="H2608" s="1018" t="s">
        <v>13507</v>
      </c>
      <c r="I2608" s="1018"/>
      <c r="J2608" s="826">
        <v>147.84</v>
      </c>
    </row>
    <row r="2609" spans="1:10" ht="13.5" thickTop="1">
      <c r="A2609" s="828"/>
      <c r="B2609" s="828"/>
      <c r="C2609" s="828"/>
      <c r="D2609" s="828"/>
      <c r="E2609" s="828"/>
      <c r="F2609" s="828"/>
      <c r="G2609" s="828"/>
      <c r="H2609" s="828"/>
      <c r="I2609" s="828"/>
      <c r="J2609" s="828"/>
    </row>
    <row r="2610" spans="1:10" ht="45" customHeight="1">
      <c r="A2610" s="809" t="s">
        <v>14447</v>
      </c>
      <c r="B2610" s="808" t="s">
        <v>13481</v>
      </c>
      <c r="C2610" s="809" t="s">
        <v>13482</v>
      </c>
      <c r="D2610" s="809" t="s">
        <v>13483</v>
      </c>
      <c r="E2610" s="1019" t="s">
        <v>13484</v>
      </c>
      <c r="F2610" s="1019"/>
      <c r="G2610" s="810" t="s">
        <v>13485</v>
      </c>
      <c r="H2610" s="808" t="s">
        <v>13486</v>
      </c>
      <c r="I2610" s="808" t="s">
        <v>13487</v>
      </c>
      <c r="J2610" s="808" t="s">
        <v>4867</v>
      </c>
    </row>
    <row r="2611" spans="1:10" ht="38.25" customHeight="1">
      <c r="A2611" s="812" t="s">
        <v>13488</v>
      </c>
      <c r="B2611" s="811" t="s">
        <v>14457</v>
      </c>
      <c r="C2611" s="812" t="s">
        <v>6</v>
      </c>
      <c r="D2611" s="812" t="s">
        <v>2006</v>
      </c>
      <c r="E2611" s="1020" t="s">
        <v>13539</v>
      </c>
      <c r="F2611" s="1020"/>
      <c r="G2611" s="813" t="s">
        <v>28</v>
      </c>
      <c r="H2611" s="814">
        <v>1</v>
      </c>
      <c r="I2611" s="815">
        <v>31.08</v>
      </c>
      <c r="J2611" s="815">
        <v>31.08</v>
      </c>
    </row>
    <row r="2612" spans="1:10" ht="13.5" customHeight="1">
      <c r="A2612" s="817" t="s">
        <v>13491</v>
      </c>
      <c r="B2612" s="816" t="s">
        <v>14458</v>
      </c>
      <c r="C2612" s="817" t="s">
        <v>6</v>
      </c>
      <c r="D2612" s="817" t="s">
        <v>2003</v>
      </c>
      <c r="E2612" s="1021" t="s">
        <v>13539</v>
      </c>
      <c r="F2612" s="1021"/>
      <c r="G2612" s="818" t="s">
        <v>19</v>
      </c>
      <c r="H2612" s="819">
        <v>1</v>
      </c>
      <c r="I2612" s="820">
        <v>0.03</v>
      </c>
      <c r="J2612" s="820">
        <v>0.03</v>
      </c>
    </row>
    <row r="2613" spans="1:10" ht="38.25" customHeight="1">
      <c r="A2613" s="817" t="s">
        <v>13491</v>
      </c>
      <c r="B2613" s="816" t="s">
        <v>14459</v>
      </c>
      <c r="C2613" s="817" t="s">
        <v>6</v>
      </c>
      <c r="D2613" s="817" t="s">
        <v>2002</v>
      </c>
      <c r="E2613" s="1021" t="s">
        <v>13539</v>
      </c>
      <c r="F2613" s="1021"/>
      <c r="G2613" s="818" t="s">
        <v>19</v>
      </c>
      <c r="H2613" s="819">
        <v>1</v>
      </c>
      <c r="I2613" s="820">
        <v>0.26</v>
      </c>
      <c r="J2613" s="820">
        <v>0.26</v>
      </c>
    </row>
    <row r="2614" spans="1:10" ht="38.25" customHeight="1">
      <c r="A2614" s="817" t="s">
        <v>13491</v>
      </c>
      <c r="B2614" s="816" t="s">
        <v>14460</v>
      </c>
      <c r="C2614" s="817" t="s">
        <v>6</v>
      </c>
      <c r="D2614" s="817" t="s">
        <v>2004</v>
      </c>
      <c r="E2614" s="1021" t="s">
        <v>13539</v>
      </c>
      <c r="F2614" s="1021"/>
      <c r="G2614" s="818" t="s">
        <v>19</v>
      </c>
      <c r="H2614" s="819">
        <v>1</v>
      </c>
      <c r="I2614" s="820">
        <v>0.33</v>
      </c>
      <c r="J2614" s="820">
        <v>0.33</v>
      </c>
    </row>
    <row r="2615" spans="1:10" ht="12.75" customHeight="1">
      <c r="A2615" s="817" t="s">
        <v>13491</v>
      </c>
      <c r="B2615" s="816" t="s">
        <v>14461</v>
      </c>
      <c r="C2615" s="817" t="s">
        <v>6</v>
      </c>
      <c r="D2615" s="817" t="s">
        <v>2005</v>
      </c>
      <c r="E2615" s="1021" t="s">
        <v>13539</v>
      </c>
      <c r="F2615" s="1021"/>
      <c r="G2615" s="818" t="s">
        <v>19</v>
      </c>
      <c r="H2615" s="819">
        <v>1</v>
      </c>
      <c r="I2615" s="820">
        <v>30.46</v>
      </c>
      <c r="J2615" s="820">
        <v>30.46</v>
      </c>
    </row>
    <row r="2616" spans="1:10" ht="25.5">
      <c r="A2616" s="827"/>
      <c r="B2616" s="827"/>
      <c r="C2616" s="827"/>
      <c r="D2616" s="827"/>
      <c r="E2616" s="827" t="s">
        <v>13503</v>
      </c>
      <c r="F2616" s="826">
        <v>0</v>
      </c>
      <c r="G2616" s="827" t="s">
        <v>13504</v>
      </c>
      <c r="H2616" s="826">
        <v>0</v>
      </c>
      <c r="I2616" s="827" t="s">
        <v>13505</v>
      </c>
      <c r="J2616" s="826">
        <v>0</v>
      </c>
    </row>
    <row r="2617" spans="1:10" ht="13.5" customHeight="1" thickBot="1">
      <c r="A2617" s="827"/>
      <c r="B2617" s="827"/>
      <c r="C2617" s="827"/>
      <c r="D2617" s="827"/>
      <c r="E2617" s="827" t="s">
        <v>13506</v>
      </c>
      <c r="F2617" s="826">
        <v>8.77</v>
      </c>
      <c r="G2617" s="827"/>
      <c r="H2617" s="1018" t="s">
        <v>13507</v>
      </c>
      <c r="I2617" s="1018"/>
      <c r="J2617" s="826">
        <v>39.85</v>
      </c>
    </row>
    <row r="2618" spans="1:10" ht="13.5" thickTop="1">
      <c r="A2618" s="828"/>
      <c r="B2618" s="828"/>
      <c r="C2618" s="828"/>
      <c r="D2618" s="828"/>
      <c r="E2618" s="828"/>
      <c r="F2618" s="828"/>
      <c r="G2618" s="828"/>
      <c r="H2618" s="828"/>
      <c r="I2618" s="828"/>
      <c r="J2618" s="828"/>
    </row>
    <row r="2619" spans="1:10" ht="25.5" customHeight="1">
      <c r="A2619" s="809" t="s">
        <v>14447</v>
      </c>
      <c r="B2619" s="808" t="s">
        <v>13481</v>
      </c>
      <c r="C2619" s="809" t="s">
        <v>13482</v>
      </c>
      <c r="D2619" s="809" t="s">
        <v>13483</v>
      </c>
      <c r="E2619" s="1019" t="s">
        <v>13484</v>
      </c>
      <c r="F2619" s="1019"/>
      <c r="G2619" s="810" t="s">
        <v>13485</v>
      </c>
      <c r="H2619" s="808" t="s">
        <v>13486</v>
      </c>
      <c r="I2619" s="808" t="s">
        <v>13487</v>
      </c>
      <c r="J2619" s="808" t="s">
        <v>4867</v>
      </c>
    </row>
    <row r="2620" spans="1:10" ht="38.25" customHeight="1">
      <c r="A2620" s="812" t="s">
        <v>13488</v>
      </c>
      <c r="B2620" s="811" t="s">
        <v>13592</v>
      </c>
      <c r="C2620" s="812" t="s">
        <v>6</v>
      </c>
      <c r="D2620" s="812" t="s">
        <v>66</v>
      </c>
      <c r="E2620" s="1020" t="s">
        <v>13539</v>
      </c>
      <c r="F2620" s="1020"/>
      <c r="G2620" s="813" t="s">
        <v>42</v>
      </c>
      <c r="H2620" s="814">
        <v>1</v>
      </c>
      <c r="I2620" s="815">
        <v>13.93</v>
      </c>
      <c r="J2620" s="815">
        <v>13.93</v>
      </c>
    </row>
    <row r="2621" spans="1:10" ht="38.25" customHeight="1">
      <c r="A2621" s="817" t="s">
        <v>13491</v>
      </c>
      <c r="B2621" s="816" t="s">
        <v>14455</v>
      </c>
      <c r="C2621" s="817" t="s">
        <v>6</v>
      </c>
      <c r="D2621" s="817" t="s">
        <v>2453</v>
      </c>
      <c r="E2621" s="1021" t="s">
        <v>13539</v>
      </c>
      <c r="F2621" s="1021"/>
      <c r="G2621" s="818" t="s">
        <v>19</v>
      </c>
      <c r="H2621" s="819">
        <v>1</v>
      </c>
      <c r="I2621" s="820">
        <v>1.61</v>
      </c>
      <c r="J2621" s="820">
        <v>1.61</v>
      </c>
    </row>
    <row r="2622" spans="1:10" ht="38.25" customHeight="1">
      <c r="A2622" s="817" t="s">
        <v>13491</v>
      </c>
      <c r="B2622" s="816" t="s">
        <v>14454</v>
      </c>
      <c r="C2622" s="817" t="s">
        <v>6</v>
      </c>
      <c r="D2622" s="817" t="s">
        <v>2454</v>
      </c>
      <c r="E2622" s="1021" t="s">
        <v>13539</v>
      </c>
      <c r="F2622" s="1021"/>
      <c r="G2622" s="818" t="s">
        <v>19</v>
      </c>
      <c r="H2622" s="819">
        <v>1</v>
      </c>
      <c r="I2622" s="820">
        <v>0.19</v>
      </c>
      <c r="J2622" s="820">
        <v>0.19</v>
      </c>
    </row>
    <row r="2623" spans="1:10" ht="25.5">
      <c r="A2623" s="817" t="s">
        <v>13491</v>
      </c>
      <c r="B2623" s="816" t="s">
        <v>14456</v>
      </c>
      <c r="C2623" s="817" t="s">
        <v>6</v>
      </c>
      <c r="D2623" s="817" t="s">
        <v>147</v>
      </c>
      <c r="E2623" s="1021" t="s">
        <v>13490</v>
      </c>
      <c r="F2623" s="1021"/>
      <c r="G2623" s="818" t="s">
        <v>19</v>
      </c>
      <c r="H2623" s="819">
        <v>1</v>
      </c>
      <c r="I2623" s="820">
        <v>12.13</v>
      </c>
      <c r="J2623" s="820">
        <v>12.13</v>
      </c>
    </row>
    <row r="2624" spans="1:10" ht="25.5">
      <c r="A2624" s="827"/>
      <c r="B2624" s="827"/>
      <c r="C2624" s="827"/>
      <c r="D2624" s="827"/>
      <c r="E2624" s="827" t="s">
        <v>13503</v>
      </c>
      <c r="F2624" s="826">
        <v>8.2899999999999991</v>
      </c>
      <c r="G2624" s="827" t="s">
        <v>13504</v>
      </c>
      <c r="H2624" s="826">
        <v>0</v>
      </c>
      <c r="I2624" s="827" t="s">
        <v>13505</v>
      </c>
      <c r="J2624" s="826">
        <v>8.2899999999999991</v>
      </c>
    </row>
    <row r="2625" spans="1:10" ht="13.5" customHeight="1" thickBot="1">
      <c r="A2625" s="827"/>
      <c r="B2625" s="827"/>
      <c r="C2625" s="827"/>
      <c r="D2625" s="827"/>
      <c r="E2625" s="827" t="s">
        <v>13506</v>
      </c>
      <c r="F2625" s="826">
        <v>3.93</v>
      </c>
      <c r="G2625" s="827"/>
      <c r="H2625" s="1018" t="s">
        <v>13507</v>
      </c>
      <c r="I2625" s="1018"/>
      <c r="J2625" s="826">
        <v>17.86</v>
      </c>
    </row>
    <row r="2626" spans="1:10" ht="13.5" thickTop="1">
      <c r="A2626" s="828"/>
      <c r="B2626" s="828"/>
      <c r="C2626" s="828"/>
      <c r="D2626" s="828"/>
      <c r="E2626" s="828"/>
      <c r="F2626" s="828"/>
      <c r="G2626" s="828"/>
      <c r="H2626" s="828"/>
      <c r="I2626" s="828"/>
      <c r="J2626" s="828"/>
    </row>
    <row r="2627" spans="1:10" ht="13.5" customHeight="1">
      <c r="A2627" s="809" t="s">
        <v>14447</v>
      </c>
      <c r="B2627" s="808" t="s">
        <v>13481</v>
      </c>
      <c r="C2627" s="809" t="s">
        <v>13482</v>
      </c>
      <c r="D2627" s="809" t="s">
        <v>13483</v>
      </c>
      <c r="E2627" s="1019" t="s">
        <v>13484</v>
      </c>
      <c r="F2627" s="1019"/>
      <c r="G2627" s="810" t="s">
        <v>13485</v>
      </c>
      <c r="H2627" s="808" t="s">
        <v>13486</v>
      </c>
      <c r="I2627" s="808" t="s">
        <v>13487</v>
      </c>
      <c r="J2627" s="808" t="s">
        <v>4867</v>
      </c>
    </row>
    <row r="2628" spans="1:10" ht="38.25" customHeight="1">
      <c r="A2628" s="812" t="s">
        <v>13488</v>
      </c>
      <c r="B2628" s="811" t="s">
        <v>13611</v>
      </c>
      <c r="C2628" s="812" t="s">
        <v>6</v>
      </c>
      <c r="D2628" s="812" t="s">
        <v>678</v>
      </c>
      <c r="E2628" s="1020" t="s">
        <v>13539</v>
      </c>
      <c r="F2628" s="1020"/>
      <c r="G2628" s="813" t="s">
        <v>42</v>
      </c>
      <c r="H2628" s="814">
        <v>1</v>
      </c>
      <c r="I2628" s="815">
        <v>40.15</v>
      </c>
      <c r="J2628" s="815">
        <v>40.15</v>
      </c>
    </row>
    <row r="2629" spans="1:10" ht="38.25" customHeight="1">
      <c r="A2629" s="817" t="s">
        <v>13491</v>
      </c>
      <c r="B2629" s="816" t="s">
        <v>14450</v>
      </c>
      <c r="C2629" s="817" t="s">
        <v>6</v>
      </c>
      <c r="D2629" s="817" t="s">
        <v>1060</v>
      </c>
      <c r="E2629" s="1021" t="s">
        <v>13539</v>
      </c>
      <c r="F2629" s="1021"/>
      <c r="G2629" s="818" t="s">
        <v>19</v>
      </c>
      <c r="H2629" s="819">
        <v>1</v>
      </c>
      <c r="I2629" s="820">
        <v>2.68</v>
      </c>
      <c r="J2629" s="820">
        <v>2.68</v>
      </c>
    </row>
    <row r="2630" spans="1:10" ht="38.25" customHeight="1">
      <c r="A2630" s="817" t="s">
        <v>13491</v>
      </c>
      <c r="B2630" s="816" t="s">
        <v>14451</v>
      </c>
      <c r="C2630" s="817" t="s">
        <v>6</v>
      </c>
      <c r="D2630" s="817" t="s">
        <v>1059</v>
      </c>
      <c r="E2630" s="1021" t="s">
        <v>13539</v>
      </c>
      <c r="F2630" s="1021"/>
      <c r="G2630" s="818" t="s">
        <v>19</v>
      </c>
      <c r="H2630" s="819">
        <v>1</v>
      </c>
      <c r="I2630" s="820">
        <v>19.78</v>
      </c>
      <c r="J2630" s="820">
        <v>19.78</v>
      </c>
    </row>
    <row r="2631" spans="1:10" ht="38.25" customHeight="1">
      <c r="A2631" s="817" t="s">
        <v>13491</v>
      </c>
      <c r="B2631" s="816" t="s">
        <v>14452</v>
      </c>
      <c r="C2631" s="817" t="s">
        <v>6</v>
      </c>
      <c r="D2631" s="817" t="s">
        <v>143</v>
      </c>
      <c r="E2631" s="1021" t="s">
        <v>13490</v>
      </c>
      <c r="F2631" s="1021"/>
      <c r="G2631" s="818" t="s">
        <v>19</v>
      </c>
      <c r="H2631" s="819">
        <v>1</v>
      </c>
      <c r="I2631" s="820">
        <v>17.690000000000001</v>
      </c>
      <c r="J2631" s="820">
        <v>17.690000000000001</v>
      </c>
    </row>
    <row r="2632" spans="1:10" ht="25.5">
      <c r="A2632" s="827"/>
      <c r="B2632" s="827"/>
      <c r="C2632" s="827"/>
      <c r="D2632" s="827"/>
      <c r="E2632" s="827" t="s">
        <v>13503</v>
      </c>
      <c r="F2632" s="826">
        <v>13.85</v>
      </c>
      <c r="G2632" s="827" t="s">
        <v>13504</v>
      </c>
      <c r="H2632" s="826">
        <v>0</v>
      </c>
      <c r="I2632" s="827" t="s">
        <v>13505</v>
      </c>
      <c r="J2632" s="826">
        <v>13.85</v>
      </c>
    </row>
    <row r="2633" spans="1:10" ht="13.5" customHeight="1" thickBot="1">
      <c r="A2633" s="827"/>
      <c r="B2633" s="827"/>
      <c r="C2633" s="827"/>
      <c r="D2633" s="827"/>
      <c r="E2633" s="827" t="s">
        <v>13506</v>
      </c>
      <c r="F2633" s="826">
        <v>11.33</v>
      </c>
      <c r="G2633" s="827"/>
      <c r="H2633" s="1018" t="s">
        <v>13507</v>
      </c>
      <c r="I2633" s="1018"/>
      <c r="J2633" s="826">
        <v>51.48</v>
      </c>
    </row>
    <row r="2634" spans="1:10" ht="13.5" thickTop="1">
      <c r="A2634" s="828"/>
      <c r="B2634" s="828"/>
      <c r="C2634" s="828"/>
      <c r="D2634" s="828"/>
      <c r="E2634" s="828"/>
      <c r="F2634" s="828"/>
      <c r="G2634" s="828"/>
      <c r="H2634" s="828"/>
      <c r="I2634" s="828"/>
      <c r="J2634" s="828"/>
    </row>
    <row r="2635" spans="1:10" ht="45" customHeight="1">
      <c r="A2635" s="809" t="s">
        <v>14447</v>
      </c>
      <c r="B2635" s="808" t="s">
        <v>13481</v>
      </c>
      <c r="C2635" s="809" t="s">
        <v>13482</v>
      </c>
      <c r="D2635" s="809" t="s">
        <v>13483</v>
      </c>
      <c r="E2635" s="1019" t="s">
        <v>13484</v>
      </c>
      <c r="F2635" s="1019"/>
      <c r="G2635" s="810" t="s">
        <v>13485</v>
      </c>
      <c r="H2635" s="808" t="s">
        <v>13486</v>
      </c>
      <c r="I2635" s="808" t="s">
        <v>13487</v>
      </c>
      <c r="J2635" s="808" t="s">
        <v>4867</v>
      </c>
    </row>
    <row r="2636" spans="1:10" ht="51" customHeight="1">
      <c r="A2636" s="812" t="s">
        <v>13488</v>
      </c>
      <c r="B2636" s="811" t="s">
        <v>14462</v>
      </c>
      <c r="C2636" s="812" t="s">
        <v>6</v>
      </c>
      <c r="D2636" s="812" t="s">
        <v>3588</v>
      </c>
      <c r="E2636" s="1020" t="s">
        <v>13539</v>
      </c>
      <c r="F2636" s="1020"/>
      <c r="G2636" s="813" t="s">
        <v>19</v>
      </c>
      <c r="H2636" s="814">
        <v>1</v>
      </c>
      <c r="I2636" s="815">
        <v>190.06</v>
      </c>
      <c r="J2636" s="815">
        <v>190.06</v>
      </c>
    </row>
    <row r="2637" spans="1:10" ht="13.5" customHeight="1">
      <c r="A2637" s="822" t="s">
        <v>13493</v>
      </c>
      <c r="B2637" s="821" t="s">
        <v>14463</v>
      </c>
      <c r="C2637" s="822" t="s">
        <v>6</v>
      </c>
      <c r="D2637" s="822" t="s">
        <v>4725</v>
      </c>
      <c r="E2637" s="1017" t="s">
        <v>13514</v>
      </c>
      <c r="F2637" s="1017"/>
      <c r="G2637" s="823" t="s">
        <v>39</v>
      </c>
      <c r="H2637" s="824">
        <v>32.159999999999997</v>
      </c>
      <c r="I2637" s="825">
        <v>5.91</v>
      </c>
      <c r="J2637" s="825">
        <v>190.06</v>
      </c>
    </row>
    <row r="2638" spans="1:10" ht="25.5">
      <c r="A2638" s="827"/>
      <c r="B2638" s="827"/>
      <c r="C2638" s="827"/>
      <c r="D2638" s="827"/>
      <c r="E2638" s="827" t="s">
        <v>13503</v>
      </c>
      <c r="F2638" s="826">
        <v>0</v>
      </c>
      <c r="G2638" s="827" t="s">
        <v>13504</v>
      </c>
      <c r="H2638" s="826">
        <v>0</v>
      </c>
      <c r="I2638" s="827" t="s">
        <v>13505</v>
      </c>
      <c r="J2638" s="826">
        <v>0</v>
      </c>
    </row>
    <row r="2639" spans="1:10" ht="13.5" customHeight="1" thickBot="1">
      <c r="A2639" s="827"/>
      <c r="B2639" s="827"/>
      <c r="C2639" s="827"/>
      <c r="D2639" s="827"/>
      <c r="E2639" s="827" t="s">
        <v>13506</v>
      </c>
      <c r="F2639" s="826">
        <v>53.67</v>
      </c>
      <c r="G2639" s="827"/>
      <c r="H2639" s="1018" t="s">
        <v>13507</v>
      </c>
      <c r="I2639" s="1018"/>
      <c r="J2639" s="826">
        <v>243.73</v>
      </c>
    </row>
    <row r="2640" spans="1:10" ht="12.75" customHeight="1" thickTop="1">
      <c r="A2640" s="828"/>
      <c r="B2640" s="828"/>
      <c r="C2640" s="828"/>
      <c r="D2640" s="828"/>
      <c r="E2640" s="828"/>
      <c r="F2640" s="828"/>
      <c r="G2640" s="828"/>
      <c r="H2640" s="828"/>
      <c r="I2640" s="828"/>
      <c r="J2640" s="828"/>
    </row>
    <row r="2641" spans="1:10" ht="45" customHeight="1">
      <c r="A2641" s="809" t="s">
        <v>14447</v>
      </c>
      <c r="B2641" s="808" t="s">
        <v>13481</v>
      </c>
      <c r="C2641" s="809" t="s">
        <v>13482</v>
      </c>
      <c r="D2641" s="809" t="s">
        <v>13483</v>
      </c>
      <c r="E2641" s="1019" t="s">
        <v>13484</v>
      </c>
      <c r="F2641" s="1019"/>
      <c r="G2641" s="810" t="s">
        <v>13485</v>
      </c>
      <c r="H2641" s="808" t="s">
        <v>13486</v>
      </c>
      <c r="I2641" s="808" t="s">
        <v>13487</v>
      </c>
      <c r="J2641" s="808" t="s">
        <v>4867</v>
      </c>
    </row>
    <row r="2642" spans="1:10" ht="25.5" customHeight="1">
      <c r="A2642" s="812" t="s">
        <v>13488</v>
      </c>
      <c r="B2642" s="811" t="s">
        <v>14471</v>
      </c>
      <c r="C2642" s="812" t="s">
        <v>6</v>
      </c>
      <c r="D2642" s="812" t="s">
        <v>7521</v>
      </c>
      <c r="E2642" s="1020" t="s">
        <v>13542</v>
      </c>
      <c r="F2642" s="1020"/>
      <c r="G2642" s="813" t="s">
        <v>13543</v>
      </c>
      <c r="H2642" s="814">
        <v>1</v>
      </c>
      <c r="I2642" s="815">
        <v>646.91</v>
      </c>
      <c r="J2642" s="815">
        <v>646.91</v>
      </c>
    </row>
    <row r="2643" spans="1:10" ht="38.25" customHeight="1">
      <c r="A2643" s="817" t="s">
        <v>13491</v>
      </c>
      <c r="B2643" s="816" t="s">
        <v>13662</v>
      </c>
      <c r="C2643" s="817" t="s">
        <v>6</v>
      </c>
      <c r="D2643" s="817" t="s">
        <v>1600</v>
      </c>
      <c r="E2643" s="1021" t="s">
        <v>13539</v>
      </c>
      <c r="F2643" s="1021"/>
      <c r="G2643" s="818" t="s">
        <v>28</v>
      </c>
      <c r="H2643" s="819">
        <v>5.2999999999999999E-2</v>
      </c>
      <c r="I2643" s="820">
        <v>1.22</v>
      </c>
      <c r="J2643" s="820">
        <v>0.06</v>
      </c>
    </row>
    <row r="2644" spans="1:10" ht="38.25" customHeight="1">
      <c r="A2644" s="817" t="s">
        <v>13491</v>
      </c>
      <c r="B2644" s="816" t="s">
        <v>13663</v>
      </c>
      <c r="C2644" s="817" t="s">
        <v>6</v>
      </c>
      <c r="D2644" s="817" t="s">
        <v>1601</v>
      </c>
      <c r="E2644" s="1021" t="s">
        <v>13539</v>
      </c>
      <c r="F2644" s="1021"/>
      <c r="G2644" s="818" t="s">
        <v>42</v>
      </c>
      <c r="H2644" s="819">
        <v>4.9000000000000002E-2</v>
      </c>
      <c r="I2644" s="820">
        <v>0.44</v>
      </c>
      <c r="J2644" s="820">
        <v>0.02</v>
      </c>
    </row>
    <row r="2645" spans="1:10" ht="12.75" customHeight="1">
      <c r="A2645" s="817" t="s">
        <v>13491</v>
      </c>
      <c r="B2645" s="816" t="s">
        <v>13577</v>
      </c>
      <c r="C2645" s="817" t="s">
        <v>6</v>
      </c>
      <c r="D2645" s="817" t="s">
        <v>31</v>
      </c>
      <c r="E2645" s="1021" t="s">
        <v>13490</v>
      </c>
      <c r="F2645" s="1021"/>
      <c r="G2645" s="818" t="s">
        <v>19</v>
      </c>
      <c r="H2645" s="819">
        <v>0.41099999999999998</v>
      </c>
      <c r="I2645" s="820">
        <v>18.86</v>
      </c>
      <c r="J2645" s="820">
        <v>7.75</v>
      </c>
    </row>
    <row r="2646" spans="1:10" ht="12.75" customHeight="1">
      <c r="A2646" s="817" t="s">
        <v>13491</v>
      </c>
      <c r="B2646" s="816" t="s">
        <v>13553</v>
      </c>
      <c r="C2646" s="817" t="s">
        <v>6</v>
      </c>
      <c r="D2646" s="817" t="s">
        <v>21</v>
      </c>
      <c r="E2646" s="1021" t="s">
        <v>13490</v>
      </c>
      <c r="F2646" s="1021"/>
      <c r="G2646" s="818" t="s">
        <v>19</v>
      </c>
      <c r="H2646" s="819">
        <v>0.41099999999999998</v>
      </c>
      <c r="I2646" s="820">
        <v>15.16</v>
      </c>
      <c r="J2646" s="820">
        <v>6.23</v>
      </c>
    </row>
    <row r="2647" spans="1:10" ht="38.25">
      <c r="A2647" s="822" t="s">
        <v>13493</v>
      </c>
      <c r="B2647" s="821" t="s">
        <v>14472</v>
      </c>
      <c r="C2647" s="822" t="s">
        <v>6</v>
      </c>
      <c r="D2647" s="822" t="s">
        <v>4629</v>
      </c>
      <c r="E2647" s="1017" t="s">
        <v>13514</v>
      </c>
      <c r="F2647" s="1017"/>
      <c r="G2647" s="823" t="s">
        <v>13543</v>
      </c>
      <c r="H2647" s="824">
        <v>1.06</v>
      </c>
      <c r="I2647" s="825">
        <v>597.03</v>
      </c>
      <c r="J2647" s="825">
        <v>632.85</v>
      </c>
    </row>
    <row r="2648" spans="1:10" ht="25.5">
      <c r="A2648" s="827"/>
      <c r="B2648" s="827"/>
      <c r="C2648" s="827"/>
      <c r="D2648" s="827"/>
      <c r="E2648" s="827" t="s">
        <v>13503</v>
      </c>
      <c r="F2648" s="826">
        <v>9.99</v>
      </c>
      <c r="G2648" s="827" t="s">
        <v>13504</v>
      </c>
      <c r="H2648" s="826">
        <v>0</v>
      </c>
      <c r="I2648" s="827" t="s">
        <v>13505</v>
      </c>
      <c r="J2648" s="826">
        <v>9.99</v>
      </c>
    </row>
    <row r="2649" spans="1:10" ht="13.5" customHeight="1" thickBot="1">
      <c r="A2649" s="827"/>
      <c r="B2649" s="827"/>
      <c r="C2649" s="827"/>
      <c r="D2649" s="827"/>
      <c r="E2649" s="827" t="s">
        <v>13506</v>
      </c>
      <c r="F2649" s="826">
        <v>182.68</v>
      </c>
      <c r="G2649" s="827"/>
      <c r="H2649" s="1018" t="s">
        <v>13507</v>
      </c>
      <c r="I2649" s="1018"/>
      <c r="J2649" s="826">
        <v>829.59</v>
      </c>
    </row>
    <row r="2650" spans="1:10" ht="13.5" customHeight="1" thickTop="1">
      <c r="A2650" s="828"/>
      <c r="B2650" s="828"/>
      <c r="C2650" s="828"/>
      <c r="D2650" s="828"/>
      <c r="E2650" s="828"/>
      <c r="F2650" s="828"/>
      <c r="G2650" s="828"/>
      <c r="H2650" s="828"/>
      <c r="I2650" s="828"/>
      <c r="J2650" s="828"/>
    </row>
    <row r="2651" spans="1:10" ht="45" customHeight="1">
      <c r="A2651" s="809" t="s">
        <v>14447</v>
      </c>
      <c r="B2651" s="808" t="s">
        <v>13481</v>
      </c>
      <c r="C2651" s="809" t="s">
        <v>13482</v>
      </c>
      <c r="D2651" s="809" t="s">
        <v>13483</v>
      </c>
      <c r="E2651" s="1019" t="s">
        <v>13484</v>
      </c>
      <c r="F2651" s="1019"/>
      <c r="G2651" s="810" t="s">
        <v>13485</v>
      </c>
      <c r="H2651" s="808" t="s">
        <v>13486</v>
      </c>
      <c r="I2651" s="808" t="s">
        <v>13487</v>
      </c>
      <c r="J2651" s="808" t="s">
        <v>4867</v>
      </c>
    </row>
    <row r="2652" spans="1:10" ht="25.5" customHeight="1">
      <c r="A2652" s="812" t="s">
        <v>13488</v>
      </c>
      <c r="B2652" s="811" t="s">
        <v>14467</v>
      </c>
      <c r="C2652" s="812" t="s">
        <v>6</v>
      </c>
      <c r="D2652" s="812" t="s">
        <v>6471</v>
      </c>
      <c r="E2652" s="1020" t="s">
        <v>13542</v>
      </c>
      <c r="F2652" s="1020"/>
      <c r="G2652" s="813" t="s">
        <v>13537</v>
      </c>
      <c r="H2652" s="814">
        <v>1</v>
      </c>
      <c r="I2652" s="815">
        <v>14.82</v>
      </c>
      <c r="J2652" s="815">
        <v>14.82</v>
      </c>
    </row>
    <row r="2653" spans="1:10" ht="25.5" customHeight="1">
      <c r="A2653" s="817" t="s">
        <v>13491</v>
      </c>
      <c r="B2653" s="816" t="s">
        <v>13633</v>
      </c>
      <c r="C2653" s="817" t="s">
        <v>6</v>
      </c>
      <c r="D2653" s="817" t="s">
        <v>6580</v>
      </c>
      <c r="E2653" s="1021" t="s">
        <v>13542</v>
      </c>
      <c r="F2653" s="1021"/>
      <c r="G2653" s="818" t="s">
        <v>13543</v>
      </c>
      <c r="H2653" s="819">
        <v>3.39E-2</v>
      </c>
      <c r="I2653" s="820">
        <v>327.08999999999997</v>
      </c>
      <c r="J2653" s="820">
        <v>11.08</v>
      </c>
    </row>
    <row r="2654" spans="1:10" ht="25.5" customHeight="1">
      <c r="A2654" s="817" t="s">
        <v>13491</v>
      </c>
      <c r="B2654" s="816" t="s">
        <v>13553</v>
      </c>
      <c r="C2654" s="817" t="s">
        <v>6</v>
      </c>
      <c r="D2654" s="817" t="s">
        <v>21</v>
      </c>
      <c r="E2654" s="1021" t="s">
        <v>13490</v>
      </c>
      <c r="F2654" s="1021"/>
      <c r="G2654" s="818" t="s">
        <v>19</v>
      </c>
      <c r="H2654" s="819">
        <v>4.4400000000000002E-2</v>
      </c>
      <c r="I2654" s="820">
        <v>15.16</v>
      </c>
      <c r="J2654" s="820">
        <v>0.67</v>
      </c>
    </row>
    <row r="2655" spans="1:10" ht="38.25" customHeight="1">
      <c r="A2655" s="817" t="s">
        <v>13491</v>
      </c>
      <c r="B2655" s="816" t="s">
        <v>13577</v>
      </c>
      <c r="C2655" s="817" t="s">
        <v>6</v>
      </c>
      <c r="D2655" s="817" t="s">
        <v>31</v>
      </c>
      <c r="E2655" s="1021" t="s">
        <v>13490</v>
      </c>
      <c r="F2655" s="1021"/>
      <c r="G2655" s="818" t="s">
        <v>19</v>
      </c>
      <c r="H2655" s="819">
        <v>0.16309999999999999</v>
      </c>
      <c r="I2655" s="820">
        <v>18.86</v>
      </c>
      <c r="J2655" s="820">
        <v>3.07</v>
      </c>
    </row>
    <row r="2656" spans="1:10" ht="13.5" customHeight="1">
      <c r="A2656" s="827"/>
      <c r="B2656" s="827"/>
      <c r="C2656" s="827"/>
      <c r="D2656" s="827"/>
      <c r="E2656" s="827" t="s">
        <v>13503</v>
      </c>
      <c r="F2656" s="826">
        <v>3.91</v>
      </c>
      <c r="G2656" s="827" t="s">
        <v>13504</v>
      </c>
      <c r="H2656" s="826">
        <v>0</v>
      </c>
      <c r="I2656" s="827" t="s">
        <v>13505</v>
      </c>
      <c r="J2656" s="826">
        <v>3.91</v>
      </c>
    </row>
    <row r="2657" spans="1:10" ht="38.25" customHeight="1" thickBot="1">
      <c r="A2657" s="827"/>
      <c r="B2657" s="827"/>
      <c r="C2657" s="827"/>
      <c r="D2657" s="827"/>
      <c r="E2657" s="827" t="s">
        <v>13506</v>
      </c>
      <c r="F2657" s="826">
        <v>4.18</v>
      </c>
      <c r="G2657" s="827"/>
      <c r="H2657" s="1018" t="s">
        <v>13507</v>
      </c>
      <c r="I2657" s="1018"/>
      <c r="J2657" s="826">
        <v>19</v>
      </c>
    </row>
    <row r="2658" spans="1:10" ht="13.5" thickTop="1">
      <c r="A2658" s="828"/>
      <c r="B2658" s="828"/>
      <c r="C2658" s="828"/>
      <c r="D2658" s="828"/>
      <c r="E2658" s="828"/>
      <c r="F2658" s="828"/>
      <c r="G2658" s="828"/>
      <c r="H2658" s="828"/>
      <c r="I2658" s="828"/>
      <c r="J2658" s="828"/>
    </row>
    <row r="2659" spans="1:10" ht="25.5" customHeight="1">
      <c r="A2659" s="809" t="s">
        <v>14447</v>
      </c>
      <c r="B2659" s="808" t="s">
        <v>13481</v>
      </c>
      <c r="C2659" s="809" t="s">
        <v>13482</v>
      </c>
      <c r="D2659" s="809" t="s">
        <v>13483</v>
      </c>
      <c r="E2659" s="1019" t="s">
        <v>13484</v>
      </c>
      <c r="F2659" s="1019"/>
      <c r="G2659" s="810" t="s">
        <v>13485</v>
      </c>
      <c r="H2659" s="808" t="s">
        <v>13486</v>
      </c>
      <c r="I2659" s="808" t="s">
        <v>13487</v>
      </c>
      <c r="J2659" s="808" t="s">
        <v>4867</v>
      </c>
    </row>
    <row r="2660" spans="1:10" ht="38.25">
      <c r="A2660" s="812" t="s">
        <v>13488</v>
      </c>
      <c r="B2660" s="811" t="s">
        <v>14464</v>
      </c>
      <c r="C2660" s="812" t="s">
        <v>6</v>
      </c>
      <c r="D2660" s="812" t="s">
        <v>7513</v>
      </c>
      <c r="E2660" s="1020" t="s">
        <v>13542</v>
      </c>
      <c r="F2660" s="1020"/>
      <c r="G2660" s="813" t="s">
        <v>13537</v>
      </c>
      <c r="H2660" s="814">
        <v>1</v>
      </c>
      <c r="I2660" s="815">
        <v>94.25</v>
      </c>
      <c r="J2660" s="815">
        <v>94.25</v>
      </c>
    </row>
    <row r="2661" spans="1:10" ht="12.75" customHeight="1">
      <c r="A2661" s="817" t="s">
        <v>13491</v>
      </c>
      <c r="B2661" s="816" t="s">
        <v>13544</v>
      </c>
      <c r="C2661" s="817" t="s">
        <v>6</v>
      </c>
      <c r="D2661" s="817" t="s">
        <v>29</v>
      </c>
      <c r="E2661" s="1021" t="s">
        <v>13490</v>
      </c>
      <c r="F2661" s="1021"/>
      <c r="G2661" s="818" t="s">
        <v>19</v>
      </c>
      <c r="H2661" s="819">
        <v>1.444</v>
      </c>
      <c r="I2661" s="820">
        <v>15.96</v>
      </c>
      <c r="J2661" s="820">
        <v>23.04</v>
      </c>
    </row>
    <row r="2662" spans="1:10" ht="13.5" customHeight="1">
      <c r="A2662" s="817" t="s">
        <v>13491</v>
      </c>
      <c r="B2662" s="816" t="s">
        <v>13545</v>
      </c>
      <c r="C2662" s="817" t="s">
        <v>6</v>
      </c>
      <c r="D2662" s="817" t="s">
        <v>30</v>
      </c>
      <c r="E2662" s="1021" t="s">
        <v>13490</v>
      </c>
      <c r="F2662" s="1021"/>
      <c r="G2662" s="818" t="s">
        <v>19</v>
      </c>
      <c r="H2662" s="819">
        <v>2.3570000000000002</v>
      </c>
      <c r="I2662" s="820">
        <v>18.63</v>
      </c>
      <c r="J2662" s="820">
        <v>43.91</v>
      </c>
    </row>
    <row r="2663" spans="1:10" ht="38.25" customHeight="1">
      <c r="A2663" s="822" t="s">
        <v>13493</v>
      </c>
      <c r="B2663" s="821" t="s">
        <v>13646</v>
      </c>
      <c r="C2663" s="822" t="s">
        <v>6</v>
      </c>
      <c r="D2663" s="822" t="s">
        <v>4636</v>
      </c>
      <c r="E2663" s="1017" t="s">
        <v>13514</v>
      </c>
      <c r="F2663" s="1017"/>
      <c r="G2663" s="823" t="s">
        <v>39</v>
      </c>
      <c r="H2663" s="824">
        <v>1.7000000000000001E-2</v>
      </c>
      <c r="I2663" s="825">
        <v>5.24</v>
      </c>
      <c r="J2663" s="825">
        <v>0.08</v>
      </c>
    </row>
    <row r="2664" spans="1:10" ht="38.25" customHeight="1">
      <c r="A2664" s="822" t="s">
        <v>13493</v>
      </c>
      <c r="B2664" s="821" t="s">
        <v>13686</v>
      </c>
      <c r="C2664" s="822" t="s">
        <v>6</v>
      </c>
      <c r="D2664" s="822" t="s">
        <v>6138</v>
      </c>
      <c r="E2664" s="1017" t="s">
        <v>13514</v>
      </c>
      <c r="F2664" s="1017"/>
      <c r="G2664" s="823" t="s">
        <v>14</v>
      </c>
      <c r="H2664" s="824">
        <v>0.37</v>
      </c>
      <c r="I2664" s="825">
        <v>8.98</v>
      </c>
      <c r="J2664" s="825">
        <v>3.32</v>
      </c>
    </row>
    <row r="2665" spans="1:10" ht="25.5" customHeight="1">
      <c r="A2665" s="822" t="s">
        <v>13493</v>
      </c>
      <c r="B2665" s="821" t="s">
        <v>14465</v>
      </c>
      <c r="C2665" s="822" t="s">
        <v>6</v>
      </c>
      <c r="D2665" s="822" t="s">
        <v>4762</v>
      </c>
      <c r="E2665" s="1017" t="s">
        <v>13514</v>
      </c>
      <c r="F2665" s="1017"/>
      <c r="G2665" s="823" t="s">
        <v>16</v>
      </c>
      <c r="H2665" s="824">
        <v>9.5000000000000001E-2</v>
      </c>
      <c r="I2665" s="825">
        <v>23.76</v>
      </c>
      <c r="J2665" s="825">
        <v>2.25</v>
      </c>
    </row>
    <row r="2666" spans="1:10" ht="38.25" customHeight="1">
      <c r="A2666" s="822" t="s">
        <v>13493</v>
      </c>
      <c r="B2666" s="821" t="s">
        <v>13650</v>
      </c>
      <c r="C2666" s="822" t="s">
        <v>6</v>
      </c>
      <c r="D2666" s="822" t="s">
        <v>6139</v>
      </c>
      <c r="E2666" s="1017" t="s">
        <v>13514</v>
      </c>
      <c r="F2666" s="1017"/>
      <c r="G2666" s="823" t="s">
        <v>14</v>
      </c>
      <c r="H2666" s="824">
        <v>0.44</v>
      </c>
      <c r="I2666" s="825">
        <v>3.14</v>
      </c>
      <c r="J2666" s="825">
        <v>1.38</v>
      </c>
    </row>
    <row r="2667" spans="1:10" ht="25.5">
      <c r="A2667" s="822" t="s">
        <v>13493</v>
      </c>
      <c r="B2667" s="821" t="s">
        <v>14466</v>
      </c>
      <c r="C2667" s="822" t="s">
        <v>6</v>
      </c>
      <c r="D2667" s="822" t="s">
        <v>12274</v>
      </c>
      <c r="E2667" s="1017" t="s">
        <v>13514</v>
      </c>
      <c r="F2667" s="1017"/>
      <c r="G2667" s="823" t="s">
        <v>14</v>
      </c>
      <c r="H2667" s="824">
        <v>1.38</v>
      </c>
      <c r="I2667" s="825">
        <v>14.69</v>
      </c>
      <c r="J2667" s="825">
        <v>20.27</v>
      </c>
    </row>
    <row r="2668" spans="1:10" ht="13.5" customHeight="1">
      <c r="A2668" s="827"/>
      <c r="B2668" s="827"/>
      <c r="C2668" s="827"/>
      <c r="D2668" s="827"/>
      <c r="E2668" s="827" t="s">
        <v>13503</v>
      </c>
      <c r="F2668" s="826">
        <v>48.78</v>
      </c>
      <c r="G2668" s="827" t="s">
        <v>13504</v>
      </c>
      <c r="H2668" s="826">
        <v>0</v>
      </c>
      <c r="I2668" s="827" t="s">
        <v>13505</v>
      </c>
      <c r="J2668" s="826">
        <v>48.78</v>
      </c>
    </row>
    <row r="2669" spans="1:10" ht="13.5" customHeight="1" thickBot="1">
      <c r="A2669" s="827"/>
      <c r="B2669" s="827"/>
      <c r="C2669" s="827"/>
      <c r="D2669" s="827"/>
      <c r="E2669" s="827" t="s">
        <v>13506</v>
      </c>
      <c r="F2669" s="826">
        <v>26.61</v>
      </c>
      <c r="G2669" s="827"/>
      <c r="H2669" s="1018" t="s">
        <v>13507</v>
      </c>
      <c r="I2669" s="1018"/>
      <c r="J2669" s="826">
        <v>120.86</v>
      </c>
    </row>
    <row r="2670" spans="1:10" ht="13.5" thickTop="1">
      <c r="A2670" s="828"/>
      <c r="B2670" s="828"/>
      <c r="C2670" s="828"/>
      <c r="D2670" s="828"/>
      <c r="E2670" s="828"/>
      <c r="F2670" s="828"/>
      <c r="G2670" s="828"/>
      <c r="H2670" s="828"/>
      <c r="I2670" s="828"/>
      <c r="J2670" s="828"/>
    </row>
    <row r="2671" spans="1:10" ht="38.25" customHeight="1">
      <c r="A2671" s="809" t="s">
        <v>14447</v>
      </c>
      <c r="B2671" s="808" t="s">
        <v>13481</v>
      </c>
      <c r="C2671" s="809" t="s">
        <v>13482</v>
      </c>
      <c r="D2671" s="809" t="s">
        <v>13483</v>
      </c>
      <c r="E2671" s="1019" t="s">
        <v>13484</v>
      </c>
      <c r="F2671" s="1019"/>
      <c r="G2671" s="810" t="s">
        <v>13485</v>
      </c>
      <c r="H2671" s="808" t="s">
        <v>13486</v>
      </c>
      <c r="I2671" s="808" t="s">
        <v>13487</v>
      </c>
      <c r="J2671" s="808" t="s">
        <v>4867</v>
      </c>
    </row>
    <row r="2672" spans="1:10" ht="25.5" customHeight="1">
      <c r="A2672" s="812" t="s">
        <v>13488</v>
      </c>
      <c r="B2672" s="811" t="s">
        <v>14468</v>
      </c>
      <c r="C2672" s="812" t="s">
        <v>6</v>
      </c>
      <c r="D2672" s="812" t="s">
        <v>5572</v>
      </c>
      <c r="E2672" s="1020" t="s">
        <v>13542</v>
      </c>
      <c r="F2672" s="1020"/>
      <c r="G2672" s="813" t="s">
        <v>13537</v>
      </c>
      <c r="H2672" s="814">
        <v>1</v>
      </c>
      <c r="I2672" s="815">
        <v>116.1</v>
      </c>
      <c r="J2672" s="815">
        <v>116.1</v>
      </c>
    </row>
    <row r="2673" spans="1:10" ht="38.25" customHeight="1">
      <c r="A2673" s="817" t="s">
        <v>13491</v>
      </c>
      <c r="B2673" s="816" t="s">
        <v>13538</v>
      </c>
      <c r="C2673" s="817" t="s">
        <v>6</v>
      </c>
      <c r="D2673" s="817" t="s">
        <v>1793</v>
      </c>
      <c r="E2673" s="1021" t="s">
        <v>13539</v>
      </c>
      <c r="F2673" s="1021"/>
      <c r="G2673" s="818" t="s">
        <v>28</v>
      </c>
      <c r="H2673" s="819">
        <v>5.0000000000000001E-3</v>
      </c>
      <c r="I2673" s="820">
        <v>15.82</v>
      </c>
      <c r="J2673" s="820">
        <v>7.0000000000000007E-2</v>
      </c>
    </row>
    <row r="2674" spans="1:10" ht="38.25" customHeight="1">
      <c r="A2674" s="817" t="s">
        <v>13491</v>
      </c>
      <c r="B2674" s="816" t="s">
        <v>13540</v>
      </c>
      <c r="C2674" s="817" t="s">
        <v>6</v>
      </c>
      <c r="D2674" s="817" t="s">
        <v>1794</v>
      </c>
      <c r="E2674" s="1021" t="s">
        <v>13539</v>
      </c>
      <c r="F2674" s="1021"/>
      <c r="G2674" s="818" t="s">
        <v>42</v>
      </c>
      <c r="H2674" s="819">
        <v>1E-3</v>
      </c>
      <c r="I2674" s="820">
        <v>14.51</v>
      </c>
      <c r="J2674" s="820">
        <v>0.01</v>
      </c>
    </row>
    <row r="2675" spans="1:10" ht="13.5" customHeight="1">
      <c r="A2675" s="817" t="s">
        <v>13491</v>
      </c>
      <c r="B2675" s="816" t="s">
        <v>13544</v>
      </c>
      <c r="C2675" s="817" t="s">
        <v>6</v>
      </c>
      <c r="D2675" s="817" t="s">
        <v>29</v>
      </c>
      <c r="E2675" s="1021" t="s">
        <v>13490</v>
      </c>
      <c r="F2675" s="1021"/>
      <c r="G2675" s="818" t="s">
        <v>19</v>
      </c>
      <c r="H2675" s="819">
        <v>5.0000000000000001E-3</v>
      </c>
      <c r="I2675" s="820">
        <v>15.96</v>
      </c>
      <c r="J2675" s="820">
        <v>7.0000000000000007E-2</v>
      </c>
    </row>
    <row r="2676" spans="1:10" ht="38.25" customHeight="1">
      <c r="A2676" s="817" t="s">
        <v>13491</v>
      </c>
      <c r="B2676" s="816" t="s">
        <v>13545</v>
      </c>
      <c r="C2676" s="817" t="s">
        <v>6</v>
      </c>
      <c r="D2676" s="817" t="s">
        <v>30</v>
      </c>
      <c r="E2676" s="1021" t="s">
        <v>13490</v>
      </c>
      <c r="F2676" s="1021"/>
      <c r="G2676" s="818" t="s">
        <v>19</v>
      </c>
      <c r="H2676" s="819">
        <v>2.7E-2</v>
      </c>
      <c r="I2676" s="820">
        <v>18.63</v>
      </c>
      <c r="J2676" s="820">
        <v>0.5</v>
      </c>
    </row>
    <row r="2677" spans="1:10" ht="38.25">
      <c r="A2677" s="822" t="s">
        <v>13493</v>
      </c>
      <c r="B2677" s="821" t="s">
        <v>14469</v>
      </c>
      <c r="C2677" s="822" t="s">
        <v>6</v>
      </c>
      <c r="D2677" s="822" t="s">
        <v>9517</v>
      </c>
      <c r="E2677" s="1017" t="s">
        <v>13514</v>
      </c>
      <c r="F2677" s="1017"/>
      <c r="G2677" s="823" t="s">
        <v>13537</v>
      </c>
      <c r="H2677" s="824">
        <v>1.05</v>
      </c>
      <c r="I2677" s="825">
        <v>109.96</v>
      </c>
      <c r="J2677" s="825">
        <v>115.45</v>
      </c>
    </row>
    <row r="2678" spans="1:10" ht="25.5">
      <c r="A2678" s="827"/>
      <c r="B2678" s="827"/>
      <c r="C2678" s="827"/>
      <c r="D2678" s="827"/>
      <c r="E2678" s="827" t="s">
        <v>13503</v>
      </c>
      <c r="F2678" s="826">
        <v>0.48</v>
      </c>
      <c r="G2678" s="827" t="s">
        <v>13504</v>
      </c>
      <c r="H2678" s="826">
        <v>0</v>
      </c>
      <c r="I2678" s="827" t="s">
        <v>13505</v>
      </c>
      <c r="J2678" s="826">
        <v>0.48</v>
      </c>
    </row>
    <row r="2679" spans="1:10" ht="38.25" customHeight="1" thickBot="1">
      <c r="A2679" s="827"/>
      <c r="B2679" s="827"/>
      <c r="C2679" s="827"/>
      <c r="D2679" s="827"/>
      <c r="E2679" s="827" t="s">
        <v>13506</v>
      </c>
      <c r="F2679" s="826">
        <v>32.78</v>
      </c>
      <c r="G2679" s="827"/>
      <c r="H2679" s="1018" t="s">
        <v>13507</v>
      </c>
      <c r="I2679" s="1018"/>
      <c r="J2679" s="826">
        <v>148.88</v>
      </c>
    </row>
    <row r="2680" spans="1:10" ht="38.25" customHeight="1" thickTop="1">
      <c r="A2680" s="828"/>
      <c r="B2680" s="828"/>
      <c r="C2680" s="828"/>
      <c r="D2680" s="828"/>
      <c r="E2680" s="828"/>
      <c r="F2680" s="828"/>
      <c r="G2680" s="828"/>
      <c r="H2680" s="828"/>
      <c r="I2680" s="828"/>
      <c r="J2680" s="828"/>
    </row>
    <row r="2681" spans="1:10" ht="25.5" customHeight="1">
      <c r="A2681" s="809" t="s">
        <v>14447</v>
      </c>
      <c r="B2681" s="808" t="s">
        <v>13481</v>
      </c>
      <c r="C2681" s="809" t="s">
        <v>13482</v>
      </c>
      <c r="D2681" s="809" t="s">
        <v>13483</v>
      </c>
      <c r="E2681" s="1019" t="s">
        <v>13484</v>
      </c>
      <c r="F2681" s="1019"/>
      <c r="G2681" s="810" t="s">
        <v>13485</v>
      </c>
      <c r="H2681" s="808" t="s">
        <v>13486</v>
      </c>
      <c r="I2681" s="808" t="s">
        <v>13487</v>
      </c>
      <c r="J2681" s="808" t="s">
        <v>4867</v>
      </c>
    </row>
    <row r="2682" spans="1:10" ht="38.25" customHeight="1">
      <c r="A2682" s="812" t="s">
        <v>13488</v>
      </c>
      <c r="B2682" s="811" t="s">
        <v>14470</v>
      </c>
      <c r="C2682" s="812" t="s">
        <v>6</v>
      </c>
      <c r="D2682" s="812" t="s">
        <v>4908</v>
      </c>
      <c r="E2682" s="1020" t="s">
        <v>13542</v>
      </c>
      <c r="F2682" s="1020"/>
      <c r="G2682" s="813" t="s">
        <v>14</v>
      </c>
      <c r="H2682" s="814">
        <v>1</v>
      </c>
      <c r="I2682" s="815">
        <v>52.58</v>
      </c>
      <c r="J2682" s="815">
        <v>52.58</v>
      </c>
    </row>
    <row r="2683" spans="1:10" ht="38.25" customHeight="1">
      <c r="A2683" s="817" t="s">
        <v>13491</v>
      </c>
      <c r="B2683" s="816" t="s">
        <v>13707</v>
      </c>
      <c r="C2683" s="817" t="s">
        <v>6</v>
      </c>
      <c r="D2683" s="817" t="s">
        <v>6582</v>
      </c>
      <c r="E2683" s="1021" t="s">
        <v>13542</v>
      </c>
      <c r="F2683" s="1021"/>
      <c r="G2683" s="818" t="s">
        <v>13543</v>
      </c>
      <c r="H2683" s="819">
        <v>4.2999999999999997E-2</v>
      </c>
      <c r="I2683" s="820">
        <v>400.17</v>
      </c>
      <c r="J2683" s="820">
        <v>17.2</v>
      </c>
    </row>
    <row r="2684" spans="1:10" ht="13.5" customHeight="1">
      <c r="A2684" s="817" t="s">
        <v>13491</v>
      </c>
      <c r="B2684" s="816" t="s">
        <v>13636</v>
      </c>
      <c r="C2684" s="817" t="s">
        <v>6</v>
      </c>
      <c r="D2684" s="817" t="s">
        <v>2047</v>
      </c>
      <c r="E2684" s="1021" t="s">
        <v>13542</v>
      </c>
      <c r="F2684" s="1021"/>
      <c r="G2684" s="818" t="s">
        <v>16</v>
      </c>
      <c r="H2684" s="819">
        <v>1.36</v>
      </c>
      <c r="I2684" s="820">
        <v>11.87</v>
      </c>
      <c r="J2684" s="820">
        <v>16.14</v>
      </c>
    </row>
    <row r="2685" spans="1:10" ht="38.25" customHeight="1">
      <c r="A2685" s="817" t="s">
        <v>13491</v>
      </c>
      <c r="B2685" s="816" t="s">
        <v>13577</v>
      </c>
      <c r="C2685" s="817" t="s">
        <v>6</v>
      </c>
      <c r="D2685" s="817" t="s">
        <v>31</v>
      </c>
      <c r="E2685" s="1021" t="s">
        <v>13490</v>
      </c>
      <c r="F2685" s="1021"/>
      <c r="G2685" s="818" t="s">
        <v>19</v>
      </c>
      <c r="H2685" s="819">
        <v>0.48599999999999999</v>
      </c>
      <c r="I2685" s="820">
        <v>18.86</v>
      </c>
      <c r="J2685" s="820">
        <v>9.16</v>
      </c>
    </row>
    <row r="2686" spans="1:10" ht="12.75" customHeight="1">
      <c r="A2686" s="817" t="s">
        <v>13491</v>
      </c>
      <c r="B2686" s="816" t="s">
        <v>13553</v>
      </c>
      <c r="C2686" s="817" t="s">
        <v>6</v>
      </c>
      <c r="D2686" s="817" t="s">
        <v>21</v>
      </c>
      <c r="E2686" s="1021" t="s">
        <v>13490</v>
      </c>
      <c r="F2686" s="1021"/>
      <c r="G2686" s="818" t="s">
        <v>19</v>
      </c>
      <c r="H2686" s="819">
        <v>0.66500000000000004</v>
      </c>
      <c r="I2686" s="820">
        <v>15.16</v>
      </c>
      <c r="J2686" s="820">
        <v>10.08</v>
      </c>
    </row>
    <row r="2687" spans="1:10" ht="25.5">
      <c r="A2687" s="827"/>
      <c r="B2687" s="827"/>
      <c r="C2687" s="827"/>
      <c r="D2687" s="827"/>
      <c r="E2687" s="827" t="s">
        <v>13503</v>
      </c>
      <c r="F2687" s="826">
        <v>15.36</v>
      </c>
      <c r="G2687" s="827" t="s">
        <v>13504</v>
      </c>
      <c r="H2687" s="826">
        <v>0</v>
      </c>
      <c r="I2687" s="827" t="s">
        <v>13505</v>
      </c>
      <c r="J2687" s="826">
        <v>15.36</v>
      </c>
    </row>
    <row r="2688" spans="1:10" ht="13.5" customHeight="1" thickBot="1">
      <c r="A2688" s="827"/>
      <c r="B2688" s="827"/>
      <c r="C2688" s="827"/>
      <c r="D2688" s="827"/>
      <c r="E2688" s="827" t="s">
        <v>13506</v>
      </c>
      <c r="F2688" s="826">
        <v>14.84</v>
      </c>
      <c r="G2688" s="827"/>
      <c r="H2688" s="1018" t="s">
        <v>13507</v>
      </c>
      <c r="I2688" s="1018"/>
      <c r="J2688" s="826">
        <v>67.42</v>
      </c>
    </row>
    <row r="2689" spans="1:10" ht="13.5" thickTop="1">
      <c r="A2689" s="828"/>
      <c r="B2689" s="828"/>
      <c r="C2689" s="828"/>
      <c r="D2689" s="828"/>
      <c r="E2689" s="828"/>
      <c r="F2689" s="828"/>
      <c r="G2689" s="828"/>
      <c r="H2689" s="828"/>
      <c r="I2689" s="828"/>
      <c r="J2689" s="828"/>
    </row>
    <row r="2690" spans="1:10" ht="45" customHeight="1">
      <c r="A2690" s="809" t="s">
        <v>14447</v>
      </c>
      <c r="B2690" s="808" t="s">
        <v>13481</v>
      </c>
      <c r="C2690" s="809" t="s">
        <v>13482</v>
      </c>
      <c r="D2690" s="809" t="s">
        <v>13483</v>
      </c>
      <c r="E2690" s="1019" t="s">
        <v>13484</v>
      </c>
      <c r="F2690" s="1019"/>
      <c r="G2690" s="810" t="s">
        <v>13485</v>
      </c>
      <c r="H2690" s="808" t="s">
        <v>13486</v>
      </c>
      <c r="I2690" s="808" t="s">
        <v>13487</v>
      </c>
      <c r="J2690" s="808" t="s">
        <v>4867</v>
      </c>
    </row>
    <row r="2691" spans="1:10" ht="25.5" customHeight="1">
      <c r="A2691" s="812" t="s">
        <v>13488</v>
      </c>
      <c r="B2691" s="811" t="s">
        <v>14479</v>
      </c>
      <c r="C2691" s="812" t="s">
        <v>6</v>
      </c>
      <c r="D2691" s="812" t="s">
        <v>7549</v>
      </c>
      <c r="E2691" s="1020" t="s">
        <v>13542</v>
      </c>
      <c r="F2691" s="1020"/>
      <c r="G2691" s="813" t="s">
        <v>16</v>
      </c>
      <c r="H2691" s="814">
        <v>1</v>
      </c>
      <c r="I2691" s="815">
        <v>15.06</v>
      </c>
      <c r="J2691" s="815">
        <v>15.06</v>
      </c>
    </row>
    <row r="2692" spans="1:10" ht="38.25" customHeight="1">
      <c r="A2692" s="817" t="s">
        <v>13491</v>
      </c>
      <c r="B2692" s="816" t="s">
        <v>14480</v>
      </c>
      <c r="C2692" s="817" t="s">
        <v>6</v>
      </c>
      <c r="D2692" s="817" t="s">
        <v>7540</v>
      </c>
      <c r="E2692" s="1021" t="s">
        <v>13542</v>
      </c>
      <c r="F2692" s="1021"/>
      <c r="G2692" s="818" t="s">
        <v>16</v>
      </c>
      <c r="H2692" s="819">
        <v>1</v>
      </c>
      <c r="I2692" s="820">
        <v>11.07</v>
      </c>
      <c r="J2692" s="820">
        <v>11.07</v>
      </c>
    </row>
    <row r="2693" spans="1:10" ht="13.5" customHeight="1">
      <c r="A2693" s="817" t="s">
        <v>13491</v>
      </c>
      <c r="B2693" s="816" t="s">
        <v>13637</v>
      </c>
      <c r="C2693" s="817" t="s">
        <v>6</v>
      </c>
      <c r="D2693" s="817" t="s">
        <v>107</v>
      </c>
      <c r="E2693" s="1021" t="s">
        <v>13490</v>
      </c>
      <c r="F2693" s="1021"/>
      <c r="G2693" s="818" t="s">
        <v>19</v>
      </c>
      <c r="H2693" s="819">
        <v>3.3000000000000002E-2</v>
      </c>
      <c r="I2693" s="820">
        <v>15.19</v>
      </c>
      <c r="J2693" s="820">
        <v>0.5</v>
      </c>
    </row>
    <row r="2694" spans="1:10" ht="38.25" customHeight="1">
      <c r="A2694" s="817" t="s">
        <v>13491</v>
      </c>
      <c r="B2694" s="816" t="s">
        <v>13638</v>
      </c>
      <c r="C2694" s="817" t="s">
        <v>6</v>
      </c>
      <c r="D2694" s="817" t="s">
        <v>112</v>
      </c>
      <c r="E2694" s="1021" t="s">
        <v>13490</v>
      </c>
      <c r="F2694" s="1021"/>
      <c r="G2694" s="818" t="s">
        <v>19</v>
      </c>
      <c r="H2694" s="819">
        <v>0.16520000000000001</v>
      </c>
      <c r="I2694" s="820">
        <v>18.75</v>
      </c>
      <c r="J2694" s="820">
        <v>3.09</v>
      </c>
    </row>
    <row r="2695" spans="1:10" ht="25.5">
      <c r="A2695" s="822" t="s">
        <v>13493</v>
      </c>
      <c r="B2695" s="821" t="s">
        <v>13639</v>
      </c>
      <c r="C2695" s="822" t="s">
        <v>6</v>
      </c>
      <c r="D2695" s="822" t="s">
        <v>5166</v>
      </c>
      <c r="E2695" s="1017" t="s">
        <v>13514</v>
      </c>
      <c r="F2695" s="1017"/>
      <c r="G2695" s="823" t="s">
        <v>16</v>
      </c>
      <c r="H2695" s="824">
        <v>0.02</v>
      </c>
      <c r="I2695" s="825">
        <v>20</v>
      </c>
      <c r="J2695" s="825">
        <v>0.4</v>
      </c>
    </row>
    <row r="2696" spans="1:10" ht="25.5">
      <c r="A2696" s="827"/>
      <c r="B2696" s="827"/>
      <c r="C2696" s="827"/>
      <c r="D2696" s="827"/>
      <c r="E2696" s="827" t="s">
        <v>13503</v>
      </c>
      <c r="F2696" s="826">
        <v>2.95</v>
      </c>
      <c r="G2696" s="827" t="s">
        <v>13504</v>
      </c>
      <c r="H2696" s="826">
        <v>0</v>
      </c>
      <c r="I2696" s="827" t="s">
        <v>13505</v>
      </c>
      <c r="J2696" s="826">
        <v>2.95</v>
      </c>
    </row>
    <row r="2697" spans="1:10" ht="13.5" customHeight="1" thickBot="1">
      <c r="A2697" s="827"/>
      <c r="B2697" s="827"/>
      <c r="C2697" s="827"/>
      <c r="D2697" s="827"/>
      <c r="E2697" s="827" t="s">
        <v>13506</v>
      </c>
      <c r="F2697" s="826">
        <v>4.25</v>
      </c>
      <c r="G2697" s="827"/>
      <c r="H2697" s="1018" t="s">
        <v>13507</v>
      </c>
      <c r="I2697" s="1018"/>
      <c r="J2697" s="826">
        <v>19.309999999999999</v>
      </c>
    </row>
    <row r="2698" spans="1:10" ht="13.5" thickTop="1">
      <c r="A2698" s="828"/>
      <c r="B2698" s="828"/>
      <c r="C2698" s="828"/>
      <c r="D2698" s="828"/>
      <c r="E2698" s="828"/>
      <c r="F2698" s="828"/>
      <c r="G2698" s="828"/>
      <c r="H2698" s="828"/>
      <c r="I2698" s="828"/>
      <c r="J2698" s="828"/>
    </row>
    <row r="2699" spans="1:10" ht="45" customHeight="1">
      <c r="A2699" s="809" t="s">
        <v>14447</v>
      </c>
      <c r="B2699" s="808" t="s">
        <v>13481</v>
      </c>
      <c r="C2699" s="809" t="s">
        <v>13482</v>
      </c>
      <c r="D2699" s="809" t="s">
        <v>13483</v>
      </c>
      <c r="E2699" s="1019" t="s">
        <v>13484</v>
      </c>
      <c r="F2699" s="1019"/>
      <c r="G2699" s="810" t="s">
        <v>13485</v>
      </c>
      <c r="H2699" s="808" t="s">
        <v>13486</v>
      </c>
      <c r="I2699" s="808" t="s">
        <v>13487</v>
      </c>
      <c r="J2699" s="808" t="s">
        <v>4867</v>
      </c>
    </row>
    <row r="2700" spans="1:10" ht="25.5" customHeight="1">
      <c r="A2700" s="812" t="s">
        <v>13488</v>
      </c>
      <c r="B2700" s="811" t="s">
        <v>14474</v>
      </c>
      <c r="C2700" s="812" t="s">
        <v>6</v>
      </c>
      <c r="D2700" s="812" t="s">
        <v>2830</v>
      </c>
      <c r="E2700" s="1020" t="s">
        <v>13542</v>
      </c>
      <c r="F2700" s="1020"/>
      <c r="G2700" s="813" t="s">
        <v>16</v>
      </c>
      <c r="H2700" s="814">
        <v>1</v>
      </c>
      <c r="I2700" s="815">
        <v>17.010000000000002</v>
      </c>
      <c r="J2700" s="815">
        <v>17.010000000000002</v>
      </c>
    </row>
    <row r="2701" spans="1:10" ht="38.25" customHeight="1">
      <c r="A2701" s="817" t="s">
        <v>13491</v>
      </c>
      <c r="B2701" s="816" t="s">
        <v>13729</v>
      </c>
      <c r="C2701" s="817" t="s">
        <v>6</v>
      </c>
      <c r="D2701" s="817" t="s">
        <v>2045</v>
      </c>
      <c r="E2701" s="1021" t="s">
        <v>13542</v>
      </c>
      <c r="F2701" s="1021"/>
      <c r="G2701" s="818" t="s">
        <v>16</v>
      </c>
      <c r="H2701" s="819">
        <v>1</v>
      </c>
      <c r="I2701" s="820">
        <v>12.68</v>
      </c>
      <c r="J2701" s="820">
        <v>12.68</v>
      </c>
    </row>
    <row r="2702" spans="1:10" ht="13.5" customHeight="1">
      <c r="A2702" s="817" t="s">
        <v>13491</v>
      </c>
      <c r="B2702" s="816" t="s">
        <v>13637</v>
      </c>
      <c r="C2702" s="817" t="s">
        <v>6</v>
      </c>
      <c r="D2702" s="817" t="s">
        <v>107</v>
      </c>
      <c r="E2702" s="1021" t="s">
        <v>13490</v>
      </c>
      <c r="F2702" s="1021"/>
      <c r="G2702" s="818" t="s">
        <v>19</v>
      </c>
      <c r="H2702" s="819">
        <v>4.9000000000000002E-2</v>
      </c>
      <c r="I2702" s="820">
        <v>15.19</v>
      </c>
      <c r="J2702" s="820">
        <v>0.74</v>
      </c>
    </row>
    <row r="2703" spans="1:10" ht="38.25" customHeight="1">
      <c r="A2703" s="817" t="s">
        <v>13491</v>
      </c>
      <c r="B2703" s="816" t="s">
        <v>13638</v>
      </c>
      <c r="C2703" s="817" t="s">
        <v>6</v>
      </c>
      <c r="D2703" s="817" t="s">
        <v>112</v>
      </c>
      <c r="E2703" s="1021" t="s">
        <v>13490</v>
      </c>
      <c r="F2703" s="1021"/>
      <c r="G2703" s="818" t="s">
        <v>19</v>
      </c>
      <c r="H2703" s="819">
        <v>0.151</v>
      </c>
      <c r="I2703" s="820">
        <v>18.75</v>
      </c>
      <c r="J2703" s="820">
        <v>2.83</v>
      </c>
    </row>
    <row r="2704" spans="1:10" ht="25.5">
      <c r="A2704" s="822" t="s">
        <v>13493</v>
      </c>
      <c r="B2704" s="821" t="s">
        <v>13639</v>
      </c>
      <c r="C2704" s="822" t="s">
        <v>6</v>
      </c>
      <c r="D2704" s="822" t="s">
        <v>5166</v>
      </c>
      <c r="E2704" s="1017" t="s">
        <v>13514</v>
      </c>
      <c r="F2704" s="1017"/>
      <c r="G2704" s="823" t="s">
        <v>16</v>
      </c>
      <c r="H2704" s="824">
        <v>2.5000000000000001E-2</v>
      </c>
      <c r="I2704" s="825">
        <v>20</v>
      </c>
      <c r="J2704" s="825">
        <v>0.5</v>
      </c>
    </row>
    <row r="2705" spans="1:10" ht="25.5">
      <c r="A2705" s="822" t="s">
        <v>13493</v>
      </c>
      <c r="B2705" s="821" t="s">
        <v>13640</v>
      </c>
      <c r="C2705" s="822" t="s">
        <v>6</v>
      </c>
      <c r="D2705" s="822" t="s">
        <v>4663</v>
      </c>
      <c r="E2705" s="1017" t="s">
        <v>13514</v>
      </c>
      <c r="F2705" s="1017"/>
      <c r="G2705" s="823" t="s">
        <v>24</v>
      </c>
      <c r="H2705" s="824">
        <v>1.19</v>
      </c>
      <c r="I2705" s="825">
        <v>0.22</v>
      </c>
      <c r="J2705" s="825">
        <v>0.26</v>
      </c>
    </row>
    <row r="2706" spans="1:10" ht="38.25" customHeight="1">
      <c r="A2706" s="827"/>
      <c r="B2706" s="827"/>
      <c r="C2706" s="827"/>
      <c r="D2706" s="827"/>
      <c r="E2706" s="827" t="s">
        <v>13503</v>
      </c>
      <c r="F2706" s="826">
        <v>3.23</v>
      </c>
      <c r="G2706" s="827" t="s">
        <v>13504</v>
      </c>
      <c r="H2706" s="826">
        <v>0</v>
      </c>
      <c r="I2706" s="827" t="s">
        <v>13505</v>
      </c>
      <c r="J2706" s="826">
        <v>3.23</v>
      </c>
    </row>
    <row r="2707" spans="1:10" ht="38.25" customHeight="1" thickBot="1">
      <c r="A2707" s="827"/>
      <c r="B2707" s="827"/>
      <c r="C2707" s="827"/>
      <c r="D2707" s="827"/>
      <c r="E2707" s="827" t="s">
        <v>13506</v>
      </c>
      <c r="F2707" s="826">
        <v>4.8</v>
      </c>
      <c r="G2707" s="827"/>
      <c r="H2707" s="1018" t="s">
        <v>13507</v>
      </c>
      <c r="I2707" s="1018"/>
      <c r="J2707" s="826">
        <v>21.81</v>
      </c>
    </row>
    <row r="2708" spans="1:10" ht="13.5" thickTop="1">
      <c r="A2708" s="828"/>
      <c r="B2708" s="828"/>
      <c r="C2708" s="828"/>
      <c r="D2708" s="828"/>
      <c r="E2708" s="828"/>
      <c r="F2708" s="828"/>
      <c r="G2708" s="828"/>
      <c r="H2708" s="828"/>
      <c r="I2708" s="828"/>
      <c r="J2708" s="828"/>
    </row>
    <row r="2709" spans="1:10" ht="45" customHeight="1">
      <c r="A2709" s="809" t="s">
        <v>14447</v>
      </c>
      <c r="B2709" s="808" t="s">
        <v>13481</v>
      </c>
      <c r="C2709" s="809" t="s">
        <v>13482</v>
      </c>
      <c r="D2709" s="809" t="s">
        <v>13483</v>
      </c>
      <c r="E2709" s="1019" t="s">
        <v>13484</v>
      </c>
      <c r="F2709" s="1019"/>
      <c r="G2709" s="810" t="s">
        <v>13485</v>
      </c>
      <c r="H2709" s="808" t="s">
        <v>13486</v>
      </c>
      <c r="I2709" s="808" t="s">
        <v>13487</v>
      </c>
      <c r="J2709" s="808" t="s">
        <v>4867</v>
      </c>
    </row>
    <row r="2710" spans="1:10" ht="25.5" customHeight="1">
      <c r="A2710" s="812" t="s">
        <v>13488</v>
      </c>
      <c r="B2710" s="811" t="s">
        <v>14473</v>
      </c>
      <c r="C2710" s="812" t="s">
        <v>6</v>
      </c>
      <c r="D2710" s="812" t="s">
        <v>7542</v>
      </c>
      <c r="E2710" s="1020" t="s">
        <v>13542</v>
      </c>
      <c r="F2710" s="1020"/>
      <c r="G2710" s="813" t="s">
        <v>16</v>
      </c>
      <c r="H2710" s="814">
        <v>1</v>
      </c>
      <c r="I2710" s="815">
        <v>14.58</v>
      </c>
      <c r="J2710" s="815">
        <v>14.58</v>
      </c>
    </row>
    <row r="2711" spans="1:10" ht="38.25" customHeight="1">
      <c r="A2711" s="817" t="s">
        <v>13491</v>
      </c>
      <c r="B2711" s="816" t="s">
        <v>13683</v>
      </c>
      <c r="C2711" s="817" t="s">
        <v>6</v>
      </c>
      <c r="D2711" s="817" t="s">
        <v>2046</v>
      </c>
      <c r="E2711" s="1021" t="s">
        <v>13542</v>
      </c>
      <c r="F2711" s="1021"/>
      <c r="G2711" s="818" t="s">
        <v>16</v>
      </c>
      <c r="H2711" s="819">
        <v>1</v>
      </c>
      <c r="I2711" s="820">
        <v>12.79</v>
      </c>
      <c r="J2711" s="820">
        <v>12.79</v>
      </c>
    </row>
    <row r="2712" spans="1:10" ht="38.25" customHeight="1">
      <c r="A2712" s="817" t="s">
        <v>13491</v>
      </c>
      <c r="B2712" s="816" t="s">
        <v>13637</v>
      </c>
      <c r="C2712" s="817" t="s">
        <v>6</v>
      </c>
      <c r="D2712" s="817" t="s">
        <v>107</v>
      </c>
      <c r="E2712" s="1021" t="s">
        <v>13490</v>
      </c>
      <c r="F2712" s="1021"/>
      <c r="G2712" s="818" t="s">
        <v>19</v>
      </c>
      <c r="H2712" s="819">
        <v>1.29E-2</v>
      </c>
      <c r="I2712" s="820">
        <v>15.19</v>
      </c>
      <c r="J2712" s="820">
        <v>0.19</v>
      </c>
    </row>
    <row r="2713" spans="1:10" ht="13.5" customHeight="1">
      <c r="A2713" s="817" t="s">
        <v>13491</v>
      </c>
      <c r="B2713" s="816" t="s">
        <v>13638</v>
      </c>
      <c r="C2713" s="817" t="s">
        <v>6</v>
      </c>
      <c r="D2713" s="817" t="s">
        <v>112</v>
      </c>
      <c r="E2713" s="1021" t="s">
        <v>13490</v>
      </c>
      <c r="F2713" s="1021"/>
      <c r="G2713" s="818" t="s">
        <v>19</v>
      </c>
      <c r="H2713" s="819">
        <v>6.4500000000000002E-2</v>
      </c>
      <c r="I2713" s="820">
        <v>18.75</v>
      </c>
      <c r="J2713" s="820">
        <v>1.2</v>
      </c>
    </row>
    <row r="2714" spans="1:10" ht="38.25" customHeight="1">
      <c r="A2714" s="822" t="s">
        <v>13493</v>
      </c>
      <c r="B2714" s="821" t="s">
        <v>13639</v>
      </c>
      <c r="C2714" s="822" t="s">
        <v>6</v>
      </c>
      <c r="D2714" s="822" t="s">
        <v>5166</v>
      </c>
      <c r="E2714" s="1017" t="s">
        <v>13514</v>
      </c>
      <c r="F2714" s="1017"/>
      <c r="G2714" s="823" t="s">
        <v>16</v>
      </c>
      <c r="H2714" s="824">
        <v>0.02</v>
      </c>
      <c r="I2714" s="825">
        <v>20</v>
      </c>
      <c r="J2714" s="825">
        <v>0.4</v>
      </c>
    </row>
    <row r="2715" spans="1:10" ht="25.5">
      <c r="A2715" s="827"/>
      <c r="B2715" s="827"/>
      <c r="C2715" s="827"/>
      <c r="D2715" s="827"/>
      <c r="E2715" s="827" t="s">
        <v>13503</v>
      </c>
      <c r="F2715" s="826">
        <v>1.36</v>
      </c>
      <c r="G2715" s="827" t="s">
        <v>13504</v>
      </c>
      <c r="H2715" s="826">
        <v>0</v>
      </c>
      <c r="I2715" s="827" t="s">
        <v>13505</v>
      </c>
      <c r="J2715" s="826">
        <v>1.36</v>
      </c>
    </row>
    <row r="2716" spans="1:10" ht="13.5" customHeight="1" thickBot="1">
      <c r="A2716" s="827"/>
      <c r="B2716" s="827"/>
      <c r="C2716" s="827"/>
      <c r="D2716" s="827"/>
      <c r="E2716" s="827" t="s">
        <v>13506</v>
      </c>
      <c r="F2716" s="826">
        <v>4.1100000000000003</v>
      </c>
      <c r="G2716" s="827"/>
      <c r="H2716" s="1018" t="s">
        <v>13507</v>
      </c>
      <c r="I2716" s="1018"/>
      <c r="J2716" s="826">
        <v>18.690000000000001</v>
      </c>
    </row>
    <row r="2717" spans="1:10" ht="13.5" thickTop="1">
      <c r="A2717" s="828"/>
      <c r="B2717" s="828"/>
      <c r="C2717" s="828"/>
      <c r="D2717" s="828"/>
      <c r="E2717" s="828"/>
      <c r="F2717" s="828"/>
      <c r="G2717" s="828"/>
      <c r="H2717" s="828"/>
      <c r="I2717" s="828"/>
      <c r="J2717" s="828"/>
    </row>
    <row r="2718" spans="1:10" ht="45" customHeight="1">
      <c r="A2718" s="809" t="s">
        <v>14447</v>
      </c>
      <c r="B2718" s="808" t="s">
        <v>13481</v>
      </c>
      <c r="C2718" s="809" t="s">
        <v>13482</v>
      </c>
      <c r="D2718" s="809" t="s">
        <v>13483</v>
      </c>
      <c r="E2718" s="1019" t="s">
        <v>13484</v>
      </c>
      <c r="F2718" s="1019"/>
      <c r="G2718" s="810" t="s">
        <v>13485</v>
      </c>
      <c r="H2718" s="808" t="s">
        <v>13486</v>
      </c>
      <c r="I2718" s="808" t="s">
        <v>13487</v>
      </c>
      <c r="J2718" s="808" t="s">
        <v>4867</v>
      </c>
    </row>
    <row r="2719" spans="1:10" ht="38.25">
      <c r="A2719" s="812" t="s">
        <v>13488</v>
      </c>
      <c r="B2719" s="811" t="s">
        <v>14477</v>
      </c>
      <c r="C2719" s="812" t="s">
        <v>6</v>
      </c>
      <c r="D2719" s="812" t="s">
        <v>2839</v>
      </c>
      <c r="E2719" s="1020" t="s">
        <v>13542</v>
      </c>
      <c r="F2719" s="1020"/>
      <c r="G2719" s="813" t="s">
        <v>13543</v>
      </c>
      <c r="H2719" s="814">
        <v>1</v>
      </c>
      <c r="I2719" s="815">
        <v>701.8</v>
      </c>
      <c r="J2719" s="815">
        <v>701.8</v>
      </c>
    </row>
    <row r="2720" spans="1:10" ht="25.5" customHeight="1">
      <c r="A2720" s="817" t="s">
        <v>13491</v>
      </c>
      <c r="B2720" s="816" t="s">
        <v>13662</v>
      </c>
      <c r="C2720" s="817" t="s">
        <v>6</v>
      </c>
      <c r="D2720" s="817" t="s">
        <v>1600</v>
      </c>
      <c r="E2720" s="1021" t="s">
        <v>13539</v>
      </c>
      <c r="F2720" s="1021"/>
      <c r="G2720" s="818" t="s">
        <v>28</v>
      </c>
      <c r="H2720" s="819">
        <v>8.7999999999999995E-2</v>
      </c>
      <c r="I2720" s="820">
        <v>1.22</v>
      </c>
      <c r="J2720" s="820">
        <v>0.1</v>
      </c>
    </row>
    <row r="2721" spans="1:10" ht="25.5" customHeight="1">
      <c r="A2721" s="817" t="s">
        <v>13491</v>
      </c>
      <c r="B2721" s="816" t="s">
        <v>13663</v>
      </c>
      <c r="C2721" s="817" t="s">
        <v>6</v>
      </c>
      <c r="D2721" s="817" t="s">
        <v>1601</v>
      </c>
      <c r="E2721" s="1021" t="s">
        <v>13539</v>
      </c>
      <c r="F2721" s="1021"/>
      <c r="G2721" s="818" t="s">
        <v>42</v>
      </c>
      <c r="H2721" s="819">
        <v>9.2999999999999999E-2</v>
      </c>
      <c r="I2721" s="820">
        <v>0.44</v>
      </c>
      <c r="J2721" s="820">
        <v>0.04</v>
      </c>
    </row>
    <row r="2722" spans="1:10" ht="13.5" customHeight="1">
      <c r="A2722" s="817" t="s">
        <v>13491</v>
      </c>
      <c r="B2722" s="816" t="s">
        <v>13553</v>
      </c>
      <c r="C2722" s="817" t="s">
        <v>6</v>
      </c>
      <c r="D2722" s="817" t="s">
        <v>21</v>
      </c>
      <c r="E2722" s="1021" t="s">
        <v>13490</v>
      </c>
      <c r="F2722" s="1021"/>
      <c r="G2722" s="818" t="s">
        <v>19</v>
      </c>
      <c r="H2722" s="819">
        <v>0.54400000000000004</v>
      </c>
      <c r="I2722" s="820">
        <v>15.16</v>
      </c>
      <c r="J2722" s="820">
        <v>8.24</v>
      </c>
    </row>
    <row r="2723" spans="1:10" ht="38.25" customHeight="1">
      <c r="A2723" s="817" t="s">
        <v>13491</v>
      </c>
      <c r="B2723" s="816" t="s">
        <v>13577</v>
      </c>
      <c r="C2723" s="817" t="s">
        <v>6</v>
      </c>
      <c r="D2723" s="817" t="s">
        <v>31</v>
      </c>
      <c r="E2723" s="1021" t="s">
        <v>13490</v>
      </c>
      <c r="F2723" s="1021"/>
      <c r="G2723" s="818" t="s">
        <v>19</v>
      </c>
      <c r="H2723" s="819">
        <v>0.36299999999999999</v>
      </c>
      <c r="I2723" s="820">
        <v>18.86</v>
      </c>
      <c r="J2723" s="820">
        <v>6.84</v>
      </c>
    </row>
    <row r="2724" spans="1:10" ht="38.25" customHeight="1">
      <c r="A2724" s="822" t="s">
        <v>13493</v>
      </c>
      <c r="B2724" s="821" t="s">
        <v>14472</v>
      </c>
      <c r="C2724" s="822" t="s">
        <v>6</v>
      </c>
      <c r="D2724" s="822" t="s">
        <v>4629</v>
      </c>
      <c r="E2724" s="1017" t="s">
        <v>13514</v>
      </c>
      <c r="F2724" s="1017"/>
      <c r="G2724" s="823" t="s">
        <v>13543</v>
      </c>
      <c r="H2724" s="824">
        <v>1.1499999999999999</v>
      </c>
      <c r="I2724" s="825">
        <v>597.03</v>
      </c>
      <c r="J2724" s="825">
        <v>686.58</v>
      </c>
    </row>
    <row r="2725" spans="1:10" ht="38.25" customHeight="1">
      <c r="A2725" s="827"/>
      <c r="B2725" s="827"/>
      <c r="C2725" s="827"/>
      <c r="D2725" s="827"/>
      <c r="E2725" s="827" t="s">
        <v>13503</v>
      </c>
      <c r="F2725" s="826">
        <v>10.7</v>
      </c>
      <c r="G2725" s="827" t="s">
        <v>13504</v>
      </c>
      <c r="H2725" s="826">
        <v>0</v>
      </c>
      <c r="I2725" s="827" t="s">
        <v>13505</v>
      </c>
      <c r="J2725" s="826">
        <v>10.7</v>
      </c>
    </row>
    <row r="2726" spans="1:10" ht="38.25" customHeight="1" thickBot="1">
      <c r="A2726" s="827"/>
      <c r="B2726" s="827"/>
      <c r="C2726" s="827"/>
      <c r="D2726" s="827"/>
      <c r="E2726" s="827" t="s">
        <v>13506</v>
      </c>
      <c r="F2726" s="826">
        <v>198.18</v>
      </c>
      <c r="G2726" s="827"/>
      <c r="H2726" s="1018" t="s">
        <v>13507</v>
      </c>
      <c r="I2726" s="1018"/>
      <c r="J2726" s="826">
        <v>899.98</v>
      </c>
    </row>
    <row r="2727" spans="1:10" ht="38.25" customHeight="1" thickTop="1">
      <c r="A2727" s="828"/>
      <c r="B2727" s="828"/>
      <c r="C2727" s="828"/>
      <c r="D2727" s="828"/>
      <c r="E2727" s="828"/>
      <c r="F2727" s="828"/>
      <c r="G2727" s="828"/>
      <c r="H2727" s="828"/>
      <c r="I2727" s="828"/>
      <c r="J2727" s="828"/>
    </row>
    <row r="2728" spans="1:10" ht="45" customHeight="1">
      <c r="A2728" s="809" t="s">
        <v>14447</v>
      </c>
      <c r="B2728" s="808" t="s">
        <v>13481</v>
      </c>
      <c r="C2728" s="809" t="s">
        <v>13482</v>
      </c>
      <c r="D2728" s="809" t="s">
        <v>13483</v>
      </c>
      <c r="E2728" s="1019" t="s">
        <v>13484</v>
      </c>
      <c r="F2728" s="1019"/>
      <c r="G2728" s="810" t="s">
        <v>13485</v>
      </c>
      <c r="H2728" s="808" t="s">
        <v>13486</v>
      </c>
      <c r="I2728" s="808" t="s">
        <v>13487</v>
      </c>
      <c r="J2728" s="808" t="s">
        <v>4867</v>
      </c>
    </row>
    <row r="2729" spans="1:10" ht="25.5" customHeight="1">
      <c r="A2729" s="812" t="s">
        <v>13488</v>
      </c>
      <c r="B2729" s="811" t="s">
        <v>14478</v>
      </c>
      <c r="C2729" s="812" t="s">
        <v>6</v>
      </c>
      <c r="D2729" s="812" t="s">
        <v>7543</v>
      </c>
      <c r="E2729" s="1020" t="s">
        <v>13542</v>
      </c>
      <c r="F2729" s="1020"/>
      <c r="G2729" s="813" t="s">
        <v>16</v>
      </c>
      <c r="H2729" s="814">
        <v>1</v>
      </c>
      <c r="I2729" s="815">
        <v>12.93</v>
      </c>
      <c r="J2729" s="815">
        <v>12.93</v>
      </c>
    </row>
    <row r="2730" spans="1:10" ht="25.5" customHeight="1">
      <c r="A2730" s="817" t="s">
        <v>13491</v>
      </c>
      <c r="B2730" s="816" t="s">
        <v>13636</v>
      </c>
      <c r="C2730" s="817" t="s">
        <v>6</v>
      </c>
      <c r="D2730" s="817" t="s">
        <v>2047</v>
      </c>
      <c r="E2730" s="1021" t="s">
        <v>13542</v>
      </c>
      <c r="F2730" s="1021"/>
      <c r="G2730" s="818" t="s">
        <v>16</v>
      </c>
      <c r="H2730" s="819">
        <v>1</v>
      </c>
      <c r="I2730" s="820">
        <v>11.87</v>
      </c>
      <c r="J2730" s="820">
        <v>11.87</v>
      </c>
    </row>
    <row r="2731" spans="1:10" ht="12.75" customHeight="1">
      <c r="A2731" s="817" t="s">
        <v>13491</v>
      </c>
      <c r="B2731" s="816" t="s">
        <v>13637</v>
      </c>
      <c r="C2731" s="817" t="s">
        <v>6</v>
      </c>
      <c r="D2731" s="817" t="s">
        <v>107</v>
      </c>
      <c r="E2731" s="1021" t="s">
        <v>13490</v>
      </c>
      <c r="F2731" s="1021"/>
      <c r="G2731" s="818" t="s">
        <v>19</v>
      </c>
      <c r="H2731" s="819">
        <v>6.1000000000000004E-3</v>
      </c>
      <c r="I2731" s="820">
        <v>15.19</v>
      </c>
      <c r="J2731" s="820">
        <v>0.09</v>
      </c>
    </row>
    <row r="2732" spans="1:10" ht="13.5" customHeight="1">
      <c r="A2732" s="817" t="s">
        <v>13491</v>
      </c>
      <c r="B2732" s="816" t="s">
        <v>13638</v>
      </c>
      <c r="C2732" s="817" t="s">
        <v>6</v>
      </c>
      <c r="D2732" s="817" t="s">
        <v>112</v>
      </c>
      <c r="E2732" s="1021" t="s">
        <v>13490</v>
      </c>
      <c r="F2732" s="1021"/>
      <c r="G2732" s="818" t="s">
        <v>19</v>
      </c>
      <c r="H2732" s="819">
        <v>3.0599999999999999E-2</v>
      </c>
      <c r="I2732" s="820">
        <v>18.75</v>
      </c>
      <c r="J2732" s="820">
        <v>0.56999999999999995</v>
      </c>
    </row>
    <row r="2733" spans="1:10" ht="25.5">
      <c r="A2733" s="822" t="s">
        <v>13493</v>
      </c>
      <c r="B2733" s="821" t="s">
        <v>13639</v>
      </c>
      <c r="C2733" s="822" t="s">
        <v>6</v>
      </c>
      <c r="D2733" s="822" t="s">
        <v>5166</v>
      </c>
      <c r="E2733" s="1017" t="s">
        <v>13514</v>
      </c>
      <c r="F2733" s="1017"/>
      <c r="G2733" s="823" t="s">
        <v>16</v>
      </c>
      <c r="H2733" s="824">
        <v>0.02</v>
      </c>
      <c r="I2733" s="825">
        <v>20</v>
      </c>
      <c r="J2733" s="825">
        <v>0.4</v>
      </c>
    </row>
    <row r="2734" spans="1:10" ht="25.5" customHeight="1">
      <c r="A2734" s="827"/>
      <c r="B2734" s="827"/>
      <c r="C2734" s="827"/>
      <c r="D2734" s="827"/>
      <c r="E2734" s="827" t="s">
        <v>13503</v>
      </c>
      <c r="F2734" s="826">
        <v>0.66</v>
      </c>
      <c r="G2734" s="827" t="s">
        <v>13504</v>
      </c>
      <c r="H2734" s="826">
        <v>0</v>
      </c>
      <c r="I2734" s="827" t="s">
        <v>13505</v>
      </c>
      <c r="J2734" s="826">
        <v>0.66</v>
      </c>
    </row>
    <row r="2735" spans="1:10" ht="38.25" customHeight="1" thickBot="1">
      <c r="A2735" s="827"/>
      <c r="B2735" s="827"/>
      <c r="C2735" s="827"/>
      <c r="D2735" s="827"/>
      <c r="E2735" s="827" t="s">
        <v>13506</v>
      </c>
      <c r="F2735" s="826">
        <v>3.65</v>
      </c>
      <c r="G2735" s="827"/>
      <c r="H2735" s="1018" t="s">
        <v>13507</v>
      </c>
      <c r="I2735" s="1018"/>
      <c r="J2735" s="826">
        <v>16.579999999999998</v>
      </c>
    </row>
    <row r="2736" spans="1:10" ht="38.25" customHeight="1" thickTop="1">
      <c r="A2736" s="828"/>
      <c r="B2736" s="828"/>
      <c r="C2736" s="828"/>
      <c r="D2736" s="828"/>
      <c r="E2736" s="828"/>
      <c r="F2736" s="828"/>
      <c r="G2736" s="828"/>
      <c r="H2736" s="828"/>
      <c r="I2736" s="828"/>
      <c r="J2736" s="828"/>
    </row>
    <row r="2737" spans="1:10" ht="38.25" customHeight="1">
      <c r="A2737" s="809" t="s">
        <v>14447</v>
      </c>
      <c r="B2737" s="808" t="s">
        <v>13481</v>
      </c>
      <c r="C2737" s="809" t="s">
        <v>13482</v>
      </c>
      <c r="D2737" s="809" t="s">
        <v>13483</v>
      </c>
      <c r="E2737" s="1019" t="s">
        <v>13484</v>
      </c>
      <c r="F2737" s="1019"/>
      <c r="G2737" s="810" t="s">
        <v>13485</v>
      </c>
      <c r="H2737" s="808" t="s">
        <v>13486</v>
      </c>
      <c r="I2737" s="808" t="s">
        <v>13487</v>
      </c>
      <c r="J2737" s="808" t="s">
        <v>4867</v>
      </c>
    </row>
    <row r="2738" spans="1:10" ht="38.25" customHeight="1">
      <c r="A2738" s="812" t="s">
        <v>13488</v>
      </c>
      <c r="B2738" s="811" t="s">
        <v>13707</v>
      </c>
      <c r="C2738" s="812" t="s">
        <v>6</v>
      </c>
      <c r="D2738" s="812" t="s">
        <v>6582</v>
      </c>
      <c r="E2738" s="1020" t="s">
        <v>13542</v>
      </c>
      <c r="F2738" s="1020"/>
      <c r="G2738" s="813" t="s">
        <v>13543</v>
      </c>
      <c r="H2738" s="814">
        <v>1</v>
      </c>
      <c r="I2738" s="815">
        <v>400.17</v>
      </c>
      <c r="J2738" s="815">
        <v>400.17</v>
      </c>
    </row>
    <row r="2739" spans="1:10" ht="38.25" customHeight="1">
      <c r="A2739" s="817" t="s">
        <v>13491</v>
      </c>
      <c r="B2739" s="816" t="s">
        <v>13655</v>
      </c>
      <c r="C2739" s="817" t="s">
        <v>6</v>
      </c>
      <c r="D2739" s="817" t="s">
        <v>1102</v>
      </c>
      <c r="E2739" s="1021" t="s">
        <v>13539</v>
      </c>
      <c r="F2739" s="1021"/>
      <c r="G2739" s="818" t="s">
        <v>28</v>
      </c>
      <c r="H2739" s="819">
        <v>0.65720000000000001</v>
      </c>
      <c r="I2739" s="820">
        <v>5.3</v>
      </c>
      <c r="J2739" s="820">
        <v>3.48</v>
      </c>
    </row>
    <row r="2740" spans="1:10" ht="13.5" customHeight="1">
      <c r="A2740" s="817" t="s">
        <v>13491</v>
      </c>
      <c r="B2740" s="816" t="s">
        <v>13654</v>
      </c>
      <c r="C2740" s="817" t="s">
        <v>6</v>
      </c>
      <c r="D2740" s="817" t="s">
        <v>1103</v>
      </c>
      <c r="E2740" s="1021" t="s">
        <v>13539</v>
      </c>
      <c r="F2740" s="1021"/>
      <c r="G2740" s="818" t="s">
        <v>42</v>
      </c>
      <c r="H2740" s="819">
        <v>0.61970000000000003</v>
      </c>
      <c r="I2740" s="820">
        <v>1.53</v>
      </c>
      <c r="J2740" s="820">
        <v>0.94</v>
      </c>
    </row>
    <row r="2741" spans="1:10" ht="12.75" customHeight="1">
      <c r="A2741" s="817" t="s">
        <v>13491</v>
      </c>
      <c r="B2741" s="816" t="s">
        <v>13553</v>
      </c>
      <c r="C2741" s="817" t="s">
        <v>6</v>
      </c>
      <c r="D2741" s="817" t="s">
        <v>21</v>
      </c>
      <c r="E2741" s="1021" t="s">
        <v>13490</v>
      </c>
      <c r="F2741" s="1021"/>
      <c r="G2741" s="818" t="s">
        <v>19</v>
      </c>
      <c r="H2741" s="819">
        <v>2.0266999999999999</v>
      </c>
      <c r="I2741" s="820">
        <v>15.16</v>
      </c>
      <c r="J2741" s="820">
        <v>30.72</v>
      </c>
    </row>
    <row r="2742" spans="1:10" ht="25.5">
      <c r="A2742" s="817" t="s">
        <v>13491</v>
      </c>
      <c r="B2742" s="816" t="s">
        <v>13656</v>
      </c>
      <c r="C2742" s="817" t="s">
        <v>6</v>
      </c>
      <c r="D2742" s="817" t="s">
        <v>990</v>
      </c>
      <c r="E2742" s="1021" t="s">
        <v>13490</v>
      </c>
      <c r="F2742" s="1021"/>
      <c r="G2742" s="818" t="s">
        <v>19</v>
      </c>
      <c r="H2742" s="819">
        <v>1.2767999999999999</v>
      </c>
      <c r="I2742" s="820">
        <v>13.71</v>
      </c>
      <c r="J2742" s="820">
        <v>17.5</v>
      </c>
    </row>
    <row r="2743" spans="1:10" ht="25.5">
      <c r="A2743" s="822" t="s">
        <v>13493</v>
      </c>
      <c r="B2743" s="821" t="s">
        <v>13657</v>
      </c>
      <c r="C2743" s="822" t="s">
        <v>6</v>
      </c>
      <c r="D2743" s="822" t="s">
        <v>4588</v>
      </c>
      <c r="E2743" s="1017" t="s">
        <v>13514</v>
      </c>
      <c r="F2743" s="1017"/>
      <c r="G2743" s="823" t="s">
        <v>13543</v>
      </c>
      <c r="H2743" s="824">
        <v>0.76090000000000002</v>
      </c>
      <c r="I2743" s="825">
        <v>83.5</v>
      </c>
      <c r="J2743" s="825">
        <v>63.53</v>
      </c>
    </row>
    <row r="2744" spans="1:10" ht="38.25" customHeight="1">
      <c r="A2744" s="822" t="s">
        <v>13493</v>
      </c>
      <c r="B2744" s="821" t="s">
        <v>13658</v>
      </c>
      <c r="C2744" s="822" t="s">
        <v>6</v>
      </c>
      <c r="D2744" s="822" t="s">
        <v>4622</v>
      </c>
      <c r="E2744" s="1017" t="s">
        <v>13514</v>
      </c>
      <c r="F2744" s="1017"/>
      <c r="G2744" s="823" t="s">
        <v>16</v>
      </c>
      <c r="H2744" s="824">
        <v>325.15890000000002</v>
      </c>
      <c r="I2744" s="825">
        <v>0.72</v>
      </c>
      <c r="J2744" s="825">
        <v>234.11</v>
      </c>
    </row>
    <row r="2745" spans="1:10" ht="38.25" customHeight="1">
      <c r="A2745" s="822" t="s">
        <v>13493</v>
      </c>
      <c r="B2745" s="821" t="s">
        <v>13659</v>
      </c>
      <c r="C2745" s="822" t="s">
        <v>6</v>
      </c>
      <c r="D2745" s="822" t="s">
        <v>4749</v>
      </c>
      <c r="E2745" s="1017" t="s">
        <v>13514</v>
      </c>
      <c r="F2745" s="1017"/>
      <c r="G2745" s="823" t="s">
        <v>13543</v>
      </c>
      <c r="H2745" s="824">
        <v>0.59119999999999995</v>
      </c>
      <c r="I2745" s="825">
        <v>84.4</v>
      </c>
      <c r="J2745" s="825">
        <v>49.89</v>
      </c>
    </row>
    <row r="2746" spans="1:10" ht="38.25" customHeight="1">
      <c r="A2746" s="827"/>
      <c r="B2746" s="827"/>
      <c r="C2746" s="827"/>
      <c r="D2746" s="827"/>
      <c r="E2746" s="827" t="s">
        <v>13503</v>
      </c>
      <c r="F2746" s="826">
        <v>33.630000000000003</v>
      </c>
      <c r="G2746" s="827" t="s">
        <v>13504</v>
      </c>
      <c r="H2746" s="826">
        <v>0</v>
      </c>
      <c r="I2746" s="827" t="s">
        <v>13505</v>
      </c>
      <c r="J2746" s="826">
        <v>33.630000000000003</v>
      </c>
    </row>
    <row r="2747" spans="1:10" ht="38.25" customHeight="1" thickBot="1">
      <c r="A2747" s="827"/>
      <c r="B2747" s="827"/>
      <c r="C2747" s="827"/>
      <c r="D2747" s="827"/>
      <c r="E2747" s="827" t="s">
        <v>13506</v>
      </c>
      <c r="F2747" s="826">
        <v>113</v>
      </c>
      <c r="G2747" s="827"/>
      <c r="H2747" s="1018" t="s">
        <v>13507</v>
      </c>
      <c r="I2747" s="1018"/>
      <c r="J2747" s="826">
        <v>513.16999999999996</v>
      </c>
    </row>
    <row r="2748" spans="1:10" ht="13.5" thickTop="1">
      <c r="A2748" s="828"/>
      <c r="B2748" s="828"/>
      <c r="C2748" s="828"/>
      <c r="D2748" s="828"/>
      <c r="E2748" s="828"/>
      <c r="F2748" s="828"/>
      <c r="G2748" s="828"/>
      <c r="H2748" s="828"/>
      <c r="I2748" s="828"/>
      <c r="J2748" s="828"/>
    </row>
    <row r="2749" spans="1:10" ht="45" customHeight="1">
      <c r="A2749" s="809" t="s">
        <v>14447</v>
      </c>
      <c r="B2749" s="808" t="s">
        <v>13481</v>
      </c>
      <c r="C2749" s="809" t="s">
        <v>13482</v>
      </c>
      <c r="D2749" s="809" t="s">
        <v>13483</v>
      </c>
      <c r="E2749" s="1019" t="s">
        <v>13484</v>
      </c>
      <c r="F2749" s="1019"/>
      <c r="G2749" s="810" t="s">
        <v>13485</v>
      </c>
      <c r="H2749" s="808" t="s">
        <v>13486</v>
      </c>
      <c r="I2749" s="808" t="s">
        <v>13487</v>
      </c>
      <c r="J2749" s="808" t="s">
        <v>4867</v>
      </c>
    </row>
    <row r="2750" spans="1:10" ht="13.5" customHeight="1">
      <c r="A2750" s="812" t="s">
        <v>13488</v>
      </c>
      <c r="B2750" s="811" t="s">
        <v>14383</v>
      </c>
      <c r="C2750" s="812" t="s">
        <v>6</v>
      </c>
      <c r="D2750" s="812" t="s">
        <v>6574</v>
      </c>
      <c r="E2750" s="1020" t="s">
        <v>13542</v>
      </c>
      <c r="F2750" s="1020"/>
      <c r="G2750" s="813" t="s">
        <v>13543</v>
      </c>
      <c r="H2750" s="814">
        <v>1</v>
      </c>
      <c r="I2750" s="815">
        <v>327.99</v>
      </c>
      <c r="J2750" s="815">
        <v>327.99</v>
      </c>
    </row>
    <row r="2751" spans="1:10" ht="38.25" customHeight="1">
      <c r="A2751" s="817" t="s">
        <v>13491</v>
      </c>
      <c r="B2751" s="816" t="s">
        <v>14476</v>
      </c>
      <c r="C2751" s="817" t="s">
        <v>6</v>
      </c>
      <c r="D2751" s="817" t="s">
        <v>1041</v>
      </c>
      <c r="E2751" s="1021" t="s">
        <v>13539</v>
      </c>
      <c r="F2751" s="1021"/>
      <c r="G2751" s="818" t="s">
        <v>28</v>
      </c>
      <c r="H2751" s="819">
        <v>0.76229999999999998</v>
      </c>
      <c r="I2751" s="820">
        <v>1.87</v>
      </c>
      <c r="J2751" s="820">
        <v>1.42</v>
      </c>
    </row>
    <row r="2752" spans="1:10" ht="38.25" customHeight="1">
      <c r="A2752" s="817" t="s">
        <v>13491</v>
      </c>
      <c r="B2752" s="816" t="s">
        <v>14475</v>
      </c>
      <c r="C2752" s="817" t="s">
        <v>6</v>
      </c>
      <c r="D2752" s="817" t="s">
        <v>1042</v>
      </c>
      <c r="E2752" s="1021" t="s">
        <v>13539</v>
      </c>
      <c r="F2752" s="1021"/>
      <c r="G2752" s="818" t="s">
        <v>42</v>
      </c>
      <c r="H2752" s="819">
        <v>0.71879999999999999</v>
      </c>
      <c r="I2752" s="820">
        <v>0.37</v>
      </c>
      <c r="J2752" s="820">
        <v>0.26</v>
      </c>
    </row>
    <row r="2753" spans="1:10" ht="25.5" customHeight="1">
      <c r="A2753" s="817" t="s">
        <v>13491</v>
      </c>
      <c r="B2753" s="816" t="s">
        <v>13553</v>
      </c>
      <c r="C2753" s="817" t="s">
        <v>6</v>
      </c>
      <c r="D2753" s="817" t="s">
        <v>21</v>
      </c>
      <c r="E2753" s="1021" t="s">
        <v>13490</v>
      </c>
      <c r="F2753" s="1021"/>
      <c r="G2753" s="818" t="s">
        <v>19</v>
      </c>
      <c r="H2753" s="819">
        <v>2.3433000000000002</v>
      </c>
      <c r="I2753" s="820">
        <v>15.16</v>
      </c>
      <c r="J2753" s="820">
        <v>35.520000000000003</v>
      </c>
    </row>
    <row r="2754" spans="1:10" ht="38.25" customHeight="1">
      <c r="A2754" s="817" t="s">
        <v>13491</v>
      </c>
      <c r="B2754" s="816" t="s">
        <v>13656</v>
      </c>
      <c r="C2754" s="817" t="s">
        <v>6</v>
      </c>
      <c r="D2754" s="817" t="s">
        <v>990</v>
      </c>
      <c r="E2754" s="1021" t="s">
        <v>13490</v>
      </c>
      <c r="F2754" s="1021"/>
      <c r="G2754" s="818" t="s">
        <v>19</v>
      </c>
      <c r="H2754" s="819">
        <v>1.4811000000000001</v>
      </c>
      <c r="I2754" s="820">
        <v>13.71</v>
      </c>
      <c r="J2754" s="820">
        <v>20.3</v>
      </c>
    </row>
    <row r="2755" spans="1:10" ht="38.25" customHeight="1">
      <c r="A2755" s="822" t="s">
        <v>13493</v>
      </c>
      <c r="B2755" s="821" t="s">
        <v>13657</v>
      </c>
      <c r="C2755" s="822" t="s">
        <v>6</v>
      </c>
      <c r="D2755" s="822" t="s">
        <v>4588</v>
      </c>
      <c r="E2755" s="1017" t="s">
        <v>13514</v>
      </c>
      <c r="F2755" s="1017"/>
      <c r="G2755" s="823" t="s">
        <v>13543</v>
      </c>
      <c r="H2755" s="824">
        <v>0.82689999999999997</v>
      </c>
      <c r="I2755" s="825">
        <v>83.5</v>
      </c>
      <c r="J2755" s="825">
        <v>69.040000000000006</v>
      </c>
    </row>
    <row r="2756" spans="1:10" ht="38.25" customHeight="1">
      <c r="A2756" s="822" t="s">
        <v>13493</v>
      </c>
      <c r="B2756" s="821" t="s">
        <v>13658</v>
      </c>
      <c r="C2756" s="822" t="s">
        <v>6</v>
      </c>
      <c r="D2756" s="822" t="s">
        <v>4622</v>
      </c>
      <c r="E2756" s="1017" t="s">
        <v>13514</v>
      </c>
      <c r="F2756" s="1017"/>
      <c r="G2756" s="823" t="s">
        <v>16</v>
      </c>
      <c r="H2756" s="824">
        <v>212.01939999999999</v>
      </c>
      <c r="I2756" s="825">
        <v>0.72</v>
      </c>
      <c r="J2756" s="825">
        <v>152.65</v>
      </c>
    </row>
    <row r="2757" spans="1:10" ht="25.5">
      <c r="A2757" s="822" t="s">
        <v>13493</v>
      </c>
      <c r="B2757" s="821" t="s">
        <v>13659</v>
      </c>
      <c r="C2757" s="822" t="s">
        <v>6</v>
      </c>
      <c r="D2757" s="822" t="s">
        <v>4749</v>
      </c>
      <c r="E2757" s="1017" t="s">
        <v>13514</v>
      </c>
      <c r="F2757" s="1017"/>
      <c r="G2757" s="823" t="s">
        <v>13543</v>
      </c>
      <c r="H2757" s="824">
        <v>0.57820000000000005</v>
      </c>
      <c r="I2757" s="825">
        <v>84.4</v>
      </c>
      <c r="J2757" s="825">
        <v>48.8</v>
      </c>
    </row>
    <row r="2758" spans="1:10" ht="25.5">
      <c r="A2758" s="827"/>
      <c r="B2758" s="827"/>
      <c r="C2758" s="827"/>
      <c r="D2758" s="827"/>
      <c r="E2758" s="827" t="s">
        <v>13503</v>
      </c>
      <c r="F2758" s="826">
        <v>38.93</v>
      </c>
      <c r="G2758" s="827" t="s">
        <v>13504</v>
      </c>
      <c r="H2758" s="826">
        <v>0</v>
      </c>
      <c r="I2758" s="827" t="s">
        <v>13505</v>
      </c>
      <c r="J2758" s="826">
        <v>38.93</v>
      </c>
    </row>
    <row r="2759" spans="1:10" ht="13.5" customHeight="1" thickBot="1">
      <c r="A2759" s="827"/>
      <c r="B2759" s="827"/>
      <c r="C2759" s="827"/>
      <c r="D2759" s="827"/>
      <c r="E2759" s="827" t="s">
        <v>13506</v>
      </c>
      <c r="F2759" s="826">
        <v>92.62</v>
      </c>
      <c r="G2759" s="827"/>
      <c r="H2759" s="1018" t="s">
        <v>13507</v>
      </c>
      <c r="I2759" s="1018"/>
      <c r="J2759" s="826">
        <v>420.61</v>
      </c>
    </row>
    <row r="2760" spans="1:10" ht="13.5" customHeight="1" thickTop="1">
      <c r="A2760" s="828"/>
      <c r="B2760" s="828"/>
      <c r="C2760" s="828"/>
      <c r="D2760" s="828"/>
      <c r="E2760" s="828"/>
      <c r="F2760" s="828"/>
      <c r="G2760" s="828"/>
      <c r="H2760" s="828"/>
      <c r="I2760" s="828"/>
      <c r="J2760" s="828"/>
    </row>
    <row r="2761" spans="1:10" ht="45" customHeight="1">
      <c r="A2761" s="809" t="s">
        <v>14447</v>
      </c>
      <c r="B2761" s="808" t="s">
        <v>13481</v>
      </c>
      <c r="C2761" s="809" t="s">
        <v>13482</v>
      </c>
      <c r="D2761" s="809" t="s">
        <v>13483</v>
      </c>
      <c r="E2761" s="1019" t="s">
        <v>13484</v>
      </c>
      <c r="F2761" s="1019"/>
      <c r="G2761" s="810" t="s">
        <v>13485</v>
      </c>
      <c r="H2761" s="808" t="s">
        <v>13486</v>
      </c>
      <c r="I2761" s="808" t="s">
        <v>13487</v>
      </c>
      <c r="J2761" s="808" t="s">
        <v>4867</v>
      </c>
    </row>
    <row r="2762" spans="1:10" ht="25.5" customHeight="1">
      <c r="A2762" s="812" t="s">
        <v>13488</v>
      </c>
      <c r="B2762" s="811" t="s">
        <v>14481</v>
      </c>
      <c r="C2762" s="812" t="s">
        <v>6</v>
      </c>
      <c r="D2762" s="812" t="s">
        <v>3331</v>
      </c>
      <c r="E2762" s="1020" t="s">
        <v>13666</v>
      </c>
      <c r="F2762" s="1020"/>
      <c r="G2762" s="813" t="s">
        <v>13537</v>
      </c>
      <c r="H2762" s="814">
        <v>1</v>
      </c>
      <c r="I2762" s="815">
        <v>32.659999999999997</v>
      </c>
      <c r="J2762" s="815">
        <v>32.659999999999997</v>
      </c>
    </row>
    <row r="2763" spans="1:10" ht="38.25" customHeight="1">
      <c r="A2763" s="817" t="s">
        <v>13491</v>
      </c>
      <c r="B2763" s="816" t="s">
        <v>14482</v>
      </c>
      <c r="C2763" s="817" t="s">
        <v>6</v>
      </c>
      <c r="D2763" s="817" t="s">
        <v>3834</v>
      </c>
      <c r="E2763" s="1021" t="s">
        <v>13490</v>
      </c>
      <c r="F2763" s="1021"/>
      <c r="G2763" s="818" t="s">
        <v>13543</v>
      </c>
      <c r="H2763" s="819">
        <v>2.5000000000000001E-2</v>
      </c>
      <c r="I2763" s="820">
        <v>461.65</v>
      </c>
      <c r="J2763" s="820">
        <v>11.54</v>
      </c>
    </row>
    <row r="2764" spans="1:10" ht="38.25" customHeight="1">
      <c r="A2764" s="817" t="s">
        <v>13491</v>
      </c>
      <c r="B2764" s="816" t="s">
        <v>13577</v>
      </c>
      <c r="C2764" s="817" t="s">
        <v>6</v>
      </c>
      <c r="D2764" s="817" t="s">
        <v>31</v>
      </c>
      <c r="E2764" s="1021" t="s">
        <v>13490</v>
      </c>
      <c r="F2764" s="1021"/>
      <c r="G2764" s="818" t="s">
        <v>19</v>
      </c>
      <c r="H2764" s="819">
        <v>0.86699999999999999</v>
      </c>
      <c r="I2764" s="820">
        <v>18.86</v>
      </c>
      <c r="J2764" s="820">
        <v>16.350000000000001</v>
      </c>
    </row>
    <row r="2765" spans="1:10" ht="38.25" customHeight="1">
      <c r="A2765" s="817" t="s">
        <v>13491</v>
      </c>
      <c r="B2765" s="816" t="s">
        <v>13553</v>
      </c>
      <c r="C2765" s="817" t="s">
        <v>6</v>
      </c>
      <c r="D2765" s="817" t="s">
        <v>21</v>
      </c>
      <c r="E2765" s="1021" t="s">
        <v>13490</v>
      </c>
      <c r="F2765" s="1021"/>
      <c r="G2765" s="818" t="s">
        <v>19</v>
      </c>
      <c r="H2765" s="819">
        <v>0.17599999999999999</v>
      </c>
      <c r="I2765" s="820">
        <v>15.16</v>
      </c>
      <c r="J2765" s="820">
        <v>2.66</v>
      </c>
    </row>
    <row r="2766" spans="1:10" ht="25.5">
      <c r="A2766" s="822" t="s">
        <v>13493</v>
      </c>
      <c r="B2766" s="821" t="s">
        <v>14483</v>
      </c>
      <c r="C2766" s="822" t="s">
        <v>6</v>
      </c>
      <c r="D2766" s="822" t="s">
        <v>4578</v>
      </c>
      <c r="E2766" s="1017" t="s">
        <v>13514</v>
      </c>
      <c r="F2766" s="1017"/>
      <c r="G2766" s="823" t="s">
        <v>39</v>
      </c>
      <c r="H2766" s="824">
        <v>0.38700000000000001</v>
      </c>
      <c r="I2766" s="825">
        <v>5.46</v>
      </c>
      <c r="J2766" s="825">
        <v>2.11</v>
      </c>
    </row>
    <row r="2767" spans="1:10" ht="25.5">
      <c r="A2767" s="827"/>
      <c r="B2767" s="827"/>
      <c r="C2767" s="827"/>
      <c r="D2767" s="827"/>
      <c r="E2767" s="827" t="s">
        <v>13503</v>
      </c>
      <c r="F2767" s="826">
        <v>15.19</v>
      </c>
      <c r="G2767" s="827" t="s">
        <v>13504</v>
      </c>
      <c r="H2767" s="826">
        <v>0</v>
      </c>
      <c r="I2767" s="827" t="s">
        <v>13505</v>
      </c>
      <c r="J2767" s="826">
        <v>15.19</v>
      </c>
    </row>
    <row r="2768" spans="1:10" ht="13.5" customHeight="1" thickBot="1">
      <c r="A2768" s="827"/>
      <c r="B2768" s="827"/>
      <c r="C2768" s="827"/>
      <c r="D2768" s="827"/>
      <c r="E2768" s="827" t="s">
        <v>13506</v>
      </c>
      <c r="F2768" s="826">
        <v>9.2200000000000006</v>
      </c>
      <c r="G2768" s="827"/>
      <c r="H2768" s="1018" t="s">
        <v>13507</v>
      </c>
      <c r="I2768" s="1018"/>
      <c r="J2768" s="826">
        <v>41.88</v>
      </c>
    </row>
    <row r="2769" spans="1:10" ht="13.5" thickTop="1">
      <c r="A2769" s="828"/>
      <c r="B2769" s="828"/>
      <c r="C2769" s="828"/>
      <c r="D2769" s="828"/>
      <c r="E2769" s="828"/>
      <c r="F2769" s="828"/>
      <c r="G2769" s="828"/>
      <c r="H2769" s="828"/>
      <c r="I2769" s="828"/>
      <c r="J2769" s="828"/>
    </row>
    <row r="2770" spans="1:10" ht="45" customHeight="1">
      <c r="A2770" s="809" t="s">
        <v>14447</v>
      </c>
      <c r="B2770" s="808" t="s">
        <v>13481</v>
      </c>
      <c r="C2770" s="809" t="s">
        <v>13482</v>
      </c>
      <c r="D2770" s="809" t="s">
        <v>13483</v>
      </c>
      <c r="E2770" s="1019" t="s">
        <v>13484</v>
      </c>
      <c r="F2770" s="1019"/>
      <c r="G2770" s="810" t="s">
        <v>13485</v>
      </c>
      <c r="H2770" s="808" t="s">
        <v>13486</v>
      </c>
      <c r="I2770" s="808" t="s">
        <v>13487</v>
      </c>
      <c r="J2770" s="808" t="s">
        <v>4867</v>
      </c>
    </row>
    <row r="2771" spans="1:10" ht="25.5" customHeight="1">
      <c r="A2771" s="812" t="s">
        <v>13488</v>
      </c>
      <c r="B2771" s="811" t="s">
        <v>14357</v>
      </c>
      <c r="C2771" s="812" t="s">
        <v>6</v>
      </c>
      <c r="D2771" s="812" t="s">
        <v>3198</v>
      </c>
      <c r="E2771" s="1020" t="s">
        <v>14194</v>
      </c>
      <c r="F2771" s="1020"/>
      <c r="G2771" s="813" t="s">
        <v>24</v>
      </c>
      <c r="H2771" s="814">
        <v>1</v>
      </c>
      <c r="I2771" s="815">
        <v>19.41</v>
      </c>
      <c r="J2771" s="815">
        <v>19.41</v>
      </c>
    </row>
    <row r="2772" spans="1:10" ht="38.25" customHeight="1">
      <c r="A2772" s="817" t="s">
        <v>13491</v>
      </c>
      <c r="B2772" s="816" t="s">
        <v>14121</v>
      </c>
      <c r="C2772" s="817" t="s">
        <v>6</v>
      </c>
      <c r="D2772" s="817" t="s">
        <v>37</v>
      </c>
      <c r="E2772" s="1021" t="s">
        <v>13490</v>
      </c>
      <c r="F2772" s="1021"/>
      <c r="G2772" s="818" t="s">
        <v>19</v>
      </c>
      <c r="H2772" s="819">
        <v>0.31640000000000001</v>
      </c>
      <c r="I2772" s="820">
        <v>15.19</v>
      </c>
      <c r="J2772" s="820">
        <v>4.8</v>
      </c>
    </row>
    <row r="2773" spans="1:10" ht="38.25" customHeight="1">
      <c r="A2773" s="817" t="s">
        <v>13491</v>
      </c>
      <c r="B2773" s="816" t="s">
        <v>13567</v>
      </c>
      <c r="C2773" s="817" t="s">
        <v>6</v>
      </c>
      <c r="D2773" s="817" t="s">
        <v>35</v>
      </c>
      <c r="E2773" s="1021" t="s">
        <v>13490</v>
      </c>
      <c r="F2773" s="1021"/>
      <c r="G2773" s="818" t="s">
        <v>19</v>
      </c>
      <c r="H2773" s="819">
        <v>0.31640000000000001</v>
      </c>
      <c r="I2773" s="820">
        <v>19.53</v>
      </c>
      <c r="J2773" s="820">
        <v>6.17</v>
      </c>
    </row>
    <row r="2774" spans="1:10" ht="25.5">
      <c r="A2774" s="822" t="s">
        <v>13493</v>
      </c>
      <c r="B2774" s="821" t="s">
        <v>14486</v>
      </c>
      <c r="C2774" s="822" t="s">
        <v>6</v>
      </c>
      <c r="D2774" s="822" t="s">
        <v>4741</v>
      </c>
      <c r="E2774" s="1017" t="s">
        <v>13514</v>
      </c>
      <c r="F2774" s="1017"/>
      <c r="G2774" s="823" t="s">
        <v>24</v>
      </c>
      <c r="H2774" s="824">
        <v>2</v>
      </c>
      <c r="I2774" s="825">
        <v>0.3</v>
      </c>
      <c r="J2774" s="825">
        <v>0.6</v>
      </c>
    </row>
    <row r="2775" spans="1:10" ht="25.5">
      <c r="A2775" s="822" t="s">
        <v>13493</v>
      </c>
      <c r="B2775" s="821" t="s">
        <v>14487</v>
      </c>
      <c r="C2775" s="822" t="s">
        <v>6</v>
      </c>
      <c r="D2775" s="822" t="s">
        <v>4790</v>
      </c>
      <c r="E2775" s="1017" t="s">
        <v>13514</v>
      </c>
      <c r="F2775" s="1017"/>
      <c r="G2775" s="823" t="s">
        <v>24</v>
      </c>
      <c r="H2775" s="824">
        <v>1</v>
      </c>
      <c r="I2775" s="825">
        <v>7.84</v>
      </c>
      <c r="J2775" s="825">
        <v>7.84</v>
      </c>
    </row>
    <row r="2776" spans="1:10" ht="13.5" customHeight="1">
      <c r="A2776" s="827"/>
      <c r="B2776" s="827"/>
      <c r="C2776" s="827"/>
      <c r="D2776" s="827"/>
      <c r="E2776" s="827" t="s">
        <v>13503</v>
      </c>
      <c r="F2776" s="826">
        <v>7.86</v>
      </c>
      <c r="G2776" s="827" t="s">
        <v>13504</v>
      </c>
      <c r="H2776" s="826">
        <v>0</v>
      </c>
      <c r="I2776" s="827" t="s">
        <v>13505</v>
      </c>
      <c r="J2776" s="826">
        <v>7.86</v>
      </c>
    </row>
    <row r="2777" spans="1:10" ht="13.5" customHeight="1" thickBot="1">
      <c r="A2777" s="827"/>
      <c r="B2777" s="827"/>
      <c r="C2777" s="827"/>
      <c r="D2777" s="827"/>
      <c r="E2777" s="827" t="s">
        <v>13506</v>
      </c>
      <c r="F2777" s="826">
        <v>5.48</v>
      </c>
      <c r="G2777" s="827"/>
      <c r="H2777" s="1018" t="s">
        <v>13507</v>
      </c>
      <c r="I2777" s="1018"/>
      <c r="J2777" s="826">
        <v>24.89</v>
      </c>
    </row>
    <row r="2778" spans="1:10" ht="13.5" thickTop="1">
      <c r="A2778" s="828"/>
      <c r="B2778" s="828"/>
      <c r="C2778" s="828"/>
      <c r="D2778" s="828"/>
      <c r="E2778" s="828"/>
      <c r="F2778" s="828"/>
      <c r="G2778" s="828"/>
      <c r="H2778" s="828"/>
      <c r="I2778" s="828"/>
      <c r="J2778" s="828"/>
    </row>
    <row r="2779" spans="1:10" ht="25.5" customHeight="1">
      <c r="A2779" s="809" t="s">
        <v>14447</v>
      </c>
      <c r="B2779" s="808" t="s">
        <v>13481</v>
      </c>
      <c r="C2779" s="809" t="s">
        <v>13482</v>
      </c>
      <c r="D2779" s="809" t="s">
        <v>13483</v>
      </c>
      <c r="E2779" s="1019" t="s">
        <v>13484</v>
      </c>
      <c r="F2779" s="1019"/>
      <c r="G2779" s="810" t="s">
        <v>13485</v>
      </c>
      <c r="H2779" s="808" t="s">
        <v>13486</v>
      </c>
      <c r="I2779" s="808" t="s">
        <v>13487</v>
      </c>
      <c r="J2779" s="808" t="s">
        <v>4867</v>
      </c>
    </row>
    <row r="2780" spans="1:10" ht="25.5" customHeight="1">
      <c r="A2780" s="812" t="s">
        <v>13488</v>
      </c>
      <c r="B2780" s="811" t="s">
        <v>14488</v>
      </c>
      <c r="C2780" s="812" t="s">
        <v>6</v>
      </c>
      <c r="D2780" s="812" t="s">
        <v>3202</v>
      </c>
      <c r="E2780" s="1020" t="s">
        <v>14194</v>
      </c>
      <c r="F2780" s="1020"/>
      <c r="G2780" s="813" t="s">
        <v>24</v>
      </c>
      <c r="H2780" s="814">
        <v>1</v>
      </c>
      <c r="I2780" s="815">
        <v>93.6</v>
      </c>
      <c r="J2780" s="815">
        <v>93.6</v>
      </c>
    </row>
    <row r="2781" spans="1:10" ht="38.25" customHeight="1">
      <c r="A2781" s="817" t="s">
        <v>13491</v>
      </c>
      <c r="B2781" s="816" t="s">
        <v>14121</v>
      </c>
      <c r="C2781" s="817" t="s">
        <v>6</v>
      </c>
      <c r="D2781" s="817" t="s">
        <v>37</v>
      </c>
      <c r="E2781" s="1021" t="s">
        <v>13490</v>
      </c>
      <c r="F2781" s="1021"/>
      <c r="G2781" s="818" t="s">
        <v>19</v>
      </c>
      <c r="H2781" s="819">
        <v>1.1328</v>
      </c>
      <c r="I2781" s="820">
        <v>15.19</v>
      </c>
      <c r="J2781" s="820">
        <v>17.2</v>
      </c>
    </row>
    <row r="2782" spans="1:10" ht="12.75" customHeight="1">
      <c r="A2782" s="817" t="s">
        <v>13491</v>
      </c>
      <c r="B2782" s="816" t="s">
        <v>13567</v>
      </c>
      <c r="C2782" s="817" t="s">
        <v>6</v>
      </c>
      <c r="D2782" s="817" t="s">
        <v>35</v>
      </c>
      <c r="E2782" s="1021" t="s">
        <v>13490</v>
      </c>
      <c r="F2782" s="1021"/>
      <c r="G2782" s="818" t="s">
        <v>19</v>
      </c>
      <c r="H2782" s="819">
        <v>1.1328</v>
      </c>
      <c r="I2782" s="820">
        <v>19.53</v>
      </c>
      <c r="J2782" s="820">
        <v>22.12</v>
      </c>
    </row>
    <row r="2783" spans="1:10">
      <c r="A2783" s="822" t="s">
        <v>13493</v>
      </c>
      <c r="B2783" s="821" t="s">
        <v>14489</v>
      </c>
      <c r="C2783" s="822" t="s">
        <v>6</v>
      </c>
      <c r="D2783" s="822" t="s">
        <v>8817</v>
      </c>
      <c r="E2783" s="1017" t="s">
        <v>13514</v>
      </c>
      <c r="F2783" s="1017"/>
      <c r="G2783" s="823" t="s">
        <v>24</v>
      </c>
      <c r="H2783" s="824">
        <v>1</v>
      </c>
      <c r="I2783" s="825">
        <v>54.28</v>
      </c>
      <c r="J2783" s="825">
        <v>54.28</v>
      </c>
    </row>
    <row r="2784" spans="1:10" ht="25.5">
      <c r="A2784" s="827"/>
      <c r="B2784" s="827"/>
      <c r="C2784" s="827"/>
      <c r="D2784" s="827"/>
      <c r="E2784" s="827" t="s">
        <v>13503</v>
      </c>
      <c r="F2784" s="826">
        <v>28.18</v>
      </c>
      <c r="G2784" s="827" t="s">
        <v>13504</v>
      </c>
      <c r="H2784" s="826">
        <v>0</v>
      </c>
      <c r="I2784" s="827" t="s">
        <v>13505</v>
      </c>
      <c r="J2784" s="826">
        <v>28.18</v>
      </c>
    </row>
    <row r="2785" spans="1:10" ht="13.5" customHeight="1" thickBot="1">
      <c r="A2785" s="827"/>
      <c r="B2785" s="827"/>
      <c r="C2785" s="827"/>
      <c r="D2785" s="827"/>
      <c r="E2785" s="827" t="s">
        <v>13506</v>
      </c>
      <c r="F2785" s="826">
        <v>26.43</v>
      </c>
      <c r="G2785" s="827"/>
      <c r="H2785" s="1018" t="s">
        <v>13507</v>
      </c>
      <c r="I2785" s="1018"/>
      <c r="J2785" s="826">
        <v>120.03</v>
      </c>
    </row>
    <row r="2786" spans="1:10" ht="13.5" customHeight="1" thickTop="1">
      <c r="A2786" s="828"/>
      <c r="B2786" s="828"/>
      <c r="C2786" s="828"/>
      <c r="D2786" s="828"/>
      <c r="E2786" s="828"/>
      <c r="F2786" s="828"/>
      <c r="G2786" s="828"/>
      <c r="H2786" s="828"/>
      <c r="I2786" s="828"/>
      <c r="J2786" s="828"/>
    </row>
    <row r="2787" spans="1:10" ht="45" customHeight="1">
      <c r="A2787" s="809" t="s">
        <v>14447</v>
      </c>
      <c r="B2787" s="808" t="s">
        <v>13481</v>
      </c>
      <c r="C2787" s="809" t="s">
        <v>13482</v>
      </c>
      <c r="D2787" s="809" t="s">
        <v>13483</v>
      </c>
      <c r="E2787" s="1019" t="s">
        <v>13484</v>
      </c>
      <c r="F2787" s="1019"/>
      <c r="G2787" s="810" t="s">
        <v>13485</v>
      </c>
      <c r="H2787" s="808" t="s">
        <v>13486</v>
      </c>
      <c r="I2787" s="808" t="s">
        <v>13487</v>
      </c>
      <c r="J2787" s="808" t="s">
        <v>4867</v>
      </c>
    </row>
    <row r="2788" spans="1:10" ht="25.5" customHeight="1">
      <c r="A2788" s="812" t="s">
        <v>13488</v>
      </c>
      <c r="B2788" s="811" t="s">
        <v>14484</v>
      </c>
      <c r="C2788" s="812" t="s">
        <v>6</v>
      </c>
      <c r="D2788" s="812" t="s">
        <v>3203</v>
      </c>
      <c r="E2788" s="1020" t="s">
        <v>14194</v>
      </c>
      <c r="F2788" s="1020"/>
      <c r="G2788" s="813" t="s">
        <v>24</v>
      </c>
      <c r="H2788" s="814">
        <v>1</v>
      </c>
      <c r="I2788" s="815">
        <v>165.89</v>
      </c>
      <c r="J2788" s="815">
        <v>165.89</v>
      </c>
    </row>
    <row r="2789" spans="1:10" ht="12.75" customHeight="1">
      <c r="A2789" s="817" t="s">
        <v>13491</v>
      </c>
      <c r="B2789" s="816" t="s">
        <v>13567</v>
      </c>
      <c r="C2789" s="817" t="s">
        <v>6</v>
      </c>
      <c r="D2789" s="817" t="s">
        <v>35</v>
      </c>
      <c r="E2789" s="1021" t="s">
        <v>13490</v>
      </c>
      <c r="F2789" s="1021"/>
      <c r="G2789" s="818" t="s">
        <v>19</v>
      </c>
      <c r="H2789" s="819">
        <v>0.15820000000000001</v>
      </c>
      <c r="I2789" s="820">
        <v>19.53</v>
      </c>
      <c r="J2789" s="820">
        <v>3.08</v>
      </c>
    </row>
    <row r="2790" spans="1:10" ht="38.25" customHeight="1">
      <c r="A2790" s="817" t="s">
        <v>13491</v>
      </c>
      <c r="B2790" s="816" t="s">
        <v>14121</v>
      </c>
      <c r="C2790" s="817" t="s">
        <v>6</v>
      </c>
      <c r="D2790" s="817" t="s">
        <v>37</v>
      </c>
      <c r="E2790" s="1021" t="s">
        <v>13490</v>
      </c>
      <c r="F2790" s="1021"/>
      <c r="G2790" s="818" t="s">
        <v>19</v>
      </c>
      <c r="H2790" s="819">
        <v>0.15820000000000001</v>
      </c>
      <c r="I2790" s="820">
        <v>15.19</v>
      </c>
      <c r="J2790" s="820">
        <v>2.4</v>
      </c>
    </row>
    <row r="2791" spans="1:10">
      <c r="A2791" s="822" t="s">
        <v>13493</v>
      </c>
      <c r="B2791" s="821" t="s">
        <v>14485</v>
      </c>
      <c r="C2791" s="822" t="s">
        <v>6</v>
      </c>
      <c r="D2791" s="822" t="s">
        <v>11364</v>
      </c>
      <c r="E2791" s="1017" t="s">
        <v>13514</v>
      </c>
      <c r="F2791" s="1017"/>
      <c r="G2791" s="823" t="s">
        <v>14</v>
      </c>
      <c r="H2791" s="824">
        <v>3</v>
      </c>
      <c r="I2791" s="825">
        <v>53.47</v>
      </c>
      <c r="J2791" s="825">
        <v>160.41</v>
      </c>
    </row>
    <row r="2792" spans="1:10" ht="25.5">
      <c r="A2792" s="827"/>
      <c r="B2792" s="827"/>
      <c r="C2792" s="827"/>
      <c r="D2792" s="827"/>
      <c r="E2792" s="827" t="s">
        <v>13503</v>
      </c>
      <c r="F2792" s="826">
        <v>3.93</v>
      </c>
      <c r="G2792" s="827" t="s">
        <v>13504</v>
      </c>
      <c r="H2792" s="826">
        <v>0</v>
      </c>
      <c r="I2792" s="827" t="s">
        <v>13505</v>
      </c>
      <c r="J2792" s="826">
        <v>3.93</v>
      </c>
    </row>
    <row r="2793" spans="1:10" ht="13.5" customHeight="1" thickBot="1">
      <c r="A2793" s="827"/>
      <c r="B2793" s="827"/>
      <c r="C2793" s="827"/>
      <c r="D2793" s="827"/>
      <c r="E2793" s="827" t="s">
        <v>13506</v>
      </c>
      <c r="F2793" s="826">
        <v>46.84</v>
      </c>
      <c r="G2793" s="827"/>
      <c r="H2793" s="1018" t="s">
        <v>13507</v>
      </c>
      <c r="I2793" s="1018"/>
      <c r="J2793" s="826">
        <v>212.73</v>
      </c>
    </row>
    <row r="2794" spans="1:10" ht="13.5" thickTop="1">
      <c r="A2794" s="828"/>
      <c r="B2794" s="828"/>
      <c r="C2794" s="828"/>
      <c r="D2794" s="828"/>
      <c r="E2794" s="828"/>
      <c r="F2794" s="828"/>
      <c r="G2794" s="828"/>
      <c r="H2794" s="828"/>
      <c r="I2794" s="828"/>
      <c r="J2794" s="828"/>
    </row>
    <row r="2795" spans="1:10" ht="45" customHeight="1">
      <c r="A2795" s="809" t="s">
        <v>14447</v>
      </c>
      <c r="B2795" s="808" t="s">
        <v>13481</v>
      </c>
      <c r="C2795" s="809" t="s">
        <v>13482</v>
      </c>
      <c r="D2795" s="809" t="s">
        <v>13483</v>
      </c>
      <c r="E2795" s="1019" t="s">
        <v>13484</v>
      </c>
      <c r="F2795" s="1019"/>
      <c r="G2795" s="810" t="s">
        <v>13485</v>
      </c>
      <c r="H2795" s="808" t="s">
        <v>13486</v>
      </c>
      <c r="I2795" s="808" t="s">
        <v>13487</v>
      </c>
      <c r="J2795" s="808" t="s">
        <v>4867</v>
      </c>
    </row>
    <row r="2796" spans="1:10" ht="38.25" customHeight="1">
      <c r="A2796" s="812" t="s">
        <v>13488</v>
      </c>
      <c r="B2796" s="811" t="s">
        <v>14490</v>
      </c>
      <c r="C2796" s="812" t="s">
        <v>6</v>
      </c>
      <c r="D2796" s="812" t="s">
        <v>5860</v>
      </c>
      <c r="E2796" s="1020" t="s">
        <v>13898</v>
      </c>
      <c r="F2796" s="1020"/>
      <c r="G2796" s="813" t="s">
        <v>14</v>
      </c>
      <c r="H2796" s="814">
        <v>1</v>
      </c>
      <c r="I2796" s="815">
        <v>40.380000000000003</v>
      </c>
      <c r="J2796" s="815">
        <v>40.380000000000003</v>
      </c>
    </row>
    <row r="2797" spans="1:10" ht="38.25" customHeight="1">
      <c r="A2797" s="817" t="s">
        <v>13491</v>
      </c>
      <c r="B2797" s="816" t="s">
        <v>13909</v>
      </c>
      <c r="C2797" s="817" t="s">
        <v>6</v>
      </c>
      <c r="D2797" s="817" t="s">
        <v>986</v>
      </c>
      <c r="E2797" s="1021" t="s">
        <v>13490</v>
      </c>
      <c r="F2797" s="1021"/>
      <c r="G2797" s="818" t="s">
        <v>19</v>
      </c>
      <c r="H2797" s="819">
        <v>0.29699999999999999</v>
      </c>
      <c r="I2797" s="820">
        <v>15.54</v>
      </c>
      <c r="J2797" s="820">
        <v>4.6100000000000003</v>
      </c>
    </row>
    <row r="2798" spans="1:10" ht="38.25" customHeight="1">
      <c r="A2798" s="817" t="s">
        <v>13491</v>
      </c>
      <c r="B2798" s="816" t="s">
        <v>13574</v>
      </c>
      <c r="C2798" s="817" t="s">
        <v>6</v>
      </c>
      <c r="D2798" s="817" t="s">
        <v>34</v>
      </c>
      <c r="E2798" s="1021" t="s">
        <v>13490</v>
      </c>
      <c r="F2798" s="1021"/>
      <c r="G2798" s="818" t="s">
        <v>19</v>
      </c>
      <c r="H2798" s="819">
        <v>0.29699999999999999</v>
      </c>
      <c r="I2798" s="820">
        <v>18.72</v>
      </c>
      <c r="J2798" s="820">
        <v>5.55</v>
      </c>
    </row>
    <row r="2799" spans="1:10" ht="13.5" customHeight="1">
      <c r="A2799" s="822" t="s">
        <v>13493</v>
      </c>
      <c r="B2799" s="821" t="s">
        <v>14491</v>
      </c>
      <c r="C2799" s="822" t="s">
        <v>6</v>
      </c>
      <c r="D2799" s="822" t="s">
        <v>4810</v>
      </c>
      <c r="E2799" s="1017" t="s">
        <v>13514</v>
      </c>
      <c r="F2799" s="1017"/>
      <c r="G2799" s="823" t="s">
        <v>14</v>
      </c>
      <c r="H2799" s="824">
        <v>1.0389999999999999</v>
      </c>
      <c r="I2799" s="825">
        <v>29.09</v>
      </c>
      <c r="J2799" s="825">
        <v>30.22</v>
      </c>
    </row>
    <row r="2800" spans="1:10" ht="25.5">
      <c r="A2800" s="827"/>
      <c r="B2800" s="827"/>
      <c r="C2800" s="827"/>
      <c r="D2800" s="827"/>
      <c r="E2800" s="827" t="s">
        <v>13503</v>
      </c>
      <c r="F2800" s="826">
        <v>7.59</v>
      </c>
      <c r="G2800" s="827" t="s">
        <v>13504</v>
      </c>
      <c r="H2800" s="826">
        <v>0</v>
      </c>
      <c r="I2800" s="827" t="s">
        <v>13505</v>
      </c>
      <c r="J2800" s="826">
        <v>7.59</v>
      </c>
    </row>
    <row r="2801" spans="1:10" ht="13.5" customHeight="1" thickBot="1">
      <c r="A2801" s="827"/>
      <c r="B2801" s="827"/>
      <c r="C2801" s="827"/>
      <c r="D2801" s="827"/>
      <c r="E2801" s="827" t="s">
        <v>13506</v>
      </c>
      <c r="F2801" s="826">
        <v>11.4</v>
      </c>
      <c r="G2801" s="827"/>
      <c r="H2801" s="1018" t="s">
        <v>13507</v>
      </c>
      <c r="I2801" s="1018"/>
      <c r="J2801" s="826">
        <v>51.78</v>
      </c>
    </row>
    <row r="2802" spans="1:10" ht="38.25" customHeight="1" thickTop="1">
      <c r="A2802" s="828"/>
      <c r="B2802" s="828"/>
      <c r="C2802" s="828"/>
      <c r="D2802" s="828"/>
      <c r="E2802" s="828"/>
      <c r="F2802" s="828"/>
      <c r="G2802" s="828"/>
      <c r="H2802" s="828"/>
      <c r="I2802" s="828"/>
      <c r="J2802" s="828"/>
    </row>
    <row r="2803" spans="1:10" ht="38.25" customHeight="1">
      <c r="A2803" s="809" t="s">
        <v>14447</v>
      </c>
      <c r="B2803" s="808" t="s">
        <v>13481</v>
      </c>
      <c r="C2803" s="809" t="s">
        <v>13482</v>
      </c>
      <c r="D2803" s="809" t="s">
        <v>13483</v>
      </c>
      <c r="E2803" s="1019" t="s">
        <v>13484</v>
      </c>
      <c r="F2803" s="1019"/>
      <c r="G2803" s="810" t="s">
        <v>13485</v>
      </c>
      <c r="H2803" s="808" t="s">
        <v>13486</v>
      </c>
      <c r="I2803" s="808" t="s">
        <v>13487</v>
      </c>
      <c r="J2803" s="808" t="s">
        <v>4867</v>
      </c>
    </row>
    <row r="2804" spans="1:10" ht="38.25" customHeight="1">
      <c r="A2804" s="812" t="s">
        <v>13488</v>
      </c>
      <c r="B2804" s="811" t="s">
        <v>14492</v>
      </c>
      <c r="C2804" s="812" t="s">
        <v>6</v>
      </c>
      <c r="D2804" s="812" t="s">
        <v>2337</v>
      </c>
      <c r="E2804" s="1020" t="s">
        <v>13898</v>
      </c>
      <c r="F2804" s="1020"/>
      <c r="G2804" s="813" t="s">
        <v>14</v>
      </c>
      <c r="H2804" s="814">
        <v>1</v>
      </c>
      <c r="I2804" s="815">
        <v>8.7100000000000009</v>
      </c>
      <c r="J2804" s="815">
        <v>8.7100000000000009</v>
      </c>
    </row>
    <row r="2805" spans="1:10" ht="38.25" customHeight="1">
      <c r="A2805" s="817" t="s">
        <v>13491</v>
      </c>
      <c r="B2805" s="816" t="s">
        <v>13909</v>
      </c>
      <c r="C2805" s="817" t="s">
        <v>6</v>
      </c>
      <c r="D2805" s="817" t="s">
        <v>986</v>
      </c>
      <c r="E2805" s="1021" t="s">
        <v>13490</v>
      </c>
      <c r="F2805" s="1021"/>
      <c r="G2805" s="818" t="s">
        <v>19</v>
      </c>
      <c r="H2805" s="819">
        <v>0.13300000000000001</v>
      </c>
      <c r="I2805" s="820">
        <v>15.54</v>
      </c>
      <c r="J2805" s="820">
        <v>2.06</v>
      </c>
    </row>
    <row r="2806" spans="1:10" ht="13.5" customHeight="1">
      <c r="A2806" s="817" t="s">
        <v>13491</v>
      </c>
      <c r="B2806" s="816" t="s">
        <v>13574</v>
      </c>
      <c r="C2806" s="817" t="s">
        <v>6</v>
      </c>
      <c r="D2806" s="817" t="s">
        <v>34</v>
      </c>
      <c r="E2806" s="1021" t="s">
        <v>13490</v>
      </c>
      <c r="F2806" s="1021"/>
      <c r="G2806" s="818" t="s">
        <v>19</v>
      </c>
      <c r="H2806" s="819">
        <v>0.13300000000000001</v>
      </c>
      <c r="I2806" s="820">
        <v>18.72</v>
      </c>
      <c r="J2806" s="820">
        <v>2.48</v>
      </c>
    </row>
    <row r="2807" spans="1:10">
      <c r="A2807" s="822" t="s">
        <v>13493</v>
      </c>
      <c r="B2807" s="821" t="s">
        <v>14083</v>
      </c>
      <c r="C2807" s="822" t="s">
        <v>6</v>
      </c>
      <c r="D2807" s="822" t="s">
        <v>4815</v>
      </c>
      <c r="E2807" s="1017" t="s">
        <v>13514</v>
      </c>
      <c r="F2807" s="1017"/>
      <c r="G2807" s="823" t="s">
        <v>14</v>
      </c>
      <c r="H2807" s="824">
        <v>1.0429999999999999</v>
      </c>
      <c r="I2807" s="825">
        <v>4</v>
      </c>
      <c r="J2807" s="825">
        <v>4.17</v>
      </c>
    </row>
    <row r="2808" spans="1:10" ht="25.5">
      <c r="A2808" s="827"/>
      <c r="B2808" s="827"/>
      <c r="C2808" s="827"/>
      <c r="D2808" s="827"/>
      <c r="E2808" s="827" t="s">
        <v>13503</v>
      </c>
      <c r="F2808" s="826">
        <v>3.4</v>
      </c>
      <c r="G2808" s="827" t="s">
        <v>13504</v>
      </c>
      <c r="H2808" s="826">
        <v>0</v>
      </c>
      <c r="I2808" s="827" t="s">
        <v>13505</v>
      </c>
      <c r="J2808" s="826">
        <v>3.4</v>
      </c>
    </row>
    <row r="2809" spans="1:10" ht="38.25" customHeight="1" thickBot="1">
      <c r="A2809" s="827"/>
      <c r="B2809" s="827"/>
      <c r="C2809" s="827"/>
      <c r="D2809" s="827"/>
      <c r="E2809" s="827" t="s">
        <v>13506</v>
      </c>
      <c r="F2809" s="826">
        <v>2.4500000000000002</v>
      </c>
      <c r="G2809" s="827"/>
      <c r="H2809" s="1018" t="s">
        <v>13507</v>
      </c>
      <c r="I2809" s="1018"/>
      <c r="J2809" s="826">
        <v>11.16</v>
      </c>
    </row>
    <row r="2810" spans="1:10" ht="38.25" customHeight="1" thickTop="1">
      <c r="A2810" s="828"/>
      <c r="B2810" s="828"/>
      <c r="C2810" s="828"/>
      <c r="D2810" s="828"/>
      <c r="E2810" s="828"/>
      <c r="F2810" s="828"/>
      <c r="G2810" s="828"/>
      <c r="H2810" s="828"/>
      <c r="I2810" s="828"/>
      <c r="J2810" s="828"/>
    </row>
    <row r="2811" spans="1:10" ht="38.25" customHeight="1">
      <c r="A2811" s="809" t="s">
        <v>14447</v>
      </c>
      <c r="B2811" s="808" t="s">
        <v>13481</v>
      </c>
      <c r="C2811" s="809" t="s">
        <v>13482</v>
      </c>
      <c r="D2811" s="809" t="s">
        <v>13483</v>
      </c>
      <c r="E2811" s="1019" t="s">
        <v>13484</v>
      </c>
      <c r="F2811" s="1019"/>
      <c r="G2811" s="810" t="s">
        <v>13485</v>
      </c>
      <c r="H2811" s="808" t="s">
        <v>13486</v>
      </c>
      <c r="I2811" s="808" t="s">
        <v>13487</v>
      </c>
      <c r="J2811" s="808" t="s">
        <v>4867</v>
      </c>
    </row>
    <row r="2812" spans="1:10" ht="38.25" customHeight="1">
      <c r="A2812" s="812" t="s">
        <v>13488</v>
      </c>
      <c r="B2812" s="811" t="s">
        <v>14493</v>
      </c>
      <c r="C2812" s="812" t="s">
        <v>6</v>
      </c>
      <c r="D2812" s="812" t="s">
        <v>4402</v>
      </c>
      <c r="E2812" s="1020" t="s">
        <v>13898</v>
      </c>
      <c r="F2812" s="1020"/>
      <c r="G2812" s="813" t="s">
        <v>24</v>
      </c>
      <c r="H2812" s="814">
        <v>1</v>
      </c>
      <c r="I2812" s="815">
        <v>554.29999999999995</v>
      </c>
      <c r="J2812" s="815">
        <v>554.29999999999995</v>
      </c>
    </row>
    <row r="2813" spans="1:10" ht="38.25" customHeight="1">
      <c r="A2813" s="817" t="s">
        <v>13491</v>
      </c>
      <c r="B2813" s="816" t="s">
        <v>13909</v>
      </c>
      <c r="C2813" s="817" t="s">
        <v>6</v>
      </c>
      <c r="D2813" s="817" t="s">
        <v>986</v>
      </c>
      <c r="E2813" s="1021" t="s">
        <v>13490</v>
      </c>
      <c r="F2813" s="1021"/>
      <c r="G2813" s="818" t="s">
        <v>19</v>
      </c>
      <c r="H2813" s="819">
        <v>1.6462000000000001</v>
      </c>
      <c r="I2813" s="820">
        <v>15.54</v>
      </c>
      <c r="J2813" s="820">
        <v>25.58</v>
      </c>
    </row>
    <row r="2814" spans="1:10" ht="38.25" customHeight="1">
      <c r="A2814" s="817" t="s">
        <v>13491</v>
      </c>
      <c r="B2814" s="816" t="s">
        <v>13574</v>
      </c>
      <c r="C2814" s="817" t="s">
        <v>6</v>
      </c>
      <c r="D2814" s="817" t="s">
        <v>34</v>
      </c>
      <c r="E2814" s="1021" t="s">
        <v>13490</v>
      </c>
      <c r="F2814" s="1021"/>
      <c r="G2814" s="818" t="s">
        <v>19</v>
      </c>
      <c r="H2814" s="819">
        <v>5.4324000000000003</v>
      </c>
      <c r="I2814" s="820">
        <v>18.72</v>
      </c>
      <c r="J2814" s="820">
        <v>101.69</v>
      </c>
    </row>
    <row r="2815" spans="1:10" ht="13.5" customHeight="1">
      <c r="A2815" s="822" t="s">
        <v>13493</v>
      </c>
      <c r="B2815" s="821" t="s">
        <v>14494</v>
      </c>
      <c r="C2815" s="822" t="s">
        <v>6</v>
      </c>
      <c r="D2815" s="822" t="s">
        <v>9845</v>
      </c>
      <c r="E2815" s="1017" t="s">
        <v>13514</v>
      </c>
      <c r="F2815" s="1017"/>
      <c r="G2815" s="823" t="s">
        <v>24</v>
      </c>
      <c r="H2815" s="824">
        <v>2</v>
      </c>
      <c r="I2815" s="825">
        <v>12.28</v>
      </c>
      <c r="J2815" s="825">
        <v>24.56</v>
      </c>
    </row>
    <row r="2816" spans="1:10">
      <c r="A2816" s="822" t="s">
        <v>13493</v>
      </c>
      <c r="B2816" s="821" t="s">
        <v>13994</v>
      </c>
      <c r="C2816" s="822" t="s">
        <v>6</v>
      </c>
      <c r="D2816" s="822" t="s">
        <v>4682</v>
      </c>
      <c r="E2816" s="1017" t="s">
        <v>13514</v>
      </c>
      <c r="F2816" s="1017"/>
      <c r="G2816" s="823" t="s">
        <v>24</v>
      </c>
      <c r="H2816" s="824">
        <v>0.20519999999999999</v>
      </c>
      <c r="I2816" s="825">
        <v>18.440000000000001</v>
      </c>
      <c r="J2816" s="825">
        <v>3.78</v>
      </c>
    </row>
    <row r="2817" spans="1:10">
      <c r="A2817" s="822" t="s">
        <v>13493</v>
      </c>
      <c r="B2817" s="821" t="s">
        <v>14495</v>
      </c>
      <c r="C2817" s="822" t="s">
        <v>6</v>
      </c>
      <c r="D2817" s="822" t="s">
        <v>11493</v>
      </c>
      <c r="E2817" s="1017" t="s">
        <v>13514</v>
      </c>
      <c r="F2817" s="1017"/>
      <c r="G2817" s="823" t="s">
        <v>24</v>
      </c>
      <c r="H2817" s="824">
        <v>4</v>
      </c>
      <c r="I2817" s="825">
        <v>9.11</v>
      </c>
      <c r="J2817" s="825">
        <v>36.44</v>
      </c>
    </row>
    <row r="2818" spans="1:10" ht="38.25" customHeight="1">
      <c r="A2818" s="822" t="s">
        <v>13493</v>
      </c>
      <c r="B2818" s="821" t="s">
        <v>14496</v>
      </c>
      <c r="C2818" s="822" t="s">
        <v>6</v>
      </c>
      <c r="D2818" s="822" t="s">
        <v>11815</v>
      </c>
      <c r="E2818" s="1017" t="s">
        <v>13514</v>
      </c>
      <c r="F2818" s="1017"/>
      <c r="G2818" s="823" t="s">
        <v>24</v>
      </c>
      <c r="H2818" s="824">
        <v>2</v>
      </c>
      <c r="I2818" s="825">
        <v>3.25</v>
      </c>
      <c r="J2818" s="825">
        <v>6.5</v>
      </c>
    </row>
    <row r="2819" spans="1:10" ht="25.5">
      <c r="A2819" s="822" t="s">
        <v>13493</v>
      </c>
      <c r="B2819" s="821" t="s">
        <v>14497</v>
      </c>
      <c r="C2819" s="822" t="s">
        <v>6</v>
      </c>
      <c r="D2819" s="822" t="s">
        <v>12383</v>
      </c>
      <c r="E2819" s="1017" t="s">
        <v>13514</v>
      </c>
      <c r="F2819" s="1017"/>
      <c r="G2819" s="823" t="s">
        <v>24</v>
      </c>
      <c r="H2819" s="824">
        <v>2</v>
      </c>
      <c r="I2819" s="825">
        <v>19.98</v>
      </c>
      <c r="J2819" s="825">
        <v>39.96</v>
      </c>
    </row>
    <row r="2820" spans="1:10" ht="25.5">
      <c r="A2820" s="822" t="s">
        <v>13493</v>
      </c>
      <c r="B2820" s="821" t="s">
        <v>14498</v>
      </c>
      <c r="C2820" s="822" t="s">
        <v>6</v>
      </c>
      <c r="D2820" s="822" t="s">
        <v>12829</v>
      </c>
      <c r="E2820" s="1017" t="s">
        <v>13514</v>
      </c>
      <c r="F2820" s="1017"/>
      <c r="G2820" s="823" t="s">
        <v>14</v>
      </c>
      <c r="H2820" s="824">
        <v>0.72729999999999995</v>
      </c>
      <c r="I2820" s="825">
        <v>43.16</v>
      </c>
      <c r="J2820" s="825">
        <v>31.39</v>
      </c>
    </row>
    <row r="2821" spans="1:10" ht="13.5" customHeight="1">
      <c r="A2821" s="822" t="s">
        <v>13493</v>
      </c>
      <c r="B2821" s="821" t="s">
        <v>14499</v>
      </c>
      <c r="C2821" s="822" t="s">
        <v>6</v>
      </c>
      <c r="D2821" s="822" t="s">
        <v>13123</v>
      </c>
      <c r="E2821" s="1017" t="s">
        <v>13514</v>
      </c>
      <c r="F2821" s="1017"/>
      <c r="G2821" s="823" t="s">
        <v>24</v>
      </c>
      <c r="H2821" s="824">
        <v>1</v>
      </c>
      <c r="I2821" s="825">
        <v>26.23</v>
      </c>
      <c r="J2821" s="825">
        <v>26.23</v>
      </c>
    </row>
    <row r="2822" spans="1:10">
      <c r="A2822" s="822" t="s">
        <v>13493</v>
      </c>
      <c r="B2822" s="821" t="s">
        <v>14500</v>
      </c>
      <c r="C2822" s="822" t="s">
        <v>6</v>
      </c>
      <c r="D2822" s="822" t="s">
        <v>13184</v>
      </c>
      <c r="E2822" s="1017" t="s">
        <v>13514</v>
      </c>
      <c r="F2822" s="1017"/>
      <c r="G2822" s="823" t="s">
        <v>24</v>
      </c>
      <c r="H2822" s="824">
        <v>2</v>
      </c>
      <c r="I2822" s="825">
        <v>38.68</v>
      </c>
      <c r="J2822" s="825">
        <v>77.36</v>
      </c>
    </row>
    <row r="2823" spans="1:10">
      <c r="A2823" s="822" t="s">
        <v>13493</v>
      </c>
      <c r="B2823" s="821" t="s">
        <v>14501</v>
      </c>
      <c r="C2823" s="822" t="s">
        <v>6</v>
      </c>
      <c r="D2823" s="822" t="s">
        <v>13181</v>
      </c>
      <c r="E2823" s="1017" t="s">
        <v>13514</v>
      </c>
      <c r="F2823" s="1017"/>
      <c r="G2823" s="823" t="s">
        <v>24</v>
      </c>
      <c r="H2823" s="824">
        <v>3</v>
      </c>
      <c r="I2823" s="825">
        <v>60.27</v>
      </c>
      <c r="J2823" s="825">
        <v>180.81</v>
      </c>
    </row>
    <row r="2824" spans="1:10" ht="38.25" customHeight="1">
      <c r="A2824" s="827"/>
      <c r="B2824" s="827"/>
      <c r="C2824" s="827"/>
      <c r="D2824" s="827"/>
      <c r="E2824" s="827" t="s">
        <v>13503</v>
      </c>
      <c r="F2824" s="826">
        <v>96.62</v>
      </c>
      <c r="G2824" s="827" t="s">
        <v>13504</v>
      </c>
      <c r="H2824" s="826">
        <v>0</v>
      </c>
      <c r="I2824" s="827" t="s">
        <v>13505</v>
      </c>
      <c r="J2824" s="826">
        <v>96.62</v>
      </c>
    </row>
    <row r="2825" spans="1:10" ht="13.5" customHeight="1" thickBot="1">
      <c r="A2825" s="827"/>
      <c r="B2825" s="827"/>
      <c r="C2825" s="827"/>
      <c r="D2825" s="827"/>
      <c r="E2825" s="827" t="s">
        <v>13506</v>
      </c>
      <c r="F2825" s="826">
        <v>156.53</v>
      </c>
      <c r="G2825" s="827"/>
      <c r="H2825" s="1018" t="s">
        <v>13507</v>
      </c>
      <c r="I2825" s="1018"/>
      <c r="J2825" s="826">
        <v>710.83</v>
      </c>
    </row>
    <row r="2826" spans="1:10" ht="13.5" thickTop="1">
      <c r="A2826" s="828"/>
      <c r="B2826" s="828"/>
      <c r="C2826" s="828"/>
      <c r="D2826" s="828"/>
      <c r="E2826" s="828"/>
      <c r="F2826" s="828"/>
      <c r="G2826" s="828"/>
      <c r="H2826" s="828"/>
      <c r="I2826" s="828"/>
      <c r="J2826" s="828"/>
    </row>
    <row r="2827" spans="1:10" ht="13.5" customHeight="1">
      <c r="A2827" s="809" t="s">
        <v>14447</v>
      </c>
      <c r="B2827" s="808" t="s">
        <v>13481</v>
      </c>
      <c r="C2827" s="809" t="s">
        <v>13482</v>
      </c>
      <c r="D2827" s="809" t="s">
        <v>13483</v>
      </c>
      <c r="E2827" s="1019" t="s">
        <v>13484</v>
      </c>
      <c r="F2827" s="1019"/>
      <c r="G2827" s="810" t="s">
        <v>13485</v>
      </c>
      <c r="H2827" s="808" t="s">
        <v>13486</v>
      </c>
      <c r="I2827" s="808" t="s">
        <v>13487</v>
      </c>
      <c r="J2827" s="808" t="s">
        <v>4867</v>
      </c>
    </row>
    <row r="2828" spans="1:10" ht="25.5" customHeight="1">
      <c r="A2828" s="812" t="s">
        <v>13488</v>
      </c>
      <c r="B2828" s="811" t="s">
        <v>14502</v>
      </c>
      <c r="C2828" s="812" t="s">
        <v>6</v>
      </c>
      <c r="D2828" s="812" t="s">
        <v>5969</v>
      </c>
      <c r="E2828" s="1020" t="s">
        <v>13898</v>
      </c>
      <c r="F2828" s="1020"/>
      <c r="G2828" s="813" t="s">
        <v>24</v>
      </c>
      <c r="H2828" s="814">
        <v>1</v>
      </c>
      <c r="I2828" s="815">
        <v>23.71</v>
      </c>
      <c r="J2828" s="815">
        <v>23.71</v>
      </c>
    </row>
    <row r="2829" spans="1:10" ht="38.25" customHeight="1">
      <c r="A2829" s="817" t="s">
        <v>13491</v>
      </c>
      <c r="B2829" s="816" t="s">
        <v>13909</v>
      </c>
      <c r="C2829" s="817" t="s">
        <v>6</v>
      </c>
      <c r="D2829" s="817" t="s">
        <v>986</v>
      </c>
      <c r="E2829" s="1021" t="s">
        <v>13490</v>
      </c>
      <c r="F2829" s="1021"/>
      <c r="G2829" s="818" t="s">
        <v>19</v>
      </c>
      <c r="H2829" s="819">
        <v>0.44500000000000001</v>
      </c>
      <c r="I2829" s="820">
        <v>15.54</v>
      </c>
      <c r="J2829" s="820">
        <v>6.91</v>
      </c>
    </row>
    <row r="2830" spans="1:10" ht="38.25" customHeight="1">
      <c r="A2830" s="817" t="s">
        <v>13491</v>
      </c>
      <c r="B2830" s="816" t="s">
        <v>13574</v>
      </c>
      <c r="C2830" s="817" t="s">
        <v>6</v>
      </c>
      <c r="D2830" s="817" t="s">
        <v>34</v>
      </c>
      <c r="E2830" s="1021" t="s">
        <v>13490</v>
      </c>
      <c r="F2830" s="1021"/>
      <c r="G2830" s="818" t="s">
        <v>19</v>
      </c>
      <c r="H2830" s="819">
        <v>0.44500000000000001</v>
      </c>
      <c r="I2830" s="820">
        <v>18.72</v>
      </c>
      <c r="J2830" s="820">
        <v>8.33</v>
      </c>
    </row>
    <row r="2831" spans="1:10" ht="25.5">
      <c r="A2831" s="822" t="s">
        <v>13493</v>
      </c>
      <c r="B2831" s="821" t="s">
        <v>14503</v>
      </c>
      <c r="C2831" s="822" t="s">
        <v>6</v>
      </c>
      <c r="D2831" s="822" t="s">
        <v>4632</v>
      </c>
      <c r="E2831" s="1017" t="s">
        <v>13514</v>
      </c>
      <c r="F2831" s="1017"/>
      <c r="G2831" s="823" t="s">
        <v>24</v>
      </c>
      <c r="H2831" s="824">
        <v>1</v>
      </c>
      <c r="I2831" s="825">
        <v>8.18</v>
      </c>
      <c r="J2831" s="825">
        <v>8.18</v>
      </c>
    </row>
    <row r="2832" spans="1:10">
      <c r="A2832" s="822" t="s">
        <v>13493</v>
      </c>
      <c r="B2832" s="821" t="s">
        <v>13994</v>
      </c>
      <c r="C2832" s="822" t="s">
        <v>6</v>
      </c>
      <c r="D2832" s="822" t="s">
        <v>4682</v>
      </c>
      <c r="E2832" s="1017" t="s">
        <v>13514</v>
      </c>
      <c r="F2832" s="1017"/>
      <c r="G2832" s="823" t="s">
        <v>24</v>
      </c>
      <c r="H2832" s="824">
        <v>1.0999999999999999E-2</v>
      </c>
      <c r="I2832" s="825">
        <v>18.440000000000001</v>
      </c>
      <c r="J2832" s="825">
        <v>0.2</v>
      </c>
    </row>
    <row r="2833" spans="1:10" ht="13.5" customHeight="1">
      <c r="A2833" s="822" t="s">
        <v>13493</v>
      </c>
      <c r="B2833" s="821" t="s">
        <v>13850</v>
      </c>
      <c r="C2833" s="822" t="s">
        <v>6</v>
      </c>
      <c r="D2833" s="822" t="s">
        <v>4684</v>
      </c>
      <c r="E2833" s="1017" t="s">
        <v>13514</v>
      </c>
      <c r="F2833" s="1017"/>
      <c r="G2833" s="823" t="s">
        <v>39</v>
      </c>
      <c r="H2833" s="824">
        <v>3.0000000000000001E-3</v>
      </c>
      <c r="I2833" s="825">
        <v>31.43</v>
      </c>
      <c r="J2833" s="825">
        <v>0.09</v>
      </c>
    </row>
    <row r="2834" spans="1:10" ht="25.5">
      <c r="A2834" s="827"/>
      <c r="B2834" s="827"/>
      <c r="C2834" s="827"/>
      <c r="D2834" s="827"/>
      <c r="E2834" s="827" t="s">
        <v>13503</v>
      </c>
      <c r="F2834" s="826">
        <v>11.38</v>
      </c>
      <c r="G2834" s="827" t="s">
        <v>13504</v>
      </c>
      <c r="H2834" s="826">
        <v>0</v>
      </c>
      <c r="I2834" s="827" t="s">
        <v>13505</v>
      </c>
      <c r="J2834" s="826">
        <v>11.38</v>
      </c>
    </row>
    <row r="2835" spans="1:10" ht="13.5" customHeight="1" thickBot="1">
      <c r="A2835" s="827"/>
      <c r="B2835" s="827"/>
      <c r="C2835" s="827"/>
      <c r="D2835" s="827"/>
      <c r="E2835" s="827" t="s">
        <v>13506</v>
      </c>
      <c r="F2835" s="826">
        <v>6.69</v>
      </c>
      <c r="G2835" s="827"/>
      <c r="H2835" s="1018" t="s">
        <v>13507</v>
      </c>
      <c r="I2835" s="1018"/>
      <c r="J2835" s="826">
        <v>30.4</v>
      </c>
    </row>
    <row r="2836" spans="1:10" ht="38.25" customHeight="1" thickTop="1">
      <c r="A2836" s="828"/>
      <c r="B2836" s="828"/>
      <c r="C2836" s="828"/>
      <c r="D2836" s="828"/>
      <c r="E2836" s="828"/>
      <c r="F2836" s="828"/>
      <c r="G2836" s="828"/>
      <c r="H2836" s="828"/>
      <c r="I2836" s="828"/>
      <c r="J2836" s="828"/>
    </row>
    <row r="2837" spans="1:10" ht="45" customHeight="1">
      <c r="A2837" s="809" t="s">
        <v>14447</v>
      </c>
      <c r="B2837" s="808" t="s">
        <v>13481</v>
      </c>
      <c r="C2837" s="809" t="s">
        <v>13482</v>
      </c>
      <c r="D2837" s="809" t="s">
        <v>13483</v>
      </c>
      <c r="E2837" s="1019" t="s">
        <v>13484</v>
      </c>
      <c r="F2837" s="1019"/>
      <c r="G2837" s="810" t="s">
        <v>13485</v>
      </c>
      <c r="H2837" s="808" t="s">
        <v>13486</v>
      </c>
      <c r="I2837" s="808" t="s">
        <v>13487</v>
      </c>
      <c r="J2837" s="808" t="s">
        <v>4867</v>
      </c>
    </row>
    <row r="2838" spans="1:10" ht="25.5" customHeight="1">
      <c r="A2838" s="812" t="s">
        <v>13488</v>
      </c>
      <c r="B2838" s="811" t="s">
        <v>14504</v>
      </c>
      <c r="C2838" s="812" t="s">
        <v>6</v>
      </c>
      <c r="D2838" s="812" t="s">
        <v>5963</v>
      </c>
      <c r="E2838" s="1020" t="s">
        <v>13898</v>
      </c>
      <c r="F2838" s="1020"/>
      <c r="G2838" s="813" t="s">
        <v>24</v>
      </c>
      <c r="H2838" s="814">
        <v>1</v>
      </c>
      <c r="I2838" s="815">
        <v>16.95</v>
      </c>
      <c r="J2838" s="815">
        <v>16.95</v>
      </c>
    </row>
    <row r="2839" spans="1:10" ht="13.5" customHeight="1">
      <c r="A2839" s="817" t="s">
        <v>13491</v>
      </c>
      <c r="B2839" s="816" t="s">
        <v>13909</v>
      </c>
      <c r="C2839" s="817" t="s">
        <v>6</v>
      </c>
      <c r="D2839" s="817" t="s">
        <v>986</v>
      </c>
      <c r="E2839" s="1021" t="s">
        <v>13490</v>
      </c>
      <c r="F2839" s="1021"/>
      <c r="G2839" s="818" t="s">
        <v>19</v>
      </c>
      <c r="H2839" s="819">
        <v>0.29699999999999999</v>
      </c>
      <c r="I2839" s="820">
        <v>15.54</v>
      </c>
      <c r="J2839" s="820">
        <v>4.6100000000000003</v>
      </c>
    </row>
    <row r="2840" spans="1:10" ht="38.25" customHeight="1">
      <c r="A2840" s="817" t="s">
        <v>13491</v>
      </c>
      <c r="B2840" s="816" t="s">
        <v>13574</v>
      </c>
      <c r="C2840" s="817" t="s">
        <v>6</v>
      </c>
      <c r="D2840" s="817" t="s">
        <v>34</v>
      </c>
      <c r="E2840" s="1021" t="s">
        <v>13490</v>
      </c>
      <c r="F2840" s="1021"/>
      <c r="G2840" s="818" t="s">
        <v>19</v>
      </c>
      <c r="H2840" s="819">
        <v>0.29699999999999999</v>
      </c>
      <c r="I2840" s="820">
        <v>18.72</v>
      </c>
      <c r="J2840" s="820">
        <v>5.55</v>
      </c>
    </row>
    <row r="2841" spans="1:10">
      <c r="A2841" s="822" t="s">
        <v>13493</v>
      </c>
      <c r="B2841" s="821" t="s">
        <v>13850</v>
      </c>
      <c r="C2841" s="822" t="s">
        <v>6</v>
      </c>
      <c r="D2841" s="822" t="s">
        <v>4684</v>
      </c>
      <c r="E2841" s="1017" t="s">
        <v>13514</v>
      </c>
      <c r="F2841" s="1017"/>
      <c r="G2841" s="823" t="s">
        <v>39</v>
      </c>
      <c r="H2841" s="824">
        <v>3.0000000000000001E-3</v>
      </c>
      <c r="I2841" s="825">
        <v>31.43</v>
      </c>
      <c r="J2841" s="825">
        <v>0.09</v>
      </c>
    </row>
    <row r="2842" spans="1:10" ht="38.25" customHeight="1">
      <c r="A2842" s="822" t="s">
        <v>13493</v>
      </c>
      <c r="B2842" s="821" t="s">
        <v>13994</v>
      </c>
      <c r="C2842" s="822" t="s">
        <v>6</v>
      </c>
      <c r="D2842" s="822" t="s">
        <v>4682</v>
      </c>
      <c r="E2842" s="1017" t="s">
        <v>13514</v>
      </c>
      <c r="F2842" s="1017"/>
      <c r="G2842" s="823" t="s">
        <v>24</v>
      </c>
      <c r="H2842" s="824">
        <v>1.0999999999999999E-2</v>
      </c>
      <c r="I2842" s="825">
        <v>18.440000000000001</v>
      </c>
      <c r="J2842" s="825">
        <v>0.2</v>
      </c>
    </row>
    <row r="2843" spans="1:10" ht="38.25" customHeight="1">
      <c r="A2843" s="822" t="s">
        <v>13493</v>
      </c>
      <c r="B2843" s="821" t="s">
        <v>14505</v>
      </c>
      <c r="C2843" s="822" t="s">
        <v>6</v>
      </c>
      <c r="D2843" s="822" t="s">
        <v>11108</v>
      </c>
      <c r="E2843" s="1017" t="s">
        <v>13514</v>
      </c>
      <c r="F2843" s="1017"/>
      <c r="G2843" s="823" t="s">
        <v>24</v>
      </c>
      <c r="H2843" s="824">
        <v>1</v>
      </c>
      <c r="I2843" s="825">
        <v>6.5</v>
      </c>
      <c r="J2843" s="825">
        <v>6.5</v>
      </c>
    </row>
    <row r="2844" spans="1:10" ht="38.25" customHeight="1">
      <c r="A2844" s="827"/>
      <c r="B2844" s="827"/>
      <c r="C2844" s="827"/>
      <c r="D2844" s="827"/>
      <c r="E2844" s="827" t="s">
        <v>13503</v>
      </c>
      <c r="F2844" s="826">
        <v>7.59</v>
      </c>
      <c r="G2844" s="827" t="s">
        <v>13504</v>
      </c>
      <c r="H2844" s="826">
        <v>0</v>
      </c>
      <c r="I2844" s="827" t="s">
        <v>13505</v>
      </c>
      <c r="J2844" s="826">
        <v>7.59</v>
      </c>
    </row>
    <row r="2845" spans="1:10" ht="13.5" customHeight="1" thickBot="1">
      <c r="A2845" s="827"/>
      <c r="B2845" s="827"/>
      <c r="C2845" s="827"/>
      <c r="D2845" s="827"/>
      <c r="E2845" s="827" t="s">
        <v>13506</v>
      </c>
      <c r="F2845" s="826">
        <v>4.78</v>
      </c>
      <c r="G2845" s="827"/>
      <c r="H2845" s="1018" t="s">
        <v>13507</v>
      </c>
      <c r="I2845" s="1018"/>
      <c r="J2845" s="826">
        <v>21.73</v>
      </c>
    </row>
    <row r="2846" spans="1:10" ht="13.5" customHeight="1" thickTop="1">
      <c r="A2846" s="828"/>
      <c r="B2846" s="828"/>
      <c r="C2846" s="828"/>
      <c r="D2846" s="828"/>
      <c r="E2846" s="828"/>
      <c r="F2846" s="828"/>
      <c r="G2846" s="828"/>
      <c r="H2846" s="828"/>
      <c r="I2846" s="828"/>
      <c r="J2846" s="828"/>
    </row>
    <row r="2847" spans="1:10" ht="45" customHeight="1">
      <c r="A2847" s="809" t="s">
        <v>14447</v>
      </c>
      <c r="B2847" s="808" t="s">
        <v>13481</v>
      </c>
      <c r="C2847" s="809" t="s">
        <v>13482</v>
      </c>
      <c r="D2847" s="809" t="s">
        <v>13483</v>
      </c>
      <c r="E2847" s="1019" t="s">
        <v>13484</v>
      </c>
      <c r="F2847" s="1019"/>
      <c r="G2847" s="810" t="s">
        <v>13485</v>
      </c>
      <c r="H2847" s="808" t="s">
        <v>13486</v>
      </c>
      <c r="I2847" s="808" t="s">
        <v>13487</v>
      </c>
      <c r="J2847" s="808" t="s">
        <v>4867</v>
      </c>
    </row>
    <row r="2848" spans="1:10" ht="25.5" customHeight="1">
      <c r="A2848" s="812" t="s">
        <v>13488</v>
      </c>
      <c r="B2848" s="811" t="s">
        <v>14506</v>
      </c>
      <c r="C2848" s="812" t="s">
        <v>6</v>
      </c>
      <c r="D2848" s="812" t="s">
        <v>2377</v>
      </c>
      <c r="E2848" s="1020" t="s">
        <v>13898</v>
      </c>
      <c r="F2848" s="1020"/>
      <c r="G2848" s="813" t="s">
        <v>24</v>
      </c>
      <c r="H2848" s="814">
        <v>1</v>
      </c>
      <c r="I2848" s="815">
        <v>9.5500000000000007</v>
      </c>
      <c r="J2848" s="815">
        <v>9.5500000000000007</v>
      </c>
    </row>
    <row r="2849" spans="1:10" ht="38.25" customHeight="1">
      <c r="A2849" s="817" t="s">
        <v>13491</v>
      </c>
      <c r="B2849" s="816" t="s">
        <v>13909</v>
      </c>
      <c r="C2849" s="817" t="s">
        <v>6</v>
      </c>
      <c r="D2849" s="817" t="s">
        <v>986</v>
      </c>
      <c r="E2849" s="1021" t="s">
        <v>13490</v>
      </c>
      <c r="F2849" s="1021"/>
      <c r="G2849" s="818" t="s">
        <v>19</v>
      </c>
      <c r="H2849" s="819">
        <v>0.159</v>
      </c>
      <c r="I2849" s="820">
        <v>15.54</v>
      </c>
      <c r="J2849" s="820">
        <v>2.4700000000000002</v>
      </c>
    </row>
    <row r="2850" spans="1:10" ht="38.25" customHeight="1">
      <c r="A2850" s="817" t="s">
        <v>13491</v>
      </c>
      <c r="B2850" s="816" t="s">
        <v>13574</v>
      </c>
      <c r="C2850" s="817" t="s">
        <v>6</v>
      </c>
      <c r="D2850" s="817" t="s">
        <v>34</v>
      </c>
      <c r="E2850" s="1021" t="s">
        <v>13490</v>
      </c>
      <c r="F2850" s="1021"/>
      <c r="G2850" s="818" t="s">
        <v>19</v>
      </c>
      <c r="H2850" s="819">
        <v>0.159</v>
      </c>
      <c r="I2850" s="820">
        <v>18.72</v>
      </c>
      <c r="J2850" s="820">
        <v>2.97</v>
      </c>
    </row>
    <row r="2851" spans="1:10" ht="38.25" customHeight="1">
      <c r="A2851" s="822" t="s">
        <v>13493</v>
      </c>
      <c r="B2851" s="821" t="s">
        <v>14026</v>
      </c>
      <c r="C2851" s="822" t="s">
        <v>6</v>
      </c>
      <c r="D2851" s="822" t="s">
        <v>4576</v>
      </c>
      <c r="E2851" s="1017" t="s">
        <v>13514</v>
      </c>
      <c r="F2851" s="1017"/>
      <c r="G2851" s="823" t="s">
        <v>24</v>
      </c>
      <c r="H2851" s="824">
        <v>0.06</v>
      </c>
      <c r="I2851" s="825">
        <v>25.11</v>
      </c>
      <c r="J2851" s="825">
        <v>1.5</v>
      </c>
    </row>
    <row r="2852" spans="1:10" ht="38.25" customHeight="1">
      <c r="A2852" s="822" t="s">
        <v>13493</v>
      </c>
      <c r="B2852" s="821" t="s">
        <v>13913</v>
      </c>
      <c r="C2852" s="822" t="s">
        <v>6</v>
      </c>
      <c r="D2852" s="822" t="s">
        <v>4706</v>
      </c>
      <c r="E2852" s="1017" t="s">
        <v>13514</v>
      </c>
      <c r="F2852" s="1017"/>
      <c r="G2852" s="823" t="s">
        <v>24</v>
      </c>
      <c r="H2852" s="824">
        <v>2.4E-2</v>
      </c>
      <c r="I2852" s="825">
        <v>2.2000000000000002</v>
      </c>
      <c r="J2852" s="825">
        <v>0.05</v>
      </c>
    </row>
    <row r="2853" spans="1:10" ht="38.25" customHeight="1">
      <c r="A2853" s="822" t="s">
        <v>13493</v>
      </c>
      <c r="B2853" s="821" t="s">
        <v>13915</v>
      </c>
      <c r="C2853" s="822" t="s">
        <v>6</v>
      </c>
      <c r="D2853" s="822" t="s">
        <v>12249</v>
      </c>
      <c r="E2853" s="1017" t="s">
        <v>13514</v>
      </c>
      <c r="F2853" s="1017"/>
      <c r="G2853" s="823" t="s">
        <v>24</v>
      </c>
      <c r="H2853" s="824">
        <v>1.4E-2</v>
      </c>
      <c r="I2853" s="825">
        <v>87.17</v>
      </c>
      <c r="J2853" s="825">
        <v>1.22</v>
      </c>
    </row>
    <row r="2854" spans="1:10" ht="25.5">
      <c r="A2854" s="822" t="s">
        <v>13493</v>
      </c>
      <c r="B2854" s="821" t="s">
        <v>14095</v>
      </c>
      <c r="C2854" s="822" t="s">
        <v>6</v>
      </c>
      <c r="D2854" s="822" t="s">
        <v>4795</v>
      </c>
      <c r="E2854" s="1017" t="s">
        <v>13514</v>
      </c>
      <c r="F2854" s="1017"/>
      <c r="G2854" s="823" t="s">
        <v>24</v>
      </c>
      <c r="H2854" s="824">
        <v>1</v>
      </c>
      <c r="I2854" s="825">
        <v>1.34</v>
      </c>
      <c r="J2854" s="825">
        <v>1.34</v>
      </c>
    </row>
    <row r="2855" spans="1:10" ht="13.5" customHeight="1">
      <c r="A2855" s="827"/>
      <c r="B2855" s="827"/>
      <c r="C2855" s="827"/>
      <c r="D2855" s="827"/>
      <c r="E2855" s="827" t="s">
        <v>13503</v>
      </c>
      <c r="F2855" s="826">
        <v>4.0599999999999996</v>
      </c>
      <c r="G2855" s="827" t="s">
        <v>13504</v>
      </c>
      <c r="H2855" s="826">
        <v>0</v>
      </c>
      <c r="I2855" s="827" t="s">
        <v>13505</v>
      </c>
      <c r="J2855" s="826">
        <v>4.0599999999999996</v>
      </c>
    </row>
    <row r="2856" spans="1:10" ht="13.5" customHeight="1" thickBot="1">
      <c r="A2856" s="827"/>
      <c r="B2856" s="827"/>
      <c r="C2856" s="827"/>
      <c r="D2856" s="827"/>
      <c r="E2856" s="827" t="s">
        <v>13506</v>
      </c>
      <c r="F2856" s="826">
        <v>2.69</v>
      </c>
      <c r="G2856" s="827"/>
      <c r="H2856" s="1018" t="s">
        <v>13507</v>
      </c>
      <c r="I2856" s="1018"/>
      <c r="J2856" s="826">
        <v>12.24</v>
      </c>
    </row>
    <row r="2857" spans="1:10" ht="13.5" thickTop="1">
      <c r="A2857" s="828"/>
      <c r="B2857" s="828"/>
      <c r="C2857" s="828"/>
      <c r="D2857" s="828"/>
      <c r="E2857" s="828"/>
      <c r="F2857" s="828"/>
      <c r="G2857" s="828"/>
      <c r="H2857" s="828"/>
      <c r="I2857" s="828"/>
      <c r="J2857" s="828"/>
    </row>
    <row r="2858" spans="1:10" ht="38.25" customHeight="1">
      <c r="A2858" s="809" t="s">
        <v>14447</v>
      </c>
      <c r="B2858" s="808" t="s">
        <v>13481</v>
      </c>
      <c r="C2858" s="809" t="s">
        <v>13482</v>
      </c>
      <c r="D2858" s="809" t="s">
        <v>13483</v>
      </c>
      <c r="E2858" s="1019" t="s">
        <v>13484</v>
      </c>
      <c r="F2858" s="1019"/>
      <c r="G2858" s="810" t="s">
        <v>13485</v>
      </c>
      <c r="H2858" s="808" t="s">
        <v>13486</v>
      </c>
      <c r="I2858" s="808" t="s">
        <v>13487</v>
      </c>
      <c r="J2858" s="808" t="s">
        <v>4867</v>
      </c>
    </row>
    <row r="2859" spans="1:10" ht="38.25" customHeight="1">
      <c r="A2859" s="812" t="s">
        <v>13488</v>
      </c>
      <c r="B2859" s="811" t="s">
        <v>14507</v>
      </c>
      <c r="C2859" s="812" t="s">
        <v>6</v>
      </c>
      <c r="D2859" s="812" t="s">
        <v>2392</v>
      </c>
      <c r="E2859" s="1020" t="s">
        <v>13898</v>
      </c>
      <c r="F2859" s="1020"/>
      <c r="G2859" s="813" t="s">
        <v>24</v>
      </c>
      <c r="H2859" s="814">
        <v>1</v>
      </c>
      <c r="I2859" s="815">
        <v>18.79</v>
      </c>
      <c r="J2859" s="815">
        <v>18.79</v>
      </c>
    </row>
    <row r="2860" spans="1:10" ht="38.25" customHeight="1">
      <c r="A2860" s="817" t="s">
        <v>13491</v>
      </c>
      <c r="B2860" s="816" t="s">
        <v>13909</v>
      </c>
      <c r="C2860" s="817" t="s">
        <v>6</v>
      </c>
      <c r="D2860" s="817" t="s">
        <v>986</v>
      </c>
      <c r="E2860" s="1021" t="s">
        <v>13490</v>
      </c>
      <c r="F2860" s="1021"/>
      <c r="G2860" s="818" t="s">
        <v>19</v>
      </c>
      <c r="H2860" s="819">
        <v>0.13600000000000001</v>
      </c>
      <c r="I2860" s="820">
        <v>15.54</v>
      </c>
      <c r="J2860" s="820">
        <v>2.11</v>
      </c>
    </row>
    <row r="2861" spans="1:10" ht="13.5" customHeight="1">
      <c r="A2861" s="817" t="s">
        <v>13491</v>
      </c>
      <c r="B2861" s="816" t="s">
        <v>13574</v>
      </c>
      <c r="C2861" s="817" t="s">
        <v>6</v>
      </c>
      <c r="D2861" s="817" t="s">
        <v>34</v>
      </c>
      <c r="E2861" s="1021" t="s">
        <v>13490</v>
      </c>
      <c r="F2861" s="1021"/>
      <c r="G2861" s="818" t="s">
        <v>19</v>
      </c>
      <c r="H2861" s="819">
        <v>0.13600000000000001</v>
      </c>
      <c r="I2861" s="820">
        <v>18.72</v>
      </c>
      <c r="J2861" s="820">
        <v>2.54</v>
      </c>
    </row>
    <row r="2862" spans="1:10">
      <c r="A2862" s="822" t="s">
        <v>13493</v>
      </c>
      <c r="B2862" s="821" t="s">
        <v>14026</v>
      </c>
      <c r="C2862" s="822" t="s">
        <v>6</v>
      </c>
      <c r="D2862" s="822" t="s">
        <v>4576</v>
      </c>
      <c r="E2862" s="1017" t="s">
        <v>13514</v>
      </c>
      <c r="F2862" s="1017"/>
      <c r="G2862" s="823" t="s">
        <v>24</v>
      </c>
      <c r="H2862" s="824">
        <v>4.5999999999999999E-2</v>
      </c>
      <c r="I2862" s="825">
        <v>25.11</v>
      </c>
      <c r="J2862" s="825">
        <v>1.1499999999999999</v>
      </c>
    </row>
    <row r="2863" spans="1:10" ht="25.5">
      <c r="A2863" s="822" t="s">
        <v>13493</v>
      </c>
      <c r="B2863" s="821" t="s">
        <v>14508</v>
      </c>
      <c r="C2863" s="822" t="s">
        <v>6</v>
      </c>
      <c r="D2863" s="822" t="s">
        <v>8473</v>
      </c>
      <c r="E2863" s="1017" t="s">
        <v>13514</v>
      </c>
      <c r="F2863" s="1017"/>
      <c r="G2863" s="823" t="s">
        <v>24</v>
      </c>
      <c r="H2863" s="824">
        <v>1</v>
      </c>
      <c r="I2863" s="825">
        <v>12.01</v>
      </c>
      <c r="J2863" s="825">
        <v>12.01</v>
      </c>
    </row>
    <row r="2864" spans="1:10" ht="38.25" customHeight="1">
      <c r="A2864" s="822" t="s">
        <v>13493</v>
      </c>
      <c r="B2864" s="821" t="s">
        <v>13913</v>
      </c>
      <c r="C2864" s="822" t="s">
        <v>6</v>
      </c>
      <c r="D2864" s="822" t="s">
        <v>4706</v>
      </c>
      <c r="E2864" s="1017" t="s">
        <v>13514</v>
      </c>
      <c r="F2864" s="1017"/>
      <c r="G2864" s="823" t="s">
        <v>24</v>
      </c>
      <c r="H2864" s="824">
        <v>1.4E-2</v>
      </c>
      <c r="I2864" s="825">
        <v>2.2000000000000002</v>
      </c>
      <c r="J2864" s="825">
        <v>0.03</v>
      </c>
    </row>
    <row r="2865" spans="1:10" ht="25.5">
      <c r="A2865" s="822" t="s">
        <v>13493</v>
      </c>
      <c r="B2865" s="821" t="s">
        <v>13915</v>
      </c>
      <c r="C2865" s="822" t="s">
        <v>6</v>
      </c>
      <c r="D2865" s="822" t="s">
        <v>12249</v>
      </c>
      <c r="E2865" s="1017" t="s">
        <v>13514</v>
      </c>
      <c r="F2865" s="1017"/>
      <c r="G2865" s="823" t="s">
        <v>24</v>
      </c>
      <c r="H2865" s="824">
        <v>1.0999999999999999E-2</v>
      </c>
      <c r="I2865" s="825">
        <v>87.17</v>
      </c>
      <c r="J2865" s="825">
        <v>0.95</v>
      </c>
    </row>
    <row r="2866" spans="1:10" ht="25.5">
      <c r="A2866" s="827"/>
      <c r="B2866" s="827"/>
      <c r="C2866" s="827"/>
      <c r="D2866" s="827"/>
      <c r="E2866" s="827" t="s">
        <v>13503</v>
      </c>
      <c r="F2866" s="826">
        <v>3.47</v>
      </c>
      <c r="G2866" s="827" t="s">
        <v>13504</v>
      </c>
      <c r="H2866" s="826">
        <v>0</v>
      </c>
      <c r="I2866" s="827" t="s">
        <v>13505</v>
      </c>
      <c r="J2866" s="826">
        <v>3.47</v>
      </c>
    </row>
    <row r="2867" spans="1:10" ht="13.5" customHeight="1" thickBot="1">
      <c r="A2867" s="827"/>
      <c r="B2867" s="827"/>
      <c r="C2867" s="827"/>
      <c r="D2867" s="827"/>
      <c r="E2867" s="827" t="s">
        <v>13506</v>
      </c>
      <c r="F2867" s="826">
        <v>5.3</v>
      </c>
      <c r="G2867" s="827"/>
      <c r="H2867" s="1018" t="s">
        <v>13507</v>
      </c>
      <c r="I2867" s="1018"/>
      <c r="J2867" s="826">
        <v>24.09</v>
      </c>
    </row>
    <row r="2868" spans="1:10" ht="13.5" thickTop="1">
      <c r="A2868" s="828"/>
      <c r="B2868" s="828"/>
      <c r="C2868" s="828"/>
      <c r="D2868" s="828"/>
      <c r="E2868" s="828"/>
      <c r="F2868" s="828"/>
      <c r="G2868" s="828"/>
      <c r="H2868" s="828"/>
      <c r="I2868" s="828"/>
      <c r="J2868" s="828"/>
    </row>
    <row r="2869" spans="1:10" ht="45" customHeight="1">
      <c r="A2869" s="809" t="s">
        <v>14447</v>
      </c>
      <c r="B2869" s="808" t="s">
        <v>13481</v>
      </c>
      <c r="C2869" s="809" t="s">
        <v>13482</v>
      </c>
      <c r="D2869" s="809" t="s">
        <v>13483</v>
      </c>
      <c r="E2869" s="1019" t="s">
        <v>13484</v>
      </c>
      <c r="F2869" s="1019"/>
      <c r="G2869" s="810" t="s">
        <v>13485</v>
      </c>
      <c r="H2869" s="808" t="s">
        <v>13486</v>
      </c>
      <c r="I2869" s="808" t="s">
        <v>13487</v>
      </c>
      <c r="J2869" s="808" t="s">
        <v>4867</v>
      </c>
    </row>
    <row r="2870" spans="1:10" ht="38.25" customHeight="1">
      <c r="A2870" s="812" t="s">
        <v>13488</v>
      </c>
      <c r="B2870" s="811" t="s">
        <v>14163</v>
      </c>
      <c r="C2870" s="812" t="s">
        <v>6</v>
      </c>
      <c r="D2870" s="812" t="s">
        <v>4416</v>
      </c>
      <c r="E2870" s="1020" t="s">
        <v>13898</v>
      </c>
      <c r="F2870" s="1020"/>
      <c r="G2870" s="813" t="s">
        <v>24</v>
      </c>
      <c r="H2870" s="814">
        <v>1</v>
      </c>
      <c r="I2870" s="815">
        <v>55.1</v>
      </c>
      <c r="J2870" s="815">
        <v>55.1</v>
      </c>
    </row>
    <row r="2871" spans="1:10" ht="38.25" customHeight="1">
      <c r="A2871" s="817" t="s">
        <v>13491</v>
      </c>
      <c r="B2871" s="816" t="s">
        <v>13553</v>
      </c>
      <c r="C2871" s="817" t="s">
        <v>6</v>
      </c>
      <c r="D2871" s="817" t="s">
        <v>21</v>
      </c>
      <c r="E2871" s="1021" t="s">
        <v>13490</v>
      </c>
      <c r="F2871" s="1021"/>
      <c r="G2871" s="818" t="s">
        <v>19</v>
      </c>
      <c r="H2871" s="819">
        <v>5.4800000000000001E-2</v>
      </c>
      <c r="I2871" s="820">
        <v>15.16</v>
      </c>
      <c r="J2871" s="820">
        <v>0.83</v>
      </c>
    </row>
    <row r="2872" spans="1:10" ht="38.25" customHeight="1">
      <c r="A2872" s="817" t="s">
        <v>13491</v>
      </c>
      <c r="B2872" s="816" t="s">
        <v>13574</v>
      </c>
      <c r="C2872" s="817" t="s">
        <v>6</v>
      </c>
      <c r="D2872" s="817" t="s">
        <v>34</v>
      </c>
      <c r="E2872" s="1021" t="s">
        <v>13490</v>
      </c>
      <c r="F2872" s="1021"/>
      <c r="G2872" s="818" t="s">
        <v>19</v>
      </c>
      <c r="H2872" s="819">
        <v>0.17399999999999999</v>
      </c>
      <c r="I2872" s="820">
        <v>18.72</v>
      </c>
      <c r="J2872" s="820">
        <v>3.25</v>
      </c>
    </row>
    <row r="2873" spans="1:10" ht="13.5" customHeight="1">
      <c r="A2873" s="822" t="s">
        <v>13493</v>
      </c>
      <c r="B2873" s="821" t="s">
        <v>13925</v>
      </c>
      <c r="C2873" s="822" t="s">
        <v>6</v>
      </c>
      <c r="D2873" s="822" t="s">
        <v>4681</v>
      </c>
      <c r="E2873" s="1017" t="s">
        <v>13514</v>
      </c>
      <c r="F2873" s="1017"/>
      <c r="G2873" s="823" t="s">
        <v>24</v>
      </c>
      <c r="H2873" s="824">
        <v>4.8000000000000001E-2</v>
      </c>
      <c r="I2873" s="825">
        <v>5</v>
      </c>
      <c r="J2873" s="825">
        <v>0.24</v>
      </c>
    </row>
    <row r="2874" spans="1:10">
      <c r="A2874" s="822" t="s">
        <v>13493</v>
      </c>
      <c r="B2874" s="821" t="s">
        <v>14512</v>
      </c>
      <c r="C2874" s="822" t="s">
        <v>6</v>
      </c>
      <c r="D2874" s="822" t="s">
        <v>13214</v>
      </c>
      <c r="E2874" s="1017" t="s">
        <v>13514</v>
      </c>
      <c r="F2874" s="1017"/>
      <c r="G2874" s="823" t="s">
        <v>24</v>
      </c>
      <c r="H2874" s="824">
        <v>1</v>
      </c>
      <c r="I2874" s="825">
        <v>50.78</v>
      </c>
      <c r="J2874" s="825">
        <v>50.78</v>
      </c>
    </row>
    <row r="2875" spans="1:10" ht="25.5">
      <c r="A2875" s="827"/>
      <c r="B2875" s="827"/>
      <c r="C2875" s="827"/>
      <c r="D2875" s="827"/>
      <c r="E2875" s="827" t="s">
        <v>13503</v>
      </c>
      <c r="F2875" s="826">
        <v>3.06</v>
      </c>
      <c r="G2875" s="827" t="s">
        <v>13504</v>
      </c>
      <c r="H2875" s="826">
        <v>0</v>
      </c>
      <c r="I2875" s="827" t="s">
        <v>13505</v>
      </c>
      <c r="J2875" s="826">
        <v>3.06</v>
      </c>
    </row>
    <row r="2876" spans="1:10" ht="38.25" customHeight="1" thickBot="1">
      <c r="A2876" s="827"/>
      <c r="B2876" s="827"/>
      <c r="C2876" s="827"/>
      <c r="D2876" s="827"/>
      <c r="E2876" s="827" t="s">
        <v>13506</v>
      </c>
      <c r="F2876" s="826">
        <v>15.56</v>
      </c>
      <c r="G2876" s="827"/>
      <c r="H2876" s="1018" t="s">
        <v>13507</v>
      </c>
      <c r="I2876" s="1018"/>
      <c r="J2876" s="826">
        <v>70.66</v>
      </c>
    </row>
    <row r="2877" spans="1:10" ht="13.5" thickTop="1">
      <c r="A2877" s="828"/>
      <c r="B2877" s="828"/>
      <c r="C2877" s="828"/>
      <c r="D2877" s="828"/>
      <c r="E2877" s="828"/>
      <c r="F2877" s="828"/>
      <c r="G2877" s="828"/>
      <c r="H2877" s="828"/>
      <c r="I2877" s="828"/>
      <c r="J2877" s="828"/>
    </row>
    <row r="2878" spans="1:10" ht="45" customHeight="1">
      <c r="A2878" s="809" t="s">
        <v>14447</v>
      </c>
      <c r="B2878" s="808" t="s">
        <v>13481</v>
      </c>
      <c r="C2878" s="809" t="s">
        <v>13482</v>
      </c>
      <c r="D2878" s="809" t="s">
        <v>13483</v>
      </c>
      <c r="E2878" s="1019" t="s">
        <v>13484</v>
      </c>
      <c r="F2878" s="1019"/>
      <c r="G2878" s="810" t="s">
        <v>13485</v>
      </c>
      <c r="H2878" s="808" t="s">
        <v>13486</v>
      </c>
      <c r="I2878" s="808" t="s">
        <v>13487</v>
      </c>
      <c r="J2878" s="808" t="s">
        <v>4867</v>
      </c>
    </row>
    <row r="2879" spans="1:10" ht="13.5" customHeight="1">
      <c r="A2879" s="812" t="s">
        <v>13488</v>
      </c>
      <c r="B2879" s="811" t="s">
        <v>14509</v>
      </c>
      <c r="C2879" s="812" t="s">
        <v>6</v>
      </c>
      <c r="D2879" s="812" t="s">
        <v>4423</v>
      </c>
      <c r="E2879" s="1020" t="s">
        <v>13898</v>
      </c>
      <c r="F2879" s="1020"/>
      <c r="G2879" s="813" t="s">
        <v>24</v>
      </c>
      <c r="H2879" s="814">
        <v>1</v>
      </c>
      <c r="I2879" s="815">
        <v>11.94</v>
      </c>
      <c r="J2879" s="815">
        <v>11.94</v>
      </c>
    </row>
    <row r="2880" spans="1:10" ht="38.25" customHeight="1">
      <c r="A2880" s="817" t="s">
        <v>13491</v>
      </c>
      <c r="B2880" s="816" t="s">
        <v>13553</v>
      </c>
      <c r="C2880" s="817" t="s">
        <v>6</v>
      </c>
      <c r="D2880" s="817" t="s">
        <v>21</v>
      </c>
      <c r="E2880" s="1021" t="s">
        <v>13490</v>
      </c>
      <c r="F2880" s="1021"/>
      <c r="G2880" s="818" t="s">
        <v>19</v>
      </c>
      <c r="H2880" s="819">
        <v>4.8099999999999997E-2</v>
      </c>
      <c r="I2880" s="820">
        <v>15.16</v>
      </c>
      <c r="J2880" s="820">
        <v>0.72</v>
      </c>
    </row>
    <row r="2881" spans="1:10" ht="38.25" customHeight="1">
      <c r="A2881" s="817" t="s">
        <v>13491</v>
      </c>
      <c r="B2881" s="816" t="s">
        <v>13574</v>
      </c>
      <c r="C2881" s="817" t="s">
        <v>6</v>
      </c>
      <c r="D2881" s="817" t="s">
        <v>34</v>
      </c>
      <c r="E2881" s="1021" t="s">
        <v>13490</v>
      </c>
      <c r="F2881" s="1021"/>
      <c r="G2881" s="818" t="s">
        <v>19</v>
      </c>
      <c r="H2881" s="819">
        <v>0.1525</v>
      </c>
      <c r="I2881" s="820">
        <v>18.72</v>
      </c>
      <c r="J2881" s="820">
        <v>2.85</v>
      </c>
    </row>
    <row r="2882" spans="1:10" ht="25.5">
      <c r="A2882" s="822" t="s">
        <v>13493</v>
      </c>
      <c r="B2882" s="821" t="s">
        <v>14510</v>
      </c>
      <c r="C2882" s="822" t="s">
        <v>6</v>
      </c>
      <c r="D2882" s="822" t="s">
        <v>10271</v>
      </c>
      <c r="E2882" s="1017" t="s">
        <v>13514</v>
      </c>
      <c r="F2882" s="1017"/>
      <c r="G2882" s="823" t="s">
        <v>24</v>
      </c>
      <c r="H2882" s="824">
        <v>1</v>
      </c>
      <c r="I2882" s="825">
        <v>8.27</v>
      </c>
      <c r="J2882" s="825">
        <v>8.27</v>
      </c>
    </row>
    <row r="2883" spans="1:10">
      <c r="A2883" s="822" t="s">
        <v>13493</v>
      </c>
      <c r="B2883" s="821" t="s">
        <v>13925</v>
      </c>
      <c r="C2883" s="822" t="s">
        <v>6</v>
      </c>
      <c r="D2883" s="822" t="s">
        <v>4681</v>
      </c>
      <c r="E2883" s="1017" t="s">
        <v>13514</v>
      </c>
      <c r="F2883" s="1017"/>
      <c r="G2883" s="823" t="s">
        <v>24</v>
      </c>
      <c r="H2883" s="824">
        <v>2.1000000000000001E-2</v>
      </c>
      <c r="I2883" s="825">
        <v>5</v>
      </c>
      <c r="J2883" s="825">
        <v>0.1</v>
      </c>
    </row>
    <row r="2884" spans="1:10" ht="25.5">
      <c r="A2884" s="827"/>
      <c r="B2884" s="827"/>
      <c r="C2884" s="827"/>
      <c r="D2884" s="827"/>
      <c r="E2884" s="827" t="s">
        <v>13503</v>
      </c>
      <c r="F2884" s="826">
        <v>2.68</v>
      </c>
      <c r="G2884" s="827" t="s">
        <v>13504</v>
      </c>
      <c r="H2884" s="826">
        <v>0</v>
      </c>
      <c r="I2884" s="827" t="s">
        <v>13505</v>
      </c>
      <c r="J2884" s="826">
        <v>2.68</v>
      </c>
    </row>
    <row r="2885" spans="1:10" ht="13.5" customHeight="1" thickBot="1">
      <c r="A2885" s="827"/>
      <c r="B2885" s="827"/>
      <c r="C2885" s="827"/>
      <c r="D2885" s="827"/>
      <c r="E2885" s="827" t="s">
        <v>13506</v>
      </c>
      <c r="F2885" s="826">
        <v>3.37</v>
      </c>
      <c r="G2885" s="827"/>
      <c r="H2885" s="1018" t="s">
        <v>13507</v>
      </c>
      <c r="I2885" s="1018"/>
      <c r="J2885" s="826">
        <v>15.31</v>
      </c>
    </row>
    <row r="2886" spans="1:10" ht="13.5" thickTop="1">
      <c r="A2886" s="828"/>
      <c r="B2886" s="828"/>
      <c r="C2886" s="828"/>
      <c r="D2886" s="828"/>
      <c r="E2886" s="828"/>
      <c r="F2886" s="828"/>
      <c r="G2886" s="828"/>
      <c r="H2886" s="828"/>
      <c r="I2886" s="828"/>
      <c r="J2886" s="828"/>
    </row>
    <row r="2887" spans="1:10" ht="45" customHeight="1">
      <c r="A2887" s="809" t="s">
        <v>14447</v>
      </c>
      <c r="B2887" s="808" t="s">
        <v>13481</v>
      </c>
      <c r="C2887" s="809" t="s">
        <v>13482</v>
      </c>
      <c r="D2887" s="809" t="s">
        <v>13483</v>
      </c>
      <c r="E2887" s="1019" t="s">
        <v>13484</v>
      </c>
      <c r="F2887" s="1019"/>
      <c r="G2887" s="810" t="s">
        <v>13485</v>
      </c>
      <c r="H2887" s="808" t="s">
        <v>13486</v>
      </c>
      <c r="I2887" s="808" t="s">
        <v>13487</v>
      </c>
      <c r="J2887" s="808" t="s">
        <v>4867</v>
      </c>
    </row>
    <row r="2888" spans="1:10" ht="13.5" customHeight="1">
      <c r="A2888" s="812" t="s">
        <v>13488</v>
      </c>
      <c r="B2888" s="811" t="s">
        <v>14171</v>
      </c>
      <c r="C2888" s="812" t="s">
        <v>6</v>
      </c>
      <c r="D2888" s="812" t="s">
        <v>4415</v>
      </c>
      <c r="E2888" s="1020" t="s">
        <v>13898</v>
      </c>
      <c r="F2888" s="1020"/>
      <c r="G2888" s="813" t="s">
        <v>24</v>
      </c>
      <c r="H2888" s="814">
        <v>1</v>
      </c>
      <c r="I2888" s="815">
        <v>51.1</v>
      </c>
      <c r="J2888" s="815">
        <v>51.1</v>
      </c>
    </row>
    <row r="2889" spans="1:10" ht="38.25" customHeight="1">
      <c r="A2889" s="817" t="s">
        <v>13491</v>
      </c>
      <c r="B2889" s="816" t="s">
        <v>13553</v>
      </c>
      <c r="C2889" s="817" t="s">
        <v>6</v>
      </c>
      <c r="D2889" s="817" t="s">
        <v>21</v>
      </c>
      <c r="E2889" s="1021" t="s">
        <v>13490</v>
      </c>
      <c r="F2889" s="1021"/>
      <c r="G2889" s="818" t="s">
        <v>19</v>
      </c>
      <c r="H2889" s="819">
        <v>5.4800000000000001E-2</v>
      </c>
      <c r="I2889" s="820">
        <v>15.16</v>
      </c>
      <c r="J2889" s="820">
        <v>0.83</v>
      </c>
    </row>
    <row r="2890" spans="1:10" ht="38.25" customHeight="1">
      <c r="A2890" s="817" t="s">
        <v>13491</v>
      </c>
      <c r="B2890" s="816" t="s">
        <v>13574</v>
      </c>
      <c r="C2890" s="817" t="s">
        <v>6</v>
      </c>
      <c r="D2890" s="817" t="s">
        <v>34</v>
      </c>
      <c r="E2890" s="1021" t="s">
        <v>13490</v>
      </c>
      <c r="F2890" s="1021"/>
      <c r="G2890" s="818" t="s">
        <v>19</v>
      </c>
      <c r="H2890" s="819">
        <v>0.17399999999999999</v>
      </c>
      <c r="I2890" s="820">
        <v>18.72</v>
      </c>
      <c r="J2890" s="820">
        <v>3.25</v>
      </c>
    </row>
    <row r="2891" spans="1:10">
      <c r="A2891" s="822" t="s">
        <v>13493</v>
      </c>
      <c r="B2891" s="821" t="s">
        <v>13925</v>
      </c>
      <c r="C2891" s="822" t="s">
        <v>6</v>
      </c>
      <c r="D2891" s="822" t="s">
        <v>4681</v>
      </c>
      <c r="E2891" s="1017" t="s">
        <v>13514</v>
      </c>
      <c r="F2891" s="1017"/>
      <c r="G2891" s="823" t="s">
        <v>24</v>
      </c>
      <c r="H2891" s="824">
        <v>4.8000000000000001E-2</v>
      </c>
      <c r="I2891" s="825">
        <v>5</v>
      </c>
      <c r="J2891" s="825">
        <v>0.24</v>
      </c>
    </row>
    <row r="2892" spans="1:10" ht="25.5">
      <c r="A2892" s="822" t="s">
        <v>13493</v>
      </c>
      <c r="B2892" s="821" t="s">
        <v>14511</v>
      </c>
      <c r="C2892" s="822" t="s">
        <v>6</v>
      </c>
      <c r="D2892" s="822" t="s">
        <v>13180</v>
      </c>
      <c r="E2892" s="1017" t="s">
        <v>13514</v>
      </c>
      <c r="F2892" s="1017"/>
      <c r="G2892" s="823" t="s">
        <v>24</v>
      </c>
      <c r="H2892" s="824">
        <v>1</v>
      </c>
      <c r="I2892" s="825">
        <v>46.78</v>
      </c>
      <c r="J2892" s="825">
        <v>46.78</v>
      </c>
    </row>
    <row r="2893" spans="1:10" ht="25.5">
      <c r="A2893" s="827"/>
      <c r="B2893" s="827"/>
      <c r="C2893" s="827"/>
      <c r="D2893" s="827"/>
      <c r="E2893" s="827" t="s">
        <v>13503</v>
      </c>
      <c r="F2893" s="826">
        <v>3.06</v>
      </c>
      <c r="G2893" s="827" t="s">
        <v>13504</v>
      </c>
      <c r="H2893" s="826">
        <v>0</v>
      </c>
      <c r="I2893" s="827" t="s">
        <v>13505</v>
      </c>
      <c r="J2893" s="826">
        <v>3.06</v>
      </c>
    </row>
    <row r="2894" spans="1:10" ht="13.5" customHeight="1" thickBot="1">
      <c r="A2894" s="827"/>
      <c r="B2894" s="827"/>
      <c r="C2894" s="827"/>
      <c r="D2894" s="827"/>
      <c r="E2894" s="827" t="s">
        <v>13506</v>
      </c>
      <c r="F2894" s="826">
        <v>14.43</v>
      </c>
      <c r="G2894" s="827"/>
      <c r="H2894" s="1018" t="s">
        <v>13507</v>
      </c>
      <c r="I2894" s="1018"/>
      <c r="J2894" s="826">
        <v>65.53</v>
      </c>
    </row>
    <row r="2895" spans="1:10" ht="13.5" thickTop="1">
      <c r="A2895" s="828"/>
      <c r="B2895" s="828"/>
      <c r="C2895" s="828"/>
      <c r="D2895" s="828"/>
      <c r="E2895" s="828"/>
      <c r="F2895" s="828"/>
      <c r="G2895" s="828"/>
      <c r="H2895" s="828"/>
      <c r="I2895" s="828"/>
      <c r="J2895" s="828"/>
    </row>
    <row r="2896" spans="1:10" ht="45" customHeight="1">
      <c r="A2896" s="809" t="s">
        <v>14447</v>
      </c>
      <c r="B2896" s="808" t="s">
        <v>13481</v>
      </c>
      <c r="C2896" s="809" t="s">
        <v>13482</v>
      </c>
      <c r="D2896" s="809" t="s">
        <v>13483</v>
      </c>
      <c r="E2896" s="1019" t="s">
        <v>13484</v>
      </c>
      <c r="F2896" s="1019"/>
      <c r="G2896" s="810" t="s">
        <v>13485</v>
      </c>
      <c r="H2896" s="808" t="s">
        <v>13486</v>
      </c>
      <c r="I2896" s="808" t="s">
        <v>13487</v>
      </c>
      <c r="J2896" s="808" t="s">
        <v>4867</v>
      </c>
    </row>
    <row r="2897" spans="1:10" ht="25.5" customHeight="1">
      <c r="A2897" s="812" t="s">
        <v>13488</v>
      </c>
      <c r="B2897" s="811" t="s">
        <v>14164</v>
      </c>
      <c r="C2897" s="812" t="s">
        <v>6</v>
      </c>
      <c r="D2897" s="812" t="s">
        <v>4419</v>
      </c>
      <c r="E2897" s="1020" t="s">
        <v>13898</v>
      </c>
      <c r="F2897" s="1020"/>
      <c r="G2897" s="813" t="s">
        <v>24</v>
      </c>
      <c r="H2897" s="814">
        <v>1</v>
      </c>
      <c r="I2897" s="815">
        <v>155.27000000000001</v>
      </c>
      <c r="J2897" s="815">
        <v>155.27000000000001</v>
      </c>
    </row>
    <row r="2898" spans="1:10" ht="38.25" customHeight="1">
      <c r="A2898" s="817" t="s">
        <v>13491</v>
      </c>
      <c r="B2898" s="816" t="s">
        <v>13553</v>
      </c>
      <c r="C2898" s="817" t="s">
        <v>6</v>
      </c>
      <c r="D2898" s="817" t="s">
        <v>21</v>
      </c>
      <c r="E2898" s="1021" t="s">
        <v>13490</v>
      </c>
      <c r="F2898" s="1021"/>
      <c r="G2898" s="818" t="s">
        <v>19</v>
      </c>
      <c r="H2898" s="819">
        <v>8.6199999999999999E-2</v>
      </c>
      <c r="I2898" s="820">
        <v>15.16</v>
      </c>
      <c r="J2898" s="820">
        <v>1.3</v>
      </c>
    </row>
    <row r="2899" spans="1:10" ht="13.5" customHeight="1">
      <c r="A2899" s="817" t="s">
        <v>13491</v>
      </c>
      <c r="B2899" s="816" t="s">
        <v>13574</v>
      </c>
      <c r="C2899" s="817" t="s">
        <v>6</v>
      </c>
      <c r="D2899" s="817" t="s">
        <v>34</v>
      </c>
      <c r="E2899" s="1021" t="s">
        <v>13490</v>
      </c>
      <c r="F2899" s="1021"/>
      <c r="G2899" s="818" t="s">
        <v>19</v>
      </c>
      <c r="H2899" s="819">
        <v>0.27339999999999998</v>
      </c>
      <c r="I2899" s="820">
        <v>18.72</v>
      </c>
      <c r="J2899" s="820">
        <v>5.1100000000000003</v>
      </c>
    </row>
    <row r="2900" spans="1:10">
      <c r="A2900" s="822" t="s">
        <v>13493</v>
      </c>
      <c r="B2900" s="821" t="s">
        <v>13925</v>
      </c>
      <c r="C2900" s="822" t="s">
        <v>6</v>
      </c>
      <c r="D2900" s="822" t="s">
        <v>4681</v>
      </c>
      <c r="E2900" s="1017" t="s">
        <v>13514</v>
      </c>
      <c r="F2900" s="1017"/>
      <c r="G2900" s="823" t="s">
        <v>24</v>
      </c>
      <c r="H2900" s="824">
        <v>3.32E-2</v>
      </c>
      <c r="I2900" s="825">
        <v>5</v>
      </c>
      <c r="J2900" s="825">
        <v>0.16</v>
      </c>
    </row>
    <row r="2901" spans="1:10">
      <c r="A2901" s="822" t="s">
        <v>13493</v>
      </c>
      <c r="B2901" s="821" t="s">
        <v>14515</v>
      </c>
      <c r="C2901" s="822" t="s">
        <v>6</v>
      </c>
      <c r="D2901" s="822" t="s">
        <v>12229</v>
      </c>
      <c r="E2901" s="1017" t="s">
        <v>13514</v>
      </c>
      <c r="F2901" s="1017"/>
      <c r="G2901" s="823" t="s">
        <v>24</v>
      </c>
      <c r="H2901" s="824">
        <v>1</v>
      </c>
      <c r="I2901" s="825">
        <v>148.69999999999999</v>
      </c>
      <c r="J2901" s="825">
        <v>148.69999999999999</v>
      </c>
    </row>
    <row r="2902" spans="1:10" ht="25.5">
      <c r="A2902" s="827"/>
      <c r="B2902" s="827"/>
      <c r="C2902" s="827"/>
      <c r="D2902" s="827"/>
      <c r="E2902" s="827" t="s">
        <v>13503</v>
      </c>
      <c r="F2902" s="826">
        <v>4.82</v>
      </c>
      <c r="G2902" s="827" t="s">
        <v>13504</v>
      </c>
      <c r="H2902" s="826">
        <v>0</v>
      </c>
      <c r="I2902" s="827" t="s">
        <v>13505</v>
      </c>
      <c r="J2902" s="826">
        <v>4.82</v>
      </c>
    </row>
    <row r="2903" spans="1:10" ht="13.5" customHeight="1" thickBot="1">
      <c r="A2903" s="827"/>
      <c r="B2903" s="827"/>
      <c r="C2903" s="827"/>
      <c r="D2903" s="827"/>
      <c r="E2903" s="827" t="s">
        <v>13506</v>
      </c>
      <c r="F2903" s="826">
        <v>43.84</v>
      </c>
      <c r="G2903" s="827"/>
      <c r="H2903" s="1018" t="s">
        <v>13507</v>
      </c>
      <c r="I2903" s="1018"/>
      <c r="J2903" s="826">
        <v>199.11</v>
      </c>
    </row>
    <row r="2904" spans="1:10" ht="13.5" thickTop="1">
      <c r="A2904" s="828"/>
      <c r="B2904" s="828"/>
      <c r="C2904" s="828"/>
      <c r="D2904" s="828"/>
      <c r="E2904" s="828"/>
      <c r="F2904" s="828"/>
      <c r="G2904" s="828"/>
      <c r="H2904" s="828"/>
      <c r="I2904" s="828"/>
      <c r="J2904" s="828"/>
    </row>
    <row r="2905" spans="1:10" ht="45" customHeight="1">
      <c r="A2905" s="809" t="s">
        <v>14447</v>
      </c>
      <c r="B2905" s="808" t="s">
        <v>13481</v>
      </c>
      <c r="C2905" s="809" t="s">
        <v>13482</v>
      </c>
      <c r="D2905" s="809" t="s">
        <v>13483</v>
      </c>
      <c r="E2905" s="1019" t="s">
        <v>13484</v>
      </c>
      <c r="F2905" s="1019"/>
      <c r="G2905" s="810" t="s">
        <v>13485</v>
      </c>
      <c r="H2905" s="808" t="s">
        <v>13486</v>
      </c>
      <c r="I2905" s="808" t="s">
        <v>13487</v>
      </c>
      <c r="J2905" s="808" t="s">
        <v>4867</v>
      </c>
    </row>
    <row r="2906" spans="1:10" ht="13.5" customHeight="1">
      <c r="A2906" s="812" t="s">
        <v>13488</v>
      </c>
      <c r="B2906" s="811" t="s">
        <v>14513</v>
      </c>
      <c r="C2906" s="812" t="s">
        <v>6</v>
      </c>
      <c r="D2906" s="812" t="s">
        <v>4420</v>
      </c>
      <c r="E2906" s="1020" t="s">
        <v>13898</v>
      </c>
      <c r="F2906" s="1020"/>
      <c r="G2906" s="813" t="s">
        <v>24</v>
      </c>
      <c r="H2906" s="814">
        <v>1</v>
      </c>
      <c r="I2906" s="815">
        <v>23.1</v>
      </c>
      <c r="J2906" s="815">
        <v>23.1</v>
      </c>
    </row>
    <row r="2907" spans="1:10" ht="38.25" customHeight="1">
      <c r="A2907" s="817" t="s">
        <v>13491</v>
      </c>
      <c r="B2907" s="816" t="s">
        <v>13553</v>
      </c>
      <c r="C2907" s="817" t="s">
        <v>6</v>
      </c>
      <c r="D2907" s="817" t="s">
        <v>21</v>
      </c>
      <c r="E2907" s="1021" t="s">
        <v>13490</v>
      </c>
      <c r="F2907" s="1021"/>
      <c r="G2907" s="818" t="s">
        <v>19</v>
      </c>
      <c r="H2907" s="819">
        <v>4.2700000000000002E-2</v>
      </c>
      <c r="I2907" s="820">
        <v>15.16</v>
      </c>
      <c r="J2907" s="820">
        <v>0.64</v>
      </c>
    </row>
    <row r="2908" spans="1:10" ht="38.25" customHeight="1">
      <c r="A2908" s="817" t="s">
        <v>13491</v>
      </c>
      <c r="B2908" s="816" t="s">
        <v>13574</v>
      </c>
      <c r="C2908" s="817" t="s">
        <v>6</v>
      </c>
      <c r="D2908" s="817" t="s">
        <v>34</v>
      </c>
      <c r="E2908" s="1021" t="s">
        <v>13490</v>
      </c>
      <c r="F2908" s="1021"/>
      <c r="G2908" s="818" t="s">
        <v>19</v>
      </c>
      <c r="H2908" s="819">
        <v>0.1356</v>
      </c>
      <c r="I2908" s="820">
        <v>18.72</v>
      </c>
      <c r="J2908" s="820">
        <v>2.5299999999999998</v>
      </c>
    </row>
    <row r="2909" spans="1:10">
      <c r="A2909" s="822" t="s">
        <v>13493</v>
      </c>
      <c r="B2909" s="821" t="s">
        <v>13925</v>
      </c>
      <c r="C2909" s="822" t="s">
        <v>6</v>
      </c>
      <c r="D2909" s="822" t="s">
        <v>4681</v>
      </c>
      <c r="E2909" s="1017" t="s">
        <v>13514</v>
      </c>
      <c r="F2909" s="1017"/>
      <c r="G2909" s="823" t="s">
        <v>24</v>
      </c>
      <c r="H2909" s="824">
        <v>4.2000000000000003E-2</v>
      </c>
      <c r="I2909" s="825">
        <v>5</v>
      </c>
      <c r="J2909" s="825">
        <v>0.21</v>
      </c>
    </row>
    <row r="2910" spans="1:10">
      <c r="A2910" s="822" t="s">
        <v>13493</v>
      </c>
      <c r="B2910" s="821" t="s">
        <v>14514</v>
      </c>
      <c r="C2910" s="822" t="s">
        <v>6</v>
      </c>
      <c r="D2910" s="822" t="s">
        <v>4784</v>
      </c>
      <c r="E2910" s="1017" t="s">
        <v>13514</v>
      </c>
      <c r="F2910" s="1017"/>
      <c r="G2910" s="823" t="s">
        <v>24</v>
      </c>
      <c r="H2910" s="824">
        <v>1</v>
      </c>
      <c r="I2910" s="825">
        <v>19.72</v>
      </c>
      <c r="J2910" s="825">
        <v>19.72</v>
      </c>
    </row>
    <row r="2911" spans="1:10" ht="25.5">
      <c r="A2911" s="827"/>
      <c r="B2911" s="827"/>
      <c r="C2911" s="827"/>
      <c r="D2911" s="827"/>
      <c r="E2911" s="827" t="s">
        <v>13503</v>
      </c>
      <c r="F2911" s="826">
        <v>2.39</v>
      </c>
      <c r="G2911" s="827" t="s">
        <v>13504</v>
      </c>
      <c r="H2911" s="826">
        <v>0</v>
      </c>
      <c r="I2911" s="827" t="s">
        <v>13505</v>
      </c>
      <c r="J2911" s="826">
        <v>2.39</v>
      </c>
    </row>
    <row r="2912" spans="1:10" ht="13.5" customHeight="1" thickBot="1">
      <c r="A2912" s="827"/>
      <c r="B2912" s="827"/>
      <c r="C2912" s="827"/>
      <c r="D2912" s="827"/>
      <c r="E2912" s="827" t="s">
        <v>13506</v>
      </c>
      <c r="F2912" s="826">
        <v>6.52</v>
      </c>
      <c r="G2912" s="827"/>
      <c r="H2912" s="1018" t="s">
        <v>13507</v>
      </c>
      <c r="I2912" s="1018"/>
      <c r="J2912" s="826">
        <v>29.62</v>
      </c>
    </row>
    <row r="2913" spans="1:10" ht="13.5" customHeight="1" thickTop="1">
      <c r="A2913" s="828"/>
      <c r="B2913" s="828"/>
      <c r="C2913" s="828"/>
      <c r="D2913" s="828"/>
      <c r="E2913" s="828"/>
      <c r="F2913" s="828"/>
      <c r="G2913" s="828"/>
      <c r="H2913" s="828"/>
      <c r="I2913" s="828"/>
      <c r="J2913" s="828"/>
    </row>
    <row r="2914" spans="1:10" ht="45" customHeight="1">
      <c r="A2914" s="809" t="s">
        <v>14447</v>
      </c>
      <c r="B2914" s="808" t="s">
        <v>13481</v>
      </c>
      <c r="C2914" s="809" t="s">
        <v>13482</v>
      </c>
      <c r="D2914" s="809" t="s">
        <v>13483</v>
      </c>
      <c r="E2914" s="1019" t="s">
        <v>13484</v>
      </c>
      <c r="F2914" s="1019"/>
      <c r="G2914" s="810" t="s">
        <v>13485</v>
      </c>
      <c r="H2914" s="808" t="s">
        <v>13486</v>
      </c>
      <c r="I2914" s="808" t="s">
        <v>13487</v>
      </c>
      <c r="J2914" s="808" t="s">
        <v>4867</v>
      </c>
    </row>
    <row r="2915" spans="1:10" ht="25.5" customHeight="1">
      <c r="A2915" s="812" t="s">
        <v>13488</v>
      </c>
      <c r="B2915" s="811" t="s">
        <v>14516</v>
      </c>
      <c r="C2915" s="812" t="s">
        <v>6</v>
      </c>
      <c r="D2915" s="812" t="s">
        <v>4437</v>
      </c>
      <c r="E2915" s="1020" t="s">
        <v>13898</v>
      </c>
      <c r="F2915" s="1020"/>
      <c r="G2915" s="813" t="s">
        <v>24</v>
      </c>
      <c r="H2915" s="814">
        <v>1</v>
      </c>
      <c r="I2915" s="815">
        <v>75.97</v>
      </c>
      <c r="J2915" s="815">
        <v>75.97</v>
      </c>
    </row>
    <row r="2916" spans="1:10" ht="38.25" customHeight="1">
      <c r="A2916" s="817" t="s">
        <v>13491</v>
      </c>
      <c r="B2916" s="816" t="s">
        <v>13553</v>
      </c>
      <c r="C2916" s="817" t="s">
        <v>6</v>
      </c>
      <c r="D2916" s="817" t="s">
        <v>21</v>
      </c>
      <c r="E2916" s="1021" t="s">
        <v>13490</v>
      </c>
      <c r="F2916" s="1021"/>
      <c r="G2916" s="818" t="s">
        <v>19</v>
      </c>
      <c r="H2916" s="819">
        <v>3.6700000000000003E-2</v>
      </c>
      <c r="I2916" s="820">
        <v>15.16</v>
      </c>
      <c r="J2916" s="820">
        <v>0.55000000000000004</v>
      </c>
    </row>
    <row r="2917" spans="1:10" ht="38.25" customHeight="1">
      <c r="A2917" s="817" t="s">
        <v>13491</v>
      </c>
      <c r="B2917" s="816" t="s">
        <v>13574</v>
      </c>
      <c r="C2917" s="817" t="s">
        <v>6</v>
      </c>
      <c r="D2917" s="817" t="s">
        <v>34</v>
      </c>
      <c r="E2917" s="1021" t="s">
        <v>13490</v>
      </c>
      <c r="F2917" s="1021"/>
      <c r="G2917" s="818" t="s">
        <v>19</v>
      </c>
      <c r="H2917" s="819">
        <v>0.1164</v>
      </c>
      <c r="I2917" s="820">
        <v>18.72</v>
      </c>
      <c r="J2917" s="820">
        <v>2.17</v>
      </c>
    </row>
    <row r="2918" spans="1:10">
      <c r="A2918" s="822" t="s">
        <v>13493</v>
      </c>
      <c r="B2918" s="821" t="s">
        <v>13925</v>
      </c>
      <c r="C2918" s="822" t="s">
        <v>6</v>
      </c>
      <c r="D2918" s="822" t="s">
        <v>4681</v>
      </c>
      <c r="E2918" s="1017" t="s">
        <v>13514</v>
      </c>
      <c r="F2918" s="1017"/>
      <c r="G2918" s="823" t="s">
        <v>24</v>
      </c>
      <c r="H2918" s="824">
        <v>2.1000000000000001E-2</v>
      </c>
      <c r="I2918" s="825">
        <v>5</v>
      </c>
      <c r="J2918" s="825">
        <v>0.1</v>
      </c>
    </row>
    <row r="2919" spans="1:10" ht="38.25">
      <c r="A2919" s="822" t="s">
        <v>13493</v>
      </c>
      <c r="B2919" s="821" t="s">
        <v>14517</v>
      </c>
      <c r="C2919" s="822" t="s">
        <v>6</v>
      </c>
      <c r="D2919" s="822" t="s">
        <v>12748</v>
      </c>
      <c r="E2919" s="1017" t="s">
        <v>13514</v>
      </c>
      <c r="F2919" s="1017"/>
      <c r="G2919" s="823" t="s">
        <v>24</v>
      </c>
      <c r="H2919" s="824">
        <v>1</v>
      </c>
      <c r="I2919" s="825">
        <v>73.150000000000006</v>
      </c>
      <c r="J2919" s="825">
        <v>73.150000000000006</v>
      </c>
    </row>
    <row r="2920" spans="1:10" ht="13.5" customHeight="1">
      <c r="A2920" s="827"/>
      <c r="B2920" s="827"/>
      <c r="C2920" s="827"/>
      <c r="D2920" s="827"/>
      <c r="E2920" s="827" t="s">
        <v>13503</v>
      </c>
      <c r="F2920" s="826">
        <v>2.0499999999999998</v>
      </c>
      <c r="G2920" s="827" t="s">
        <v>13504</v>
      </c>
      <c r="H2920" s="826">
        <v>0</v>
      </c>
      <c r="I2920" s="827" t="s">
        <v>13505</v>
      </c>
      <c r="J2920" s="826">
        <v>2.0499999999999998</v>
      </c>
    </row>
    <row r="2921" spans="1:10" ht="13.5" customHeight="1" thickBot="1">
      <c r="A2921" s="827"/>
      <c r="B2921" s="827"/>
      <c r="C2921" s="827"/>
      <c r="D2921" s="827"/>
      <c r="E2921" s="827" t="s">
        <v>13506</v>
      </c>
      <c r="F2921" s="826">
        <v>21.45</v>
      </c>
      <c r="G2921" s="827"/>
      <c r="H2921" s="1018" t="s">
        <v>13507</v>
      </c>
      <c r="I2921" s="1018"/>
      <c r="J2921" s="826">
        <v>97.42</v>
      </c>
    </row>
    <row r="2922" spans="1:10" ht="13.5" thickTop="1">
      <c r="A2922" s="828"/>
      <c r="B2922" s="828"/>
      <c r="C2922" s="828"/>
      <c r="D2922" s="828"/>
      <c r="E2922" s="828"/>
      <c r="F2922" s="828"/>
      <c r="G2922" s="828"/>
      <c r="H2922" s="828"/>
      <c r="I2922" s="828"/>
      <c r="J2922" s="828"/>
    </row>
    <row r="2923" spans="1:10" ht="45" customHeight="1">
      <c r="A2923" s="809" t="s">
        <v>14447</v>
      </c>
      <c r="B2923" s="808" t="s">
        <v>13481</v>
      </c>
      <c r="C2923" s="809" t="s">
        <v>13482</v>
      </c>
      <c r="D2923" s="809" t="s">
        <v>13483</v>
      </c>
      <c r="E2923" s="1019" t="s">
        <v>13484</v>
      </c>
      <c r="F2923" s="1019"/>
      <c r="G2923" s="810" t="s">
        <v>13485</v>
      </c>
      <c r="H2923" s="808" t="s">
        <v>13486</v>
      </c>
      <c r="I2923" s="808" t="s">
        <v>13487</v>
      </c>
      <c r="J2923" s="808" t="s">
        <v>4867</v>
      </c>
    </row>
    <row r="2924" spans="1:10" ht="25.5" customHeight="1">
      <c r="A2924" s="812" t="s">
        <v>13488</v>
      </c>
      <c r="B2924" s="811" t="s">
        <v>14518</v>
      </c>
      <c r="C2924" s="812" t="s">
        <v>6</v>
      </c>
      <c r="D2924" s="812" t="s">
        <v>6757</v>
      </c>
      <c r="E2924" s="1020" t="s">
        <v>13898</v>
      </c>
      <c r="F2924" s="1020"/>
      <c r="G2924" s="813" t="s">
        <v>24</v>
      </c>
      <c r="H2924" s="814">
        <v>1</v>
      </c>
      <c r="I2924" s="815">
        <v>51.91</v>
      </c>
      <c r="J2924" s="815">
        <v>51.91</v>
      </c>
    </row>
    <row r="2925" spans="1:10" ht="38.25" customHeight="1">
      <c r="A2925" s="817" t="s">
        <v>13491</v>
      </c>
      <c r="B2925" s="816" t="s">
        <v>14519</v>
      </c>
      <c r="C2925" s="817" t="s">
        <v>6</v>
      </c>
      <c r="D2925" s="817" t="s">
        <v>5701</v>
      </c>
      <c r="E2925" s="1021" t="s">
        <v>13623</v>
      </c>
      <c r="F2925" s="1021"/>
      <c r="G2925" s="818" t="s">
        <v>13543</v>
      </c>
      <c r="H2925" s="819">
        <v>1.41E-2</v>
      </c>
      <c r="I2925" s="820">
        <v>178.59</v>
      </c>
      <c r="J2925" s="820">
        <v>2.5099999999999998</v>
      </c>
    </row>
    <row r="2926" spans="1:10" ht="38.25" customHeight="1">
      <c r="A2926" s="817" t="s">
        <v>13491</v>
      </c>
      <c r="B2926" s="816" t="s">
        <v>13553</v>
      </c>
      <c r="C2926" s="817" t="s">
        <v>6</v>
      </c>
      <c r="D2926" s="817" t="s">
        <v>21</v>
      </c>
      <c r="E2926" s="1021" t="s">
        <v>13490</v>
      </c>
      <c r="F2926" s="1021"/>
      <c r="G2926" s="818" t="s">
        <v>19</v>
      </c>
      <c r="H2926" s="819">
        <v>0.16930000000000001</v>
      </c>
      <c r="I2926" s="820">
        <v>15.16</v>
      </c>
      <c r="J2926" s="820">
        <v>2.56</v>
      </c>
    </row>
    <row r="2927" spans="1:10" ht="13.5" customHeight="1">
      <c r="A2927" s="817" t="s">
        <v>13491</v>
      </c>
      <c r="B2927" s="816" t="s">
        <v>13577</v>
      </c>
      <c r="C2927" s="817" t="s">
        <v>6</v>
      </c>
      <c r="D2927" s="817" t="s">
        <v>31</v>
      </c>
      <c r="E2927" s="1021" t="s">
        <v>13490</v>
      </c>
      <c r="F2927" s="1021"/>
      <c r="G2927" s="818" t="s">
        <v>19</v>
      </c>
      <c r="H2927" s="819">
        <v>0.16930000000000001</v>
      </c>
      <c r="I2927" s="820">
        <v>18.86</v>
      </c>
      <c r="J2927" s="820">
        <v>3.19</v>
      </c>
    </row>
    <row r="2928" spans="1:10" ht="25.5">
      <c r="A2928" s="822" t="s">
        <v>13493</v>
      </c>
      <c r="B2928" s="821" t="s">
        <v>14520</v>
      </c>
      <c r="C2928" s="822" t="s">
        <v>6</v>
      </c>
      <c r="D2928" s="822" t="s">
        <v>9257</v>
      </c>
      <c r="E2928" s="1017" t="s">
        <v>13514</v>
      </c>
      <c r="F2928" s="1017"/>
      <c r="G2928" s="823" t="s">
        <v>24</v>
      </c>
      <c r="H2928" s="824">
        <v>1</v>
      </c>
      <c r="I2928" s="825">
        <v>43.65</v>
      </c>
      <c r="J2928" s="825">
        <v>43.65</v>
      </c>
    </row>
    <row r="2929" spans="1:10" ht="25.5">
      <c r="A2929" s="827"/>
      <c r="B2929" s="827"/>
      <c r="C2929" s="827"/>
      <c r="D2929" s="827"/>
      <c r="E2929" s="827" t="s">
        <v>13503</v>
      </c>
      <c r="F2929" s="826">
        <v>4.97</v>
      </c>
      <c r="G2929" s="827" t="s">
        <v>13504</v>
      </c>
      <c r="H2929" s="826">
        <v>0</v>
      </c>
      <c r="I2929" s="827" t="s">
        <v>13505</v>
      </c>
      <c r="J2929" s="826">
        <v>4.97</v>
      </c>
    </row>
    <row r="2930" spans="1:10" ht="13.5" customHeight="1" thickBot="1">
      <c r="A2930" s="827"/>
      <c r="B2930" s="827"/>
      <c r="C2930" s="827"/>
      <c r="D2930" s="827"/>
      <c r="E2930" s="827" t="s">
        <v>13506</v>
      </c>
      <c r="F2930" s="826">
        <v>14.65</v>
      </c>
      <c r="G2930" s="827"/>
      <c r="H2930" s="1018" t="s">
        <v>13507</v>
      </c>
      <c r="I2930" s="1018"/>
      <c r="J2930" s="826">
        <v>66.56</v>
      </c>
    </row>
    <row r="2931" spans="1:10" ht="13.5" thickTop="1">
      <c r="A2931" s="828"/>
      <c r="B2931" s="828"/>
      <c r="C2931" s="828"/>
      <c r="D2931" s="828"/>
      <c r="E2931" s="828"/>
      <c r="F2931" s="828"/>
      <c r="G2931" s="828"/>
      <c r="H2931" s="828"/>
      <c r="I2931" s="828"/>
      <c r="J2931" s="828"/>
    </row>
    <row r="2932" spans="1:10" ht="45" customHeight="1">
      <c r="A2932" s="809" t="s">
        <v>14447</v>
      </c>
      <c r="B2932" s="808" t="s">
        <v>13481</v>
      </c>
      <c r="C2932" s="809" t="s">
        <v>13482</v>
      </c>
      <c r="D2932" s="809" t="s">
        <v>13483</v>
      </c>
      <c r="E2932" s="1019" t="s">
        <v>13484</v>
      </c>
      <c r="F2932" s="1019"/>
      <c r="G2932" s="810" t="s">
        <v>13485</v>
      </c>
      <c r="H2932" s="808" t="s">
        <v>13486</v>
      </c>
      <c r="I2932" s="808" t="s">
        <v>13487</v>
      </c>
      <c r="J2932" s="808" t="s">
        <v>4867</v>
      </c>
    </row>
    <row r="2933" spans="1:10" ht="13.5" customHeight="1">
      <c r="A2933" s="812" t="s">
        <v>13488</v>
      </c>
      <c r="B2933" s="811" t="s">
        <v>14521</v>
      </c>
      <c r="C2933" s="812" t="s">
        <v>6</v>
      </c>
      <c r="D2933" s="812" t="s">
        <v>1573</v>
      </c>
      <c r="E2933" s="1020" t="s">
        <v>13898</v>
      </c>
      <c r="F2933" s="1020"/>
      <c r="G2933" s="813" t="s">
        <v>24</v>
      </c>
      <c r="H2933" s="814">
        <v>1</v>
      </c>
      <c r="I2933" s="815">
        <v>42.57</v>
      </c>
      <c r="J2933" s="815">
        <v>42.57</v>
      </c>
    </row>
    <row r="2934" spans="1:10" ht="38.25" customHeight="1">
      <c r="A2934" s="817" t="s">
        <v>13491</v>
      </c>
      <c r="B2934" s="816" t="s">
        <v>14522</v>
      </c>
      <c r="C2934" s="817" t="s">
        <v>6</v>
      </c>
      <c r="D2934" s="817" t="s">
        <v>1190</v>
      </c>
      <c r="E2934" s="1021" t="s">
        <v>13898</v>
      </c>
      <c r="F2934" s="1021"/>
      <c r="G2934" s="818" t="s">
        <v>24</v>
      </c>
      <c r="H2934" s="819">
        <v>2</v>
      </c>
      <c r="I2934" s="820">
        <v>5.7</v>
      </c>
      <c r="J2934" s="820">
        <v>11.4</v>
      </c>
    </row>
    <row r="2935" spans="1:10" ht="38.25" customHeight="1">
      <c r="A2935" s="817" t="s">
        <v>13491</v>
      </c>
      <c r="B2935" s="816" t="s">
        <v>14003</v>
      </c>
      <c r="C2935" s="817" t="s">
        <v>6</v>
      </c>
      <c r="D2935" s="817" t="s">
        <v>7575</v>
      </c>
      <c r="E2935" s="1021" t="s">
        <v>13898</v>
      </c>
      <c r="F2935" s="1021"/>
      <c r="G2935" s="818" t="s">
        <v>24</v>
      </c>
      <c r="H2935" s="819">
        <v>1</v>
      </c>
      <c r="I2935" s="820">
        <v>31.17</v>
      </c>
      <c r="J2935" s="820">
        <v>31.17</v>
      </c>
    </row>
    <row r="2936" spans="1:10" ht="25.5">
      <c r="A2936" s="827"/>
      <c r="B2936" s="827"/>
      <c r="C2936" s="827"/>
      <c r="D2936" s="827"/>
      <c r="E2936" s="827" t="s">
        <v>13503</v>
      </c>
      <c r="F2936" s="826">
        <v>7.91</v>
      </c>
      <c r="G2936" s="827" t="s">
        <v>13504</v>
      </c>
      <c r="H2936" s="826">
        <v>0</v>
      </c>
      <c r="I2936" s="827" t="s">
        <v>13505</v>
      </c>
      <c r="J2936" s="826">
        <v>7.91</v>
      </c>
    </row>
    <row r="2937" spans="1:10" ht="13.5" customHeight="1" thickBot="1">
      <c r="A2937" s="827"/>
      <c r="B2937" s="827"/>
      <c r="C2937" s="827"/>
      <c r="D2937" s="827"/>
      <c r="E2937" s="827" t="s">
        <v>13506</v>
      </c>
      <c r="F2937" s="826">
        <v>12.02</v>
      </c>
      <c r="G2937" s="827"/>
      <c r="H2937" s="1018" t="s">
        <v>13507</v>
      </c>
      <c r="I2937" s="1018"/>
      <c r="J2937" s="826">
        <v>54.59</v>
      </c>
    </row>
    <row r="2938" spans="1:10" ht="13.5" thickTop="1">
      <c r="A2938" s="828"/>
      <c r="B2938" s="828"/>
      <c r="C2938" s="828"/>
      <c r="D2938" s="828"/>
      <c r="E2938" s="828"/>
      <c r="F2938" s="828"/>
      <c r="G2938" s="828"/>
      <c r="H2938" s="828"/>
      <c r="I2938" s="828"/>
      <c r="J2938" s="828"/>
    </row>
    <row r="2939" spans="1:10" ht="45" customHeight="1">
      <c r="A2939" s="809" t="s">
        <v>14447</v>
      </c>
      <c r="B2939" s="808" t="s">
        <v>13481</v>
      </c>
      <c r="C2939" s="809" t="s">
        <v>13482</v>
      </c>
      <c r="D2939" s="809" t="s">
        <v>13483</v>
      </c>
      <c r="E2939" s="1019" t="s">
        <v>13484</v>
      </c>
      <c r="F2939" s="1019"/>
      <c r="G2939" s="810" t="s">
        <v>13485</v>
      </c>
      <c r="H2939" s="808" t="s">
        <v>13486</v>
      </c>
      <c r="I2939" s="808" t="s">
        <v>13487</v>
      </c>
      <c r="J2939" s="808" t="s">
        <v>4867</v>
      </c>
    </row>
    <row r="2940" spans="1:10" ht="25.5" customHeight="1">
      <c r="A2940" s="812" t="s">
        <v>13488</v>
      </c>
      <c r="B2940" s="811" t="s">
        <v>14523</v>
      </c>
      <c r="C2940" s="812" t="s">
        <v>6</v>
      </c>
      <c r="D2940" s="812" t="s">
        <v>7598</v>
      </c>
      <c r="E2940" s="1020" t="s">
        <v>13898</v>
      </c>
      <c r="F2940" s="1020"/>
      <c r="G2940" s="813" t="s">
        <v>24</v>
      </c>
      <c r="H2940" s="814">
        <v>1</v>
      </c>
      <c r="I2940" s="815">
        <v>44.63</v>
      </c>
      <c r="J2940" s="815">
        <v>44.63</v>
      </c>
    </row>
    <row r="2941" spans="1:10" ht="38.25" customHeight="1">
      <c r="A2941" s="817" t="s">
        <v>13491</v>
      </c>
      <c r="B2941" s="816" t="s">
        <v>13909</v>
      </c>
      <c r="C2941" s="817" t="s">
        <v>6</v>
      </c>
      <c r="D2941" s="817" t="s">
        <v>986</v>
      </c>
      <c r="E2941" s="1021" t="s">
        <v>13490</v>
      </c>
      <c r="F2941" s="1021"/>
      <c r="G2941" s="818" t="s">
        <v>19</v>
      </c>
      <c r="H2941" s="819">
        <v>0.19040000000000001</v>
      </c>
      <c r="I2941" s="820">
        <v>15.54</v>
      </c>
      <c r="J2941" s="820">
        <v>2.95</v>
      </c>
    </row>
    <row r="2942" spans="1:10" ht="13.5" customHeight="1">
      <c r="A2942" s="817" t="s">
        <v>13491</v>
      </c>
      <c r="B2942" s="816" t="s">
        <v>13574</v>
      </c>
      <c r="C2942" s="817" t="s">
        <v>6</v>
      </c>
      <c r="D2942" s="817" t="s">
        <v>34</v>
      </c>
      <c r="E2942" s="1021" t="s">
        <v>13490</v>
      </c>
      <c r="F2942" s="1021"/>
      <c r="G2942" s="818" t="s">
        <v>19</v>
      </c>
      <c r="H2942" s="819">
        <v>0.19040000000000001</v>
      </c>
      <c r="I2942" s="820">
        <v>18.72</v>
      </c>
      <c r="J2942" s="820">
        <v>3.56</v>
      </c>
    </row>
    <row r="2943" spans="1:10">
      <c r="A2943" s="822" t="s">
        <v>13493</v>
      </c>
      <c r="B2943" s="821" t="s">
        <v>13994</v>
      </c>
      <c r="C2943" s="822" t="s">
        <v>6</v>
      </c>
      <c r="D2943" s="822" t="s">
        <v>4682</v>
      </c>
      <c r="E2943" s="1017" t="s">
        <v>13514</v>
      </c>
      <c r="F2943" s="1017"/>
      <c r="G2943" s="823" t="s">
        <v>24</v>
      </c>
      <c r="H2943" s="824">
        <v>5.3E-3</v>
      </c>
      <c r="I2943" s="825">
        <v>18.440000000000001</v>
      </c>
      <c r="J2943" s="825">
        <v>0.09</v>
      </c>
    </row>
    <row r="2944" spans="1:10" ht="25.5">
      <c r="A2944" s="822" t="s">
        <v>13493</v>
      </c>
      <c r="B2944" s="821" t="s">
        <v>14524</v>
      </c>
      <c r="C2944" s="822" t="s">
        <v>6</v>
      </c>
      <c r="D2944" s="822" t="s">
        <v>12725</v>
      </c>
      <c r="E2944" s="1017" t="s">
        <v>13514</v>
      </c>
      <c r="F2944" s="1017"/>
      <c r="G2944" s="823" t="s">
        <v>24</v>
      </c>
      <c r="H2944" s="824">
        <v>1</v>
      </c>
      <c r="I2944" s="825">
        <v>38.03</v>
      </c>
      <c r="J2944" s="825">
        <v>38.03</v>
      </c>
    </row>
    <row r="2945" spans="1:10" ht="25.5">
      <c r="A2945" s="827"/>
      <c r="B2945" s="827"/>
      <c r="C2945" s="827"/>
      <c r="D2945" s="827"/>
      <c r="E2945" s="827" t="s">
        <v>13503</v>
      </c>
      <c r="F2945" s="826">
        <v>4.8600000000000003</v>
      </c>
      <c r="G2945" s="827" t="s">
        <v>13504</v>
      </c>
      <c r="H2945" s="826">
        <v>0</v>
      </c>
      <c r="I2945" s="827" t="s">
        <v>13505</v>
      </c>
      <c r="J2945" s="826">
        <v>4.8600000000000003</v>
      </c>
    </row>
    <row r="2946" spans="1:10" ht="13.5" customHeight="1" thickBot="1">
      <c r="A2946" s="827"/>
      <c r="B2946" s="827"/>
      <c r="C2946" s="827"/>
      <c r="D2946" s="827"/>
      <c r="E2946" s="827" t="s">
        <v>13506</v>
      </c>
      <c r="F2946" s="826">
        <v>12.6</v>
      </c>
      <c r="G2946" s="827"/>
      <c r="H2946" s="1018" t="s">
        <v>13507</v>
      </c>
      <c r="I2946" s="1018"/>
      <c r="J2946" s="826">
        <v>57.23</v>
      </c>
    </row>
    <row r="2947" spans="1:10" ht="13.5" thickTop="1">
      <c r="A2947" s="828"/>
      <c r="B2947" s="828"/>
      <c r="C2947" s="828"/>
      <c r="D2947" s="828"/>
      <c r="E2947" s="828"/>
      <c r="F2947" s="828"/>
      <c r="G2947" s="828"/>
      <c r="H2947" s="828"/>
      <c r="I2947" s="828"/>
      <c r="J2947" s="828"/>
    </row>
    <row r="2948" spans="1:10" ht="45" customHeight="1">
      <c r="A2948" s="809" t="s">
        <v>14447</v>
      </c>
      <c r="B2948" s="808" t="s">
        <v>13481</v>
      </c>
      <c r="C2948" s="809" t="s">
        <v>13482</v>
      </c>
      <c r="D2948" s="809" t="s">
        <v>13483</v>
      </c>
      <c r="E2948" s="1019" t="s">
        <v>13484</v>
      </c>
      <c r="F2948" s="1019"/>
      <c r="G2948" s="810" t="s">
        <v>13485</v>
      </c>
      <c r="H2948" s="808" t="s">
        <v>13486</v>
      </c>
      <c r="I2948" s="808" t="s">
        <v>13487</v>
      </c>
      <c r="J2948" s="808" t="s">
        <v>4867</v>
      </c>
    </row>
    <row r="2949" spans="1:10" ht="38.25" customHeight="1">
      <c r="A2949" s="812" t="s">
        <v>13488</v>
      </c>
      <c r="B2949" s="811" t="s">
        <v>14525</v>
      </c>
      <c r="C2949" s="812" t="s">
        <v>6</v>
      </c>
      <c r="D2949" s="812" t="s">
        <v>7776</v>
      </c>
      <c r="E2949" s="1020" t="s">
        <v>13623</v>
      </c>
      <c r="F2949" s="1020"/>
      <c r="G2949" s="813" t="s">
        <v>13543</v>
      </c>
      <c r="H2949" s="814">
        <v>1</v>
      </c>
      <c r="I2949" s="815">
        <v>9.17</v>
      </c>
      <c r="J2949" s="815">
        <v>9.17</v>
      </c>
    </row>
    <row r="2950" spans="1:10" ht="38.25" customHeight="1">
      <c r="A2950" s="817" t="s">
        <v>13491</v>
      </c>
      <c r="B2950" s="816" t="s">
        <v>13615</v>
      </c>
      <c r="C2950" s="817" t="s">
        <v>6</v>
      </c>
      <c r="D2950" s="817" t="s">
        <v>670</v>
      </c>
      <c r="E2950" s="1021" t="s">
        <v>13539</v>
      </c>
      <c r="F2950" s="1021"/>
      <c r="G2950" s="818" t="s">
        <v>28</v>
      </c>
      <c r="H2950" s="819">
        <v>3.1199999999999999E-2</v>
      </c>
      <c r="I2950" s="820">
        <v>188.22</v>
      </c>
      <c r="J2950" s="820">
        <v>5.87</v>
      </c>
    </row>
    <row r="2951" spans="1:10" ht="38.25" customHeight="1">
      <c r="A2951" s="817" t="s">
        <v>13491</v>
      </c>
      <c r="B2951" s="816" t="s">
        <v>13616</v>
      </c>
      <c r="C2951" s="817" t="s">
        <v>6</v>
      </c>
      <c r="D2951" s="817" t="s">
        <v>671</v>
      </c>
      <c r="E2951" s="1021" t="s">
        <v>13539</v>
      </c>
      <c r="F2951" s="1021"/>
      <c r="G2951" s="818" t="s">
        <v>42</v>
      </c>
      <c r="H2951" s="819">
        <v>3.39E-2</v>
      </c>
      <c r="I2951" s="820">
        <v>68.569999999999993</v>
      </c>
      <c r="J2951" s="820">
        <v>2.3199999999999998</v>
      </c>
    </row>
    <row r="2952" spans="1:10" ht="38.25" customHeight="1">
      <c r="A2952" s="817" t="s">
        <v>13491</v>
      </c>
      <c r="B2952" s="816" t="s">
        <v>13553</v>
      </c>
      <c r="C2952" s="817" t="s">
        <v>6</v>
      </c>
      <c r="D2952" s="817" t="s">
        <v>21</v>
      </c>
      <c r="E2952" s="1021" t="s">
        <v>13490</v>
      </c>
      <c r="F2952" s="1021"/>
      <c r="G2952" s="818" t="s">
        <v>19</v>
      </c>
      <c r="H2952" s="819">
        <v>6.5000000000000002E-2</v>
      </c>
      <c r="I2952" s="820">
        <v>15.16</v>
      </c>
      <c r="J2952" s="820">
        <v>0.98</v>
      </c>
    </row>
    <row r="2953" spans="1:10" ht="13.5" customHeight="1">
      <c r="A2953" s="827"/>
      <c r="B2953" s="827"/>
      <c r="C2953" s="827"/>
      <c r="D2953" s="827"/>
      <c r="E2953" s="827" t="s">
        <v>13503</v>
      </c>
      <c r="F2953" s="826">
        <v>1.56</v>
      </c>
      <c r="G2953" s="827" t="s">
        <v>13504</v>
      </c>
      <c r="H2953" s="826">
        <v>0</v>
      </c>
      <c r="I2953" s="827" t="s">
        <v>13505</v>
      </c>
      <c r="J2953" s="826">
        <v>1.56</v>
      </c>
    </row>
    <row r="2954" spans="1:10" ht="13.5" customHeight="1" thickBot="1">
      <c r="A2954" s="827"/>
      <c r="B2954" s="827"/>
      <c r="C2954" s="827"/>
      <c r="D2954" s="827"/>
      <c r="E2954" s="827" t="s">
        <v>13506</v>
      </c>
      <c r="F2954" s="826">
        <v>2.58</v>
      </c>
      <c r="G2954" s="827"/>
      <c r="H2954" s="1018" t="s">
        <v>13507</v>
      </c>
      <c r="I2954" s="1018"/>
      <c r="J2954" s="826">
        <v>11.75</v>
      </c>
    </row>
    <row r="2955" spans="1:10" ht="13.5" thickTop="1">
      <c r="A2955" s="828"/>
      <c r="B2955" s="828"/>
      <c r="C2955" s="828"/>
      <c r="D2955" s="828"/>
      <c r="E2955" s="828"/>
      <c r="F2955" s="828"/>
      <c r="G2955" s="828"/>
      <c r="H2955" s="828"/>
      <c r="I2955" s="828"/>
      <c r="J2955" s="828"/>
    </row>
    <row r="2956" spans="1:10" ht="45" customHeight="1">
      <c r="A2956" s="809" t="s">
        <v>14447</v>
      </c>
      <c r="B2956" s="808" t="s">
        <v>13481</v>
      </c>
      <c r="C2956" s="809" t="s">
        <v>13482</v>
      </c>
      <c r="D2956" s="809" t="s">
        <v>13483</v>
      </c>
      <c r="E2956" s="1019" t="s">
        <v>13484</v>
      </c>
      <c r="F2956" s="1019"/>
      <c r="G2956" s="810" t="s">
        <v>13485</v>
      </c>
      <c r="H2956" s="808" t="s">
        <v>13486</v>
      </c>
      <c r="I2956" s="808" t="s">
        <v>13487</v>
      </c>
      <c r="J2956" s="808" t="s">
        <v>4867</v>
      </c>
    </row>
    <row r="2957" spans="1:10" ht="25.5" customHeight="1">
      <c r="A2957" s="812" t="s">
        <v>13488</v>
      </c>
      <c r="B2957" s="811" t="s">
        <v>14530</v>
      </c>
      <c r="C2957" s="812" t="s">
        <v>6</v>
      </c>
      <c r="D2957" s="812" t="s">
        <v>6906</v>
      </c>
      <c r="E2957" s="1020" t="s">
        <v>13755</v>
      </c>
      <c r="F2957" s="1020"/>
      <c r="G2957" s="813" t="s">
        <v>13537</v>
      </c>
      <c r="H2957" s="814">
        <v>1</v>
      </c>
      <c r="I2957" s="815">
        <v>30.11</v>
      </c>
      <c r="J2957" s="815">
        <v>30.11</v>
      </c>
    </row>
    <row r="2958" spans="1:10" ht="38.25" customHeight="1">
      <c r="A2958" s="817" t="s">
        <v>13491</v>
      </c>
      <c r="B2958" s="816" t="s">
        <v>14531</v>
      </c>
      <c r="C2958" s="817" t="s">
        <v>6</v>
      </c>
      <c r="D2958" s="817" t="s">
        <v>158</v>
      </c>
      <c r="E2958" s="1021" t="s">
        <v>13490</v>
      </c>
      <c r="F2958" s="1021"/>
      <c r="G2958" s="818" t="s">
        <v>19</v>
      </c>
      <c r="H2958" s="819">
        <v>0.127</v>
      </c>
      <c r="I2958" s="820">
        <v>19.940000000000001</v>
      </c>
      <c r="J2958" s="820">
        <v>2.5299999999999998</v>
      </c>
    </row>
    <row r="2959" spans="1:10" ht="38.25" customHeight="1">
      <c r="A2959" s="822" t="s">
        <v>13493</v>
      </c>
      <c r="B2959" s="821" t="s">
        <v>13783</v>
      </c>
      <c r="C2959" s="822" t="s">
        <v>6</v>
      </c>
      <c r="D2959" s="822" t="s">
        <v>10092</v>
      </c>
      <c r="E2959" s="1017" t="s">
        <v>13514</v>
      </c>
      <c r="F2959" s="1017"/>
      <c r="G2959" s="823" t="s">
        <v>39</v>
      </c>
      <c r="H2959" s="824">
        <v>8.3000000000000004E-2</v>
      </c>
      <c r="I2959" s="825">
        <v>31.86</v>
      </c>
      <c r="J2959" s="825">
        <v>2.64</v>
      </c>
    </row>
    <row r="2960" spans="1:10" ht="13.5" customHeight="1">
      <c r="A2960" s="822" t="s">
        <v>13493</v>
      </c>
      <c r="B2960" s="821" t="s">
        <v>13786</v>
      </c>
      <c r="C2960" s="822" t="s">
        <v>6</v>
      </c>
      <c r="D2960" s="822" t="s">
        <v>12687</v>
      </c>
      <c r="E2960" s="1017" t="s">
        <v>13514</v>
      </c>
      <c r="F2960" s="1017"/>
      <c r="G2960" s="823" t="s">
        <v>39</v>
      </c>
      <c r="H2960" s="824">
        <v>0.41489999999999999</v>
      </c>
      <c r="I2960" s="825">
        <v>60.12</v>
      </c>
      <c r="J2960" s="825">
        <v>24.94</v>
      </c>
    </row>
    <row r="2961" spans="1:10" ht="25.5">
      <c r="A2961" s="827"/>
      <c r="B2961" s="827"/>
      <c r="C2961" s="827"/>
      <c r="D2961" s="827"/>
      <c r="E2961" s="827" t="s">
        <v>13503</v>
      </c>
      <c r="F2961" s="826">
        <v>1.76</v>
      </c>
      <c r="G2961" s="827" t="s">
        <v>13504</v>
      </c>
      <c r="H2961" s="826">
        <v>0</v>
      </c>
      <c r="I2961" s="827" t="s">
        <v>13505</v>
      </c>
      <c r="J2961" s="826">
        <v>1.76</v>
      </c>
    </row>
    <row r="2962" spans="1:10" ht="13.5" customHeight="1" thickBot="1">
      <c r="A2962" s="827"/>
      <c r="B2962" s="827"/>
      <c r="C2962" s="827"/>
      <c r="D2962" s="827"/>
      <c r="E2962" s="827" t="s">
        <v>13506</v>
      </c>
      <c r="F2962" s="826">
        <v>8.5</v>
      </c>
      <c r="G2962" s="827"/>
      <c r="H2962" s="1018" t="s">
        <v>13507</v>
      </c>
      <c r="I2962" s="1018"/>
      <c r="J2962" s="826">
        <v>38.61</v>
      </c>
    </row>
    <row r="2963" spans="1:10" ht="13.5" thickTop="1">
      <c r="A2963" s="828"/>
      <c r="B2963" s="828"/>
      <c r="C2963" s="828"/>
      <c r="D2963" s="828"/>
      <c r="E2963" s="828"/>
      <c r="F2963" s="828"/>
      <c r="G2963" s="828"/>
      <c r="H2963" s="828"/>
      <c r="I2963" s="828"/>
      <c r="J2963" s="828"/>
    </row>
    <row r="2964" spans="1:10" ht="45" customHeight="1">
      <c r="A2964" s="809" t="s">
        <v>14447</v>
      </c>
      <c r="B2964" s="808" t="s">
        <v>13481</v>
      </c>
      <c r="C2964" s="809" t="s">
        <v>13482</v>
      </c>
      <c r="D2964" s="809" t="s">
        <v>13483</v>
      </c>
      <c r="E2964" s="1019" t="s">
        <v>13484</v>
      </c>
      <c r="F2964" s="1019"/>
      <c r="G2964" s="810" t="s">
        <v>13485</v>
      </c>
      <c r="H2964" s="808" t="s">
        <v>13486</v>
      </c>
      <c r="I2964" s="808" t="s">
        <v>13487</v>
      </c>
      <c r="J2964" s="808" t="s">
        <v>4867</v>
      </c>
    </row>
    <row r="2965" spans="1:10" ht="25.5" customHeight="1">
      <c r="A2965" s="812" t="s">
        <v>13488</v>
      </c>
      <c r="B2965" s="811" t="s">
        <v>14527</v>
      </c>
      <c r="C2965" s="812" t="s">
        <v>6</v>
      </c>
      <c r="D2965" s="812" t="s">
        <v>6869</v>
      </c>
      <c r="E2965" s="1020" t="s">
        <v>13755</v>
      </c>
      <c r="F2965" s="1020"/>
      <c r="G2965" s="813" t="s">
        <v>13537</v>
      </c>
      <c r="H2965" s="814">
        <v>1</v>
      </c>
      <c r="I2965" s="815">
        <v>7.12</v>
      </c>
      <c r="J2965" s="815">
        <v>7.12</v>
      </c>
    </row>
    <row r="2966" spans="1:10" ht="38.25" customHeight="1">
      <c r="A2966" s="817" t="s">
        <v>13491</v>
      </c>
      <c r="B2966" s="816" t="s">
        <v>13782</v>
      </c>
      <c r="C2966" s="817" t="s">
        <v>6</v>
      </c>
      <c r="D2966" s="817" t="s">
        <v>156</v>
      </c>
      <c r="E2966" s="1021" t="s">
        <v>13490</v>
      </c>
      <c r="F2966" s="1021"/>
      <c r="G2966" s="818" t="s">
        <v>19</v>
      </c>
      <c r="H2966" s="819">
        <v>0.2359</v>
      </c>
      <c r="I2966" s="820">
        <v>19.940000000000001</v>
      </c>
      <c r="J2966" s="820">
        <v>4.7</v>
      </c>
    </row>
    <row r="2967" spans="1:10" ht="13.5" customHeight="1">
      <c r="A2967" s="822" t="s">
        <v>13493</v>
      </c>
      <c r="B2967" s="821" t="s">
        <v>13849</v>
      </c>
      <c r="C2967" s="822" t="s">
        <v>6</v>
      </c>
      <c r="D2967" s="822" t="s">
        <v>10091</v>
      </c>
      <c r="E2967" s="1017" t="s">
        <v>13514</v>
      </c>
      <c r="F2967" s="1017"/>
      <c r="G2967" s="823" t="s">
        <v>39</v>
      </c>
      <c r="H2967" s="824">
        <v>1.35E-2</v>
      </c>
      <c r="I2967" s="825">
        <v>13.98</v>
      </c>
      <c r="J2967" s="825">
        <v>0.18</v>
      </c>
    </row>
    <row r="2968" spans="1:10" ht="25.5">
      <c r="A2968" s="822" t="s">
        <v>13493</v>
      </c>
      <c r="B2968" s="821" t="s">
        <v>14528</v>
      </c>
      <c r="C2968" s="822" t="s">
        <v>6</v>
      </c>
      <c r="D2968" s="822" t="s">
        <v>13234</v>
      </c>
      <c r="E2968" s="1017" t="s">
        <v>13514</v>
      </c>
      <c r="F2968" s="1017"/>
      <c r="G2968" s="823" t="s">
        <v>39</v>
      </c>
      <c r="H2968" s="824">
        <v>9.0200000000000002E-2</v>
      </c>
      <c r="I2968" s="825">
        <v>24.89</v>
      </c>
      <c r="J2968" s="825">
        <v>2.2400000000000002</v>
      </c>
    </row>
    <row r="2969" spans="1:10" ht="25.5">
      <c r="A2969" s="827"/>
      <c r="B2969" s="827"/>
      <c r="C2969" s="827"/>
      <c r="D2969" s="827"/>
      <c r="E2969" s="827" t="s">
        <v>13503</v>
      </c>
      <c r="F2969" s="826">
        <v>3.27</v>
      </c>
      <c r="G2969" s="827" t="s">
        <v>13504</v>
      </c>
      <c r="H2969" s="826">
        <v>0</v>
      </c>
      <c r="I2969" s="827" t="s">
        <v>13505</v>
      </c>
      <c r="J2969" s="826">
        <v>3.27</v>
      </c>
    </row>
    <row r="2970" spans="1:10" ht="13.5" customHeight="1" thickBot="1">
      <c r="A2970" s="827"/>
      <c r="B2970" s="827"/>
      <c r="C2970" s="827"/>
      <c r="D2970" s="827"/>
      <c r="E2970" s="827" t="s">
        <v>13506</v>
      </c>
      <c r="F2970" s="826">
        <v>2.0099999999999998</v>
      </c>
      <c r="G2970" s="827"/>
      <c r="H2970" s="1018" t="s">
        <v>13507</v>
      </c>
      <c r="I2970" s="1018"/>
      <c r="J2970" s="826">
        <v>9.1300000000000008</v>
      </c>
    </row>
    <row r="2971" spans="1:10" ht="13.5" thickTop="1">
      <c r="A2971" s="828"/>
      <c r="B2971" s="828"/>
      <c r="C2971" s="828"/>
      <c r="D2971" s="828"/>
      <c r="E2971" s="828"/>
      <c r="F2971" s="828"/>
      <c r="G2971" s="828"/>
      <c r="H2971" s="828"/>
      <c r="I2971" s="828"/>
      <c r="J2971" s="828"/>
    </row>
    <row r="2972" spans="1:10" ht="45" customHeight="1">
      <c r="A2972" s="809" t="s">
        <v>14447</v>
      </c>
      <c r="B2972" s="808" t="s">
        <v>13481</v>
      </c>
      <c r="C2972" s="809" t="s">
        <v>13482</v>
      </c>
      <c r="D2972" s="809" t="s">
        <v>13483</v>
      </c>
      <c r="E2972" s="1019" t="s">
        <v>13484</v>
      </c>
      <c r="F2972" s="1019"/>
      <c r="G2972" s="810" t="s">
        <v>13485</v>
      </c>
      <c r="H2972" s="808" t="s">
        <v>13486</v>
      </c>
      <c r="I2972" s="808" t="s">
        <v>13487</v>
      </c>
      <c r="J2972" s="808" t="s">
        <v>4867</v>
      </c>
    </row>
    <row r="2973" spans="1:10" ht="25.5" customHeight="1">
      <c r="A2973" s="812" t="s">
        <v>13488</v>
      </c>
      <c r="B2973" s="811" t="s">
        <v>14526</v>
      </c>
      <c r="C2973" s="812" t="s">
        <v>6</v>
      </c>
      <c r="D2973" s="812" t="s">
        <v>1011</v>
      </c>
      <c r="E2973" s="1020" t="s">
        <v>13755</v>
      </c>
      <c r="F2973" s="1020"/>
      <c r="G2973" s="813" t="s">
        <v>13537</v>
      </c>
      <c r="H2973" s="814">
        <v>1</v>
      </c>
      <c r="I2973" s="815">
        <v>1.99</v>
      </c>
      <c r="J2973" s="815">
        <v>1.99</v>
      </c>
    </row>
    <row r="2974" spans="1:10" ht="13.5" customHeight="1">
      <c r="A2974" s="817" t="s">
        <v>13491</v>
      </c>
      <c r="B2974" s="816" t="s">
        <v>13553</v>
      </c>
      <c r="C2974" s="817" t="s">
        <v>6</v>
      </c>
      <c r="D2974" s="817" t="s">
        <v>21</v>
      </c>
      <c r="E2974" s="1021" t="s">
        <v>13490</v>
      </c>
      <c r="F2974" s="1021"/>
      <c r="G2974" s="818" t="s">
        <v>19</v>
      </c>
      <c r="H2974" s="819">
        <v>1.4E-2</v>
      </c>
      <c r="I2974" s="820">
        <v>15.16</v>
      </c>
      <c r="J2974" s="820">
        <v>0.21</v>
      </c>
    </row>
    <row r="2975" spans="1:10" ht="12.75" customHeight="1">
      <c r="A2975" s="817" t="s">
        <v>13491</v>
      </c>
      <c r="B2975" s="816" t="s">
        <v>13782</v>
      </c>
      <c r="C2975" s="817" t="s">
        <v>6</v>
      </c>
      <c r="D2975" s="817" t="s">
        <v>156</v>
      </c>
      <c r="E2975" s="1021" t="s">
        <v>13490</v>
      </c>
      <c r="F2975" s="1021"/>
      <c r="G2975" s="818" t="s">
        <v>19</v>
      </c>
      <c r="H2975" s="819">
        <v>5.3999999999999999E-2</v>
      </c>
      <c r="I2975" s="820">
        <v>19.940000000000001</v>
      </c>
      <c r="J2975" s="820">
        <v>1.07</v>
      </c>
    </row>
    <row r="2976" spans="1:10">
      <c r="A2976" s="822" t="s">
        <v>13493</v>
      </c>
      <c r="B2976" s="821" t="s">
        <v>13876</v>
      </c>
      <c r="C2976" s="822" t="s">
        <v>6</v>
      </c>
      <c r="D2976" s="822" t="s">
        <v>12202</v>
      </c>
      <c r="E2976" s="1017" t="s">
        <v>13514</v>
      </c>
      <c r="F2976" s="1017"/>
      <c r="G2976" s="823" t="s">
        <v>39</v>
      </c>
      <c r="H2976" s="824">
        <v>0.16</v>
      </c>
      <c r="I2976" s="825">
        <v>4.4400000000000004</v>
      </c>
      <c r="J2976" s="825">
        <v>0.71</v>
      </c>
    </row>
    <row r="2977" spans="1:10" ht="25.5">
      <c r="A2977" s="827"/>
      <c r="B2977" s="827"/>
      <c r="C2977" s="827"/>
      <c r="D2977" s="827"/>
      <c r="E2977" s="827" t="s">
        <v>13503</v>
      </c>
      <c r="F2977" s="826">
        <v>0.89</v>
      </c>
      <c r="G2977" s="827" t="s">
        <v>13504</v>
      </c>
      <c r="H2977" s="826">
        <v>0</v>
      </c>
      <c r="I2977" s="827" t="s">
        <v>13505</v>
      </c>
      <c r="J2977" s="826">
        <v>0.89</v>
      </c>
    </row>
    <row r="2978" spans="1:10" ht="13.5" customHeight="1" thickBot="1">
      <c r="A2978" s="827"/>
      <c r="B2978" s="827"/>
      <c r="C2978" s="827"/>
      <c r="D2978" s="827"/>
      <c r="E2978" s="827" t="s">
        <v>13506</v>
      </c>
      <c r="F2978" s="826">
        <v>0.56000000000000005</v>
      </c>
      <c r="G2978" s="827"/>
      <c r="H2978" s="1018" t="s">
        <v>13507</v>
      </c>
      <c r="I2978" s="1018"/>
      <c r="J2978" s="826">
        <v>2.5499999999999998</v>
      </c>
    </row>
    <row r="2979" spans="1:10" ht="13.5" thickTop="1">
      <c r="A2979" s="828"/>
      <c r="B2979" s="828"/>
      <c r="C2979" s="828"/>
      <c r="D2979" s="828"/>
      <c r="E2979" s="828"/>
      <c r="F2979" s="828"/>
      <c r="G2979" s="828"/>
      <c r="H2979" s="828"/>
      <c r="I2979" s="828"/>
      <c r="J2979" s="828"/>
    </row>
    <row r="2980" spans="1:10" ht="45" customHeight="1">
      <c r="A2980" s="809" t="s">
        <v>14447</v>
      </c>
      <c r="B2980" s="808" t="s">
        <v>13481</v>
      </c>
      <c r="C2980" s="809" t="s">
        <v>13482</v>
      </c>
      <c r="D2980" s="809" t="s">
        <v>13483</v>
      </c>
      <c r="E2980" s="1019" t="s">
        <v>13484</v>
      </c>
      <c r="F2980" s="1019"/>
      <c r="G2980" s="810" t="s">
        <v>13485</v>
      </c>
      <c r="H2980" s="808" t="s">
        <v>13486</v>
      </c>
      <c r="I2980" s="808" t="s">
        <v>13487</v>
      </c>
      <c r="J2980" s="808" t="s">
        <v>4867</v>
      </c>
    </row>
    <row r="2981" spans="1:10" ht="13.5" customHeight="1">
      <c r="A2981" s="812" t="s">
        <v>13488</v>
      </c>
      <c r="B2981" s="811" t="s">
        <v>14529</v>
      </c>
      <c r="C2981" s="812" t="s">
        <v>6</v>
      </c>
      <c r="D2981" s="812" t="s">
        <v>6893</v>
      </c>
      <c r="E2981" s="1020" t="s">
        <v>13755</v>
      </c>
      <c r="F2981" s="1020"/>
      <c r="G2981" s="813" t="s">
        <v>13537</v>
      </c>
      <c r="H2981" s="814">
        <v>1</v>
      </c>
      <c r="I2981" s="815">
        <v>17.86</v>
      </c>
      <c r="J2981" s="815">
        <v>17.86</v>
      </c>
    </row>
    <row r="2982" spans="1:10" ht="38.25" customHeight="1">
      <c r="A2982" s="817" t="s">
        <v>13491</v>
      </c>
      <c r="B2982" s="816" t="s">
        <v>13782</v>
      </c>
      <c r="C2982" s="817" t="s">
        <v>6</v>
      </c>
      <c r="D2982" s="817" t="s">
        <v>156</v>
      </c>
      <c r="E2982" s="1021" t="s">
        <v>13490</v>
      </c>
      <c r="F2982" s="1021"/>
      <c r="G2982" s="818" t="s">
        <v>19</v>
      </c>
      <c r="H2982" s="819">
        <v>0.52659999999999996</v>
      </c>
      <c r="I2982" s="820">
        <v>19.940000000000001</v>
      </c>
      <c r="J2982" s="820">
        <v>10.5</v>
      </c>
    </row>
    <row r="2983" spans="1:10">
      <c r="A2983" s="822" t="s">
        <v>13493</v>
      </c>
      <c r="B2983" s="821" t="s">
        <v>13849</v>
      </c>
      <c r="C2983" s="822" t="s">
        <v>6</v>
      </c>
      <c r="D2983" s="822" t="s">
        <v>10091</v>
      </c>
      <c r="E2983" s="1017" t="s">
        <v>13514</v>
      </c>
      <c r="F2983" s="1017"/>
      <c r="G2983" s="823" t="s">
        <v>39</v>
      </c>
      <c r="H2983" s="824">
        <v>6.1899999999999997E-2</v>
      </c>
      <c r="I2983" s="825">
        <v>13.98</v>
      </c>
      <c r="J2983" s="825">
        <v>0.86</v>
      </c>
    </row>
    <row r="2984" spans="1:10">
      <c r="A2984" s="822" t="s">
        <v>13493</v>
      </c>
      <c r="B2984" s="821" t="s">
        <v>13850</v>
      </c>
      <c r="C2984" s="822" t="s">
        <v>6</v>
      </c>
      <c r="D2984" s="822" t="s">
        <v>4684</v>
      </c>
      <c r="E2984" s="1017" t="s">
        <v>13514</v>
      </c>
      <c r="F2984" s="1017"/>
      <c r="G2984" s="823" t="s">
        <v>39</v>
      </c>
      <c r="H2984" s="824">
        <v>0.20699999999999999</v>
      </c>
      <c r="I2984" s="825">
        <v>31.43</v>
      </c>
      <c r="J2984" s="825">
        <v>6.5</v>
      </c>
    </row>
    <row r="2985" spans="1:10" ht="25.5">
      <c r="A2985" s="827"/>
      <c r="B2985" s="827"/>
      <c r="C2985" s="827"/>
      <c r="D2985" s="827"/>
      <c r="E2985" s="827" t="s">
        <v>13503</v>
      </c>
      <c r="F2985" s="826">
        <v>7.31</v>
      </c>
      <c r="G2985" s="827" t="s">
        <v>13504</v>
      </c>
      <c r="H2985" s="826">
        <v>0</v>
      </c>
      <c r="I2985" s="827" t="s">
        <v>13505</v>
      </c>
      <c r="J2985" s="826">
        <v>7.31</v>
      </c>
    </row>
    <row r="2986" spans="1:10" ht="13.5" customHeight="1" thickBot="1">
      <c r="A2986" s="827"/>
      <c r="B2986" s="827"/>
      <c r="C2986" s="827"/>
      <c r="D2986" s="827"/>
      <c r="E2986" s="827" t="s">
        <v>13506</v>
      </c>
      <c r="F2986" s="826">
        <v>5.04</v>
      </c>
      <c r="G2986" s="827"/>
      <c r="H2986" s="1018" t="s">
        <v>13507</v>
      </c>
      <c r="I2986" s="1018"/>
      <c r="J2986" s="826">
        <v>22.9</v>
      </c>
    </row>
    <row r="2987" spans="1:10" ht="13.5" customHeight="1" thickTop="1">
      <c r="A2987" s="828"/>
      <c r="B2987" s="828"/>
      <c r="C2987" s="828"/>
      <c r="D2987" s="828"/>
      <c r="E2987" s="828"/>
      <c r="F2987" s="828"/>
      <c r="G2987" s="828"/>
      <c r="H2987" s="828"/>
      <c r="I2987" s="828"/>
      <c r="J2987" s="828"/>
    </row>
    <row r="2988" spans="1:10" ht="45" customHeight="1">
      <c r="A2988" s="809" t="s">
        <v>14447</v>
      </c>
      <c r="B2988" s="808" t="s">
        <v>13481</v>
      </c>
      <c r="C2988" s="809" t="s">
        <v>13482</v>
      </c>
      <c r="D2988" s="809" t="s">
        <v>13483</v>
      </c>
      <c r="E2988" s="1019" t="s">
        <v>13484</v>
      </c>
      <c r="F2988" s="1019"/>
      <c r="G2988" s="810" t="s">
        <v>13485</v>
      </c>
      <c r="H2988" s="808" t="s">
        <v>13486</v>
      </c>
      <c r="I2988" s="808" t="s">
        <v>13487</v>
      </c>
      <c r="J2988" s="808" t="s">
        <v>4867</v>
      </c>
    </row>
    <row r="2989" spans="1:10" ht="38.25" customHeight="1">
      <c r="A2989" s="812" t="s">
        <v>13488</v>
      </c>
      <c r="B2989" s="811" t="s">
        <v>14532</v>
      </c>
      <c r="C2989" s="812" t="s">
        <v>6</v>
      </c>
      <c r="D2989" s="812" t="s">
        <v>104</v>
      </c>
      <c r="E2989" s="1020" t="s">
        <v>13734</v>
      </c>
      <c r="F2989" s="1020"/>
      <c r="G2989" s="813" t="s">
        <v>13537</v>
      </c>
      <c r="H2989" s="814">
        <v>1</v>
      </c>
      <c r="I2989" s="815">
        <v>6.7</v>
      </c>
      <c r="J2989" s="815">
        <v>6.7</v>
      </c>
    </row>
    <row r="2990" spans="1:10" ht="25.5" customHeight="1">
      <c r="A2990" s="817" t="s">
        <v>13491</v>
      </c>
      <c r="B2990" s="816" t="s">
        <v>13735</v>
      </c>
      <c r="C2990" s="817" t="s">
        <v>6</v>
      </c>
      <c r="D2990" s="817" t="s">
        <v>3852</v>
      </c>
      <c r="E2990" s="1021" t="s">
        <v>13490</v>
      </c>
      <c r="F2990" s="1021"/>
      <c r="G2990" s="818" t="s">
        <v>13543</v>
      </c>
      <c r="H2990" s="819">
        <v>4.1999999999999997E-3</v>
      </c>
      <c r="I2990" s="820">
        <v>449.75</v>
      </c>
      <c r="J2990" s="820">
        <v>1.88</v>
      </c>
    </row>
    <row r="2991" spans="1:10" ht="25.5" customHeight="1">
      <c r="A2991" s="817" t="s">
        <v>13491</v>
      </c>
      <c r="B2991" s="816" t="s">
        <v>13553</v>
      </c>
      <c r="C2991" s="817" t="s">
        <v>6</v>
      </c>
      <c r="D2991" s="817" t="s">
        <v>21</v>
      </c>
      <c r="E2991" s="1021" t="s">
        <v>13490</v>
      </c>
      <c r="F2991" s="1021"/>
      <c r="G2991" s="818" t="s">
        <v>19</v>
      </c>
      <c r="H2991" s="819">
        <v>9.0999999999999998E-2</v>
      </c>
      <c r="I2991" s="820">
        <v>15.16</v>
      </c>
      <c r="J2991" s="820">
        <v>1.37</v>
      </c>
    </row>
    <row r="2992" spans="1:10" ht="25.5" customHeight="1">
      <c r="A2992" s="817" t="s">
        <v>13491</v>
      </c>
      <c r="B2992" s="816" t="s">
        <v>13577</v>
      </c>
      <c r="C2992" s="817" t="s">
        <v>6</v>
      </c>
      <c r="D2992" s="817" t="s">
        <v>31</v>
      </c>
      <c r="E2992" s="1021" t="s">
        <v>13490</v>
      </c>
      <c r="F2992" s="1021"/>
      <c r="G2992" s="818" t="s">
        <v>19</v>
      </c>
      <c r="H2992" s="819">
        <v>0.183</v>
      </c>
      <c r="I2992" s="820">
        <v>18.86</v>
      </c>
      <c r="J2992" s="820">
        <v>3.45</v>
      </c>
    </row>
    <row r="2993" spans="1:10" ht="25.5">
      <c r="A2993" s="827"/>
      <c r="B2993" s="827"/>
      <c r="C2993" s="827"/>
      <c r="D2993" s="827"/>
      <c r="E2993" s="827" t="s">
        <v>13503</v>
      </c>
      <c r="F2993" s="826">
        <v>3.6599999999999997</v>
      </c>
      <c r="G2993" s="827" t="s">
        <v>13504</v>
      </c>
      <c r="H2993" s="826">
        <v>0</v>
      </c>
      <c r="I2993" s="827" t="s">
        <v>13505</v>
      </c>
      <c r="J2993" s="826">
        <v>3.6599999999999997</v>
      </c>
    </row>
    <row r="2994" spans="1:10" ht="13.5" customHeight="1" thickBot="1">
      <c r="A2994" s="827"/>
      <c r="B2994" s="827"/>
      <c r="C2994" s="827"/>
      <c r="D2994" s="827"/>
      <c r="E2994" s="827" t="s">
        <v>13506</v>
      </c>
      <c r="F2994" s="826">
        <v>1.89</v>
      </c>
      <c r="G2994" s="827"/>
      <c r="H2994" s="1018" t="s">
        <v>13507</v>
      </c>
      <c r="I2994" s="1018"/>
      <c r="J2994" s="826">
        <v>8.59</v>
      </c>
    </row>
    <row r="2995" spans="1:10" ht="13.5" customHeight="1" thickTop="1">
      <c r="A2995" s="828"/>
      <c r="B2995" s="828"/>
      <c r="C2995" s="828"/>
      <c r="D2995" s="828"/>
      <c r="E2995" s="828"/>
      <c r="F2995" s="828"/>
      <c r="G2995" s="828"/>
      <c r="H2995" s="828"/>
      <c r="I2995" s="828"/>
      <c r="J2995" s="828"/>
    </row>
    <row r="2996" spans="1:10" ht="45" customHeight="1">
      <c r="A2996" s="809" t="s">
        <v>14447</v>
      </c>
      <c r="B2996" s="808" t="s">
        <v>13481</v>
      </c>
      <c r="C2996" s="809" t="s">
        <v>13482</v>
      </c>
      <c r="D2996" s="809" t="s">
        <v>13483</v>
      </c>
      <c r="E2996" s="1019" t="s">
        <v>13484</v>
      </c>
      <c r="F2996" s="1019"/>
      <c r="G2996" s="810" t="s">
        <v>13485</v>
      </c>
      <c r="H2996" s="808" t="s">
        <v>13486</v>
      </c>
      <c r="I2996" s="808" t="s">
        <v>13487</v>
      </c>
      <c r="J2996" s="808" t="s">
        <v>4867</v>
      </c>
    </row>
    <row r="2997" spans="1:10" ht="38.25" customHeight="1">
      <c r="A2997" s="812" t="s">
        <v>13488</v>
      </c>
      <c r="B2997" s="811" t="s">
        <v>14534</v>
      </c>
      <c r="C2997" s="812" t="s">
        <v>6</v>
      </c>
      <c r="D2997" s="812" t="s">
        <v>912</v>
      </c>
      <c r="E2997" s="1020" t="s">
        <v>13734</v>
      </c>
      <c r="F2997" s="1020"/>
      <c r="G2997" s="813" t="s">
        <v>13537</v>
      </c>
      <c r="H2997" s="814">
        <v>1</v>
      </c>
      <c r="I2997" s="815">
        <v>34.74</v>
      </c>
      <c r="J2997" s="815">
        <v>34.74</v>
      </c>
    </row>
    <row r="2998" spans="1:10" ht="25.5" customHeight="1">
      <c r="A2998" s="817" t="s">
        <v>13491</v>
      </c>
      <c r="B2998" s="816" t="s">
        <v>13741</v>
      </c>
      <c r="C2998" s="817" t="s">
        <v>6</v>
      </c>
      <c r="D2998" s="817" t="s">
        <v>3904</v>
      </c>
      <c r="E2998" s="1021" t="s">
        <v>13490</v>
      </c>
      <c r="F2998" s="1021"/>
      <c r="G2998" s="818" t="s">
        <v>13543</v>
      </c>
      <c r="H2998" s="819">
        <v>2.93E-2</v>
      </c>
      <c r="I2998" s="820">
        <v>547.53</v>
      </c>
      <c r="J2998" s="820">
        <v>16.04</v>
      </c>
    </row>
    <row r="2999" spans="1:10" ht="25.5" customHeight="1">
      <c r="A2999" s="817" t="s">
        <v>13491</v>
      </c>
      <c r="B2999" s="816" t="s">
        <v>13577</v>
      </c>
      <c r="C2999" s="817" t="s">
        <v>6</v>
      </c>
      <c r="D2999" s="817" t="s">
        <v>31</v>
      </c>
      <c r="E2999" s="1021" t="s">
        <v>13490</v>
      </c>
      <c r="F2999" s="1021"/>
      <c r="G2999" s="818" t="s">
        <v>19</v>
      </c>
      <c r="H2999" s="819">
        <v>0.4</v>
      </c>
      <c r="I2999" s="820">
        <v>18.86</v>
      </c>
      <c r="J2999" s="820">
        <v>7.54</v>
      </c>
    </row>
    <row r="3000" spans="1:10" ht="25.5" customHeight="1">
      <c r="A3000" s="817" t="s">
        <v>13491</v>
      </c>
      <c r="B3000" s="816" t="s">
        <v>13553</v>
      </c>
      <c r="C3000" s="817" t="s">
        <v>6</v>
      </c>
      <c r="D3000" s="817" t="s">
        <v>21</v>
      </c>
      <c r="E3000" s="1021" t="s">
        <v>13490</v>
      </c>
      <c r="F3000" s="1021"/>
      <c r="G3000" s="818" t="s">
        <v>19</v>
      </c>
      <c r="H3000" s="819">
        <v>0.4</v>
      </c>
      <c r="I3000" s="820">
        <v>15.16</v>
      </c>
      <c r="J3000" s="820">
        <v>6.06</v>
      </c>
    </row>
    <row r="3001" spans="1:10" ht="25.5" customHeight="1">
      <c r="A3001" s="822" t="s">
        <v>13493</v>
      </c>
      <c r="B3001" s="821" t="s">
        <v>13738</v>
      </c>
      <c r="C3001" s="822" t="s">
        <v>6</v>
      </c>
      <c r="D3001" s="822" t="s">
        <v>12565</v>
      </c>
      <c r="E3001" s="1017" t="s">
        <v>13514</v>
      </c>
      <c r="F3001" s="1017"/>
      <c r="G3001" s="823" t="s">
        <v>13537</v>
      </c>
      <c r="H3001" s="824">
        <v>0.15809999999999999</v>
      </c>
      <c r="I3001" s="825">
        <v>32.31</v>
      </c>
      <c r="J3001" s="825">
        <v>5.0999999999999996</v>
      </c>
    </row>
    <row r="3002" spans="1:10" ht="38.25" customHeight="1">
      <c r="A3002" s="827"/>
      <c r="B3002" s="827"/>
      <c r="C3002" s="827"/>
      <c r="D3002" s="827"/>
      <c r="E3002" s="827" t="s">
        <v>13503</v>
      </c>
      <c r="F3002" s="826">
        <v>13.1</v>
      </c>
      <c r="G3002" s="827" t="s">
        <v>13504</v>
      </c>
      <c r="H3002" s="826">
        <v>0</v>
      </c>
      <c r="I3002" s="827" t="s">
        <v>13505</v>
      </c>
      <c r="J3002" s="826">
        <v>13.1</v>
      </c>
    </row>
    <row r="3003" spans="1:10" ht="13.5" customHeight="1" thickBot="1">
      <c r="A3003" s="827"/>
      <c r="B3003" s="827"/>
      <c r="C3003" s="827"/>
      <c r="D3003" s="827"/>
      <c r="E3003" s="827" t="s">
        <v>13506</v>
      </c>
      <c r="F3003" s="826">
        <v>9.81</v>
      </c>
      <c r="G3003" s="827"/>
      <c r="H3003" s="1018" t="s">
        <v>13507</v>
      </c>
      <c r="I3003" s="1018"/>
      <c r="J3003" s="826">
        <v>44.55</v>
      </c>
    </row>
    <row r="3004" spans="1:10" ht="13.5" thickTop="1">
      <c r="A3004" s="828"/>
      <c r="B3004" s="828"/>
      <c r="C3004" s="828"/>
      <c r="D3004" s="828"/>
      <c r="E3004" s="828"/>
      <c r="F3004" s="828"/>
      <c r="G3004" s="828"/>
      <c r="H3004" s="828"/>
      <c r="I3004" s="828"/>
      <c r="J3004" s="828"/>
    </row>
    <row r="3005" spans="1:10" ht="13.5" customHeight="1">
      <c r="A3005" s="809" t="s">
        <v>14447</v>
      </c>
      <c r="B3005" s="808" t="s">
        <v>13481</v>
      </c>
      <c r="C3005" s="809" t="s">
        <v>13482</v>
      </c>
      <c r="D3005" s="809" t="s">
        <v>13483</v>
      </c>
      <c r="E3005" s="1019" t="s">
        <v>13484</v>
      </c>
      <c r="F3005" s="1019"/>
      <c r="G3005" s="810" t="s">
        <v>13485</v>
      </c>
      <c r="H3005" s="808" t="s">
        <v>13486</v>
      </c>
      <c r="I3005" s="808" t="s">
        <v>13487</v>
      </c>
      <c r="J3005" s="808" t="s">
        <v>4867</v>
      </c>
    </row>
    <row r="3006" spans="1:10" ht="38.25" customHeight="1">
      <c r="A3006" s="812" t="s">
        <v>13488</v>
      </c>
      <c r="B3006" s="811" t="s">
        <v>14533</v>
      </c>
      <c r="C3006" s="812" t="s">
        <v>6</v>
      </c>
      <c r="D3006" s="812" t="s">
        <v>876</v>
      </c>
      <c r="E3006" s="1020" t="s">
        <v>13734</v>
      </c>
      <c r="F3006" s="1020"/>
      <c r="G3006" s="813" t="s">
        <v>13537</v>
      </c>
      <c r="H3006" s="814">
        <v>1</v>
      </c>
      <c r="I3006" s="815">
        <v>28.39</v>
      </c>
      <c r="J3006" s="815">
        <v>28.39</v>
      </c>
    </row>
    <row r="3007" spans="1:10" ht="38.25" customHeight="1">
      <c r="A3007" s="817" t="s">
        <v>13491</v>
      </c>
      <c r="B3007" s="816" t="s">
        <v>13716</v>
      </c>
      <c r="C3007" s="817" t="s">
        <v>6</v>
      </c>
      <c r="D3007" s="817" t="s">
        <v>3838</v>
      </c>
      <c r="E3007" s="1021" t="s">
        <v>13490</v>
      </c>
      <c r="F3007" s="1021"/>
      <c r="G3007" s="818" t="s">
        <v>13543</v>
      </c>
      <c r="H3007" s="819">
        <v>3.7600000000000001E-2</v>
      </c>
      <c r="I3007" s="820">
        <v>450.77</v>
      </c>
      <c r="J3007" s="820">
        <v>16.940000000000001</v>
      </c>
    </row>
    <row r="3008" spans="1:10" ht="25.5" customHeight="1">
      <c r="A3008" s="817" t="s">
        <v>13491</v>
      </c>
      <c r="B3008" s="816" t="s">
        <v>13577</v>
      </c>
      <c r="C3008" s="817" t="s">
        <v>6</v>
      </c>
      <c r="D3008" s="817" t="s">
        <v>31</v>
      </c>
      <c r="E3008" s="1021" t="s">
        <v>13490</v>
      </c>
      <c r="F3008" s="1021"/>
      <c r="G3008" s="818" t="s">
        <v>19</v>
      </c>
      <c r="H3008" s="819">
        <v>0.47</v>
      </c>
      <c r="I3008" s="820">
        <v>18.86</v>
      </c>
      <c r="J3008" s="820">
        <v>8.86</v>
      </c>
    </row>
    <row r="3009" spans="1:10" ht="12.75" customHeight="1">
      <c r="A3009" s="817" t="s">
        <v>13491</v>
      </c>
      <c r="B3009" s="816" t="s">
        <v>13553</v>
      </c>
      <c r="C3009" s="817" t="s">
        <v>6</v>
      </c>
      <c r="D3009" s="817" t="s">
        <v>21</v>
      </c>
      <c r="E3009" s="1021" t="s">
        <v>13490</v>
      </c>
      <c r="F3009" s="1021"/>
      <c r="G3009" s="818" t="s">
        <v>19</v>
      </c>
      <c r="H3009" s="819">
        <v>0.17100000000000001</v>
      </c>
      <c r="I3009" s="820">
        <v>15.16</v>
      </c>
      <c r="J3009" s="820">
        <v>2.59</v>
      </c>
    </row>
    <row r="3010" spans="1:10" ht="25.5">
      <c r="A3010" s="827"/>
      <c r="B3010" s="827"/>
      <c r="C3010" s="827"/>
      <c r="D3010" s="827"/>
      <c r="E3010" s="827" t="s">
        <v>13503</v>
      </c>
      <c r="F3010" s="826">
        <v>9.99</v>
      </c>
      <c r="G3010" s="827" t="s">
        <v>13504</v>
      </c>
      <c r="H3010" s="826">
        <v>0</v>
      </c>
      <c r="I3010" s="827" t="s">
        <v>13505</v>
      </c>
      <c r="J3010" s="826">
        <v>9.99</v>
      </c>
    </row>
    <row r="3011" spans="1:10" ht="13.5" customHeight="1" thickBot="1">
      <c r="A3011" s="827"/>
      <c r="B3011" s="827"/>
      <c r="C3011" s="827"/>
      <c r="D3011" s="827"/>
      <c r="E3011" s="827" t="s">
        <v>13506</v>
      </c>
      <c r="F3011" s="826">
        <v>8.01</v>
      </c>
      <c r="G3011" s="827"/>
      <c r="H3011" s="1018" t="s">
        <v>13507</v>
      </c>
      <c r="I3011" s="1018"/>
      <c r="J3011" s="826">
        <v>36.4</v>
      </c>
    </row>
    <row r="3012" spans="1:10" ht="13.5" thickTop="1">
      <c r="A3012" s="828"/>
      <c r="B3012" s="828"/>
      <c r="C3012" s="828"/>
      <c r="D3012" s="828"/>
      <c r="E3012" s="828"/>
      <c r="F3012" s="828"/>
      <c r="G3012" s="828"/>
      <c r="H3012" s="828"/>
      <c r="I3012" s="828"/>
      <c r="J3012" s="828"/>
    </row>
    <row r="3013" spans="1:10" ht="45" customHeight="1">
      <c r="A3013" s="809" t="s">
        <v>14447</v>
      </c>
      <c r="B3013" s="808" t="s">
        <v>13481</v>
      </c>
      <c r="C3013" s="809" t="s">
        <v>13482</v>
      </c>
      <c r="D3013" s="809" t="s">
        <v>13483</v>
      </c>
      <c r="E3013" s="1019" t="s">
        <v>13484</v>
      </c>
      <c r="F3013" s="1019"/>
      <c r="G3013" s="810" t="s">
        <v>13485</v>
      </c>
      <c r="H3013" s="808" t="s">
        <v>13486</v>
      </c>
      <c r="I3013" s="808" t="s">
        <v>13487</v>
      </c>
      <c r="J3013" s="808" t="s">
        <v>4867</v>
      </c>
    </row>
    <row r="3014" spans="1:10" ht="25.5" customHeight="1">
      <c r="A3014" s="812" t="s">
        <v>13488</v>
      </c>
      <c r="B3014" s="811" t="s">
        <v>14535</v>
      </c>
      <c r="C3014" s="812" t="s">
        <v>6</v>
      </c>
      <c r="D3014" s="812" t="s">
        <v>3943</v>
      </c>
      <c r="E3014" s="1020" t="s">
        <v>13490</v>
      </c>
      <c r="F3014" s="1020"/>
      <c r="G3014" s="813" t="s">
        <v>13543</v>
      </c>
      <c r="H3014" s="814">
        <v>1</v>
      </c>
      <c r="I3014" s="815">
        <v>502.15</v>
      </c>
      <c r="J3014" s="815">
        <v>502.15</v>
      </c>
    </row>
    <row r="3015" spans="1:10" ht="38.25" customHeight="1">
      <c r="A3015" s="817" t="s">
        <v>13491</v>
      </c>
      <c r="B3015" s="816" t="s">
        <v>13553</v>
      </c>
      <c r="C3015" s="817" t="s">
        <v>6</v>
      </c>
      <c r="D3015" s="817" t="s">
        <v>21</v>
      </c>
      <c r="E3015" s="1021" t="s">
        <v>13490</v>
      </c>
      <c r="F3015" s="1021"/>
      <c r="G3015" s="818" t="s">
        <v>19</v>
      </c>
      <c r="H3015" s="819">
        <v>8.2899999999999991</v>
      </c>
      <c r="I3015" s="820">
        <v>15.16</v>
      </c>
      <c r="J3015" s="820">
        <v>125.67</v>
      </c>
    </row>
    <row r="3016" spans="1:10" ht="25.5">
      <c r="A3016" s="822" t="s">
        <v>13493</v>
      </c>
      <c r="B3016" s="821" t="s">
        <v>13657</v>
      </c>
      <c r="C3016" s="822" t="s">
        <v>6</v>
      </c>
      <c r="D3016" s="822" t="s">
        <v>4588</v>
      </c>
      <c r="E3016" s="1017" t="s">
        <v>13514</v>
      </c>
      <c r="F3016" s="1017"/>
      <c r="G3016" s="823" t="s">
        <v>13543</v>
      </c>
      <c r="H3016" s="824">
        <v>1.1499999999999999</v>
      </c>
      <c r="I3016" s="825">
        <v>83.5</v>
      </c>
      <c r="J3016" s="825">
        <v>96.02</v>
      </c>
    </row>
    <row r="3017" spans="1:10" ht="13.5" customHeight="1">
      <c r="A3017" s="822" t="s">
        <v>13493</v>
      </c>
      <c r="B3017" s="821" t="s">
        <v>13658</v>
      </c>
      <c r="C3017" s="822" t="s">
        <v>6</v>
      </c>
      <c r="D3017" s="822" t="s">
        <v>4622</v>
      </c>
      <c r="E3017" s="1017" t="s">
        <v>13514</v>
      </c>
      <c r="F3017" s="1017"/>
      <c r="G3017" s="823" t="s">
        <v>16</v>
      </c>
      <c r="H3017" s="824">
        <v>389.54</v>
      </c>
      <c r="I3017" s="825">
        <v>0.72</v>
      </c>
      <c r="J3017" s="825">
        <v>280.45999999999998</v>
      </c>
    </row>
    <row r="3018" spans="1:10" ht="25.5">
      <c r="A3018" s="827"/>
      <c r="B3018" s="827"/>
      <c r="C3018" s="827"/>
      <c r="D3018" s="827"/>
      <c r="E3018" s="827" t="s">
        <v>13503</v>
      </c>
      <c r="F3018" s="826">
        <v>86.05</v>
      </c>
      <c r="G3018" s="827" t="s">
        <v>13504</v>
      </c>
      <c r="H3018" s="826">
        <v>0</v>
      </c>
      <c r="I3018" s="827" t="s">
        <v>13505</v>
      </c>
      <c r="J3018" s="826">
        <v>86.05</v>
      </c>
    </row>
    <row r="3019" spans="1:10" ht="13.5" customHeight="1" thickBot="1">
      <c r="A3019" s="827"/>
      <c r="B3019" s="827"/>
      <c r="C3019" s="827"/>
      <c r="D3019" s="827"/>
      <c r="E3019" s="827" t="s">
        <v>13506</v>
      </c>
      <c r="F3019" s="826">
        <v>141.80000000000001</v>
      </c>
      <c r="G3019" s="827"/>
      <c r="H3019" s="1018" t="s">
        <v>13507</v>
      </c>
      <c r="I3019" s="1018"/>
      <c r="J3019" s="826">
        <v>643.95000000000005</v>
      </c>
    </row>
    <row r="3020" spans="1:10" ht="25.5" customHeight="1" thickTop="1">
      <c r="A3020" s="828"/>
      <c r="B3020" s="828"/>
      <c r="C3020" s="828"/>
      <c r="D3020" s="828"/>
      <c r="E3020" s="828"/>
      <c r="F3020" s="828"/>
      <c r="G3020" s="828"/>
      <c r="H3020" s="828"/>
      <c r="I3020" s="828"/>
      <c r="J3020" s="828"/>
    </row>
    <row r="3021" spans="1:10" ht="45" customHeight="1">
      <c r="A3021" s="809" t="s">
        <v>14447</v>
      </c>
      <c r="B3021" s="808" t="s">
        <v>13481</v>
      </c>
      <c r="C3021" s="809" t="s">
        <v>13482</v>
      </c>
      <c r="D3021" s="809" t="s">
        <v>13483</v>
      </c>
      <c r="E3021" s="1019" t="s">
        <v>13484</v>
      </c>
      <c r="F3021" s="1019"/>
      <c r="G3021" s="810" t="s">
        <v>13485</v>
      </c>
      <c r="H3021" s="808" t="s">
        <v>13486</v>
      </c>
      <c r="I3021" s="808" t="s">
        <v>13487</v>
      </c>
      <c r="J3021" s="808" t="s">
        <v>4867</v>
      </c>
    </row>
    <row r="3022" spans="1:10" ht="38.25" customHeight="1">
      <c r="A3022" s="812" t="s">
        <v>13488</v>
      </c>
      <c r="B3022" s="811" t="s">
        <v>14316</v>
      </c>
      <c r="C3022" s="812" t="s">
        <v>6</v>
      </c>
      <c r="D3022" s="812" t="s">
        <v>3902</v>
      </c>
      <c r="E3022" s="1020" t="s">
        <v>13490</v>
      </c>
      <c r="F3022" s="1020"/>
      <c r="G3022" s="813" t="s">
        <v>13543</v>
      </c>
      <c r="H3022" s="814">
        <v>1</v>
      </c>
      <c r="I3022" s="815">
        <v>554.6</v>
      </c>
      <c r="J3022" s="815">
        <v>554.6</v>
      </c>
    </row>
    <row r="3023" spans="1:10" ht="13.5" customHeight="1">
      <c r="A3023" s="817" t="s">
        <v>13491</v>
      </c>
      <c r="B3023" s="816" t="s">
        <v>13553</v>
      </c>
      <c r="C3023" s="817" t="s">
        <v>6</v>
      </c>
      <c r="D3023" s="817" t="s">
        <v>21</v>
      </c>
      <c r="E3023" s="1021" t="s">
        <v>13490</v>
      </c>
      <c r="F3023" s="1021"/>
      <c r="G3023" s="818" t="s">
        <v>19</v>
      </c>
      <c r="H3023" s="819">
        <v>11.23</v>
      </c>
      <c r="I3023" s="820">
        <v>15.16</v>
      </c>
      <c r="J3023" s="820">
        <v>170.24</v>
      </c>
    </row>
    <row r="3024" spans="1:10" ht="25.5">
      <c r="A3024" s="822" t="s">
        <v>13493</v>
      </c>
      <c r="B3024" s="821" t="s">
        <v>13657</v>
      </c>
      <c r="C3024" s="822" t="s">
        <v>6</v>
      </c>
      <c r="D3024" s="822" t="s">
        <v>4588</v>
      </c>
      <c r="E3024" s="1017" t="s">
        <v>13514</v>
      </c>
      <c r="F3024" s="1017"/>
      <c r="G3024" s="823" t="s">
        <v>13543</v>
      </c>
      <c r="H3024" s="824">
        <v>1.1599999999999999</v>
      </c>
      <c r="I3024" s="825">
        <v>83.5</v>
      </c>
      <c r="J3024" s="825">
        <v>96.86</v>
      </c>
    </row>
    <row r="3025" spans="1:10">
      <c r="A3025" s="822" t="s">
        <v>13493</v>
      </c>
      <c r="B3025" s="821" t="s">
        <v>14536</v>
      </c>
      <c r="C3025" s="822" t="s">
        <v>6</v>
      </c>
      <c r="D3025" s="822" t="s">
        <v>4613</v>
      </c>
      <c r="E3025" s="1017" t="s">
        <v>13514</v>
      </c>
      <c r="F3025" s="1017"/>
      <c r="G3025" s="823" t="s">
        <v>16</v>
      </c>
      <c r="H3025" s="824">
        <v>116.4</v>
      </c>
      <c r="I3025" s="825">
        <v>0.85</v>
      </c>
      <c r="J3025" s="825">
        <v>98.94</v>
      </c>
    </row>
    <row r="3026" spans="1:10" ht="38.25" customHeight="1">
      <c r="A3026" s="822" t="s">
        <v>13493</v>
      </c>
      <c r="B3026" s="821" t="s">
        <v>13658</v>
      </c>
      <c r="C3026" s="822" t="s">
        <v>6</v>
      </c>
      <c r="D3026" s="822" t="s">
        <v>4622</v>
      </c>
      <c r="E3026" s="1017" t="s">
        <v>13514</v>
      </c>
      <c r="F3026" s="1017"/>
      <c r="G3026" s="823" t="s">
        <v>16</v>
      </c>
      <c r="H3026" s="824">
        <v>261.89</v>
      </c>
      <c r="I3026" s="825">
        <v>0.72</v>
      </c>
      <c r="J3026" s="825">
        <v>188.56</v>
      </c>
    </row>
    <row r="3027" spans="1:10" ht="25.5">
      <c r="A3027" s="827"/>
      <c r="B3027" s="827"/>
      <c r="C3027" s="827"/>
      <c r="D3027" s="827"/>
      <c r="E3027" s="827" t="s">
        <v>13503</v>
      </c>
      <c r="F3027" s="826">
        <v>116.56</v>
      </c>
      <c r="G3027" s="827" t="s">
        <v>13504</v>
      </c>
      <c r="H3027" s="826">
        <v>0</v>
      </c>
      <c r="I3027" s="827" t="s">
        <v>13505</v>
      </c>
      <c r="J3027" s="826">
        <v>116.56</v>
      </c>
    </row>
    <row r="3028" spans="1:10" ht="13.5" customHeight="1" thickBot="1">
      <c r="A3028" s="827"/>
      <c r="B3028" s="827"/>
      <c r="C3028" s="827"/>
      <c r="D3028" s="827"/>
      <c r="E3028" s="827" t="s">
        <v>13506</v>
      </c>
      <c r="F3028" s="826">
        <v>156.61000000000001</v>
      </c>
      <c r="G3028" s="827"/>
      <c r="H3028" s="1018" t="s">
        <v>13507</v>
      </c>
      <c r="I3028" s="1018"/>
      <c r="J3028" s="826">
        <v>711.21</v>
      </c>
    </row>
    <row r="3029" spans="1:10" ht="13.5" customHeight="1" thickTop="1">
      <c r="A3029" s="828"/>
      <c r="B3029" s="828"/>
      <c r="C3029" s="828"/>
      <c r="D3029" s="828"/>
      <c r="E3029" s="828"/>
      <c r="F3029" s="828"/>
      <c r="G3029" s="828"/>
      <c r="H3029" s="828"/>
      <c r="I3029" s="828"/>
      <c r="J3029" s="828"/>
    </row>
    <row r="3030" spans="1:10" ht="45" customHeight="1">
      <c r="A3030" s="809" t="s">
        <v>14447</v>
      </c>
      <c r="B3030" s="808" t="s">
        <v>13481</v>
      </c>
      <c r="C3030" s="809" t="s">
        <v>13482</v>
      </c>
      <c r="D3030" s="809" t="s">
        <v>13483</v>
      </c>
      <c r="E3030" s="1019" t="s">
        <v>13484</v>
      </c>
      <c r="F3030" s="1019"/>
      <c r="G3030" s="810" t="s">
        <v>13485</v>
      </c>
      <c r="H3030" s="808" t="s">
        <v>13486</v>
      </c>
      <c r="I3030" s="808" t="s">
        <v>13487</v>
      </c>
      <c r="J3030" s="808" t="s">
        <v>4867</v>
      </c>
    </row>
    <row r="3031" spans="1:10" ht="25.5" customHeight="1">
      <c r="A3031" s="812" t="s">
        <v>13488</v>
      </c>
      <c r="B3031" s="811" t="s">
        <v>14537</v>
      </c>
      <c r="C3031" s="812" t="s">
        <v>6</v>
      </c>
      <c r="D3031" s="812" t="s">
        <v>3940</v>
      </c>
      <c r="E3031" s="1020" t="s">
        <v>13490</v>
      </c>
      <c r="F3031" s="1020"/>
      <c r="G3031" s="813" t="s">
        <v>13543</v>
      </c>
      <c r="H3031" s="814">
        <v>1</v>
      </c>
      <c r="I3031" s="815">
        <v>536.11</v>
      </c>
      <c r="J3031" s="815">
        <v>536.11</v>
      </c>
    </row>
    <row r="3032" spans="1:10" ht="38.25" customHeight="1">
      <c r="A3032" s="817" t="s">
        <v>13491</v>
      </c>
      <c r="B3032" s="816" t="s">
        <v>13553</v>
      </c>
      <c r="C3032" s="817" t="s">
        <v>6</v>
      </c>
      <c r="D3032" s="817" t="s">
        <v>21</v>
      </c>
      <c r="E3032" s="1021" t="s">
        <v>13490</v>
      </c>
      <c r="F3032" s="1021"/>
      <c r="G3032" s="818" t="s">
        <v>19</v>
      </c>
      <c r="H3032" s="819">
        <v>8.7799999999999994</v>
      </c>
      <c r="I3032" s="820">
        <v>15.16</v>
      </c>
      <c r="J3032" s="820">
        <v>133.1</v>
      </c>
    </row>
    <row r="3033" spans="1:10" ht="38.25" customHeight="1">
      <c r="A3033" s="822" t="s">
        <v>13493</v>
      </c>
      <c r="B3033" s="821" t="s">
        <v>13657</v>
      </c>
      <c r="C3033" s="822" t="s">
        <v>6</v>
      </c>
      <c r="D3033" s="822" t="s">
        <v>4588</v>
      </c>
      <c r="E3033" s="1017" t="s">
        <v>13514</v>
      </c>
      <c r="F3033" s="1017"/>
      <c r="G3033" s="823" t="s">
        <v>13543</v>
      </c>
      <c r="H3033" s="824">
        <v>1.1299999999999999</v>
      </c>
      <c r="I3033" s="825">
        <v>83.5</v>
      </c>
      <c r="J3033" s="825">
        <v>94.35</v>
      </c>
    </row>
    <row r="3034" spans="1:10" ht="38.25" customHeight="1">
      <c r="A3034" s="822" t="s">
        <v>13493</v>
      </c>
      <c r="B3034" s="821" t="s">
        <v>14536</v>
      </c>
      <c r="C3034" s="822" t="s">
        <v>6</v>
      </c>
      <c r="D3034" s="822" t="s">
        <v>4613</v>
      </c>
      <c r="E3034" s="1017" t="s">
        <v>13514</v>
      </c>
      <c r="F3034" s="1017"/>
      <c r="G3034" s="823" t="s">
        <v>16</v>
      </c>
      <c r="H3034" s="824">
        <v>75.47</v>
      </c>
      <c r="I3034" s="825">
        <v>0.85</v>
      </c>
      <c r="J3034" s="825">
        <v>64.14</v>
      </c>
    </row>
    <row r="3035" spans="1:10">
      <c r="A3035" s="822" t="s">
        <v>13493</v>
      </c>
      <c r="B3035" s="821" t="s">
        <v>13658</v>
      </c>
      <c r="C3035" s="822" t="s">
        <v>6</v>
      </c>
      <c r="D3035" s="822" t="s">
        <v>4622</v>
      </c>
      <c r="E3035" s="1017" t="s">
        <v>13514</v>
      </c>
      <c r="F3035" s="1017"/>
      <c r="G3035" s="823" t="s">
        <v>16</v>
      </c>
      <c r="H3035" s="824">
        <v>339.62</v>
      </c>
      <c r="I3035" s="825">
        <v>0.72</v>
      </c>
      <c r="J3035" s="825">
        <v>244.52</v>
      </c>
    </row>
    <row r="3036" spans="1:10" ht="13.5" customHeight="1">
      <c r="A3036" s="827"/>
      <c r="B3036" s="827"/>
      <c r="C3036" s="827"/>
      <c r="D3036" s="827"/>
      <c r="E3036" s="827" t="s">
        <v>13503</v>
      </c>
      <c r="F3036" s="826">
        <v>91.13</v>
      </c>
      <c r="G3036" s="827" t="s">
        <v>13504</v>
      </c>
      <c r="H3036" s="826">
        <v>0</v>
      </c>
      <c r="I3036" s="827" t="s">
        <v>13505</v>
      </c>
      <c r="J3036" s="826">
        <v>91.13</v>
      </c>
    </row>
    <row r="3037" spans="1:10" ht="13.5" customHeight="1" thickBot="1">
      <c r="A3037" s="827"/>
      <c r="B3037" s="827"/>
      <c r="C3037" s="827"/>
      <c r="D3037" s="827"/>
      <c r="E3037" s="827" t="s">
        <v>13506</v>
      </c>
      <c r="F3037" s="826">
        <v>151.38999999999999</v>
      </c>
      <c r="G3037" s="827"/>
      <c r="H3037" s="1018" t="s">
        <v>13507</v>
      </c>
      <c r="I3037" s="1018"/>
      <c r="J3037" s="826">
        <v>687.5</v>
      </c>
    </row>
    <row r="3038" spans="1:10" ht="13.5" thickTop="1">
      <c r="A3038" s="828"/>
      <c r="B3038" s="828"/>
      <c r="C3038" s="828"/>
      <c r="D3038" s="828"/>
      <c r="E3038" s="828"/>
      <c r="F3038" s="828"/>
      <c r="G3038" s="828"/>
      <c r="H3038" s="828"/>
      <c r="I3038" s="828"/>
      <c r="J3038" s="828"/>
    </row>
    <row r="3039" spans="1:10" ht="38.25" customHeight="1">
      <c r="A3039" s="809" t="s">
        <v>14447</v>
      </c>
      <c r="B3039" s="808" t="s">
        <v>13481</v>
      </c>
      <c r="C3039" s="809" t="s">
        <v>13482</v>
      </c>
      <c r="D3039" s="809" t="s">
        <v>13483</v>
      </c>
      <c r="E3039" s="1019" t="s">
        <v>13484</v>
      </c>
      <c r="F3039" s="1019"/>
      <c r="G3039" s="810" t="s">
        <v>13485</v>
      </c>
      <c r="H3039" s="808" t="s">
        <v>13486</v>
      </c>
      <c r="I3039" s="808" t="s">
        <v>13487</v>
      </c>
      <c r="J3039" s="808" t="s">
        <v>4867</v>
      </c>
    </row>
    <row r="3040" spans="1:10" ht="25.5" customHeight="1">
      <c r="A3040" s="812" t="s">
        <v>13488</v>
      </c>
      <c r="B3040" s="811" t="s">
        <v>14538</v>
      </c>
      <c r="C3040" s="812" t="s">
        <v>6</v>
      </c>
      <c r="D3040" s="812" t="s">
        <v>5260</v>
      </c>
      <c r="E3040" s="1020" t="s">
        <v>13614</v>
      </c>
      <c r="F3040" s="1020"/>
      <c r="G3040" s="813" t="s">
        <v>80</v>
      </c>
      <c r="H3040" s="814">
        <v>1</v>
      </c>
      <c r="I3040" s="815">
        <v>2.12</v>
      </c>
      <c r="J3040" s="815">
        <v>2.12</v>
      </c>
    </row>
    <row r="3041" spans="1:10" ht="38.25" customHeight="1">
      <c r="A3041" s="817" t="s">
        <v>13491</v>
      </c>
      <c r="B3041" s="816" t="s">
        <v>14540</v>
      </c>
      <c r="C3041" s="817" t="s">
        <v>6</v>
      </c>
      <c r="D3041" s="817" t="s">
        <v>1746</v>
      </c>
      <c r="E3041" s="1021" t="s">
        <v>13539</v>
      </c>
      <c r="F3041" s="1021"/>
      <c r="G3041" s="818" t="s">
        <v>28</v>
      </c>
      <c r="H3041" s="819">
        <v>1.0500000000000001E-2</v>
      </c>
      <c r="I3041" s="820">
        <v>183.94</v>
      </c>
      <c r="J3041" s="820">
        <v>1.93</v>
      </c>
    </row>
    <row r="3042" spans="1:10" ht="13.5" customHeight="1">
      <c r="A3042" s="817" t="s">
        <v>13491</v>
      </c>
      <c r="B3042" s="816" t="s">
        <v>14539</v>
      </c>
      <c r="C3042" s="817" t="s">
        <v>6</v>
      </c>
      <c r="D3042" s="817" t="s">
        <v>1747</v>
      </c>
      <c r="E3042" s="1021" t="s">
        <v>13539</v>
      </c>
      <c r="F3042" s="1021"/>
      <c r="G3042" s="818" t="s">
        <v>42</v>
      </c>
      <c r="H3042" s="819">
        <v>4.4999999999999997E-3</v>
      </c>
      <c r="I3042" s="820">
        <v>44.35</v>
      </c>
      <c r="J3042" s="820">
        <v>0.19</v>
      </c>
    </row>
    <row r="3043" spans="1:10" ht="25.5">
      <c r="A3043" s="827"/>
      <c r="B3043" s="827"/>
      <c r="C3043" s="827"/>
      <c r="D3043" s="827"/>
      <c r="E3043" s="827" t="s">
        <v>13503</v>
      </c>
      <c r="F3043" s="826">
        <v>0.15</v>
      </c>
      <c r="G3043" s="827" t="s">
        <v>13504</v>
      </c>
      <c r="H3043" s="826">
        <v>0</v>
      </c>
      <c r="I3043" s="827" t="s">
        <v>13505</v>
      </c>
      <c r="J3043" s="826">
        <v>0.15</v>
      </c>
    </row>
    <row r="3044" spans="1:10" ht="13.5" customHeight="1" thickBot="1">
      <c r="A3044" s="827"/>
      <c r="B3044" s="827"/>
      <c r="C3044" s="827"/>
      <c r="D3044" s="827"/>
      <c r="E3044" s="827" t="s">
        <v>13506</v>
      </c>
      <c r="F3044" s="826">
        <v>0.59</v>
      </c>
      <c r="G3044" s="827"/>
      <c r="H3044" s="1018" t="s">
        <v>13507</v>
      </c>
      <c r="I3044" s="1018"/>
      <c r="J3044" s="826">
        <v>2.71</v>
      </c>
    </row>
    <row r="3045" spans="1:10" ht="38.25" customHeight="1" thickTop="1">
      <c r="A3045" s="828"/>
      <c r="B3045" s="828"/>
      <c r="C3045" s="828"/>
      <c r="D3045" s="828"/>
      <c r="E3045" s="828"/>
      <c r="F3045" s="828"/>
      <c r="G3045" s="828"/>
      <c r="H3045" s="828"/>
      <c r="I3045" s="828"/>
      <c r="J3045" s="828"/>
    </row>
    <row r="3046" spans="1:10" ht="45" customHeight="1">
      <c r="A3046" s="809" t="s">
        <v>14447</v>
      </c>
      <c r="B3046" s="808" t="s">
        <v>13481</v>
      </c>
      <c r="C3046" s="809" t="s">
        <v>13482</v>
      </c>
      <c r="D3046" s="809" t="s">
        <v>13483</v>
      </c>
      <c r="E3046" s="1019" t="s">
        <v>13484</v>
      </c>
      <c r="F3046" s="1019"/>
      <c r="G3046" s="810" t="s">
        <v>13485</v>
      </c>
      <c r="H3046" s="808" t="s">
        <v>13486</v>
      </c>
      <c r="I3046" s="808" t="s">
        <v>13487</v>
      </c>
      <c r="J3046" s="808" t="s">
        <v>4867</v>
      </c>
    </row>
    <row r="3047" spans="1:10" ht="25.5" customHeight="1">
      <c r="A3047" s="812" t="s">
        <v>13488</v>
      </c>
      <c r="B3047" s="811" t="s">
        <v>14547</v>
      </c>
      <c r="C3047" s="812" t="s">
        <v>6</v>
      </c>
      <c r="D3047" s="812" t="s">
        <v>5278</v>
      </c>
      <c r="E3047" s="1020" t="s">
        <v>13614</v>
      </c>
      <c r="F3047" s="1020"/>
      <c r="G3047" s="813" t="s">
        <v>80</v>
      </c>
      <c r="H3047" s="814">
        <v>1</v>
      </c>
      <c r="I3047" s="815">
        <v>1.67</v>
      </c>
      <c r="J3047" s="815">
        <v>1.67</v>
      </c>
    </row>
    <row r="3048" spans="1:10" ht="13.5" customHeight="1">
      <c r="A3048" s="817" t="s">
        <v>13491</v>
      </c>
      <c r="B3048" s="816" t="s">
        <v>14539</v>
      </c>
      <c r="C3048" s="817" t="s">
        <v>6</v>
      </c>
      <c r="D3048" s="817" t="s">
        <v>1747</v>
      </c>
      <c r="E3048" s="1021" t="s">
        <v>13539</v>
      </c>
      <c r="F3048" s="1021"/>
      <c r="G3048" s="818" t="s">
        <v>42</v>
      </c>
      <c r="H3048" s="819">
        <v>3.5999999999999999E-3</v>
      </c>
      <c r="I3048" s="820">
        <v>44.35</v>
      </c>
      <c r="J3048" s="820">
        <v>0.15</v>
      </c>
    </row>
    <row r="3049" spans="1:10" ht="51">
      <c r="A3049" s="817" t="s">
        <v>13491</v>
      </c>
      <c r="B3049" s="816" t="s">
        <v>14540</v>
      </c>
      <c r="C3049" s="817" t="s">
        <v>6</v>
      </c>
      <c r="D3049" s="817" t="s">
        <v>1746</v>
      </c>
      <c r="E3049" s="1021" t="s">
        <v>13539</v>
      </c>
      <c r="F3049" s="1021"/>
      <c r="G3049" s="818" t="s">
        <v>28</v>
      </c>
      <c r="H3049" s="819">
        <v>8.3000000000000001E-3</v>
      </c>
      <c r="I3049" s="820">
        <v>183.94</v>
      </c>
      <c r="J3049" s="820">
        <v>1.52</v>
      </c>
    </row>
    <row r="3050" spans="1:10" ht="25.5">
      <c r="A3050" s="827"/>
      <c r="B3050" s="827"/>
      <c r="C3050" s="827"/>
      <c r="D3050" s="827"/>
      <c r="E3050" s="827" t="s">
        <v>13503</v>
      </c>
      <c r="F3050" s="826">
        <v>0.11</v>
      </c>
      <c r="G3050" s="827" t="s">
        <v>13504</v>
      </c>
      <c r="H3050" s="826">
        <v>0</v>
      </c>
      <c r="I3050" s="827" t="s">
        <v>13505</v>
      </c>
      <c r="J3050" s="826">
        <v>0.11</v>
      </c>
    </row>
    <row r="3051" spans="1:10" ht="38.25" customHeight="1" thickBot="1">
      <c r="A3051" s="827"/>
      <c r="B3051" s="827"/>
      <c r="C3051" s="827"/>
      <c r="D3051" s="827"/>
      <c r="E3051" s="827" t="s">
        <v>13506</v>
      </c>
      <c r="F3051" s="826">
        <v>0.47</v>
      </c>
      <c r="G3051" s="827"/>
      <c r="H3051" s="1018" t="s">
        <v>13507</v>
      </c>
      <c r="I3051" s="1018"/>
      <c r="J3051" s="826">
        <v>2.14</v>
      </c>
    </row>
    <row r="3052" spans="1:10" ht="13.5" thickTop="1">
      <c r="A3052" s="828"/>
      <c r="B3052" s="828"/>
      <c r="C3052" s="828"/>
      <c r="D3052" s="828"/>
      <c r="E3052" s="828"/>
      <c r="F3052" s="828"/>
      <c r="G3052" s="828"/>
      <c r="H3052" s="828"/>
      <c r="I3052" s="828"/>
      <c r="J3052" s="828"/>
    </row>
    <row r="3053" spans="1:10" ht="45" customHeight="1">
      <c r="A3053" s="809" t="s">
        <v>14447</v>
      </c>
      <c r="B3053" s="808" t="s">
        <v>13481</v>
      </c>
      <c r="C3053" s="809" t="s">
        <v>13482</v>
      </c>
      <c r="D3053" s="809" t="s">
        <v>13483</v>
      </c>
      <c r="E3053" s="1019" t="s">
        <v>13484</v>
      </c>
      <c r="F3053" s="1019"/>
      <c r="G3053" s="810" t="s">
        <v>13485</v>
      </c>
      <c r="H3053" s="808" t="s">
        <v>13486</v>
      </c>
      <c r="I3053" s="808" t="s">
        <v>13487</v>
      </c>
      <c r="J3053" s="808" t="s">
        <v>4867</v>
      </c>
    </row>
    <row r="3054" spans="1:10" ht="13.5" customHeight="1">
      <c r="A3054" s="812" t="s">
        <v>13488</v>
      </c>
      <c r="B3054" s="811" t="s">
        <v>13637</v>
      </c>
      <c r="C3054" s="812" t="s">
        <v>6</v>
      </c>
      <c r="D3054" s="812" t="s">
        <v>107</v>
      </c>
      <c r="E3054" s="1020" t="s">
        <v>13490</v>
      </c>
      <c r="F3054" s="1020"/>
      <c r="G3054" s="813" t="s">
        <v>19</v>
      </c>
      <c r="H3054" s="814">
        <v>1</v>
      </c>
      <c r="I3054" s="815">
        <v>15.19</v>
      </c>
      <c r="J3054" s="815">
        <v>15.19</v>
      </c>
    </row>
    <row r="3055" spans="1:10" ht="25.5">
      <c r="A3055" s="817" t="s">
        <v>13491</v>
      </c>
      <c r="B3055" s="816" t="s">
        <v>14545</v>
      </c>
      <c r="C3055" s="817" t="s">
        <v>6</v>
      </c>
      <c r="D3055" s="817" t="s">
        <v>2504</v>
      </c>
      <c r="E3055" s="1021" t="s">
        <v>13490</v>
      </c>
      <c r="F3055" s="1021"/>
      <c r="G3055" s="818" t="s">
        <v>19</v>
      </c>
      <c r="H3055" s="819">
        <v>1</v>
      </c>
      <c r="I3055" s="820">
        <v>0.09</v>
      </c>
      <c r="J3055" s="820">
        <v>0.09</v>
      </c>
    </row>
    <row r="3056" spans="1:10">
      <c r="A3056" s="822" t="s">
        <v>13493</v>
      </c>
      <c r="B3056" s="821" t="s">
        <v>14546</v>
      </c>
      <c r="C3056" s="822" t="s">
        <v>6</v>
      </c>
      <c r="D3056" s="822" t="s">
        <v>8534</v>
      </c>
      <c r="E3056" s="1017" t="s">
        <v>13495</v>
      </c>
      <c r="F3056" s="1017"/>
      <c r="G3056" s="823" t="s">
        <v>19</v>
      </c>
      <c r="H3056" s="824">
        <v>1</v>
      </c>
      <c r="I3056" s="825">
        <v>10.199999999999999</v>
      </c>
      <c r="J3056" s="825">
        <v>10.199999999999999</v>
      </c>
    </row>
    <row r="3057" spans="1:10" ht="38.25" customHeight="1">
      <c r="A3057" s="822" t="s">
        <v>13493</v>
      </c>
      <c r="B3057" s="821" t="s">
        <v>13528</v>
      </c>
      <c r="C3057" s="822" t="s">
        <v>6</v>
      </c>
      <c r="D3057" s="822" t="s">
        <v>4581</v>
      </c>
      <c r="E3057" s="1017" t="s">
        <v>13499</v>
      </c>
      <c r="F3057" s="1017"/>
      <c r="G3057" s="823" t="s">
        <v>19</v>
      </c>
      <c r="H3057" s="824">
        <v>1</v>
      </c>
      <c r="I3057" s="825">
        <v>1.52</v>
      </c>
      <c r="J3057" s="825">
        <v>1.52</v>
      </c>
    </row>
    <row r="3058" spans="1:10" ht="38.25" customHeight="1">
      <c r="A3058" s="822" t="s">
        <v>13493</v>
      </c>
      <c r="B3058" s="821" t="s">
        <v>14430</v>
      </c>
      <c r="C3058" s="822" t="s">
        <v>6</v>
      </c>
      <c r="D3058" s="822" t="s">
        <v>4657</v>
      </c>
      <c r="E3058" s="1017" t="s">
        <v>13497</v>
      </c>
      <c r="F3058" s="1017"/>
      <c r="G3058" s="823" t="s">
        <v>19</v>
      </c>
      <c r="H3058" s="824">
        <v>1</v>
      </c>
      <c r="I3058" s="825">
        <v>1.0900000000000001</v>
      </c>
      <c r="J3058" s="825">
        <v>1.0900000000000001</v>
      </c>
    </row>
    <row r="3059" spans="1:10" ht="38.25" customHeight="1">
      <c r="A3059" s="822" t="s">
        <v>13493</v>
      </c>
      <c r="B3059" s="821" t="s">
        <v>13498</v>
      </c>
      <c r="C3059" s="822" t="s">
        <v>6</v>
      </c>
      <c r="D3059" s="822" t="s">
        <v>4665</v>
      </c>
      <c r="E3059" s="1017" t="s">
        <v>13499</v>
      </c>
      <c r="F3059" s="1017"/>
      <c r="G3059" s="823" t="s">
        <v>19</v>
      </c>
      <c r="H3059" s="824">
        <v>1</v>
      </c>
      <c r="I3059" s="825">
        <v>0.81</v>
      </c>
      <c r="J3059" s="825">
        <v>0.81</v>
      </c>
    </row>
    <row r="3060" spans="1:10" ht="38.25" customHeight="1">
      <c r="A3060" s="822" t="s">
        <v>13493</v>
      </c>
      <c r="B3060" s="821" t="s">
        <v>14431</v>
      </c>
      <c r="C3060" s="822" t="s">
        <v>6</v>
      </c>
      <c r="D3060" s="822" t="s">
        <v>4673</v>
      </c>
      <c r="E3060" s="1017" t="s">
        <v>13497</v>
      </c>
      <c r="F3060" s="1017"/>
      <c r="G3060" s="823" t="s">
        <v>19</v>
      </c>
      <c r="H3060" s="824">
        <v>1</v>
      </c>
      <c r="I3060" s="825">
        <v>0.74</v>
      </c>
      <c r="J3060" s="825">
        <v>0.74</v>
      </c>
    </row>
    <row r="3061" spans="1:10" ht="38.25" customHeight="1">
      <c r="A3061" s="822" t="s">
        <v>13493</v>
      </c>
      <c r="B3061" s="821" t="s">
        <v>13501</v>
      </c>
      <c r="C3061" s="822" t="s">
        <v>6</v>
      </c>
      <c r="D3061" s="822" t="s">
        <v>4779</v>
      </c>
      <c r="E3061" s="1017" t="s">
        <v>13502</v>
      </c>
      <c r="F3061" s="1017"/>
      <c r="G3061" s="823" t="s">
        <v>19</v>
      </c>
      <c r="H3061" s="824">
        <v>1</v>
      </c>
      <c r="I3061" s="825">
        <v>0.06</v>
      </c>
      <c r="J3061" s="825">
        <v>0.06</v>
      </c>
    </row>
    <row r="3062" spans="1:10">
      <c r="A3062" s="822" t="s">
        <v>13493</v>
      </c>
      <c r="B3062" s="821" t="s">
        <v>13531</v>
      </c>
      <c r="C3062" s="822" t="s">
        <v>6</v>
      </c>
      <c r="D3062" s="822" t="s">
        <v>4808</v>
      </c>
      <c r="E3062" s="1017" t="s">
        <v>13532</v>
      </c>
      <c r="F3062" s="1017"/>
      <c r="G3062" s="823" t="s">
        <v>19</v>
      </c>
      <c r="H3062" s="824">
        <v>1</v>
      </c>
      <c r="I3062" s="825">
        <v>0.68</v>
      </c>
      <c r="J3062" s="825">
        <v>0.68</v>
      </c>
    </row>
    <row r="3063" spans="1:10" ht="13.5" customHeight="1">
      <c r="A3063" s="827"/>
      <c r="B3063" s="827"/>
      <c r="C3063" s="827"/>
      <c r="D3063" s="827"/>
      <c r="E3063" s="827" t="s">
        <v>13503</v>
      </c>
      <c r="F3063" s="826">
        <v>10.29</v>
      </c>
      <c r="G3063" s="827" t="s">
        <v>13504</v>
      </c>
      <c r="H3063" s="826">
        <v>0</v>
      </c>
      <c r="I3063" s="827" t="s">
        <v>13505</v>
      </c>
      <c r="J3063" s="826">
        <v>10.29</v>
      </c>
    </row>
    <row r="3064" spans="1:10" ht="13.5" customHeight="1" thickBot="1">
      <c r="A3064" s="827"/>
      <c r="B3064" s="827"/>
      <c r="C3064" s="827"/>
      <c r="D3064" s="827"/>
      <c r="E3064" s="827" t="s">
        <v>13506</v>
      </c>
      <c r="F3064" s="826">
        <v>4.28</v>
      </c>
      <c r="G3064" s="827"/>
      <c r="H3064" s="1018" t="s">
        <v>13507</v>
      </c>
      <c r="I3064" s="1018"/>
      <c r="J3064" s="826">
        <v>19.47</v>
      </c>
    </row>
    <row r="3065" spans="1:10" ht="13.5" thickTop="1">
      <c r="A3065" s="828"/>
      <c r="B3065" s="828"/>
      <c r="C3065" s="828"/>
      <c r="D3065" s="828"/>
      <c r="E3065" s="828"/>
      <c r="F3065" s="828"/>
      <c r="G3065" s="828"/>
      <c r="H3065" s="828"/>
      <c r="I3065" s="828"/>
      <c r="J3065" s="828"/>
    </row>
    <row r="3066" spans="1:10" ht="38.25" customHeight="1">
      <c r="A3066" s="809" t="s">
        <v>14447</v>
      </c>
      <c r="B3066" s="808" t="s">
        <v>13481</v>
      </c>
      <c r="C3066" s="809" t="s">
        <v>13482</v>
      </c>
      <c r="D3066" s="809" t="s">
        <v>13483</v>
      </c>
      <c r="E3066" s="1019" t="s">
        <v>13484</v>
      </c>
      <c r="F3066" s="1019"/>
      <c r="G3066" s="810" t="s">
        <v>13485</v>
      </c>
      <c r="H3066" s="808" t="s">
        <v>13486</v>
      </c>
      <c r="I3066" s="808" t="s">
        <v>13487</v>
      </c>
      <c r="J3066" s="808" t="s">
        <v>4867</v>
      </c>
    </row>
    <row r="3067" spans="1:10" ht="12.75" customHeight="1">
      <c r="A3067" s="812" t="s">
        <v>13488</v>
      </c>
      <c r="B3067" s="811" t="s">
        <v>13544</v>
      </c>
      <c r="C3067" s="812" t="s">
        <v>6</v>
      </c>
      <c r="D3067" s="812" t="s">
        <v>29</v>
      </c>
      <c r="E3067" s="1020" t="s">
        <v>13490</v>
      </c>
      <c r="F3067" s="1020"/>
      <c r="G3067" s="813" t="s">
        <v>19</v>
      </c>
      <c r="H3067" s="814">
        <v>1</v>
      </c>
      <c r="I3067" s="815">
        <v>15.96</v>
      </c>
      <c r="J3067" s="815">
        <v>15.96</v>
      </c>
    </row>
    <row r="3068" spans="1:10" ht="25.5">
      <c r="A3068" s="817" t="s">
        <v>13491</v>
      </c>
      <c r="B3068" s="816" t="s">
        <v>14541</v>
      </c>
      <c r="C3068" s="817" t="s">
        <v>6</v>
      </c>
      <c r="D3068" s="817" t="s">
        <v>2505</v>
      </c>
      <c r="E3068" s="1021" t="s">
        <v>13490</v>
      </c>
      <c r="F3068" s="1021"/>
      <c r="G3068" s="818" t="s">
        <v>19</v>
      </c>
      <c r="H3068" s="819">
        <v>1</v>
      </c>
      <c r="I3068" s="820">
        <v>0.13</v>
      </c>
      <c r="J3068" s="820">
        <v>0.13</v>
      </c>
    </row>
    <row r="3069" spans="1:10" ht="13.5" customHeight="1">
      <c r="A3069" s="822" t="s">
        <v>13493</v>
      </c>
      <c r="B3069" s="821" t="s">
        <v>13528</v>
      </c>
      <c r="C3069" s="822" t="s">
        <v>6</v>
      </c>
      <c r="D3069" s="822" t="s">
        <v>4581</v>
      </c>
      <c r="E3069" s="1017" t="s">
        <v>13499</v>
      </c>
      <c r="F3069" s="1017"/>
      <c r="G3069" s="823" t="s">
        <v>19</v>
      </c>
      <c r="H3069" s="824">
        <v>1</v>
      </c>
      <c r="I3069" s="825">
        <v>1.52</v>
      </c>
      <c r="J3069" s="825">
        <v>1.52</v>
      </c>
    </row>
    <row r="3070" spans="1:10">
      <c r="A3070" s="822" t="s">
        <v>13493</v>
      </c>
      <c r="B3070" s="821" t="s">
        <v>14542</v>
      </c>
      <c r="C3070" s="822" t="s">
        <v>6</v>
      </c>
      <c r="D3070" s="822" t="s">
        <v>13447</v>
      </c>
      <c r="E3070" s="1017" t="s">
        <v>13495</v>
      </c>
      <c r="F3070" s="1017"/>
      <c r="G3070" s="823" t="s">
        <v>19</v>
      </c>
      <c r="H3070" s="824">
        <v>1</v>
      </c>
      <c r="I3070" s="825">
        <v>11.05</v>
      </c>
      <c r="J3070" s="825">
        <v>11.05</v>
      </c>
    </row>
    <row r="3071" spans="1:10" ht="25.5">
      <c r="A3071" s="822" t="s">
        <v>13493</v>
      </c>
      <c r="B3071" s="821" t="s">
        <v>14543</v>
      </c>
      <c r="C3071" s="822" t="s">
        <v>6</v>
      </c>
      <c r="D3071" s="822" t="s">
        <v>4651</v>
      </c>
      <c r="E3071" s="1017" t="s">
        <v>13497</v>
      </c>
      <c r="F3071" s="1017"/>
      <c r="G3071" s="823" t="s">
        <v>19</v>
      </c>
      <c r="H3071" s="824">
        <v>1</v>
      </c>
      <c r="I3071" s="825">
        <v>1.26</v>
      </c>
      <c r="J3071" s="825">
        <v>1.26</v>
      </c>
    </row>
    <row r="3072" spans="1:10" ht="25.5" customHeight="1">
      <c r="A3072" s="822" t="s">
        <v>13493</v>
      </c>
      <c r="B3072" s="821" t="s">
        <v>13498</v>
      </c>
      <c r="C3072" s="822" t="s">
        <v>6</v>
      </c>
      <c r="D3072" s="822" t="s">
        <v>4665</v>
      </c>
      <c r="E3072" s="1017" t="s">
        <v>13499</v>
      </c>
      <c r="F3072" s="1017"/>
      <c r="G3072" s="823" t="s">
        <v>19</v>
      </c>
      <c r="H3072" s="824">
        <v>1</v>
      </c>
      <c r="I3072" s="825">
        <v>0.81</v>
      </c>
      <c r="J3072" s="825">
        <v>0.81</v>
      </c>
    </row>
    <row r="3073" spans="1:10" ht="38.25" customHeight="1">
      <c r="A3073" s="822" t="s">
        <v>13493</v>
      </c>
      <c r="B3073" s="821" t="s">
        <v>14544</v>
      </c>
      <c r="C3073" s="822" t="s">
        <v>6</v>
      </c>
      <c r="D3073" s="822" t="s">
        <v>4667</v>
      </c>
      <c r="E3073" s="1017" t="s">
        <v>13497</v>
      </c>
      <c r="F3073" s="1017"/>
      <c r="G3073" s="823" t="s">
        <v>19</v>
      </c>
      <c r="H3073" s="824">
        <v>1</v>
      </c>
      <c r="I3073" s="825">
        <v>0.45</v>
      </c>
      <c r="J3073" s="825">
        <v>0.45</v>
      </c>
    </row>
    <row r="3074" spans="1:10" ht="38.25" customHeight="1">
      <c r="A3074" s="822" t="s">
        <v>13493</v>
      </c>
      <c r="B3074" s="821" t="s">
        <v>13501</v>
      </c>
      <c r="C3074" s="822" t="s">
        <v>6</v>
      </c>
      <c r="D3074" s="822" t="s">
        <v>4779</v>
      </c>
      <c r="E3074" s="1017" t="s">
        <v>13502</v>
      </c>
      <c r="F3074" s="1017"/>
      <c r="G3074" s="823" t="s">
        <v>19</v>
      </c>
      <c r="H3074" s="824">
        <v>1</v>
      </c>
      <c r="I3074" s="825">
        <v>0.06</v>
      </c>
      <c r="J3074" s="825">
        <v>0.06</v>
      </c>
    </row>
    <row r="3075" spans="1:10" ht="38.25" customHeight="1">
      <c r="A3075" s="822" t="s">
        <v>13493</v>
      </c>
      <c r="B3075" s="821" t="s">
        <v>13531</v>
      </c>
      <c r="C3075" s="822" t="s">
        <v>6</v>
      </c>
      <c r="D3075" s="822" t="s">
        <v>4808</v>
      </c>
      <c r="E3075" s="1017" t="s">
        <v>13532</v>
      </c>
      <c r="F3075" s="1017"/>
      <c r="G3075" s="823" t="s">
        <v>19</v>
      </c>
      <c r="H3075" s="824">
        <v>1</v>
      </c>
      <c r="I3075" s="825">
        <v>0.68</v>
      </c>
      <c r="J3075" s="825">
        <v>0.68</v>
      </c>
    </row>
    <row r="3076" spans="1:10" ht="25.5">
      <c r="A3076" s="827"/>
      <c r="B3076" s="827"/>
      <c r="C3076" s="827"/>
      <c r="D3076" s="827"/>
      <c r="E3076" s="827" t="s">
        <v>13503</v>
      </c>
      <c r="F3076" s="826">
        <v>11.18</v>
      </c>
      <c r="G3076" s="827" t="s">
        <v>13504</v>
      </c>
      <c r="H3076" s="826">
        <v>0</v>
      </c>
      <c r="I3076" s="827" t="s">
        <v>13505</v>
      </c>
      <c r="J3076" s="826">
        <v>11.18</v>
      </c>
    </row>
    <row r="3077" spans="1:10" ht="13.5" customHeight="1" thickBot="1">
      <c r="A3077" s="827"/>
      <c r="B3077" s="827"/>
      <c r="C3077" s="827"/>
      <c r="D3077" s="827"/>
      <c r="E3077" s="827" t="s">
        <v>13506</v>
      </c>
      <c r="F3077" s="826">
        <v>4.5</v>
      </c>
      <c r="G3077" s="827"/>
      <c r="H3077" s="1018" t="s">
        <v>13507</v>
      </c>
      <c r="I3077" s="1018"/>
      <c r="J3077" s="826">
        <v>20.46</v>
      </c>
    </row>
    <row r="3078" spans="1:10" ht="13.5" thickTop="1">
      <c r="A3078" s="828"/>
      <c r="B3078" s="828"/>
      <c r="C3078" s="828"/>
      <c r="D3078" s="828"/>
      <c r="E3078" s="828"/>
      <c r="F3078" s="828"/>
      <c r="G3078" s="828"/>
      <c r="H3078" s="828"/>
      <c r="I3078" s="828"/>
      <c r="J3078" s="828"/>
    </row>
    <row r="3079" spans="1:10" ht="45" customHeight="1">
      <c r="A3079" s="809" t="s">
        <v>14447</v>
      </c>
      <c r="B3079" s="808" t="s">
        <v>13481</v>
      </c>
      <c r="C3079" s="809" t="s">
        <v>13482</v>
      </c>
      <c r="D3079" s="809" t="s">
        <v>13483</v>
      </c>
      <c r="E3079" s="1019" t="s">
        <v>13484</v>
      </c>
      <c r="F3079" s="1019"/>
      <c r="G3079" s="810" t="s">
        <v>13485</v>
      </c>
      <c r="H3079" s="808" t="s">
        <v>13486</v>
      </c>
      <c r="I3079" s="808" t="s">
        <v>13487</v>
      </c>
      <c r="J3079" s="808" t="s">
        <v>4867</v>
      </c>
    </row>
    <row r="3080" spans="1:10" ht="25.5" customHeight="1">
      <c r="A3080" s="812" t="s">
        <v>13488</v>
      </c>
      <c r="B3080" s="811" t="s">
        <v>14377</v>
      </c>
      <c r="C3080" s="812" t="s">
        <v>6</v>
      </c>
      <c r="D3080" s="812" t="s">
        <v>116</v>
      </c>
      <c r="E3080" s="1020" t="s">
        <v>13490</v>
      </c>
      <c r="F3080" s="1020"/>
      <c r="G3080" s="813" t="s">
        <v>19</v>
      </c>
      <c r="H3080" s="814">
        <v>1</v>
      </c>
      <c r="I3080" s="815">
        <v>16.05</v>
      </c>
      <c r="J3080" s="815">
        <v>16.05</v>
      </c>
    </row>
    <row r="3081" spans="1:10" ht="13.5" customHeight="1">
      <c r="A3081" s="817" t="s">
        <v>13491</v>
      </c>
      <c r="B3081" s="816" t="s">
        <v>14550</v>
      </c>
      <c r="C3081" s="817" t="s">
        <v>6</v>
      </c>
      <c r="D3081" s="817" t="s">
        <v>2515</v>
      </c>
      <c r="E3081" s="1021" t="s">
        <v>13490</v>
      </c>
      <c r="F3081" s="1021"/>
      <c r="G3081" s="818" t="s">
        <v>19</v>
      </c>
      <c r="H3081" s="819">
        <v>1</v>
      </c>
      <c r="I3081" s="820">
        <v>0.1</v>
      </c>
      <c r="J3081" s="820">
        <v>0.1</v>
      </c>
    </row>
    <row r="3082" spans="1:10">
      <c r="A3082" s="822" t="s">
        <v>13493</v>
      </c>
      <c r="B3082" s="821" t="s">
        <v>14551</v>
      </c>
      <c r="C3082" s="822" t="s">
        <v>6</v>
      </c>
      <c r="D3082" s="822" t="s">
        <v>8542</v>
      </c>
      <c r="E3082" s="1017" t="s">
        <v>13495</v>
      </c>
      <c r="F3082" s="1017"/>
      <c r="G3082" s="823" t="s">
        <v>19</v>
      </c>
      <c r="H3082" s="824">
        <v>1</v>
      </c>
      <c r="I3082" s="825">
        <v>11.05</v>
      </c>
      <c r="J3082" s="825">
        <v>11.05</v>
      </c>
    </row>
    <row r="3083" spans="1:10">
      <c r="A3083" s="822" t="s">
        <v>13493</v>
      </c>
      <c r="B3083" s="821" t="s">
        <v>13528</v>
      </c>
      <c r="C3083" s="822" t="s">
        <v>6</v>
      </c>
      <c r="D3083" s="822" t="s">
        <v>4581</v>
      </c>
      <c r="E3083" s="1017" t="s">
        <v>13499</v>
      </c>
      <c r="F3083" s="1017"/>
      <c r="G3083" s="823" t="s">
        <v>19</v>
      </c>
      <c r="H3083" s="824">
        <v>1</v>
      </c>
      <c r="I3083" s="825">
        <v>1.52</v>
      </c>
      <c r="J3083" s="825">
        <v>1.52</v>
      </c>
    </row>
    <row r="3084" spans="1:10" ht="25.5" customHeight="1">
      <c r="A3084" s="822" t="s">
        <v>13493</v>
      </c>
      <c r="B3084" s="821" t="s">
        <v>14430</v>
      </c>
      <c r="C3084" s="822" t="s">
        <v>6</v>
      </c>
      <c r="D3084" s="822" t="s">
        <v>4657</v>
      </c>
      <c r="E3084" s="1017" t="s">
        <v>13497</v>
      </c>
      <c r="F3084" s="1017"/>
      <c r="G3084" s="823" t="s">
        <v>19</v>
      </c>
      <c r="H3084" s="824">
        <v>1</v>
      </c>
      <c r="I3084" s="825">
        <v>1.0900000000000001</v>
      </c>
      <c r="J3084" s="825">
        <v>1.0900000000000001</v>
      </c>
    </row>
    <row r="3085" spans="1:10" ht="38.25" customHeight="1">
      <c r="A3085" s="822" t="s">
        <v>13493</v>
      </c>
      <c r="B3085" s="821" t="s">
        <v>13498</v>
      </c>
      <c r="C3085" s="822" t="s">
        <v>6</v>
      </c>
      <c r="D3085" s="822" t="s">
        <v>4665</v>
      </c>
      <c r="E3085" s="1017" t="s">
        <v>13499</v>
      </c>
      <c r="F3085" s="1017"/>
      <c r="G3085" s="823" t="s">
        <v>19</v>
      </c>
      <c r="H3085" s="824">
        <v>1</v>
      </c>
      <c r="I3085" s="825">
        <v>0.81</v>
      </c>
      <c r="J3085" s="825">
        <v>0.81</v>
      </c>
    </row>
    <row r="3086" spans="1:10" ht="38.25" customHeight="1">
      <c r="A3086" s="822" t="s">
        <v>13493</v>
      </c>
      <c r="B3086" s="821" t="s">
        <v>14431</v>
      </c>
      <c r="C3086" s="822" t="s">
        <v>6</v>
      </c>
      <c r="D3086" s="822" t="s">
        <v>4673</v>
      </c>
      <c r="E3086" s="1017" t="s">
        <v>13497</v>
      </c>
      <c r="F3086" s="1017"/>
      <c r="G3086" s="823" t="s">
        <v>19</v>
      </c>
      <c r="H3086" s="824">
        <v>1</v>
      </c>
      <c r="I3086" s="825">
        <v>0.74</v>
      </c>
      <c r="J3086" s="825">
        <v>0.74</v>
      </c>
    </row>
    <row r="3087" spans="1:10">
      <c r="A3087" s="822" t="s">
        <v>13493</v>
      </c>
      <c r="B3087" s="821" t="s">
        <v>13501</v>
      </c>
      <c r="C3087" s="822" t="s">
        <v>6</v>
      </c>
      <c r="D3087" s="822" t="s">
        <v>4779</v>
      </c>
      <c r="E3087" s="1017" t="s">
        <v>13502</v>
      </c>
      <c r="F3087" s="1017"/>
      <c r="G3087" s="823" t="s">
        <v>19</v>
      </c>
      <c r="H3087" s="824">
        <v>1</v>
      </c>
      <c r="I3087" s="825">
        <v>0.06</v>
      </c>
      <c r="J3087" s="825">
        <v>0.06</v>
      </c>
    </row>
    <row r="3088" spans="1:10">
      <c r="A3088" s="822" t="s">
        <v>13493</v>
      </c>
      <c r="B3088" s="821" t="s">
        <v>13531</v>
      </c>
      <c r="C3088" s="822" t="s">
        <v>6</v>
      </c>
      <c r="D3088" s="822" t="s">
        <v>4808</v>
      </c>
      <c r="E3088" s="1017" t="s">
        <v>13532</v>
      </c>
      <c r="F3088" s="1017"/>
      <c r="G3088" s="823" t="s">
        <v>19</v>
      </c>
      <c r="H3088" s="824">
        <v>1</v>
      </c>
      <c r="I3088" s="825">
        <v>0.68</v>
      </c>
      <c r="J3088" s="825">
        <v>0.68</v>
      </c>
    </row>
    <row r="3089" spans="1:10" ht="25.5">
      <c r="A3089" s="827"/>
      <c r="B3089" s="827"/>
      <c r="C3089" s="827"/>
      <c r="D3089" s="827"/>
      <c r="E3089" s="827" t="s">
        <v>13503</v>
      </c>
      <c r="F3089" s="826">
        <v>11.15</v>
      </c>
      <c r="G3089" s="827" t="s">
        <v>13504</v>
      </c>
      <c r="H3089" s="826">
        <v>0</v>
      </c>
      <c r="I3089" s="827" t="s">
        <v>13505</v>
      </c>
      <c r="J3089" s="826">
        <v>11.15</v>
      </c>
    </row>
    <row r="3090" spans="1:10" ht="13.5" customHeight="1" thickBot="1">
      <c r="A3090" s="827"/>
      <c r="B3090" s="827"/>
      <c r="C3090" s="827"/>
      <c r="D3090" s="827"/>
      <c r="E3090" s="827" t="s">
        <v>13506</v>
      </c>
      <c r="F3090" s="826">
        <v>4.53</v>
      </c>
      <c r="G3090" s="827"/>
      <c r="H3090" s="1018" t="s">
        <v>13507</v>
      </c>
      <c r="I3090" s="1018"/>
      <c r="J3090" s="826">
        <v>20.58</v>
      </c>
    </row>
    <row r="3091" spans="1:10" ht="13.5" thickTop="1">
      <c r="A3091" s="828"/>
      <c r="B3091" s="828"/>
      <c r="C3091" s="828"/>
      <c r="D3091" s="828"/>
      <c r="E3091" s="828"/>
      <c r="F3091" s="828"/>
      <c r="G3091" s="828"/>
      <c r="H3091" s="828"/>
      <c r="I3091" s="828"/>
      <c r="J3091" s="828"/>
    </row>
    <row r="3092" spans="1:10" ht="45" customHeight="1">
      <c r="A3092" s="809" t="s">
        <v>14447</v>
      </c>
      <c r="B3092" s="808" t="s">
        <v>13481</v>
      </c>
      <c r="C3092" s="809" t="s">
        <v>13482</v>
      </c>
      <c r="D3092" s="809" t="s">
        <v>13483</v>
      </c>
      <c r="E3092" s="1019" t="s">
        <v>13484</v>
      </c>
      <c r="F3092" s="1019"/>
      <c r="G3092" s="810" t="s">
        <v>13485</v>
      </c>
      <c r="H3092" s="808" t="s">
        <v>13486</v>
      </c>
      <c r="I3092" s="808" t="s">
        <v>13487</v>
      </c>
      <c r="J3092" s="808" t="s">
        <v>4867</v>
      </c>
    </row>
    <row r="3093" spans="1:10" ht="13.5" customHeight="1">
      <c r="A3093" s="812" t="s">
        <v>13488</v>
      </c>
      <c r="B3093" s="811" t="s">
        <v>13595</v>
      </c>
      <c r="C3093" s="812" t="s">
        <v>6</v>
      </c>
      <c r="D3093" s="812" t="s">
        <v>20</v>
      </c>
      <c r="E3093" s="1020" t="s">
        <v>13490</v>
      </c>
      <c r="F3093" s="1020"/>
      <c r="G3093" s="813" t="s">
        <v>19</v>
      </c>
      <c r="H3093" s="814">
        <v>1</v>
      </c>
      <c r="I3093" s="815">
        <v>18.79</v>
      </c>
      <c r="J3093" s="815">
        <v>18.79</v>
      </c>
    </row>
    <row r="3094" spans="1:10" ht="38.25" customHeight="1">
      <c r="A3094" s="817" t="s">
        <v>13491</v>
      </c>
      <c r="B3094" s="816" t="s">
        <v>14548</v>
      </c>
      <c r="C3094" s="817" t="s">
        <v>6</v>
      </c>
      <c r="D3094" s="817" t="s">
        <v>2519</v>
      </c>
      <c r="E3094" s="1021" t="s">
        <v>13490</v>
      </c>
      <c r="F3094" s="1021"/>
      <c r="G3094" s="818" t="s">
        <v>19</v>
      </c>
      <c r="H3094" s="819">
        <v>1</v>
      </c>
      <c r="I3094" s="820">
        <v>0.16</v>
      </c>
      <c r="J3094" s="820">
        <v>0.16</v>
      </c>
    </row>
    <row r="3095" spans="1:10">
      <c r="A3095" s="822" t="s">
        <v>13493</v>
      </c>
      <c r="B3095" s="821" t="s">
        <v>13528</v>
      </c>
      <c r="C3095" s="822" t="s">
        <v>6</v>
      </c>
      <c r="D3095" s="822" t="s">
        <v>4581</v>
      </c>
      <c r="E3095" s="1017" t="s">
        <v>13499</v>
      </c>
      <c r="F3095" s="1017"/>
      <c r="G3095" s="823" t="s">
        <v>19</v>
      </c>
      <c r="H3095" s="824">
        <v>1</v>
      </c>
      <c r="I3095" s="825">
        <v>1.52</v>
      </c>
      <c r="J3095" s="825">
        <v>1.52</v>
      </c>
    </row>
    <row r="3096" spans="1:10" ht="25.5" customHeight="1">
      <c r="A3096" s="822" t="s">
        <v>13493</v>
      </c>
      <c r="B3096" s="821" t="s">
        <v>14549</v>
      </c>
      <c r="C3096" s="822" t="s">
        <v>6</v>
      </c>
      <c r="D3096" s="822" t="s">
        <v>8762</v>
      </c>
      <c r="E3096" s="1017" t="s">
        <v>13495</v>
      </c>
      <c r="F3096" s="1017"/>
      <c r="G3096" s="823" t="s">
        <v>19</v>
      </c>
      <c r="H3096" s="824">
        <v>1</v>
      </c>
      <c r="I3096" s="825">
        <v>13.73</v>
      </c>
      <c r="J3096" s="825">
        <v>13.73</v>
      </c>
    </row>
    <row r="3097" spans="1:10" ht="38.25" customHeight="1">
      <c r="A3097" s="822" t="s">
        <v>13493</v>
      </c>
      <c r="B3097" s="821" t="s">
        <v>14430</v>
      </c>
      <c r="C3097" s="822" t="s">
        <v>6</v>
      </c>
      <c r="D3097" s="822" t="s">
        <v>4657</v>
      </c>
      <c r="E3097" s="1017" t="s">
        <v>13497</v>
      </c>
      <c r="F3097" s="1017"/>
      <c r="G3097" s="823" t="s">
        <v>19</v>
      </c>
      <c r="H3097" s="824">
        <v>1</v>
      </c>
      <c r="I3097" s="825">
        <v>1.0900000000000001</v>
      </c>
      <c r="J3097" s="825">
        <v>1.0900000000000001</v>
      </c>
    </row>
    <row r="3098" spans="1:10" ht="38.25" customHeight="1">
      <c r="A3098" s="822" t="s">
        <v>13493</v>
      </c>
      <c r="B3098" s="821" t="s">
        <v>13498</v>
      </c>
      <c r="C3098" s="822" t="s">
        <v>6</v>
      </c>
      <c r="D3098" s="822" t="s">
        <v>4665</v>
      </c>
      <c r="E3098" s="1017" t="s">
        <v>13499</v>
      </c>
      <c r="F3098" s="1017"/>
      <c r="G3098" s="823" t="s">
        <v>19</v>
      </c>
      <c r="H3098" s="824">
        <v>1</v>
      </c>
      <c r="I3098" s="825">
        <v>0.81</v>
      </c>
      <c r="J3098" s="825">
        <v>0.81</v>
      </c>
    </row>
    <row r="3099" spans="1:10" ht="25.5">
      <c r="A3099" s="822" t="s">
        <v>13493</v>
      </c>
      <c r="B3099" s="821" t="s">
        <v>14431</v>
      </c>
      <c r="C3099" s="822" t="s">
        <v>6</v>
      </c>
      <c r="D3099" s="822" t="s">
        <v>4673</v>
      </c>
      <c r="E3099" s="1017" t="s">
        <v>13497</v>
      </c>
      <c r="F3099" s="1017"/>
      <c r="G3099" s="823" t="s">
        <v>19</v>
      </c>
      <c r="H3099" s="824">
        <v>1</v>
      </c>
      <c r="I3099" s="825">
        <v>0.74</v>
      </c>
      <c r="J3099" s="825">
        <v>0.74</v>
      </c>
    </row>
    <row r="3100" spans="1:10">
      <c r="A3100" s="822" t="s">
        <v>13493</v>
      </c>
      <c r="B3100" s="821" t="s">
        <v>13501</v>
      </c>
      <c r="C3100" s="822" t="s">
        <v>6</v>
      </c>
      <c r="D3100" s="822" t="s">
        <v>4779</v>
      </c>
      <c r="E3100" s="1017" t="s">
        <v>13502</v>
      </c>
      <c r="F3100" s="1017"/>
      <c r="G3100" s="823" t="s">
        <v>19</v>
      </c>
      <c r="H3100" s="824">
        <v>1</v>
      </c>
      <c r="I3100" s="825">
        <v>0.06</v>
      </c>
      <c r="J3100" s="825">
        <v>0.06</v>
      </c>
    </row>
    <row r="3101" spans="1:10">
      <c r="A3101" s="822" t="s">
        <v>13493</v>
      </c>
      <c r="B3101" s="821" t="s">
        <v>13531</v>
      </c>
      <c r="C3101" s="822" t="s">
        <v>6</v>
      </c>
      <c r="D3101" s="822" t="s">
        <v>4808</v>
      </c>
      <c r="E3101" s="1017" t="s">
        <v>13532</v>
      </c>
      <c r="F3101" s="1017"/>
      <c r="G3101" s="823" t="s">
        <v>19</v>
      </c>
      <c r="H3101" s="824">
        <v>1</v>
      </c>
      <c r="I3101" s="825">
        <v>0.68</v>
      </c>
      <c r="J3101" s="825">
        <v>0.68</v>
      </c>
    </row>
    <row r="3102" spans="1:10" ht="25.5">
      <c r="A3102" s="827"/>
      <c r="B3102" s="827"/>
      <c r="C3102" s="827"/>
      <c r="D3102" s="827"/>
      <c r="E3102" s="827" t="s">
        <v>13503</v>
      </c>
      <c r="F3102" s="826">
        <v>13.89</v>
      </c>
      <c r="G3102" s="827" t="s">
        <v>13504</v>
      </c>
      <c r="H3102" s="826">
        <v>0</v>
      </c>
      <c r="I3102" s="827" t="s">
        <v>13505</v>
      </c>
      <c r="J3102" s="826">
        <v>13.89</v>
      </c>
    </row>
    <row r="3103" spans="1:10" ht="13.5" customHeight="1" thickBot="1">
      <c r="A3103" s="827"/>
      <c r="B3103" s="827"/>
      <c r="C3103" s="827"/>
      <c r="D3103" s="827"/>
      <c r="E3103" s="827" t="s">
        <v>13506</v>
      </c>
      <c r="F3103" s="826">
        <v>5.3</v>
      </c>
      <c r="G3103" s="827"/>
      <c r="H3103" s="1018" t="s">
        <v>13507</v>
      </c>
      <c r="I3103" s="1018"/>
      <c r="J3103" s="826">
        <v>24.09</v>
      </c>
    </row>
    <row r="3104" spans="1:10" ht="13.5" thickTop="1">
      <c r="A3104" s="828"/>
      <c r="B3104" s="828"/>
      <c r="C3104" s="828"/>
      <c r="D3104" s="828"/>
      <c r="E3104" s="828"/>
      <c r="F3104" s="828"/>
      <c r="G3104" s="828"/>
      <c r="H3104" s="828"/>
      <c r="I3104" s="828"/>
      <c r="J3104" s="828"/>
    </row>
    <row r="3105" spans="1:10" ht="13.5" customHeight="1">
      <c r="A3105" s="809" t="s">
        <v>14447</v>
      </c>
      <c r="B3105" s="808" t="s">
        <v>13481</v>
      </c>
      <c r="C3105" s="809" t="s">
        <v>13482</v>
      </c>
      <c r="D3105" s="809" t="s">
        <v>13483</v>
      </c>
      <c r="E3105" s="1019" t="s">
        <v>13484</v>
      </c>
      <c r="F3105" s="1019"/>
      <c r="G3105" s="810" t="s">
        <v>13485</v>
      </c>
      <c r="H3105" s="808" t="s">
        <v>13486</v>
      </c>
      <c r="I3105" s="808" t="s">
        <v>13487</v>
      </c>
      <c r="J3105" s="808" t="s">
        <v>4867</v>
      </c>
    </row>
    <row r="3106" spans="1:10" ht="25.5" customHeight="1">
      <c r="A3106" s="812" t="s">
        <v>13488</v>
      </c>
      <c r="B3106" s="811" t="s">
        <v>13638</v>
      </c>
      <c r="C3106" s="812" t="s">
        <v>6</v>
      </c>
      <c r="D3106" s="812" t="s">
        <v>112</v>
      </c>
      <c r="E3106" s="1020" t="s">
        <v>13490</v>
      </c>
      <c r="F3106" s="1020"/>
      <c r="G3106" s="813" t="s">
        <v>19</v>
      </c>
      <c r="H3106" s="814">
        <v>1</v>
      </c>
      <c r="I3106" s="815">
        <v>18.75</v>
      </c>
      <c r="J3106" s="815">
        <v>18.75</v>
      </c>
    </row>
    <row r="3107" spans="1:10" ht="38.25" customHeight="1">
      <c r="A3107" s="817" t="s">
        <v>13491</v>
      </c>
      <c r="B3107" s="816" t="s">
        <v>14552</v>
      </c>
      <c r="C3107" s="817" t="s">
        <v>6</v>
      </c>
      <c r="D3107" s="817" t="s">
        <v>533</v>
      </c>
      <c r="E3107" s="1021" t="s">
        <v>13490</v>
      </c>
      <c r="F3107" s="1021"/>
      <c r="G3107" s="818" t="s">
        <v>19</v>
      </c>
      <c r="H3107" s="819">
        <v>1</v>
      </c>
      <c r="I3107" s="820">
        <v>0.12</v>
      </c>
      <c r="J3107" s="820">
        <v>0.12</v>
      </c>
    </row>
    <row r="3108" spans="1:10" ht="25.5" customHeight="1">
      <c r="A3108" s="822" t="s">
        <v>13493</v>
      </c>
      <c r="B3108" s="821" t="s">
        <v>13528</v>
      </c>
      <c r="C3108" s="822" t="s">
        <v>6</v>
      </c>
      <c r="D3108" s="822" t="s">
        <v>4581</v>
      </c>
      <c r="E3108" s="1017" t="s">
        <v>13499</v>
      </c>
      <c r="F3108" s="1017"/>
      <c r="G3108" s="823" t="s">
        <v>19</v>
      </c>
      <c r="H3108" s="824">
        <v>1</v>
      </c>
      <c r="I3108" s="825">
        <v>1.52</v>
      </c>
      <c r="J3108" s="825">
        <v>1.52</v>
      </c>
    </row>
    <row r="3109" spans="1:10">
      <c r="A3109" s="822" t="s">
        <v>13493</v>
      </c>
      <c r="B3109" s="821" t="s">
        <v>14553</v>
      </c>
      <c r="C3109" s="822" t="s">
        <v>6</v>
      </c>
      <c r="D3109" s="822" t="s">
        <v>8712</v>
      </c>
      <c r="E3109" s="1017" t="s">
        <v>13495</v>
      </c>
      <c r="F3109" s="1017"/>
      <c r="G3109" s="823" t="s">
        <v>19</v>
      </c>
      <c r="H3109" s="824">
        <v>1</v>
      </c>
      <c r="I3109" s="825">
        <v>13.73</v>
      </c>
      <c r="J3109" s="825">
        <v>13.73</v>
      </c>
    </row>
    <row r="3110" spans="1:10" ht="25.5">
      <c r="A3110" s="822" t="s">
        <v>13493</v>
      </c>
      <c r="B3110" s="821" t="s">
        <v>14430</v>
      </c>
      <c r="C3110" s="822" t="s">
        <v>6</v>
      </c>
      <c r="D3110" s="822" t="s">
        <v>4657</v>
      </c>
      <c r="E3110" s="1017" t="s">
        <v>13497</v>
      </c>
      <c r="F3110" s="1017"/>
      <c r="G3110" s="823" t="s">
        <v>19</v>
      </c>
      <c r="H3110" s="824">
        <v>1</v>
      </c>
      <c r="I3110" s="825">
        <v>1.0900000000000001</v>
      </c>
      <c r="J3110" s="825">
        <v>1.0900000000000001</v>
      </c>
    </row>
    <row r="3111" spans="1:10">
      <c r="A3111" s="822" t="s">
        <v>13493</v>
      </c>
      <c r="B3111" s="821" t="s">
        <v>13498</v>
      </c>
      <c r="C3111" s="822" t="s">
        <v>6</v>
      </c>
      <c r="D3111" s="822" t="s">
        <v>4665</v>
      </c>
      <c r="E3111" s="1017" t="s">
        <v>13499</v>
      </c>
      <c r="F3111" s="1017"/>
      <c r="G3111" s="823" t="s">
        <v>19</v>
      </c>
      <c r="H3111" s="824">
        <v>1</v>
      </c>
      <c r="I3111" s="825">
        <v>0.81</v>
      </c>
      <c r="J3111" s="825">
        <v>0.81</v>
      </c>
    </row>
    <row r="3112" spans="1:10" ht="25.5">
      <c r="A3112" s="822" t="s">
        <v>13493</v>
      </c>
      <c r="B3112" s="821" t="s">
        <v>14431</v>
      </c>
      <c r="C3112" s="822" t="s">
        <v>6</v>
      </c>
      <c r="D3112" s="822" t="s">
        <v>4673</v>
      </c>
      <c r="E3112" s="1017" t="s">
        <v>13497</v>
      </c>
      <c r="F3112" s="1017"/>
      <c r="G3112" s="823" t="s">
        <v>19</v>
      </c>
      <c r="H3112" s="824">
        <v>1</v>
      </c>
      <c r="I3112" s="825">
        <v>0.74</v>
      </c>
      <c r="J3112" s="825">
        <v>0.74</v>
      </c>
    </row>
    <row r="3113" spans="1:10">
      <c r="A3113" s="822" t="s">
        <v>13493</v>
      </c>
      <c r="B3113" s="821" t="s">
        <v>13501</v>
      </c>
      <c r="C3113" s="822" t="s">
        <v>6</v>
      </c>
      <c r="D3113" s="822" t="s">
        <v>4779</v>
      </c>
      <c r="E3113" s="1017" t="s">
        <v>13502</v>
      </c>
      <c r="F3113" s="1017"/>
      <c r="G3113" s="823" t="s">
        <v>19</v>
      </c>
      <c r="H3113" s="824">
        <v>1</v>
      </c>
      <c r="I3113" s="825">
        <v>0.06</v>
      </c>
      <c r="J3113" s="825">
        <v>0.06</v>
      </c>
    </row>
    <row r="3114" spans="1:10" ht="13.5" customHeight="1">
      <c r="A3114" s="822" t="s">
        <v>13493</v>
      </c>
      <c r="B3114" s="821" t="s">
        <v>13531</v>
      </c>
      <c r="C3114" s="822" t="s">
        <v>6</v>
      </c>
      <c r="D3114" s="822" t="s">
        <v>4808</v>
      </c>
      <c r="E3114" s="1017" t="s">
        <v>13532</v>
      </c>
      <c r="F3114" s="1017"/>
      <c r="G3114" s="823" t="s">
        <v>19</v>
      </c>
      <c r="H3114" s="824">
        <v>1</v>
      </c>
      <c r="I3114" s="825">
        <v>0.68</v>
      </c>
      <c r="J3114" s="825">
        <v>0.68</v>
      </c>
    </row>
    <row r="3115" spans="1:10" ht="25.5">
      <c r="A3115" s="827"/>
      <c r="B3115" s="827"/>
      <c r="C3115" s="827"/>
      <c r="D3115" s="827"/>
      <c r="E3115" s="827" t="s">
        <v>13503</v>
      </c>
      <c r="F3115" s="826">
        <v>13.85</v>
      </c>
      <c r="G3115" s="827" t="s">
        <v>13504</v>
      </c>
      <c r="H3115" s="826">
        <v>0</v>
      </c>
      <c r="I3115" s="827" t="s">
        <v>13505</v>
      </c>
      <c r="J3115" s="826">
        <v>13.85</v>
      </c>
    </row>
    <row r="3116" spans="1:10" ht="13.5" customHeight="1" thickBot="1">
      <c r="A3116" s="827"/>
      <c r="B3116" s="827"/>
      <c r="C3116" s="827"/>
      <c r="D3116" s="827"/>
      <c r="E3116" s="827" t="s">
        <v>13506</v>
      </c>
      <c r="F3116" s="826">
        <v>5.29</v>
      </c>
      <c r="G3116" s="827"/>
      <c r="H3116" s="1018" t="s">
        <v>13507</v>
      </c>
      <c r="I3116" s="1018"/>
      <c r="J3116" s="826">
        <v>24.04</v>
      </c>
    </row>
    <row r="3117" spans="1:10" ht="13.5" thickTop="1">
      <c r="A3117" s="828"/>
      <c r="B3117" s="828"/>
      <c r="C3117" s="828"/>
      <c r="D3117" s="828"/>
      <c r="E3117" s="828"/>
      <c r="F3117" s="828"/>
      <c r="G3117" s="828"/>
      <c r="H3117" s="828"/>
      <c r="I3117" s="828"/>
      <c r="J3117" s="828"/>
    </row>
    <row r="3118" spans="1:10" ht="38.25" customHeight="1">
      <c r="A3118" s="809" t="s">
        <v>14447</v>
      </c>
      <c r="B3118" s="808" t="s">
        <v>13481</v>
      </c>
      <c r="C3118" s="809" t="s">
        <v>13482</v>
      </c>
      <c r="D3118" s="809" t="s">
        <v>13483</v>
      </c>
      <c r="E3118" s="1019" t="s">
        <v>13484</v>
      </c>
      <c r="F3118" s="1019"/>
      <c r="G3118" s="810" t="s">
        <v>13485</v>
      </c>
      <c r="H3118" s="808" t="s">
        <v>13486</v>
      </c>
      <c r="I3118" s="808" t="s">
        <v>13487</v>
      </c>
      <c r="J3118" s="808" t="s">
        <v>4867</v>
      </c>
    </row>
    <row r="3119" spans="1:10" ht="38.25" customHeight="1">
      <c r="A3119" s="812" t="s">
        <v>13488</v>
      </c>
      <c r="B3119" s="811" t="s">
        <v>13545</v>
      </c>
      <c r="C3119" s="812" t="s">
        <v>6</v>
      </c>
      <c r="D3119" s="812" t="s">
        <v>30</v>
      </c>
      <c r="E3119" s="1020" t="s">
        <v>13490</v>
      </c>
      <c r="F3119" s="1020"/>
      <c r="G3119" s="813" t="s">
        <v>19</v>
      </c>
      <c r="H3119" s="814">
        <v>1</v>
      </c>
      <c r="I3119" s="815">
        <v>18.63</v>
      </c>
      <c r="J3119" s="815">
        <v>18.63</v>
      </c>
    </row>
    <row r="3120" spans="1:10" ht="38.25" customHeight="1">
      <c r="A3120" s="817" t="s">
        <v>13491</v>
      </c>
      <c r="B3120" s="816" t="s">
        <v>14558</v>
      </c>
      <c r="C3120" s="817" t="s">
        <v>6</v>
      </c>
      <c r="D3120" s="817" t="s">
        <v>2524</v>
      </c>
      <c r="E3120" s="1021" t="s">
        <v>13490</v>
      </c>
      <c r="F3120" s="1021"/>
      <c r="G3120" s="818" t="s">
        <v>19</v>
      </c>
      <c r="H3120" s="819">
        <v>1</v>
      </c>
      <c r="I3120" s="820">
        <v>0.12</v>
      </c>
      <c r="J3120" s="820">
        <v>0.12</v>
      </c>
    </row>
    <row r="3121" spans="1:10">
      <c r="A3121" s="822" t="s">
        <v>13493</v>
      </c>
      <c r="B3121" s="821" t="s">
        <v>13528</v>
      </c>
      <c r="C3121" s="822" t="s">
        <v>6</v>
      </c>
      <c r="D3121" s="822" t="s">
        <v>4581</v>
      </c>
      <c r="E3121" s="1017" t="s">
        <v>13499</v>
      </c>
      <c r="F3121" s="1017"/>
      <c r="G3121" s="823" t="s">
        <v>19</v>
      </c>
      <c r="H3121" s="824">
        <v>1</v>
      </c>
      <c r="I3121" s="825">
        <v>1.52</v>
      </c>
      <c r="J3121" s="825">
        <v>1.52</v>
      </c>
    </row>
    <row r="3122" spans="1:10">
      <c r="A3122" s="822" t="s">
        <v>13493</v>
      </c>
      <c r="B3122" s="821" t="s">
        <v>14559</v>
      </c>
      <c r="C3122" s="822" t="s">
        <v>6</v>
      </c>
      <c r="D3122" s="822" t="s">
        <v>13449</v>
      </c>
      <c r="E3122" s="1017" t="s">
        <v>13495</v>
      </c>
      <c r="F3122" s="1017"/>
      <c r="G3122" s="823" t="s">
        <v>19</v>
      </c>
      <c r="H3122" s="824">
        <v>1</v>
      </c>
      <c r="I3122" s="825">
        <v>13.73</v>
      </c>
      <c r="J3122" s="825">
        <v>13.73</v>
      </c>
    </row>
    <row r="3123" spans="1:10" ht="25.5">
      <c r="A3123" s="822" t="s">
        <v>13493</v>
      </c>
      <c r="B3123" s="821" t="s">
        <v>14543</v>
      </c>
      <c r="C3123" s="822" t="s">
        <v>6</v>
      </c>
      <c r="D3123" s="822" t="s">
        <v>4651</v>
      </c>
      <c r="E3123" s="1017" t="s">
        <v>13497</v>
      </c>
      <c r="F3123" s="1017"/>
      <c r="G3123" s="823" t="s">
        <v>19</v>
      </c>
      <c r="H3123" s="824">
        <v>1</v>
      </c>
      <c r="I3123" s="825">
        <v>1.26</v>
      </c>
      <c r="J3123" s="825">
        <v>1.26</v>
      </c>
    </row>
    <row r="3124" spans="1:10">
      <c r="A3124" s="822" t="s">
        <v>13493</v>
      </c>
      <c r="B3124" s="821" t="s">
        <v>13498</v>
      </c>
      <c r="C3124" s="822" t="s">
        <v>6</v>
      </c>
      <c r="D3124" s="822" t="s">
        <v>4665</v>
      </c>
      <c r="E3124" s="1017" t="s">
        <v>13499</v>
      </c>
      <c r="F3124" s="1017"/>
      <c r="G3124" s="823" t="s">
        <v>19</v>
      </c>
      <c r="H3124" s="824">
        <v>1</v>
      </c>
      <c r="I3124" s="825">
        <v>0.81</v>
      </c>
      <c r="J3124" s="825">
        <v>0.81</v>
      </c>
    </row>
    <row r="3125" spans="1:10" ht="25.5">
      <c r="A3125" s="822" t="s">
        <v>13493</v>
      </c>
      <c r="B3125" s="821" t="s">
        <v>14544</v>
      </c>
      <c r="C3125" s="822" t="s">
        <v>6</v>
      </c>
      <c r="D3125" s="822" t="s">
        <v>4667</v>
      </c>
      <c r="E3125" s="1017" t="s">
        <v>13497</v>
      </c>
      <c r="F3125" s="1017"/>
      <c r="G3125" s="823" t="s">
        <v>19</v>
      </c>
      <c r="H3125" s="824">
        <v>1</v>
      </c>
      <c r="I3125" s="825">
        <v>0.45</v>
      </c>
      <c r="J3125" s="825">
        <v>0.45</v>
      </c>
    </row>
    <row r="3126" spans="1:10" ht="13.5" customHeight="1">
      <c r="A3126" s="822" t="s">
        <v>13493</v>
      </c>
      <c r="B3126" s="821" t="s">
        <v>13501</v>
      </c>
      <c r="C3126" s="822" t="s">
        <v>6</v>
      </c>
      <c r="D3126" s="822" t="s">
        <v>4779</v>
      </c>
      <c r="E3126" s="1017" t="s">
        <v>13502</v>
      </c>
      <c r="F3126" s="1017"/>
      <c r="G3126" s="823" t="s">
        <v>19</v>
      </c>
      <c r="H3126" s="824">
        <v>1</v>
      </c>
      <c r="I3126" s="825">
        <v>0.06</v>
      </c>
      <c r="J3126" s="825">
        <v>0.06</v>
      </c>
    </row>
    <row r="3127" spans="1:10">
      <c r="A3127" s="822" t="s">
        <v>13493</v>
      </c>
      <c r="B3127" s="821" t="s">
        <v>13531</v>
      </c>
      <c r="C3127" s="822" t="s">
        <v>6</v>
      </c>
      <c r="D3127" s="822" t="s">
        <v>4808</v>
      </c>
      <c r="E3127" s="1017" t="s">
        <v>13532</v>
      </c>
      <c r="F3127" s="1017"/>
      <c r="G3127" s="823" t="s">
        <v>19</v>
      </c>
      <c r="H3127" s="824">
        <v>1</v>
      </c>
      <c r="I3127" s="825">
        <v>0.68</v>
      </c>
      <c r="J3127" s="825">
        <v>0.68</v>
      </c>
    </row>
    <row r="3128" spans="1:10" ht="25.5">
      <c r="A3128" s="827"/>
      <c r="B3128" s="827"/>
      <c r="C3128" s="827"/>
      <c r="D3128" s="827"/>
      <c r="E3128" s="827" t="s">
        <v>13503</v>
      </c>
      <c r="F3128" s="826">
        <v>13.85</v>
      </c>
      <c r="G3128" s="827" t="s">
        <v>13504</v>
      </c>
      <c r="H3128" s="826">
        <v>0</v>
      </c>
      <c r="I3128" s="827" t="s">
        <v>13505</v>
      </c>
      <c r="J3128" s="826">
        <v>13.85</v>
      </c>
    </row>
    <row r="3129" spans="1:10" ht="25.5" customHeight="1" thickBot="1">
      <c r="A3129" s="827"/>
      <c r="B3129" s="827"/>
      <c r="C3129" s="827"/>
      <c r="D3129" s="827"/>
      <c r="E3129" s="827" t="s">
        <v>13506</v>
      </c>
      <c r="F3129" s="826">
        <v>5.26</v>
      </c>
      <c r="G3129" s="827"/>
      <c r="H3129" s="1018" t="s">
        <v>13507</v>
      </c>
      <c r="I3129" s="1018"/>
      <c r="J3129" s="826">
        <v>23.89</v>
      </c>
    </row>
    <row r="3130" spans="1:10" ht="13.5" thickTop="1">
      <c r="A3130" s="828"/>
      <c r="B3130" s="828"/>
      <c r="C3130" s="828"/>
      <c r="D3130" s="828"/>
      <c r="E3130" s="828"/>
      <c r="F3130" s="828"/>
      <c r="G3130" s="828"/>
      <c r="H3130" s="828"/>
      <c r="I3130" s="828"/>
      <c r="J3130" s="828"/>
    </row>
    <row r="3131" spans="1:10" ht="45" customHeight="1">
      <c r="A3131" s="809" t="s">
        <v>14447</v>
      </c>
      <c r="B3131" s="808" t="s">
        <v>13481</v>
      </c>
      <c r="C3131" s="809" t="s">
        <v>13482</v>
      </c>
      <c r="D3131" s="809" t="s">
        <v>13483</v>
      </c>
      <c r="E3131" s="1019" t="s">
        <v>13484</v>
      </c>
      <c r="F3131" s="1019"/>
      <c r="G3131" s="810" t="s">
        <v>13485</v>
      </c>
      <c r="H3131" s="808" t="s">
        <v>13486</v>
      </c>
      <c r="I3131" s="808" t="s">
        <v>13487</v>
      </c>
      <c r="J3131" s="808" t="s">
        <v>4867</v>
      </c>
    </row>
    <row r="3132" spans="1:10" ht="25.5" customHeight="1">
      <c r="A3132" s="812" t="s">
        <v>13488</v>
      </c>
      <c r="B3132" s="811" t="s">
        <v>14425</v>
      </c>
      <c r="C3132" s="812" t="s">
        <v>6</v>
      </c>
      <c r="D3132" s="812" t="s">
        <v>161</v>
      </c>
      <c r="E3132" s="1020" t="s">
        <v>13490</v>
      </c>
      <c r="F3132" s="1020"/>
      <c r="G3132" s="813" t="s">
        <v>19</v>
      </c>
      <c r="H3132" s="814">
        <v>1</v>
      </c>
      <c r="I3132" s="815">
        <v>19.57</v>
      </c>
      <c r="J3132" s="815">
        <v>19.57</v>
      </c>
    </row>
    <row r="3133" spans="1:10" ht="38.25" customHeight="1">
      <c r="A3133" s="817" t="s">
        <v>13491</v>
      </c>
      <c r="B3133" s="816" t="s">
        <v>14554</v>
      </c>
      <c r="C3133" s="817" t="s">
        <v>6</v>
      </c>
      <c r="D3133" s="817" t="s">
        <v>539</v>
      </c>
      <c r="E3133" s="1021" t="s">
        <v>13490</v>
      </c>
      <c r="F3133" s="1021"/>
      <c r="G3133" s="818" t="s">
        <v>19</v>
      </c>
      <c r="H3133" s="819">
        <v>1</v>
      </c>
      <c r="I3133" s="820">
        <v>0.12</v>
      </c>
      <c r="J3133" s="820">
        <v>0.12</v>
      </c>
    </row>
    <row r="3134" spans="1:10" ht="13.5" customHeight="1">
      <c r="A3134" s="822" t="s">
        <v>13493</v>
      </c>
      <c r="B3134" s="821" t="s">
        <v>13528</v>
      </c>
      <c r="C3134" s="822" t="s">
        <v>6</v>
      </c>
      <c r="D3134" s="822" t="s">
        <v>4581</v>
      </c>
      <c r="E3134" s="1017" t="s">
        <v>13499</v>
      </c>
      <c r="F3134" s="1017"/>
      <c r="G3134" s="823" t="s">
        <v>19</v>
      </c>
      <c r="H3134" s="824">
        <v>1</v>
      </c>
      <c r="I3134" s="825">
        <v>1.52</v>
      </c>
      <c r="J3134" s="825">
        <v>1.52</v>
      </c>
    </row>
    <row r="3135" spans="1:10" ht="25.5">
      <c r="A3135" s="822" t="s">
        <v>13493</v>
      </c>
      <c r="B3135" s="821" t="s">
        <v>14555</v>
      </c>
      <c r="C3135" s="822" t="s">
        <v>6</v>
      </c>
      <c r="D3135" s="822" t="s">
        <v>4660</v>
      </c>
      <c r="E3135" s="1017" t="s">
        <v>13497</v>
      </c>
      <c r="F3135" s="1017"/>
      <c r="G3135" s="823" t="s">
        <v>19</v>
      </c>
      <c r="H3135" s="824">
        <v>1</v>
      </c>
      <c r="I3135" s="825">
        <v>1.58</v>
      </c>
      <c r="J3135" s="825">
        <v>1.58</v>
      </c>
    </row>
    <row r="3136" spans="1:10">
      <c r="A3136" s="822" t="s">
        <v>13493</v>
      </c>
      <c r="B3136" s="821" t="s">
        <v>13498</v>
      </c>
      <c r="C3136" s="822" t="s">
        <v>6</v>
      </c>
      <c r="D3136" s="822" t="s">
        <v>4665</v>
      </c>
      <c r="E3136" s="1017" t="s">
        <v>13499</v>
      </c>
      <c r="F3136" s="1017"/>
      <c r="G3136" s="823" t="s">
        <v>19</v>
      </c>
      <c r="H3136" s="824">
        <v>1</v>
      </c>
      <c r="I3136" s="825">
        <v>0.81</v>
      </c>
      <c r="J3136" s="825">
        <v>0.81</v>
      </c>
    </row>
    <row r="3137" spans="1:10" ht="25.5" customHeight="1">
      <c r="A3137" s="822" t="s">
        <v>13493</v>
      </c>
      <c r="B3137" s="821" t="s">
        <v>14556</v>
      </c>
      <c r="C3137" s="822" t="s">
        <v>6</v>
      </c>
      <c r="D3137" s="822" t="s">
        <v>4676</v>
      </c>
      <c r="E3137" s="1017" t="s">
        <v>13497</v>
      </c>
      <c r="F3137" s="1017"/>
      <c r="G3137" s="823" t="s">
        <v>19</v>
      </c>
      <c r="H3137" s="824">
        <v>1</v>
      </c>
      <c r="I3137" s="825">
        <v>1.07</v>
      </c>
      <c r="J3137" s="825">
        <v>1.07</v>
      </c>
    </row>
    <row r="3138" spans="1:10">
      <c r="A3138" s="822" t="s">
        <v>13493</v>
      </c>
      <c r="B3138" s="821" t="s">
        <v>13501</v>
      </c>
      <c r="C3138" s="822" t="s">
        <v>6</v>
      </c>
      <c r="D3138" s="822" t="s">
        <v>4779</v>
      </c>
      <c r="E3138" s="1017" t="s">
        <v>13502</v>
      </c>
      <c r="F3138" s="1017"/>
      <c r="G3138" s="823" t="s">
        <v>19</v>
      </c>
      <c r="H3138" s="824">
        <v>1</v>
      </c>
      <c r="I3138" s="825">
        <v>0.06</v>
      </c>
      <c r="J3138" s="825">
        <v>0.06</v>
      </c>
    </row>
    <row r="3139" spans="1:10">
      <c r="A3139" s="822" t="s">
        <v>13493</v>
      </c>
      <c r="B3139" s="821" t="s">
        <v>14557</v>
      </c>
      <c r="C3139" s="822" t="s">
        <v>6</v>
      </c>
      <c r="D3139" s="822" t="s">
        <v>4787</v>
      </c>
      <c r="E3139" s="1017" t="s">
        <v>13495</v>
      </c>
      <c r="F3139" s="1017"/>
      <c r="G3139" s="823" t="s">
        <v>19</v>
      </c>
      <c r="H3139" s="824">
        <v>1</v>
      </c>
      <c r="I3139" s="825">
        <v>13.73</v>
      </c>
      <c r="J3139" s="825">
        <v>13.73</v>
      </c>
    </row>
    <row r="3140" spans="1:10">
      <c r="A3140" s="822" t="s">
        <v>13493</v>
      </c>
      <c r="B3140" s="821" t="s">
        <v>13531</v>
      </c>
      <c r="C3140" s="822" t="s">
        <v>6</v>
      </c>
      <c r="D3140" s="822" t="s">
        <v>4808</v>
      </c>
      <c r="E3140" s="1017" t="s">
        <v>13532</v>
      </c>
      <c r="F3140" s="1017"/>
      <c r="G3140" s="823" t="s">
        <v>19</v>
      </c>
      <c r="H3140" s="824">
        <v>1</v>
      </c>
      <c r="I3140" s="825">
        <v>0.68</v>
      </c>
      <c r="J3140" s="825">
        <v>0.68</v>
      </c>
    </row>
    <row r="3141" spans="1:10" ht="25.5">
      <c r="A3141" s="827"/>
      <c r="B3141" s="827"/>
      <c r="C3141" s="827"/>
      <c r="D3141" s="827"/>
      <c r="E3141" s="827" t="s">
        <v>13503</v>
      </c>
      <c r="F3141" s="826">
        <v>13.85</v>
      </c>
      <c r="G3141" s="827" t="s">
        <v>13504</v>
      </c>
      <c r="H3141" s="826">
        <v>0</v>
      </c>
      <c r="I3141" s="827" t="s">
        <v>13505</v>
      </c>
      <c r="J3141" s="826">
        <v>13.85</v>
      </c>
    </row>
    <row r="3142" spans="1:10" ht="13.5" customHeight="1" thickBot="1">
      <c r="A3142" s="827"/>
      <c r="B3142" s="827"/>
      <c r="C3142" s="827"/>
      <c r="D3142" s="827"/>
      <c r="E3142" s="827" t="s">
        <v>13506</v>
      </c>
      <c r="F3142" s="826">
        <v>5.52</v>
      </c>
      <c r="G3142" s="827"/>
      <c r="H3142" s="1018" t="s">
        <v>13507</v>
      </c>
      <c r="I3142" s="1018"/>
      <c r="J3142" s="826">
        <v>25.09</v>
      </c>
    </row>
    <row r="3143" spans="1:10" ht="13.5" thickTop="1">
      <c r="A3143" s="828"/>
      <c r="B3143" s="828"/>
      <c r="C3143" s="828"/>
      <c r="D3143" s="828"/>
      <c r="E3143" s="828"/>
      <c r="F3143" s="828"/>
      <c r="G3143" s="828"/>
      <c r="H3143" s="828"/>
      <c r="I3143" s="828"/>
      <c r="J3143" s="828"/>
    </row>
    <row r="3144" spans="1:10" ht="45" customHeight="1">
      <c r="A3144" s="809" t="s">
        <v>14447</v>
      </c>
      <c r="B3144" s="808" t="s">
        <v>13481</v>
      </c>
      <c r="C3144" s="809" t="s">
        <v>13482</v>
      </c>
      <c r="D3144" s="809" t="s">
        <v>13483</v>
      </c>
      <c r="E3144" s="1019" t="s">
        <v>13484</v>
      </c>
      <c r="F3144" s="1019"/>
      <c r="G3144" s="810" t="s">
        <v>13485</v>
      </c>
      <c r="H3144" s="808" t="s">
        <v>13486</v>
      </c>
      <c r="I3144" s="808" t="s">
        <v>13487</v>
      </c>
      <c r="J3144" s="808" t="s">
        <v>4867</v>
      </c>
    </row>
    <row r="3145" spans="1:10" ht="25.5" customHeight="1">
      <c r="A3145" s="812" t="s">
        <v>13488</v>
      </c>
      <c r="B3145" s="811" t="s">
        <v>13561</v>
      </c>
      <c r="C3145" s="812" t="s">
        <v>6</v>
      </c>
      <c r="D3145" s="812" t="s">
        <v>131</v>
      </c>
      <c r="E3145" s="1020" t="s">
        <v>13490</v>
      </c>
      <c r="F3145" s="1020"/>
      <c r="G3145" s="813" t="s">
        <v>19</v>
      </c>
      <c r="H3145" s="814">
        <v>1</v>
      </c>
      <c r="I3145" s="815">
        <v>13.65</v>
      </c>
      <c r="J3145" s="815">
        <v>13.65</v>
      </c>
    </row>
    <row r="3146" spans="1:10" ht="38.25" customHeight="1">
      <c r="A3146" s="817" t="s">
        <v>13491</v>
      </c>
      <c r="B3146" s="816" t="s">
        <v>14560</v>
      </c>
      <c r="C3146" s="817" t="s">
        <v>6</v>
      </c>
      <c r="D3146" s="817" t="s">
        <v>2536</v>
      </c>
      <c r="E3146" s="1021" t="s">
        <v>13490</v>
      </c>
      <c r="F3146" s="1021"/>
      <c r="G3146" s="818" t="s">
        <v>19</v>
      </c>
      <c r="H3146" s="819">
        <v>1</v>
      </c>
      <c r="I3146" s="820">
        <v>0.09</v>
      </c>
      <c r="J3146" s="820">
        <v>0.09</v>
      </c>
    </row>
    <row r="3147" spans="1:10">
      <c r="A3147" s="822" t="s">
        <v>13493</v>
      </c>
      <c r="B3147" s="821" t="s">
        <v>13528</v>
      </c>
      <c r="C3147" s="822" t="s">
        <v>6</v>
      </c>
      <c r="D3147" s="822" t="s">
        <v>4581</v>
      </c>
      <c r="E3147" s="1017" t="s">
        <v>13499</v>
      </c>
      <c r="F3147" s="1017"/>
      <c r="G3147" s="823" t="s">
        <v>19</v>
      </c>
      <c r="H3147" s="824">
        <v>1</v>
      </c>
      <c r="I3147" s="825">
        <v>1.52</v>
      </c>
      <c r="J3147" s="825">
        <v>1.52</v>
      </c>
    </row>
    <row r="3148" spans="1:10" ht="25.5">
      <c r="A3148" s="822" t="s">
        <v>13493</v>
      </c>
      <c r="B3148" s="821" t="s">
        <v>14561</v>
      </c>
      <c r="C3148" s="822" t="s">
        <v>6</v>
      </c>
      <c r="D3148" s="822" t="s">
        <v>4656</v>
      </c>
      <c r="E3148" s="1017" t="s">
        <v>13497</v>
      </c>
      <c r="F3148" s="1017"/>
      <c r="G3148" s="823" t="s">
        <v>19</v>
      </c>
      <c r="H3148" s="824">
        <v>1</v>
      </c>
      <c r="I3148" s="825">
        <v>0.76</v>
      </c>
      <c r="J3148" s="825">
        <v>0.76</v>
      </c>
    </row>
    <row r="3149" spans="1:10" ht="13.5" customHeight="1">
      <c r="A3149" s="822" t="s">
        <v>13493</v>
      </c>
      <c r="B3149" s="821" t="s">
        <v>14562</v>
      </c>
      <c r="C3149" s="822" t="s">
        <v>6</v>
      </c>
      <c r="D3149" s="822" t="s">
        <v>4672</v>
      </c>
      <c r="E3149" s="1017" t="s">
        <v>13497</v>
      </c>
      <c r="F3149" s="1017"/>
      <c r="G3149" s="823" t="s">
        <v>19</v>
      </c>
      <c r="H3149" s="824">
        <v>1</v>
      </c>
      <c r="I3149" s="825">
        <v>0.01</v>
      </c>
      <c r="J3149" s="825">
        <v>0.01</v>
      </c>
    </row>
    <row r="3150" spans="1:10">
      <c r="A3150" s="822" t="s">
        <v>13493</v>
      </c>
      <c r="B3150" s="821" t="s">
        <v>13498</v>
      </c>
      <c r="C3150" s="822" t="s">
        <v>6</v>
      </c>
      <c r="D3150" s="822" t="s">
        <v>4665</v>
      </c>
      <c r="E3150" s="1017" t="s">
        <v>13499</v>
      </c>
      <c r="F3150" s="1017"/>
      <c r="G3150" s="823" t="s">
        <v>19</v>
      </c>
      <c r="H3150" s="824">
        <v>1</v>
      </c>
      <c r="I3150" s="825">
        <v>0.81</v>
      </c>
      <c r="J3150" s="825">
        <v>0.81</v>
      </c>
    </row>
    <row r="3151" spans="1:10">
      <c r="A3151" s="822" t="s">
        <v>13493</v>
      </c>
      <c r="B3151" s="821" t="s">
        <v>14563</v>
      </c>
      <c r="C3151" s="822" t="s">
        <v>6</v>
      </c>
      <c r="D3151" s="822" t="s">
        <v>11447</v>
      </c>
      <c r="E3151" s="1017" t="s">
        <v>13495</v>
      </c>
      <c r="F3151" s="1017"/>
      <c r="G3151" s="823" t="s">
        <v>19</v>
      </c>
      <c r="H3151" s="824">
        <v>1</v>
      </c>
      <c r="I3151" s="825">
        <v>9.7200000000000006</v>
      </c>
      <c r="J3151" s="825">
        <v>9.7200000000000006</v>
      </c>
    </row>
    <row r="3152" spans="1:10" ht="25.5" customHeight="1">
      <c r="A3152" s="822" t="s">
        <v>13493</v>
      </c>
      <c r="B3152" s="821" t="s">
        <v>13501</v>
      </c>
      <c r="C3152" s="822" t="s">
        <v>6</v>
      </c>
      <c r="D3152" s="822" t="s">
        <v>4779</v>
      </c>
      <c r="E3152" s="1017" t="s">
        <v>13502</v>
      </c>
      <c r="F3152" s="1017"/>
      <c r="G3152" s="823" t="s">
        <v>19</v>
      </c>
      <c r="H3152" s="824">
        <v>1</v>
      </c>
      <c r="I3152" s="825">
        <v>0.06</v>
      </c>
      <c r="J3152" s="825">
        <v>0.06</v>
      </c>
    </row>
    <row r="3153" spans="1:10">
      <c r="A3153" s="822" t="s">
        <v>13493</v>
      </c>
      <c r="B3153" s="821" t="s">
        <v>13531</v>
      </c>
      <c r="C3153" s="822" t="s">
        <v>6</v>
      </c>
      <c r="D3153" s="822" t="s">
        <v>4808</v>
      </c>
      <c r="E3153" s="1017" t="s">
        <v>13532</v>
      </c>
      <c r="F3153" s="1017"/>
      <c r="G3153" s="823" t="s">
        <v>19</v>
      </c>
      <c r="H3153" s="824">
        <v>1</v>
      </c>
      <c r="I3153" s="825">
        <v>0.68</v>
      </c>
      <c r="J3153" s="825">
        <v>0.68</v>
      </c>
    </row>
    <row r="3154" spans="1:10" ht="25.5">
      <c r="A3154" s="827"/>
      <c r="B3154" s="827"/>
      <c r="C3154" s="827"/>
      <c r="D3154" s="827"/>
      <c r="E3154" s="827" t="s">
        <v>13503</v>
      </c>
      <c r="F3154" s="826">
        <v>9.81</v>
      </c>
      <c r="G3154" s="827" t="s">
        <v>13504</v>
      </c>
      <c r="H3154" s="826">
        <v>0</v>
      </c>
      <c r="I3154" s="827" t="s">
        <v>13505</v>
      </c>
      <c r="J3154" s="826">
        <v>9.81</v>
      </c>
    </row>
    <row r="3155" spans="1:10" ht="13.5" customHeight="1" thickBot="1">
      <c r="A3155" s="827"/>
      <c r="B3155" s="827"/>
      <c r="C3155" s="827"/>
      <c r="D3155" s="827"/>
      <c r="E3155" s="827" t="s">
        <v>13506</v>
      </c>
      <c r="F3155" s="826">
        <v>3.85</v>
      </c>
      <c r="G3155" s="827"/>
      <c r="H3155" s="1018" t="s">
        <v>13507</v>
      </c>
      <c r="I3155" s="1018"/>
      <c r="J3155" s="826">
        <v>17.5</v>
      </c>
    </row>
    <row r="3156" spans="1:10" ht="13.5" customHeight="1" thickTop="1">
      <c r="A3156" s="828"/>
      <c r="B3156" s="828"/>
      <c r="C3156" s="828"/>
      <c r="D3156" s="828"/>
      <c r="E3156" s="828"/>
      <c r="F3156" s="828"/>
      <c r="G3156" s="828"/>
      <c r="H3156" s="828"/>
      <c r="I3156" s="828"/>
      <c r="J3156" s="828"/>
    </row>
    <row r="3157" spans="1:10" ht="45" customHeight="1">
      <c r="A3157" s="809" t="s">
        <v>14447</v>
      </c>
      <c r="B3157" s="808" t="s">
        <v>13481</v>
      </c>
      <c r="C3157" s="809" t="s">
        <v>13482</v>
      </c>
      <c r="D3157" s="809" t="s">
        <v>13483</v>
      </c>
      <c r="E3157" s="1019" t="s">
        <v>13484</v>
      </c>
      <c r="F3157" s="1019"/>
      <c r="G3157" s="810" t="s">
        <v>13485</v>
      </c>
      <c r="H3157" s="808" t="s">
        <v>13486</v>
      </c>
      <c r="I3157" s="808" t="s">
        <v>13487</v>
      </c>
      <c r="J3157" s="808" t="s">
        <v>4867</v>
      </c>
    </row>
    <row r="3158" spans="1:10" ht="25.5" customHeight="1">
      <c r="A3158" s="812" t="s">
        <v>13488</v>
      </c>
      <c r="B3158" s="811" t="s">
        <v>14407</v>
      </c>
      <c r="C3158" s="812" t="s">
        <v>6</v>
      </c>
      <c r="D3158" s="812" t="s">
        <v>167</v>
      </c>
      <c r="E3158" s="1020" t="s">
        <v>13490</v>
      </c>
      <c r="F3158" s="1020"/>
      <c r="G3158" s="813" t="s">
        <v>19</v>
      </c>
      <c r="H3158" s="814">
        <v>1</v>
      </c>
      <c r="I3158" s="815">
        <v>16.86</v>
      </c>
      <c r="J3158" s="815">
        <v>16.86</v>
      </c>
    </row>
    <row r="3159" spans="1:10" ht="25.5" customHeight="1">
      <c r="A3159" s="817" t="s">
        <v>13491</v>
      </c>
      <c r="B3159" s="816" t="s">
        <v>14564</v>
      </c>
      <c r="C3159" s="817" t="s">
        <v>6</v>
      </c>
      <c r="D3159" s="817" t="s">
        <v>2572</v>
      </c>
      <c r="E3159" s="1021" t="s">
        <v>13490</v>
      </c>
      <c r="F3159" s="1021"/>
      <c r="G3159" s="818" t="s">
        <v>19</v>
      </c>
      <c r="H3159" s="819">
        <v>1</v>
      </c>
      <c r="I3159" s="820">
        <v>0.14000000000000001</v>
      </c>
      <c r="J3159" s="820">
        <v>0.14000000000000001</v>
      </c>
    </row>
    <row r="3160" spans="1:10">
      <c r="A3160" s="822" t="s">
        <v>13493</v>
      </c>
      <c r="B3160" s="821" t="s">
        <v>13528</v>
      </c>
      <c r="C3160" s="822" t="s">
        <v>6</v>
      </c>
      <c r="D3160" s="822" t="s">
        <v>4581</v>
      </c>
      <c r="E3160" s="1017" t="s">
        <v>13499</v>
      </c>
      <c r="F3160" s="1017"/>
      <c r="G3160" s="823" t="s">
        <v>19</v>
      </c>
      <c r="H3160" s="824">
        <v>1</v>
      </c>
      <c r="I3160" s="825">
        <v>1.52</v>
      </c>
      <c r="J3160" s="825">
        <v>1.52</v>
      </c>
    </row>
    <row r="3161" spans="1:10" ht="25.5">
      <c r="A3161" s="822" t="s">
        <v>13493</v>
      </c>
      <c r="B3161" s="821" t="s">
        <v>14430</v>
      </c>
      <c r="C3161" s="822" t="s">
        <v>6</v>
      </c>
      <c r="D3161" s="822" t="s">
        <v>4657</v>
      </c>
      <c r="E3161" s="1017" t="s">
        <v>13497</v>
      </c>
      <c r="F3161" s="1017"/>
      <c r="G3161" s="823" t="s">
        <v>19</v>
      </c>
      <c r="H3161" s="824">
        <v>1</v>
      </c>
      <c r="I3161" s="825">
        <v>1.0900000000000001</v>
      </c>
      <c r="J3161" s="825">
        <v>1.0900000000000001</v>
      </c>
    </row>
    <row r="3162" spans="1:10">
      <c r="A3162" s="822" t="s">
        <v>13493</v>
      </c>
      <c r="B3162" s="821" t="s">
        <v>13498</v>
      </c>
      <c r="C3162" s="822" t="s">
        <v>6</v>
      </c>
      <c r="D3162" s="822" t="s">
        <v>4665</v>
      </c>
      <c r="E3162" s="1017" t="s">
        <v>13499</v>
      </c>
      <c r="F3162" s="1017"/>
      <c r="G3162" s="823" t="s">
        <v>19</v>
      </c>
      <c r="H3162" s="824">
        <v>1</v>
      </c>
      <c r="I3162" s="825">
        <v>0.81</v>
      </c>
      <c r="J3162" s="825">
        <v>0.81</v>
      </c>
    </row>
    <row r="3163" spans="1:10" ht="25.5">
      <c r="A3163" s="822" t="s">
        <v>13493</v>
      </c>
      <c r="B3163" s="821" t="s">
        <v>14431</v>
      </c>
      <c r="C3163" s="822" t="s">
        <v>6</v>
      </c>
      <c r="D3163" s="822" t="s">
        <v>4673</v>
      </c>
      <c r="E3163" s="1017" t="s">
        <v>13497</v>
      </c>
      <c r="F3163" s="1017"/>
      <c r="G3163" s="823" t="s">
        <v>19</v>
      </c>
      <c r="H3163" s="824">
        <v>1</v>
      </c>
      <c r="I3163" s="825">
        <v>0.74</v>
      </c>
      <c r="J3163" s="825">
        <v>0.74</v>
      </c>
    </row>
    <row r="3164" spans="1:10" ht="13.5" customHeight="1">
      <c r="A3164" s="822" t="s">
        <v>13493</v>
      </c>
      <c r="B3164" s="821" t="s">
        <v>13501</v>
      </c>
      <c r="C3164" s="822" t="s">
        <v>6</v>
      </c>
      <c r="D3164" s="822" t="s">
        <v>4779</v>
      </c>
      <c r="E3164" s="1017" t="s">
        <v>13502</v>
      </c>
      <c r="F3164" s="1017"/>
      <c r="G3164" s="823" t="s">
        <v>19</v>
      </c>
      <c r="H3164" s="824">
        <v>1</v>
      </c>
      <c r="I3164" s="825">
        <v>0.06</v>
      </c>
      <c r="J3164" s="825">
        <v>0.06</v>
      </c>
    </row>
    <row r="3165" spans="1:10">
      <c r="A3165" s="822" t="s">
        <v>13493</v>
      </c>
      <c r="B3165" s="821" t="s">
        <v>13531</v>
      </c>
      <c r="C3165" s="822" t="s">
        <v>6</v>
      </c>
      <c r="D3165" s="822" t="s">
        <v>4808</v>
      </c>
      <c r="E3165" s="1017" t="s">
        <v>13532</v>
      </c>
      <c r="F3165" s="1017"/>
      <c r="G3165" s="823" t="s">
        <v>19</v>
      </c>
      <c r="H3165" s="824">
        <v>1</v>
      </c>
      <c r="I3165" s="825">
        <v>0.68</v>
      </c>
      <c r="J3165" s="825">
        <v>0.68</v>
      </c>
    </row>
    <row r="3166" spans="1:10">
      <c r="A3166" s="822" t="s">
        <v>13493</v>
      </c>
      <c r="B3166" s="821" t="s">
        <v>14565</v>
      </c>
      <c r="C3166" s="822" t="s">
        <v>6</v>
      </c>
      <c r="D3166" s="822" t="s">
        <v>13248</v>
      </c>
      <c r="E3166" s="1017" t="s">
        <v>13495</v>
      </c>
      <c r="F3166" s="1017"/>
      <c r="G3166" s="823" t="s">
        <v>19</v>
      </c>
      <c r="H3166" s="824">
        <v>1</v>
      </c>
      <c r="I3166" s="825">
        <v>11.82</v>
      </c>
      <c r="J3166" s="825">
        <v>11.82</v>
      </c>
    </row>
    <row r="3167" spans="1:10" ht="25.5" customHeight="1">
      <c r="A3167" s="827"/>
      <c r="B3167" s="827"/>
      <c r="C3167" s="827"/>
      <c r="D3167" s="827"/>
      <c r="E3167" s="827" t="s">
        <v>13503</v>
      </c>
      <c r="F3167" s="826">
        <v>11.96</v>
      </c>
      <c r="G3167" s="827" t="s">
        <v>13504</v>
      </c>
      <c r="H3167" s="826">
        <v>0</v>
      </c>
      <c r="I3167" s="827" t="s">
        <v>13505</v>
      </c>
      <c r="J3167" s="826">
        <v>11.96</v>
      </c>
    </row>
    <row r="3168" spans="1:10" ht="13.5" customHeight="1" thickBot="1">
      <c r="A3168" s="827"/>
      <c r="B3168" s="827"/>
      <c r="C3168" s="827"/>
      <c r="D3168" s="827"/>
      <c r="E3168" s="827" t="s">
        <v>13506</v>
      </c>
      <c r="F3168" s="826">
        <v>4.76</v>
      </c>
      <c r="G3168" s="827"/>
      <c r="H3168" s="1018" t="s">
        <v>13507</v>
      </c>
      <c r="I3168" s="1018"/>
      <c r="J3168" s="826">
        <v>21.62</v>
      </c>
    </row>
    <row r="3169" spans="1:10" ht="13.5" thickTop="1">
      <c r="A3169" s="828"/>
      <c r="B3169" s="828"/>
      <c r="C3169" s="828"/>
      <c r="D3169" s="828"/>
      <c r="E3169" s="828"/>
      <c r="F3169" s="828"/>
      <c r="G3169" s="828"/>
      <c r="H3169" s="828"/>
      <c r="I3169" s="828"/>
      <c r="J3169" s="828"/>
    </row>
    <row r="3170" spans="1:10" ht="13.5" customHeight="1">
      <c r="A3170" s="1022" t="s">
        <v>14566</v>
      </c>
      <c r="B3170" s="1016"/>
      <c r="C3170" s="1016"/>
      <c r="D3170" s="1016"/>
      <c r="E3170" s="1016"/>
      <c r="F3170" s="1016"/>
      <c r="G3170" s="1016"/>
      <c r="H3170" s="1016"/>
      <c r="I3170" s="1016"/>
      <c r="J3170" s="1016"/>
    </row>
    <row r="3171" spans="1:10" ht="15">
      <c r="A3171" s="809"/>
      <c r="B3171" s="808" t="s">
        <v>13481</v>
      </c>
      <c r="C3171" s="809" t="s">
        <v>13482</v>
      </c>
      <c r="D3171" s="809" t="s">
        <v>13483</v>
      </c>
      <c r="E3171" s="1019" t="s">
        <v>13484</v>
      </c>
      <c r="F3171" s="1019"/>
      <c r="G3171" s="810" t="s">
        <v>13485</v>
      </c>
      <c r="H3171" s="808" t="s">
        <v>13486</v>
      </c>
      <c r="I3171" s="808" t="s">
        <v>13487</v>
      </c>
      <c r="J3171" s="808" t="s">
        <v>4867</v>
      </c>
    </row>
    <row r="3172" spans="1:10" ht="13.5" customHeight="1">
      <c r="A3172" s="812" t="s">
        <v>13488</v>
      </c>
      <c r="B3172" s="811" t="s">
        <v>14522</v>
      </c>
      <c r="C3172" s="812" t="s">
        <v>6</v>
      </c>
      <c r="D3172" s="812" t="s">
        <v>1190</v>
      </c>
      <c r="E3172" s="1020" t="s">
        <v>13898</v>
      </c>
      <c r="F3172" s="1020"/>
      <c r="G3172" s="813" t="s">
        <v>24</v>
      </c>
      <c r="H3172" s="814">
        <v>1</v>
      </c>
      <c r="I3172" s="815">
        <v>5.7</v>
      </c>
      <c r="J3172" s="815">
        <v>5.7</v>
      </c>
    </row>
    <row r="3173" spans="1:10" ht="38.25" customHeight="1">
      <c r="A3173" s="817" t="s">
        <v>13491</v>
      </c>
      <c r="B3173" s="816" t="s">
        <v>13909</v>
      </c>
      <c r="C3173" s="817" t="s">
        <v>6</v>
      </c>
      <c r="D3173" s="817" t="s">
        <v>986</v>
      </c>
      <c r="E3173" s="1021" t="s">
        <v>13490</v>
      </c>
      <c r="F3173" s="1021"/>
      <c r="G3173" s="818" t="s">
        <v>19</v>
      </c>
      <c r="H3173" s="819">
        <v>0.1</v>
      </c>
      <c r="I3173" s="820">
        <v>15.54</v>
      </c>
      <c r="J3173" s="820">
        <v>1.55</v>
      </c>
    </row>
    <row r="3174" spans="1:10" ht="38.25" customHeight="1">
      <c r="A3174" s="817" t="s">
        <v>13491</v>
      </c>
      <c r="B3174" s="816" t="s">
        <v>13574</v>
      </c>
      <c r="C3174" s="817" t="s">
        <v>6</v>
      </c>
      <c r="D3174" s="817" t="s">
        <v>34</v>
      </c>
      <c r="E3174" s="1021" t="s">
        <v>13490</v>
      </c>
      <c r="F3174" s="1021"/>
      <c r="G3174" s="818" t="s">
        <v>19</v>
      </c>
      <c r="H3174" s="819">
        <v>0.1</v>
      </c>
      <c r="I3174" s="820">
        <v>18.72</v>
      </c>
      <c r="J3174" s="820">
        <v>1.87</v>
      </c>
    </row>
    <row r="3175" spans="1:10" ht="25.5" customHeight="1">
      <c r="A3175" s="822" t="s">
        <v>13493</v>
      </c>
      <c r="B3175" s="821" t="s">
        <v>13910</v>
      </c>
      <c r="C3175" s="822" t="s">
        <v>6</v>
      </c>
      <c r="D3175" s="822" t="s">
        <v>8519</v>
      </c>
      <c r="E3175" s="1017" t="s">
        <v>13514</v>
      </c>
      <c r="F3175" s="1017"/>
      <c r="G3175" s="823" t="s">
        <v>24</v>
      </c>
      <c r="H3175" s="824">
        <v>7.0000000000000001E-3</v>
      </c>
      <c r="I3175" s="825">
        <v>76.94</v>
      </c>
      <c r="J3175" s="825">
        <v>0.53</v>
      </c>
    </row>
    <row r="3176" spans="1:10" ht="25.5">
      <c r="A3176" s="822" t="s">
        <v>13493</v>
      </c>
      <c r="B3176" s="821" t="s">
        <v>14047</v>
      </c>
      <c r="C3176" s="822" t="s">
        <v>6</v>
      </c>
      <c r="D3176" s="822" t="s">
        <v>4573</v>
      </c>
      <c r="E3176" s="1017" t="s">
        <v>13514</v>
      </c>
      <c r="F3176" s="1017"/>
      <c r="G3176" s="823" t="s">
        <v>24</v>
      </c>
      <c r="H3176" s="824">
        <v>1</v>
      </c>
      <c r="I3176" s="825">
        <v>0.95</v>
      </c>
      <c r="J3176" s="825">
        <v>0.95</v>
      </c>
    </row>
    <row r="3177" spans="1:10">
      <c r="A3177" s="822" t="s">
        <v>13493</v>
      </c>
      <c r="B3177" s="821" t="s">
        <v>13913</v>
      </c>
      <c r="C3177" s="822" t="s">
        <v>6</v>
      </c>
      <c r="D3177" s="822" t="s">
        <v>4706</v>
      </c>
      <c r="E3177" s="1017" t="s">
        <v>13514</v>
      </c>
      <c r="F3177" s="1017"/>
      <c r="G3177" s="823" t="s">
        <v>24</v>
      </c>
      <c r="H3177" s="824">
        <v>0.05</v>
      </c>
      <c r="I3177" s="825">
        <v>2.2000000000000002</v>
      </c>
      <c r="J3177" s="825">
        <v>0.11</v>
      </c>
    </row>
    <row r="3178" spans="1:10" ht="25.5">
      <c r="A3178" s="822" t="s">
        <v>13493</v>
      </c>
      <c r="B3178" s="821" t="s">
        <v>13915</v>
      </c>
      <c r="C3178" s="822" t="s">
        <v>6</v>
      </c>
      <c r="D3178" s="822" t="s">
        <v>12249</v>
      </c>
      <c r="E3178" s="1017" t="s">
        <v>13514</v>
      </c>
      <c r="F3178" s="1017"/>
      <c r="G3178" s="823" t="s">
        <v>24</v>
      </c>
      <c r="H3178" s="824">
        <v>8.0000000000000002E-3</v>
      </c>
      <c r="I3178" s="825">
        <v>87.17</v>
      </c>
      <c r="J3178" s="825">
        <v>0.69</v>
      </c>
    </row>
    <row r="3179" spans="1:10" ht="25.5">
      <c r="A3179" s="827"/>
      <c r="B3179" s="827"/>
      <c r="C3179" s="827"/>
      <c r="D3179" s="827"/>
      <c r="E3179" s="827" t="s">
        <v>13503</v>
      </c>
      <c r="F3179" s="826">
        <v>2.5499999999999998</v>
      </c>
      <c r="G3179" s="827" t="s">
        <v>13504</v>
      </c>
      <c r="H3179" s="826">
        <v>0</v>
      </c>
      <c r="I3179" s="827" t="s">
        <v>13505</v>
      </c>
      <c r="J3179" s="826">
        <v>2.5499999999999998</v>
      </c>
    </row>
    <row r="3180" spans="1:10" ht="13.5" customHeight="1" thickBot="1">
      <c r="A3180" s="827"/>
      <c r="B3180" s="827"/>
      <c r="C3180" s="827"/>
      <c r="D3180" s="827"/>
      <c r="E3180" s="827" t="s">
        <v>13506</v>
      </c>
      <c r="F3180" s="826">
        <v>1.6</v>
      </c>
      <c r="G3180" s="827"/>
      <c r="H3180" s="1018" t="s">
        <v>13507</v>
      </c>
      <c r="I3180" s="1018"/>
      <c r="J3180" s="826">
        <v>7.3</v>
      </c>
    </row>
    <row r="3181" spans="1:10" ht="13.5" thickTop="1">
      <c r="A3181" s="828"/>
      <c r="B3181" s="828"/>
      <c r="C3181" s="828"/>
      <c r="D3181" s="828"/>
      <c r="E3181" s="828"/>
      <c r="F3181" s="828"/>
      <c r="G3181" s="828"/>
      <c r="H3181" s="828"/>
      <c r="I3181" s="828"/>
      <c r="J3181" s="828"/>
    </row>
    <row r="3182" spans="1:10" ht="15">
      <c r="A3182" s="809"/>
      <c r="B3182" s="808" t="s">
        <v>13481</v>
      </c>
      <c r="C3182" s="809" t="s">
        <v>13482</v>
      </c>
      <c r="D3182" s="809" t="s">
        <v>13483</v>
      </c>
      <c r="E3182" s="1019" t="s">
        <v>13484</v>
      </c>
      <c r="F3182" s="1019"/>
      <c r="G3182" s="810" t="s">
        <v>13485</v>
      </c>
      <c r="H3182" s="808" t="s">
        <v>13486</v>
      </c>
      <c r="I3182" s="808" t="s">
        <v>13487</v>
      </c>
      <c r="J3182" s="808" t="s">
        <v>4867</v>
      </c>
    </row>
    <row r="3183" spans="1:10" ht="25.5" customHeight="1">
      <c r="A3183" s="812" t="s">
        <v>13488</v>
      </c>
      <c r="B3183" s="811" t="s">
        <v>13667</v>
      </c>
      <c r="C3183" s="812" t="s">
        <v>6</v>
      </c>
      <c r="D3183" s="812" t="s">
        <v>111</v>
      </c>
      <c r="E3183" s="1020" t="s">
        <v>13490</v>
      </c>
      <c r="F3183" s="1020"/>
      <c r="G3183" s="813" t="s">
        <v>19</v>
      </c>
      <c r="H3183" s="814">
        <v>1</v>
      </c>
      <c r="I3183" s="815">
        <v>15.93</v>
      </c>
      <c r="J3183" s="815">
        <v>15.93</v>
      </c>
    </row>
    <row r="3184" spans="1:10" ht="38.25" customHeight="1">
      <c r="A3184" s="817" t="s">
        <v>13491</v>
      </c>
      <c r="B3184" s="816" t="s">
        <v>14567</v>
      </c>
      <c r="C3184" s="817" t="s">
        <v>6</v>
      </c>
      <c r="D3184" s="817" t="s">
        <v>2509</v>
      </c>
      <c r="E3184" s="1021" t="s">
        <v>13490</v>
      </c>
      <c r="F3184" s="1021"/>
      <c r="G3184" s="818" t="s">
        <v>19</v>
      </c>
      <c r="H3184" s="819">
        <v>1</v>
      </c>
      <c r="I3184" s="820">
        <v>0.1</v>
      </c>
      <c r="J3184" s="820">
        <v>0.1</v>
      </c>
    </row>
    <row r="3185" spans="1:10">
      <c r="A3185" s="822" t="s">
        <v>13493</v>
      </c>
      <c r="B3185" s="821" t="s">
        <v>14568</v>
      </c>
      <c r="C3185" s="822" t="s">
        <v>6</v>
      </c>
      <c r="D3185" s="822" t="s">
        <v>4580</v>
      </c>
      <c r="E3185" s="1017" t="s">
        <v>13495</v>
      </c>
      <c r="F3185" s="1017"/>
      <c r="G3185" s="823" t="s">
        <v>19</v>
      </c>
      <c r="H3185" s="824">
        <v>1</v>
      </c>
      <c r="I3185" s="825">
        <v>11.05</v>
      </c>
      <c r="J3185" s="825">
        <v>11.05</v>
      </c>
    </row>
    <row r="3186" spans="1:10" ht="13.5" customHeight="1">
      <c r="A3186" s="822" t="s">
        <v>13493</v>
      </c>
      <c r="B3186" s="821" t="s">
        <v>13528</v>
      </c>
      <c r="C3186" s="822" t="s">
        <v>6</v>
      </c>
      <c r="D3186" s="822" t="s">
        <v>4581</v>
      </c>
      <c r="E3186" s="1017" t="s">
        <v>13499</v>
      </c>
      <c r="F3186" s="1017"/>
      <c r="G3186" s="823" t="s">
        <v>19</v>
      </c>
      <c r="H3186" s="824">
        <v>1</v>
      </c>
      <c r="I3186" s="825">
        <v>1.52</v>
      </c>
      <c r="J3186" s="825">
        <v>1.52</v>
      </c>
    </row>
    <row r="3187" spans="1:10" ht="25.5">
      <c r="A3187" s="822" t="s">
        <v>13493</v>
      </c>
      <c r="B3187" s="821" t="s">
        <v>13529</v>
      </c>
      <c r="C3187" s="822" t="s">
        <v>6</v>
      </c>
      <c r="D3187" s="822" t="s">
        <v>4659</v>
      </c>
      <c r="E3187" s="1017" t="s">
        <v>13497</v>
      </c>
      <c r="F3187" s="1017"/>
      <c r="G3187" s="823" t="s">
        <v>19</v>
      </c>
      <c r="H3187" s="824">
        <v>1</v>
      </c>
      <c r="I3187" s="825">
        <v>1.1499999999999999</v>
      </c>
      <c r="J3187" s="825">
        <v>1.1499999999999999</v>
      </c>
    </row>
    <row r="3188" spans="1:10">
      <c r="A3188" s="822" t="s">
        <v>13493</v>
      </c>
      <c r="B3188" s="821" t="s">
        <v>13498</v>
      </c>
      <c r="C3188" s="822" t="s">
        <v>6</v>
      </c>
      <c r="D3188" s="822" t="s">
        <v>4665</v>
      </c>
      <c r="E3188" s="1017" t="s">
        <v>13499</v>
      </c>
      <c r="F3188" s="1017"/>
      <c r="G3188" s="823" t="s">
        <v>19</v>
      </c>
      <c r="H3188" s="824">
        <v>1</v>
      </c>
      <c r="I3188" s="825">
        <v>0.81</v>
      </c>
      <c r="J3188" s="825">
        <v>0.81</v>
      </c>
    </row>
    <row r="3189" spans="1:10" ht="25.5">
      <c r="A3189" s="822" t="s">
        <v>13493</v>
      </c>
      <c r="B3189" s="821" t="s">
        <v>13530</v>
      </c>
      <c r="C3189" s="822" t="s">
        <v>6</v>
      </c>
      <c r="D3189" s="822" t="s">
        <v>4675</v>
      </c>
      <c r="E3189" s="1017" t="s">
        <v>13497</v>
      </c>
      <c r="F3189" s="1017"/>
      <c r="G3189" s="823" t="s">
        <v>19</v>
      </c>
      <c r="H3189" s="824">
        <v>1</v>
      </c>
      <c r="I3189" s="825">
        <v>0.56000000000000005</v>
      </c>
      <c r="J3189" s="825">
        <v>0.56000000000000005</v>
      </c>
    </row>
    <row r="3190" spans="1:10">
      <c r="A3190" s="822" t="s">
        <v>13493</v>
      </c>
      <c r="B3190" s="821" t="s">
        <v>13501</v>
      </c>
      <c r="C3190" s="822" t="s">
        <v>6</v>
      </c>
      <c r="D3190" s="822" t="s">
        <v>4779</v>
      </c>
      <c r="E3190" s="1017" t="s">
        <v>13502</v>
      </c>
      <c r="F3190" s="1017"/>
      <c r="G3190" s="823" t="s">
        <v>19</v>
      </c>
      <c r="H3190" s="824">
        <v>1</v>
      </c>
      <c r="I3190" s="825">
        <v>0.06</v>
      </c>
      <c r="J3190" s="825">
        <v>0.06</v>
      </c>
    </row>
    <row r="3191" spans="1:10">
      <c r="A3191" s="822" t="s">
        <v>13493</v>
      </c>
      <c r="B3191" s="821" t="s">
        <v>13531</v>
      </c>
      <c r="C3191" s="822" t="s">
        <v>6</v>
      </c>
      <c r="D3191" s="822" t="s">
        <v>4808</v>
      </c>
      <c r="E3191" s="1017" t="s">
        <v>13532</v>
      </c>
      <c r="F3191" s="1017"/>
      <c r="G3191" s="823" t="s">
        <v>19</v>
      </c>
      <c r="H3191" s="824">
        <v>1</v>
      </c>
      <c r="I3191" s="825">
        <v>0.68</v>
      </c>
      <c r="J3191" s="825">
        <v>0.68</v>
      </c>
    </row>
    <row r="3192" spans="1:10" ht="13.5" customHeight="1">
      <c r="A3192" s="827"/>
      <c r="B3192" s="827"/>
      <c r="C3192" s="827"/>
      <c r="D3192" s="827"/>
      <c r="E3192" s="827" t="s">
        <v>13503</v>
      </c>
      <c r="F3192" s="826">
        <v>11.15</v>
      </c>
      <c r="G3192" s="827" t="s">
        <v>13504</v>
      </c>
      <c r="H3192" s="826">
        <v>0</v>
      </c>
      <c r="I3192" s="827" t="s">
        <v>13505</v>
      </c>
      <c r="J3192" s="826">
        <v>11.15</v>
      </c>
    </row>
    <row r="3193" spans="1:10" ht="13.5" customHeight="1" thickBot="1">
      <c r="A3193" s="827"/>
      <c r="B3193" s="827"/>
      <c r="C3193" s="827"/>
      <c r="D3193" s="827"/>
      <c r="E3193" s="827" t="s">
        <v>13506</v>
      </c>
      <c r="F3193" s="826">
        <v>4.49</v>
      </c>
      <c r="G3193" s="827"/>
      <c r="H3193" s="1018" t="s">
        <v>13507</v>
      </c>
      <c r="I3193" s="1018"/>
      <c r="J3193" s="826">
        <v>20.420000000000002</v>
      </c>
    </row>
    <row r="3194" spans="1:10" ht="13.5" thickTop="1">
      <c r="A3194" s="828"/>
      <c r="B3194" s="828"/>
      <c r="C3194" s="828"/>
      <c r="D3194" s="828"/>
      <c r="E3194" s="828"/>
      <c r="F3194" s="828"/>
      <c r="G3194" s="828"/>
      <c r="H3194" s="828"/>
      <c r="I3194" s="828"/>
      <c r="J3194" s="828"/>
    </row>
    <row r="3195" spans="1:10" ht="15">
      <c r="A3195" s="809"/>
      <c r="B3195" s="808" t="s">
        <v>13481</v>
      </c>
      <c r="C3195" s="809" t="s">
        <v>13482</v>
      </c>
      <c r="D3195" s="809" t="s">
        <v>13483</v>
      </c>
      <c r="E3195" s="1019" t="s">
        <v>13484</v>
      </c>
      <c r="F3195" s="1019"/>
      <c r="G3195" s="810" t="s">
        <v>13485</v>
      </c>
      <c r="H3195" s="808" t="s">
        <v>13486</v>
      </c>
      <c r="I3195" s="808" t="s">
        <v>13487</v>
      </c>
      <c r="J3195" s="808" t="s">
        <v>4867</v>
      </c>
    </row>
    <row r="3196" spans="1:10" ht="25.5" customHeight="1">
      <c r="A3196" s="812" t="s">
        <v>13488</v>
      </c>
      <c r="B3196" s="811" t="s">
        <v>14459</v>
      </c>
      <c r="C3196" s="812" t="s">
        <v>6</v>
      </c>
      <c r="D3196" s="812" t="s">
        <v>2002</v>
      </c>
      <c r="E3196" s="1020" t="s">
        <v>13539</v>
      </c>
      <c r="F3196" s="1020"/>
      <c r="G3196" s="813" t="s">
        <v>19</v>
      </c>
      <c r="H3196" s="814">
        <v>1</v>
      </c>
      <c r="I3196" s="815">
        <v>0.26</v>
      </c>
      <c r="J3196" s="815">
        <v>0.26</v>
      </c>
    </row>
    <row r="3197" spans="1:10" ht="38.25">
      <c r="A3197" s="822" t="s">
        <v>13493</v>
      </c>
      <c r="B3197" s="821" t="s">
        <v>14569</v>
      </c>
      <c r="C3197" s="822" t="s">
        <v>6</v>
      </c>
      <c r="D3197" s="822" t="s">
        <v>4585</v>
      </c>
      <c r="E3197" s="1017" t="s">
        <v>13514</v>
      </c>
      <c r="F3197" s="1017"/>
      <c r="G3197" s="823" t="s">
        <v>24</v>
      </c>
      <c r="H3197" s="824">
        <v>6.3999999999999997E-5</v>
      </c>
      <c r="I3197" s="825">
        <v>4179.04</v>
      </c>
      <c r="J3197" s="825">
        <v>0.26</v>
      </c>
    </row>
    <row r="3198" spans="1:10" ht="13.5" customHeight="1">
      <c r="A3198" s="827"/>
      <c r="B3198" s="827"/>
      <c r="C3198" s="827"/>
      <c r="D3198" s="827"/>
      <c r="E3198" s="827" t="s">
        <v>13503</v>
      </c>
      <c r="F3198" s="826">
        <v>0</v>
      </c>
      <c r="G3198" s="827" t="s">
        <v>13504</v>
      </c>
      <c r="H3198" s="826">
        <v>0</v>
      </c>
      <c r="I3198" s="827" t="s">
        <v>13505</v>
      </c>
      <c r="J3198" s="826">
        <v>0</v>
      </c>
    </row>
    <row r="3199" spans="1:10" ht="13.5" customHeight="1" thickBot="1">
      <c r="A3199" s="827"/>
      <c r="B3199" s="827"/>
      <c r="C3199" s="827"/>
      <c r="D3199" s="827"/>
      <c r="E3199" s="827" t="s">
        <v>13506</v>
      </c>
      <c r="F3199" s="826">
        <v>7.0000000000000007E-2</v>
      </c>
      <c r="G3199" s="827"/>
      <c r="H3199" s="1018" t="s">
        <v>13507</v>
      </c>
      <c r="I3199" s="1018"/>
      <c r="J3199" s="826">
        <v>0.33</v>
      </c>
    </row>
    <row r="3200" spans="1:10" ht="13.5" thickTop="1">
      <c r="A3200" s="828"/>
      <c r="B3200" s="828"/>
      <c r="C3200" s="828"/>
      <c r="D3200" s="828"/>
      <c r="E3200" s="828"/>
      <c r="F3200" s="828"/>
      <c r="G3200" s="828"/>
      <c r="H3200" s="828"/>
      <c r="I3200" s="828"/>
      <c r="J3200" s="828"/>
    </row>
    <row r="3201" spans="1:10" ht="15">
      <c r="A3201" s="809"/>
      <c r="B3201" s="808" t="s">
        <v>13481</v>
      </c>
      <c r="C3201" s="809" t="s">
        <v>13482</v>
      </c>
      <c r="D3201" s="809" t="s">
        <v>13483</v>
      </c>
      <c r="E3201" s="1019" t="s">
        <v>13484</v>
      </c>
      <c r="F3201" s="1019"/>
      <c r="G3201" s="810" t="s">
        <v>13485</v>
      </c>
      <c r="H3201" s="808" t="s">
        <v>13486</v>
      </c>
      <c r="I3201" s="808" t="s">
        <v>13487</v>
      </c>
      <c r="J3201" s="808" t="s">
        <v>4867</v>
      </c>
    </row>
    <row r="3202" spans="1:10" ht="25.5" customHeight="1">
      <c r="A3202" s="812" t="s">
        <v>13488</v>
      </c>
      <c r="B3202" s="811" t="s">
        <v>14458</v>
      </c>
      <c r="C3202" s="812" t="s">
        <v>6</v>
      </c>
      <c r="D3202" s="812" t="s">
        <v>2003</v>
      </c>
      <c r="E3202" s="1020" t="s">
        <v>13539</v>
      </c>
      <c r="F3202" s="1020"/>
      <c r="G3202" s="813" t="s">
        <v>19</v>
      </c>
      <c r="H3202" s="814">
        <v>1</v>
      </c>
      <c r="I3202" s="815">
        <v>0.03</v>
      </c>
      <c r="J3202" s="815">
        <v>0.03</v>
      </c>
    </row>
    <row r="3203" spans="1:10" ht="38.25">
      <c r="A3203" s="822" t="s">
        <v>13493</v>
      </c>
      <c r="B3203" s="821" t="s">
        <v>14569</v>
      </c>
      <c r="C3203" s="822" t="s">
        <v>6</v>
      </c>
      <c r="D3203" s="822" t="s">
        <v>4585</v>
      </c>
      <c r="E3203" s="1017" t="s">
        <v>13514</v>
      </c>
      <c r="F3203" s="1017"/>
      <c r="G3203" s="823" t="s">
        <v>24</v>
      </c>
      <c r="H3203" s="824">
        <v>7.6000000000000001E-6</v>
      </c>
      <c r="I3203" s="825">
        <v>4179.04</v>
      </c>
      <c r="J3203" s="825">
        <v>0.03</v>
      </c>
    </row>
    <row r="3204" spans="1:10" ht="13.5" customHeight="1">
      <c r="A3204" s="827"/>
      <c r="B3204" s="827"/>
      <c r="C3204" s="827"/>
      <c r="D3204" s="827"/>
      <c r="E3204" s="827" t="s">
        <v>13503</v>
      </c>
      <c r="F3204" s="826">
        <v>0</v>
      </c>
      <c r="G3204" s="827" t="s">
        <v>13504</v>
      </c>
      <c r="H3204" s="826">
        <v>0</v>
      </c>
      <c r="I3204" s="827" t="s">
        <v>13505</v>
      </c>
      <c r="J3204" s="826">
        <v>0</v>
      </c>
    </row>
    <row r="3205" spans="1:10" ht="13.5" customHeight="1" thickBot="1">
      <c r="A3205" s="827"/>
      <c r="B3205" s="827"/>
      <c r="C3205" s="827"/>
      <c r="D3205" s="827"/>
      <c r="E3205" s="827" t="s">
        <v>13506</v>
      </c>
      <c r="F3205" s="826">
        <v>0</v>
      </c>
      <c r="G3205" s="827"/>
      <c r="H3205" s="1018" t="s">
        <v>13507</v>
      </c>
      <c r="I3205" s="1018"/>
      <c r="J3205" s="826">
        <v>0.03</v>
      </c>
    </row>
    <row r="3206" spans="1:10" ht="13.5" thickTop="1">
      <c r="A3206" s="828"/>
      <c r="B3206" s="828"/>
      <c r="C3206" s="828"/>
      <c r="D3206" s="828"/>
      <c r="E3206" s="828"/>
      <c r="F3206" s="828"/>
      <c r="G3206" s="828"/>
      <c r="H3206" s="828"/>
      <c r="I3206" s="828"/>
      <c r="J3206" s="828"/>
    </row>
    <row r="3207" spans="1:10" ht="15">
      <c r="A3207" s="809"/>
      <c r="B3207" s="808" t="s">
        <v>13481</v>
      </c>
      <c r="C3207" s="809" t="s">
        <v>13482</v>
      </c>
      <c r="D3207" s="809" t="s">
        <v>13483</v>
      </c>
      <c r="E3207" s="1019" t="s">
        <v>13484</v>
      </c>
      <c r="F3207" s="1019"/>
      <c r="G3207" s="810" t="s">
        <v>13485</v>
      </c>
      <c r="H3207" s="808" t="s">
        <v>13486</v>
      </c>
      <c r="I3207" s="808" t="s">
        <v>13487</v>
      </c>
      <c r="J3207" s="808" t="s">
        <v>4867</v>
      </c>
    </row>
    <row r="3208" spans="1:10" ht="25.5" customHeight="1">
      <c r="A3208" s="812" t="s">
        <v>13488</v>
      </c>
      <c r="B3208" s="811" t="s">
        <v>14460</v>
      </c>
      <c r="C3208" s="812" t="s">
        <v>6</v>
      </c>
      <c r="D3208" s="812" t="s">
        <v>2004</v>
      </c>
      <c r="E3208" s="1020" t="s">
        <v>13539</v>
      </c>
      <c r="F3208" s="1020"/>
      <c r="G3208" s="813" t="s">
        <v>19</v>
      </c>
      <c r="H3208" s="814">
        <v>1</v>
      </c>
      <c r="I3208" s="815">
        <v>0.33</v>
      </c>
      <c r="J3208" s="815">
        <v>0.33</v>
      </c>
    </row>
    <row r="3209" spans="1:10" ht="38.25">
      <c r="A3209" s="822" t="s">
        <v>13493</v>
      </c>
      <c r="B3209" s="821" t="s">
        <v>14569</v>
      </c>
      <c r="C3209" s="822" t="s">
        <v>6</v>
      </c>
      <c r="D3209" s="822" t="s">
        <v>4585</v>
      </c>
      <c r="E3209" s="1017" t="s">
        <v>13514</v>
      </c>
      <c r="F3209" s="1017"/>
      <c r="G3209" s="823" t="s">
        <v>24</v>
      </c>
      <c r="H3209" s="824">
        <v>8.0000000000000007E-5</v>
      </c>
      <c r="I3209" s="825">
        <v>4179.04</v>
      </c>
      <c r="J3209" s="825">
        <v>0.33</v>
      </c>
    </row>
    <row r="3210" spans="1:10" ht="13.5" customHeight="1">
      <c r="A3210" s="827"/>
      <c r="B3210" s="827"/>
      <c r="C3210" s="827"/>
      <c r="D3210" s="827"/>
      <c r="E3210" s="827" t="s">
        <v>13503</v>
      </c>
      <c r="F3210" s="826">
        <v>0</v>
      </c>
      <c r="G3210" s="827" t="s">
        <v>13504</v>
      </c>
      <c r="H3210" s="826">
        <v>0</v>
      </c>
      <c r="I3210" s="827" t="s">
        <v>13505</v>
      </c>
      <c r="J3210" s="826">
        <v>0</v>
      </c>
    </row>
    <row r="3211" spans="1:10" ht="13.5" customHeight="1" thickBot="1">
      <c r="A3211" s="827"/>
      <c r="B3211" s="827"/>
      <c r="C3211" s="827"/>
      <c r="D3211" s="827"/>
      <c r="E3211" s="827" t="s">
        <v>13506</v>
      </c>
      <c r="F3211" s="826">
        <v>0.09</v>
      </c>
      <c r="G3211" s="827"/>
      <c r="H3211" s="1018" t="s">
        <v>13507</v>
      </c>
      <c r="I3211" s="1018"/>
      <c r="J3211" s="826">
        <v>0.42</v>
      </c>
    </row>
    <row r="3212" spans="1:10" ht="13.5" thickTop="1">
      <c r="A3212" s="828"/>
      <c r="B3212" s="828"/>
      <c r="C3212" s="828"/>
      <c r="D3212" s="828"/>
      <c r="E3212" s="828"/>
      <c r="F3212" s="828"/>
      <c r="G3212" s="828"/>
      <c r="H3212" s="828"/>
      <c r="I3212" s="828"/>
      <c r="J3212" s="828"/>
    </row>
    <row r="3213" spans="1:10" ht="15">
      <c r="A3213" s="809"/>
      <c r="B3213" s="808" t="s">
        <v>13481</v>
      </c>
      <c r="C3213" s="809" t="s">
        <v>13482</v>
      </c>
      <c r="D3213" s="809" t="s">
        <v>13483</v>
      </c>
      <c r="E3213" s="1019" t="s">
        <v>13484</v>
      </c>
      <c r="F3213" s="1019"/>
      <c r="G3213" s="810" t="s">
        <v>13485</v>
      </c>
      <c r="H3213" s="808" t="s">
        <v>13486</v>
      </c>
      <c r="I3213" s="808" t="s">
        <v>13487</v>
      </c>
      <c r="J3213" s="808" t="s">
        <v>4867</v>
      </c>
    </row>
    <row r="3214" spans="1:10" ht="25.5" customHeight="1">
      <c r="A3214" s="812" t="s">
        <v>13488</v>
      </c>
      <c r="B3214" s="811" t="s">
        <v>14461</v>
      </c>
      <c r="C3214" s="812" t="s">
        <v>6</v>
      </c>
      <c r="D3214" s="812" t="s">
        <v>2005</v>
      </c>
      <c r="E3214" s="1020" t="s">
        <v>13539</v>
      </c>
      <c r="F3214" s="1020"/>
      <c r="G3214" s="813" t="s">
        <v>19</v>
      </c>
      <c r="H3214" s="814">
        <v>1</v>
      </c>
      <c r="I3214" s="815">
        <v>30.46</v>
      </c>
      <c r="J3214" s="815">
        <v>30.46</v>
      </c>
    </row>
    <row r="3215" spans="1:10" ht="38.25">
      <c r="A3215" s="822" t="s">
        <v>13493</v>
      </c>
      <c r="B3215" s="821" t="s">
        <v>14570</v>
      </c>
      <c r="C3215" s="822" t="s">
        <v>6</v>
      </c>
      <c r="D3215" s="822" t="s">
        <v>13444</v>
      </c>
      <c r="E3215" s="1017" t="s">
        <v>13514</v>
      </c>
      <c r="F3215" s="1017"/>
      <c r="G3215" s="823" t="s">
        <v>16</v>
      </c>
      <c r="H3215" s="824">
        <v>0.3261</v>
      </c>
      <c r="I3215" s="825">
        <v>76.47</v>
      </c>
      <c r="J3215" s="825">
        <v>24.93</v>
      </c>
    </row>
    <row r="3216" spans="1:10" ht="13.5" customHeight="1">
      <c r="A3216" s="822" t="s">
        <v>13493</v>
      </c>
      <c r="B3216" s="821" t="s">
        <v>14571</v>
      </c>
      <c r="C3216" s="822" t="s">
        <v>6</v>
      </c>
      <c r="D3216" s="822" t="s">
        <v>4736</v>
      </c>
      <c r="E3216" s="1017" t="s">
        <v>13514</v>
      </c>
      <c r="F3216" s="1017"/>
      <c r="G3216" s="823" t="s">
        <v>13543</v>
      </c>
      <c r="H3216" s="824">
        <v>0.33</v>
      </c>
      <c r="I3216" s="825">
        <v>16.760000000000002</v>
      </c>
      <c r="J3216" s="825">
        <v>5.53</v>
      </c>
    </row>
    <row r="3217" spans="1:10" ht="25.5">
      <c r="A3217" s="827"/>
      <c r="B3217" s="827"/>
      <c r="C3217" s="827"/>
      <c r="D3217" s="827"/>
      <c r="E3217" s="827" t="s">
        <v>13503</v>
      </c>
      <c r="F3217" s="826">
        <v>0</v>
      </c>
      <c r="G3217" s="827" t="s">
        <v>13504</v>
      </c>
      <c r="H3217" s="826">
        <v>0</v>
      </c>
      <c r="I3217" s="827" t="s">
        <v>13505</v>
      </c>
      <c r="J3217" s="826">
        <v>0</v>
      </c>
    </row>
    <row r="3218" spans="1:10" ht="13.5" customHeight="1" thickBot="1">
      <c r="A3218" s="827"/>
      <c r="B3218" s="827"/>
      <c r="C3218" s="827"/>
      <c r="D3218" s="827"/>
      <c r="E3218" s="827" t="s">
        <v>13506</v>
      </c>
      <c r="F3218" s="826">
        <v>8.6</v>
      </c>
      <c r="G3218" s="827"/>
      <c r="H3218" s="1018" t="s">
        <v>13507</v>
      </c>
      <c r="I3218" s="1018"/>
      <c r="J3218" s="826">
        <v>39.06</v>
      </c>
    </row>
    <row r="3219" spans="1:10" ht="13.5" thickTop="1">
      <c r="A3219" s="828"/>
      <c r="B3219" s="828"/>
      <c r="C3219" s="828"/>
      <c r="D3219" s="828"/>
      <c r="E3219" s="828"/>
      <c r="F3219" s="828"/>
      <c r="G3219" s="828"/>
      <c r="H3219" s="828"/>
      <c r="I3219" s="828"/>
      <c r="J3219" s="828"/>
    </row>
    <row r="3220" spans="1:10" ht="15">
      <c r="A3220" s="809"/>
      <c r="B3220" s="808" t="s">
        <v>13481</v>
      </c>
      <c r="C3220" s="809" t="s">
        <v>13482</v>
      </c>
      <c r="D3220" s="809" t="s">
        <v>13483</v>
      </c>
      <c r="E3220" s="1019" t="s">
        <v>13484</v>
      </c>
      <c r="F3220" s="1019"/>
      <c r="G3220" s="810" t="s">
        <v>13485</v>
      </c>
      <c r="H3220" s="808" t="s">
        <v>13486</v>
      </c>
      <c r="I3220" s="808" t="s">
        <v>13487</v>
      </c>
      <c r="J3220" s="808" t="s">
        <v>4867</v>
      </c>
    </row>
    <row r="3221" spans="1:10" ht="38.25" customHeight="1">
      <c r="A3221" s="812" t="s">
        <v>13488</v>
      </c>
      <c r="B3221" s="811" t="s">
        <v>14482</v>
      </c>
      <c r="C3221" s="812" t="s">
        <v>6</v>
      </c>
      <c r="D3221" s="812" t="s">
        <v>3834</v>
      </c>
      <c r="E3221" s="1020" t="s">
        <v>13490</v>
      </c>
      <c r="F3221" s="1020"/>
      <c r="G3221" s="813" t="s">
        <v>13543</v>
      </c>
      <c r="H3221" s="814">
        <v>1</v>
      </c>
      <c r="I3221" s="815">
        <v>461.65</v>
      </c>
      <c r="J3221" s="815">
        <v>461.65</v>
      </c>
    </row>
    <row r="3222" spans="1:10" ht="13.5" customHeight="1">
      <c r="A3222" s="817" t="s">
        <v>13491</v>
      </c>
      <c r="B3222" s="816" t="s">
        <v>14475</v>
      </c>
      <c r="C3222" s="817" t="s">
        <v>6</v>
      </c>
      <c r="D3222" s="817" t="s">
        <v>1042</v>
      </c>
      <c r="E3222" s="1021" t="s">
        <v>13539</v>
      </c>
      <c r="F3222" s="1021"/>
      <c r="G3222" s="818" t="s">
        <v>42</v>
      </c>
      <c r="H3222" s="819">
        <v>3.96</v>
      </c>
      <c r="I3222" s="820">
        <v>0.37</v>
      </c>
      <c r="J3222" s="820">
        <v>1.46</v>
      </c>
    </row>
    <row r="3223" spans="1:10" ht="38.25" customHeight="1">
      <c r="A3223" s="817" t="s">
        <v>13491</v>
      </c>
      <c r="B3223" s="816" t="s">
        <v>14476</v>
      </c>
      <c r="C3223" s="817" t="s">
        <v>6</v>
      </c>
      <c r="D3223" s="817" t="s">
        <v>1041</v>
      </c>
      <c r="E3223" s="1021" t="s">
        <v>13539</v>
      </c>
      <c r="F3223" s="1021"/>
      <c r="G3223" s="818" t="s">
        <v>28</v>
      </c>
      <c r="H3223" s="819">
        <v>1.2</v>
      </c>
      <c r="I3223" s="820">
        <v>1.87</v>
      </c>
      <c r="J3223" s="820">
        <v>2.2400000000000002</v>
      </c>
    </row>
    <row r="3224" spans="1:10" ht="38.25" customHeight="1">
      <c r="A3224" s="817" t="s">
        <v>13491</v>
      </c>
      <c r="B3224" s="816" t="s">
        <v>13656</v>
      </c>
      <c r="C3224" s="817" t="s">
        <v>6</v>
      </c>
      <c r="D3224" s="817" t="s">
        <v>990</v>
      </c>
      <c r="E3224" s="1021" t="s">
        <v>13490</v>
      </c>
      <c r="F3224" s="1021"/>
      <c r="G3224" s="818" t="s">
        <v>19</v>
      </c>
      <c r="H3224" s="819">
        <v>5.16</v>
      </c>
      <c r="I3224" s="820">
        <v>13.71</v>
      </c>
      <c r="J3224" s="820">
        <v>70.739999999999995</v>
      </c>
    </row>
    <row r="3225" spans="1:10" ht="25.5">
      <c r="A3225" s="822" t="s">
        <v>13493</v>
      </c>
      <c r="B3225" s="821" t="s">
        <v>13657</v>
      </c>
      <c r="C3225" s="822" t="s">
        <v>6</v>
      </c>
      <c r="D3225" s="822" t="s">
        <v>4588</v>
      </c>
      <c r="E3225" s="1017" t="s">
        <v>13514</v>
      </c>
      <c r="F3225" s="1017"/>
      <c r="G3225" s="823" t="s">
        <v>13543</v>
      </c>
      <c r="H3225" s="824">
        <v>1.17</v>
      </c>
      <c r="I3225" s="825">
        <v>83.5</v>
      </c>
      <c r="J3225" s="825">
        <v>97.69</v>
      </c>
    </row>
    <row r="3226" spans="1:10">
      <c r="A3226" s="822" t="s">
        <v>13493</v>
      </c>
      <c r="B3226" s="821" t="s">
        <v>14536</v>
      </c>
      <c r="C3226" s="822" t="s">
        <v>6</v>
      </c>
      <c r="D3226" s="822" t="s">
        <v>4613</v>
      </c>
      <c r="E3226" s="1017" t="s">
        <v>13514</v>
      </c>
      <c r="F3226" s="1017"/>
      <c r="G3226" s="823" t="s">
        <v>16</v>
      </c>
      <c r="H3226" s="824">
        <v>117.22</v>
      </c>
      <c r="I3226" s="825">
        <v>0.85</v>
      </c>
      <c r="J3226" s="825">
        <v>99.63</v>
      </c>
    </row>
    <row r="3227" spans="1:10">
      <c r="A3227" s="822" t="s">
        <v>13493</v>
      </c>
      <c r="B3227" s="821" t="s">
        <v>13658</v>
      </c>
      <c r="C3227" s="822" t="s">
        <v>6</v>
      </c>
      <c r="D3227" s="822" t="s">
        <v>4622</v>
      </c>
      <c r="E3227" s="1017" t="s">
        <v>13514</v>
      </c>
      <c r="F3227" s="1017"/>
      <c r="G3227" s="823" t="s">
        <v>16</v>
      </c>
      <c r="H3227" s="824">
        <v>263.74</v>
      </c>
      <c r="I3227" s="825">
        <v>0.72</v>
      </c>
      <c r="J3227" s="825">
        <v>189.89</v>
      </c>
    </row>
    <row r="3228" spans="1:10" ht="13.5" customHeight="1">
      <c r="A3228" s="827"/>
      <c r="B3228" s="827"/>
      <c r="C3228" s="827"/>
      <c r="D3228" s="827"/>
      <c r="E3228" s="827" t="s">
        <v>13503</v>
      </c>
      <c r="F3228" s="826">
        <v>50.92</v>
      </c>
      <c r="G3228" s="827" t="s">
        <v>13504</v>
      </c>
      <c r="H3228" s="826">
        <v>0</v>
      </c>
      <c r="I3228" s="827" t="s">
        <v>13505</v>
      </c>
      <c r="J3228" s="826">
        <v>50.92</v>
      </c>
    </row>
    <row r="3229" spans="1:10" ht="13.5" customHeight="1" thickBot="1">
      <c r="A3229" s="827"/>
      <c r="B3229" s="827"/>
      <c r="C3229" s="827"/>
      <c r="D3229" s="827"/>
      <c r="E3229" s="827" t="s">
        <v>13506</v>
      </c>
      <c r="F3229" s="826">
        <v>130.36000000000001</v>
      </c>
      <c r="G3229" s="827"/>
      <c r="H3229" s="1018" t="s">
        <v>13507</v>
      </c>
      <c r="I3229" s="1018"/>
      <c r="J3229" s="826">
        <v>592.01</v>
      </c>
    </row>
    <row r="3230" spans="1:10" ht="13.5" thickTop="1">
      <c r="A3230" s="828"/>
      <c r="B3230" s="828"/>
      <c r="C3230" s="828"/>
      <c r="D3230" s="828"/>
      <c r="E3230" s="828"/>
      <c r="F3230" s="828"/>
      <c r="G3230" s="828"/>
      <c r="H3230" s="828"/>
      <c r="I3230" s="828"/>
      <c r="J3230" s="828"/>
    </row>
    <row r="3231" spans="1:10" ht="15">
      <c r="A3231" s="809"/>
      <c r="B3231" s="808" t="s">
        <v>13481</v>
      </c>
      <c r="C3231" s="809" t="s">
        <v>13482</v>
      </c>
      <c r="D3231" s="809" t="s">
        <v>13483</v>
      </c>
      <c r="E3231" s="1019" t="s">
        <v>13484</v>
      </c>
      <c r="F3231" s="1019"/>
      <c r="G3231" s="810" t="s">
        <v>13485</v>
      </c>
      <c r="H3231" s="808" t="s">
        <v>13486</v>
      </c>
      <c r="I3231" s="808" t="s">
        <v>13487</v>
      </c>
      <c r="J3231" s="808" t="s">
        <v>4867</v>
      </c>
    </row>
    <row r="3232" spans="1:10" ht="38.25" customHeight="1">
      <c r="A3232" s="812" t="s">
        <v>13488</v>
      </c>
      <c r="B3232" s="811" t="s">
        <v>13741</v>
      </c>
      <c r="C3232" s="812" t="s">
        <v>6</v>
      </c>
      <c r="D3232" s="812" t="s">
        <v>3904</v>
      </c>
      <c r="E3232" s="1020" t="s">
        <v>13490</v>
      </c>
      <c r="F3232" s="1020"/>
      <c r="G3232" s="813" t="s">
        <v>13543</v>
      </c>
      <c r="H3232" s="814">
        <v>1</v>
      </c>
      <c r="I3232" s="815">
        <v>547.53</v>
      </c>
      <c r="J3232" s="815">
        <v>547.53</v>
      </c>
    </row>
    <row r="3233" spans="1:10" ht="38.25" customHeight="1">
      <c r="A3233" s="817" t="s">
        <v>13491</v>
      </c>
      <c r="B3233" s="816" t="s">
        <v>13553</v>
      </c>
      <c r="C3233" s="817" t="s">
        <v>6</v>
      </c>
      <c r="D3233" s="817" t="s">
        <v>21</v>
      </c>
      <c r="E3233" s="1021" t="s">
        <v>13490</v>
      </c>
      <c r="F3233" s="1021"/>
      <c r="G3233" s="818" t="s">
        <v>19</v>
      </c>
      <c r="H3233" s="819">
        <v>11.1</v>
      </c>
      <c r="I3233" s="820">
        <v>15.16</v>
      </c>
      <c r="J3233" s="820">
        <v>168.27</v>
      </c>
    </row>
    <row r="3234" spans="1:10" ht="13.5" customHeight="1">
      <c r="A3234" s="822" t="s">
        <v>13493</v>
      </c>
      <c r="B3234" s="821" t="s">
        <v>13657</v>
      </c>
      <c r="C3234" s="822" t="s">
        <v>6</v>
      </c>
      <c r="D3234" s="822" t="s">
        <v>4588</v>
      </c>
      <c r="E3234" s="1017" t="s">
        <v>13514</v>
      </c>
      <c r="F3234" s="1017"/>
      <c r="G3234" s="823" t="s">
        <v>13543</v>
      </c>
      <c r="H3234" s="824">
        <v>1.1399999999999999</v>
      </c>
      <c r="I3234" s="825">
        <v>83.5</v>
      </c>
      <c r="J3234" s="825">
        <v>95.19</v>
      </c>
    </row>
    <row r="3235" spans="1:10">
      <c r="A3235" s="822" t="s">
        <v>13493</v>
      </c>
      <c r="B3235" s="821" t="s">
        <v>14536</v>
      </c>
      <c r="C3235" s="822" t="s">
        <v>6</v>
      </c>
      <c r="D3235" s="822" t="s">
        <v>4613</v>
      </c>
      <c r="E3235" s="1017" t="s">
        <v>13514</v>
      </c>
      <c r="F3235" s="1017"/>
      <c r="G3235" s="823" t="s">
        <v>16</v>
      </c>
      <c r="H3235" s="824">
        <v>171.13</v>
      </c>
      <c r="I3235" s="825">
        <v>0.85</v>
      </c>
      <c r="J3235" s="825">
        <v>145.46</v>
      </c>
    </row>
    <row r="3236" spans="1:10">
      <c r="A3236" s="822" t="s">
        <v>13493</v>
      </c>
      <c r="B3236" s="821" t="s">
        <v>13658</v>
      </c>
      <c r="C3236" s="822" t="s">
        <v>6</v>
      </c>
      <c r="D3236" s="822" t="s">
        <v>4622</v>
      </c>
      <c r="E3236" s="1017" t="s">
        <v>13514</v>
      </c>
      <c r="F3236" s="1017"/>
      <c r="G3236" s="823" t="s">
        <v>16</v>
      </c>
      <c r="H3236" s="824">
        <v>192.52</v>
      </c>
      <c r="I3236" s="825">
        <v>0.72</v>
      </c>
      <c r="J3236" s="825">
        <v>138.61000000000001</v>
      </c>
    </row>
    <row r="3237" spans="1:10" ht="25.5">
      <c r="A3237" s="827"/>
      <c r="B3237" s="827"/>
      <c r="C3237" s="827"/>
      <c r="D3237" s="827"/>
      <c r="E3237" s="827" t="s">
        <v>13503</v>
      </c>
      <c r="F3237" s="826">
        <v>115.21</v>
      </c>
      <c r="G3237" s="827" t="s">
        <v>13504</v>
      </c>
      <c r="H3237" s="826">
        <v>0</v>
      </c>
      <c r="I3237" s="827" t="s">
        <v>13505</v>
      </c>
      <c r="J3237" s="826">
        <v>115.21</v>
      </c>
    </row>
    <row r="3238" spans="1:10" ht="13.5" customHeight="1" thickBot="1">
      <c r="A3238" s="827"/>
      <c r="B3238" s="827"/>
      <c r="C3238" s="827"/>
      <c r="D3238" s="827"/>
      <c r="E3238" s="827" t="s">
        <v>13506</v>
      </c>
      <c r="F3238" s="826">
        <v>154.62</v>
      </c>
      <c r="G3238" s="827"/>
      <c r="H3238" s="1018" t="s">
        <v>13507</v>
      </c>
      <c r="I3238" s="1018"/>
      <c r="J3238" s="826">
        <v>702.15</v>
      </c>
    </row>
    <row r="3239" spans="1:10" ht="13.5" thickTop="1">
      <c r="A3239" s="828"/>
      <c r="B3239" s="828"/>
      <c r="C3239" s="828"/>
      <c r="D3239" s="828"/>
      <c r="E3239" s="828"/>
      <c r="F3239" s="828"/>
      <c r="G3239" s="828"/>
      <c r="H3239" s="828"/>
      <c r="I3239" s="828"/>
      <c r="J3239" s="828"/>
    </row>
    <row r="3240" spans="1:10" ht="13.5" customHeight="1">
      <c r="A3240" s="809"/>
      <c r="B3240" s="808" t="s">
        <v>13481</v>
      </c>
      <c r="C3240" s="809" t="s">
        <v>13482</v>
      </c>
      <c r="D3240" s="809" t="s">
        <v>13483</v>
      </c>
      <c r="E3240" s="1019" t="s">
        <v>13484</v>
      </c>
      <c r="F3240" s="1019"/>
      <c r="G3240" s="810" t="s">
        <v>13485</v>
      </c>
      <c r="H3240" s="808" t="s">
        <v>13486</v>
      </c>
      <c r="I3240" s="808" t="s">
        <v>13487</v>
      </c>
      <c r="J3240" s="808" t="s">
        <v>4867</v>
      </c>
    </row>
    <row r="3241" spans="1:10" ht="38.25" customHeight="1">
      <c r="A3241" s="812" t="s">
        <v>13488</v>
      </c>
      <c r="B3241" s="811" t="s">
        <v>13716</v>
      </c>
      <c r="C3241" s="812" t="s">
        <v>6</v>
      </c>
      <c r="D3241" s="812" t="s">
        <v>3838</v>
      </c>
      <c r="E3241" s="1020" t="s">
        <v>13490</v>
      </c>
      <c r="F3241" s="1020"/>
      <c r="G3241" s="813" t="s">
        <v>13543</v>
      </c>
      <c r="H3241" s="814">
        <v>1</v>
      </c>
      <c r="I3241" s="815">
        <v>450.77</v>
      </c>
      <c r="J3241" s="815">
        <v>450.77</v>
      </c>
    </row>
    <row r="3242" spans="1:10" ht="38.25" customHeight="1">
      <c r="A3242" s="817" t="s">
        <v>13491</v>
      </c>
      <c r="B3242" s="816" t="s">
        <v>14475</v>
      </c>
      <c r="C3242" s="817" t="s">
        <v>6</v>
      </c>
      <c r="D3242" s="817" t="s">
        <v>1042</v>
      </c>
      <c r="E3242" s="1021" t="s">
        <v>13539</v>
      </c>
      <c r="F3242" s="1021"/>
      <c r="G3242" s="818" t="s">
        <v>42</v>
      </c>
      <c r="H3242" s="819">
        <v>3.45</v>
      </c>
      <c r="I3242" s="820">
        <v>0.37</v>
      </c>
      <c r="J3242" s="820">
        <v>1.27</v>
      </c>
    </row>
    <row r="3243" spans="1:10" ht="38.25" customHeight="1">
      <c r="A3243" s="817" t="s">
        <v>13491</v>
      </c>
      <c r="B3243" s="816" t="s">
        <v>14476</v>
      </c>
      <c r="C3243" s="817" t="s">
        <v>6</v>
      </c>
      <c r="D3243" s="817" t="s">
        <v>1041</v>
      </c>
      <c r="E3243" s="1021" t="s">
        <v>13539</v>
      </c>
      <c r="F3243" s="1021"/>
      <c r="G3243" s="818" t="s">
        <v>28</v>
      </c>
      <c r="H3243" s="819">
        <v>1.05</v>
      </c>
      <c r="I3243" s="820">
        <v>1.87</v>
      </c>
      <c r="J3243" s="820">
        <v>1.96</v>
      </c>
    </row>
    <row r="3244" spans="1:10" ht="38.25" customHeight="1">
      <c r="A3244" s="817" t="s">
        <v>13491</v>
      </c>
      <c r="B3244" s="816" t="s">
        <v>13656</v>
      </c>
      <c r="C3244" s="817" t="s">
        <v>6</v>
      </c>
      <c r="D3244" s="817" t="s">
        <v>990</v>
      </c>
      <c r="E3244" s="1021" t="s">
        <v>13490</v>
      </c>
      <c r="F3244" s="1021"/>
      <c r="G3244" s="818" t="s">
        <v>19</v>
      </c>
      <c r="H3244" s="819">
        <v>4.5</v>
      </c>
      <c r="I3244" s="820">
        <v>13.71</v>
      </c>
      <c r="J3244" s="820">
        <v>61.69</v>
      </c>
    </row>
    <row r="3245" spans="1:10" ht="25.5">
      <c r="A3245" s="822" t="s">
        <v>13493</v>
      </c>
      <c r="B3245" s="821" t="s">
        <v>13657</v>
      </c>
      <c r="C3245" s="822" t="s">
        <v>6</v>
      </c>
      <c r="D3245" s="822" t="s">
        <v>4588</v>
      </c>
      <c r="E3245" s="1017" t="s">
        <v>13514</v>
      </c>
      <c r="F3245" s="1017"/>
      <c r="G3245" s="823" t="s">
        <v>13543</v>
      </c>
      <c r="H3245" s="824">
        <v>1.1599999999999999</v>
      </c>
      <c r="I3245" s="825">
        <v>83.5</v>
      </c>
      <c r="J3245" s="825">
        <v>96.86</v>
      </c>
    </row>
    <row r="3246" spans="1:10" ht="13.5" customHeight="1">
      <c r="A3246" s="822" t="s">
        <v>13493</v>
      </c>
      <c r="B3246" s="821" t="s">
        <v>14536</v>
      </c>
      <c r="C3246" s="822" t="s">
        <v>6</v>
      </c>
      <c r="D3246" s="822" t="s">
        <v>4613</v>
      </c>
      <c r="E3246" s="1017" t="s">
        <v>13514</v>
      </c>
      <c r="F3246" s="1017"/>
      <c r="G3246" s="823" t="s">
        <v>16</v>
      </c>
      <c r="H3246" s="824">
        <v>174.1</v>
      </c>
      <c r="I3246" s="825">
        <v>0.85</v>
      </c>
      <c r="J3246" s="825">
        <v>147.97999999999999</v>
      </c>
    </row>
    <row r="3247" spans="1:10">
      <c r="A3247" s="822" t="s">
        <v>13493</v>
      </c>
      <c r="B3247" s="821" t="s">
        <v>13658</v>
      </c>
      <c r="C3247" s="822" t="s">
        <v>6</v>
      </c>
      <c r="D3247" s="822" t="s">
        <v>4622</v>
      </c>
      <c r="E3247" s="1017" t="s">
        <v>13514</v>
      </c>
      <c r="F3247" s="1017"/>
      <c r="G3247" s="823" t="s">
        <v>16</v>
      </c>
      <c r="H3247" s="824">
        <v>195.86</v>
      </c>
      <c r="I3247" s="825">
        <v>0.72</v>
      </c>
      <c r="J3247" s="825">
        <v>141.01</v>
      </c>
    </row>
    <row r="3248" spans="1:10" ht="25.5">
      <c r="A3248" s="827"/>
      <c r="B3248" s="827"/>
      <c r="C3248" s="827"/>
      <c r="D3248" s="827"/>
      <c r="E3248" s="827" t="s">
        <v>13503</v>
      </c>
      <c r="F3248" s="826">
        <v>44.41</v>
      </c>
      <c r="G3248" s="827" t="s">
        <v>13504</v>
      </c>
      <c r="H3248" s="826">
        <v>0</v>
      </c>
      <c r="I3248" s="827" t="s">
        <v>13505</v>
      </c>
      <c r="J3248" s="826">
        <v>44.41</v>
      </c>
    </row>
    <row r="3249" spans="1:10" ht="13.5" customHeight="1" thickBot="1">
      <c r="A3249" s="827"/>
      <c r="B3249" s="827"/>
      <c r="C3249" s="827"/>
      <c r="D3249" s="827"/>
      <c r="E3249" s="827" t="s">
        <v>13506</v>
      </c>
      <c r="F3249" s="826">
        <v>127.29</v>
      </c>
      <c r="G3249" s="827"/>
      <c r="H3249" s="1018" t="s">
        <v>13507</v>
      </c>
      <c r="I3249" s="1018"/>
      <c r="J3249" s="826">
        <v>578.05999999999995</v>
      </c>
    </row>
    <row r="3250" spans="1:10" ht="13.5" thickTop="1">
      <c r="A3250" s="828"/>
      <c r="B3250" s="828"/>
      <c r="C3250" s="828"/>
      <c r="D3250" s="828"/>
      <c r="E3250" s="828"/>
      <c r="F3250" s="828"/>
      <c r="G3250" s="828"/>
      <c r="H3250" s="828"/>
      <c r="I3250" s="828"/>
      <c r="J3250" s="828"/>
    </row>
    <row r="3251" spans="1:10" ht="15">
      <c r="A3251" s="809"/>
      <c r="B3251" s="808" t="s">
        <v>13481</v>
      </c>
      <c r="C3251" s="809" t="s">
        <v>13482</v>
      </c>
      <c r="D3251" s="809" t="s">
        <v>13483</v>
      </c>
      <c r="E3251" s="1019" t="s">
        <v>13484</v>
      </c>
      <c r="F3251" s="1019"/>
      <c r="G3251" s="810" t="s">
        <v>13485</v>
      </c>
      <c r="H3251" s="808" t="s">
        <v>13486</v>
      </c>
      <c r="I3251" s="808" t="s">
        <v>13487</v>
      </c>
      <c r="J3251" s="808" t="s">
        <v>4867</v>
      </c>
    </row>
    <row r="3252" spans="1:10" ht="13.5" customHeight="1">
      <c r="A3252" s="812" t="s">
        <v>13488</v>
      </c>
      <c r="B3252" s="811" t="s">
        <v>13711</v>
      </c>
      <c r="C3252" s="812" t="s">
        <v>6</v>
      </c>
      <c r="D3252" s="812" t="s">
        <v>3839</v>
      </c>
      <c r="E3252" s="1020" t="s">
        <v>13490</v>
      </c>
      <c r="F3252" s="1020"/>
      <c r="G3252" s="813" t="s">
        <v>13543</v>
      </c>
      <c r="H3252" s="814">
        <v>1</v>
      </c>
      <c r="I3252" s="815">
        <v>430.66</v>
      </c>
      <c r="J3252" s="815">
        <v>430.66</v>
      </c>
    </row>
    <row r="3253" spans="1:10" ht="38.25" customHeight="1">
      <c r="A3253" s="817" t="s">
        <v>13491</v>
      </c>
      <c r="B3253" s="816" t="s">
        <v>13655</v>
      </c>
      <c r="C3253" s="817" t="s">
        <v>6</v>
      </c>
      <c r="D3253" s="817" t="s">
        <v>1102</v>
      </c>
      <c r="E3253" s="1021" t="s">
        <v>13539</v>
      </c>
      <c r="F3253" s="1021"/>
      <c r="G3253" s="818" t="s">
        <v>28</v>
      </c>
      <c r="H3253" s="819">
        <v>0.85</v>
      </c>
      <c r="I3253" s="820">
        <v>5.3</v>
      </c>
      <c r="J3253" s="820">
        <v>4.5</v>
      </c>
    </row>
    <row r="3254" spans="1:10" ht="38.25" customHeight="1">
      <c r="A3254" s="817" t="s">
        <v>13491</v>
      </c>
      <c r="B3254" s="816" t="s">
        <v>13654</v>
      </c>
      <c r="C3254" s="817" t="s">
        <v>6</v>
      </c>
      <c r="D3254" s="817" t="s">
        <v>1103</v>
      </c>
      <c r="E3254" s="1021" t="s">
        <v>13539</v>
      </c>
      <c r="F3254" s="1021"/>
      <c r="G3254" s="818" t="s">
        <v>42</v>
      </c>
      <c r="H3254" s="819">
        <v>2.8</v>
      </c>
      <c r="I3254" s="820">
        <v>1.53</v>
      </c>
      <c r="J3254" s="820">
        <v>4.28</v>
      </c>
    </row>
    <row r="3255" spans="1:10" ht="38.25" customHeight="1">
      <c r="A3255" s="817" t="s">
        <v>13491</v>
      </c>
      <c r="B3255" s="816" t="s">
        <v>13553</v>
      </c>
      <c r="C3255" s="817" t="s">
        <v>6</v>
      </c>
      <c r="D3255" s="817" t="s">
        <v>21</v>
      </c>
      <c r="E3255" s="1021" t="s">
        <v>13490</v>
      </c>
      <c r="F3255" s="1021"/>
      <c r="G3255" s="818" t="s">
        <v>19</v>
      </c>
      <c r="H3255" s="819">
        <v>0.79</v>
      </c>
      <c r="I3255" s="820">
        <v>15.16</v>
      </c>
      <c r="J3255" s="820">
        <v>11.97</v>
      </c>
    </row>
    <row r="3256" spans="1:10" ht="38.25" customHeight="1">
      <c r="A3256" s="817" t="s">
        <v>13491</v>
      </c>
      <c r="B3256" s="816" t="s">
        <v>13656</v>
      </c>
      <c r="C3256" s="817" t="s">
        <v>6</v>
      </c>
      <c r="D3256" s="817" t="s">
        <v>990</v>
      </c>
      <c r="E3256" s="1021" t="s">
        <v>13490</v>
      </c>
      <c r="F3256" s="1021"/>
      <c r="G3256" s="818" t="s">
        <v>19</v>
      </c>
      <c r="H3256" s="819">
        <v>3.65</v>
      </c>
      <c r="I3256" s="820">
        <v>13.71</v>
      </c>
      <c r="J3256" s="820">
        <v>50.04</v>
      </c>
    </row>
    <row r="3257" spans="1:10" ht="25.5">
      <c r="A3257" s="822" t="s">
        <v>13493</v>
      </c>
      <c r="B3257" s="821" t="s">
        <v>13657</v>
      </c>
      <c r="C3257" s="822" t="s">
        <v>6</v>
      </c>
      <c r="D3257" s="822" t="s">
        <v>4588</v>
      </c>
      <c r="E3257" s="1017" t="s">
        <v>13514</v>
      </c>
      <c r="F3257" s="1017"/>
      <c r="G3257" s="823" t="s">
        <v>13543</v>
      </c>
      <c r="H3257" s="824">
        <v>1.18</v>
      </c>
      <c r="I3257" s="825">
        <v>83.5</v>
      </c>
      <c r="J3257" s="825">
        <v>98.53</v>
      </c>
    </row>
    <row r="3258" spans="1:10" ht="13.5" customHeight="1">
      <c r="A3258" s="822" t="s">
        <v>13493</v>
      </c>
      <c r="B3258" s="821" t="s">
        <v>14536</v>
      </c>
      <c r="C3258" s="822" t="s">
        <v>6</v>
      </c>
      <c r="D3258" s="822" t="s">
        <v>4613</v>
      </c>
      <c r="E3258" s="1017" t="s">
        <v>13514</v>
      </c>
      <c r="F3258" s="1017"/>
      <c r="G3258" s="823" t="s">
        <v>16</v>
      </c>
      <c r="H3258" s="824">
        <v>157.44</v>
      </c>
      <c r="I3258" s="825">
        <v>0.85</v>
      </c>
      <c r="J3258" s="825">
        <v>133.82</v>
      </c>
    </row>
    <row r="3259" spans="1:10">
      <c r="A3259" s="822" t="s">
        <v>13493</v>
      </c>
      <c r="B3259" s="821" t="s">
        <v>13658</v>
      </c>
      <c r="C3259" s="822" t="s">
        <v>6</v>
      </c>
      <c r="D3259" s="822" t="s">
        <v>4622</v>
      </c>
      <c r="E3259" s="1017" t="s">
        <v>13514</v>
      </c>
      <c r="F3259" s="1017"/>
      <c r="G3259" s="823" t="s">
        <v>16</v>
      </c>
      <c r="H3259" s="824">
        <v>177.12</v>
      </c>
      <c r="I3259" s="825">
        <v>0.72</v>
      </c>
      <c r="J3259" s="825">
        <v>127.52</v>
      </c>
    </row>
    <row r="3260" spans="1:10" ht="25.5">
      <c r="A3260" s="827"/>
      <c r="B3260" s="827"/>
      <c r="C3260" s="827"/>
      <c r="D3260" s="827"/>
      <c r="E3260" s="827" t="s">
        <v>13503</v>
      </c>
      <c r="F3260" s="826">
        <v>44.22</v>
      </c>
      <c r="G3260" s="827" t="s">
        <v>13504</v>
      </c>
      <c r="H3260" s="826">
        <v>0</v>
      </c>
      <c r="I3260" s="827" t="s">
        <v>13505</v>
      </c>
      <c r="J3260" s="826">
        <v>44.22</v>
      </c>
    </row>
    <row r="3261" spans="1:10" ht="13.5" customHeight="1" thickBot="1">
      <c r="A3261" s="827"/>
      <c r="B3261" s="827"/>
      <c r="C3261" s="827"/>
      <c r="D3261" s="827"/>
      <c r="E3261" s="827" t="s">
        <v>13506</v>
      </c>
      <c r="F3261" s="826">
        <v>121.61</v>
      </c>
      <c r="G3261" s="827"/>
      <c r="H3261" s="1018" t="s">
        <v>13507</v>
      </c>
      <c r="I3261" s="1018"/>
      <c r="J3261" s="826">
        <v>552.27</v>
      </c>
    </row>
    <row r="3262" spans="1:10" ht="13.5" thickTop="1">
      <c r="A3262" s="828"/>
      <c r="B3262" s="828"/>
      <c r="C3262" s="828"/>
      <c r="D3262" s="828"/>
      <c r="E3262" s="828"/>
      <c r="F3262" s="828"/>
      <c r="G3262" s="828"/>
      <c r="H3262" s="828"/>
      <c r="I3262" s="828"/>
      <c r="J3262" s="828"/>
    </row>
    <row r="3263" spans="1:10" ht="15">
      <c r="A3263" s="809"/>
      <c r="B3263" s="808" t="s">
        <v>13481</v>
      </c>
      <c r="C3263" s="809" t="s">
        <v>13482</v>
      </c>
      <c r="D3263" s="809" t="s">
        <v>13483</v>
      </c>
      <c r="E3263" s="1019" t="s">
        <v>13484</v>
      </c>
      <c r="F3263" s="1019"/>
      <c r="G3263" s="810" t="s">
        <v>13485</v>
      </c>
      <c r="H3263" s="808" t="s">
        <v>13486</v>
      </c>
      <c r="I3263" s="808" t="s">
        <v>13487</v>
      </c>
      <c r="J3263" s="808" t="s">
        <v>4867</v>
      </c>
    </row>
    <row r="3264" spans="1:10" ht="13.5" customHeight="1">
      <c r="A3264" s="812" t="s">
        <v>13488</v>
      </c>
      <c r="B3264" s="811" t="s">
        <v>13735</v>
      </c>
      <c r="C3264" s="812" t="s">
        <v>6</v>
      </c>
      <c r="D3264" s="812" t="s">
        <v>3852</v>
      </c>
      <c r="E3264" s="1020" t="s">
        <v>13490</v>
      </c>
      <c r="F3264" s="1020"/>
      <c r="G3264" s="813" t="s">
        <v>13543</v>
      </c>
      <c r="H3264" s="814">
        <v>1</v>
      </c>
      <c r="I3264" s="815">
        <v>449.75</v>
      </c>
      <c r="J3264" s="815">
        <v>449.75</v>
      </c>
    </row>
    <row r="3265" spans="1:10" ht="38.25" customHeight="1">
      <c r="A3265" s="817" t="s">
        <v>13491</v>
      </c>
      <c r="B3265" s="816" t="s">
        <v>14476</v>
      </c>
      <c r="C3265" s="817" t="s">
        <v>6</v>
      </c>
      <c r="D3265" s="817" t="s">
        <v>1041</v>
      </c>
      <c r="E3265" s="1021" t="s">
        <v>13539</v>
      </c>
      <c r="F3265" s="1021"/>
      <c r="G3265" s="818" t="s">
        <v>28</v>
      </c>
      <c r="H3265" s="819">
        <v>1.01</v>
      </c>
      <c r="I3265" s="820">
        <v>1.87</v>
      </c>
      <c r="J3265" s="820">
        <v>1.88</v>
      </c>
    </row>
    <row r="3266" spans="1:10" ht="38.25" customHeight="1">
      <c r="A3266" s="817" t="s">
        <v>13491</v>
      </c>
      <c r="B3266" s="816" t="s">
        <v>14475</v>
      </c>
      <c r="C3266" s="817" t="s">
        <v>6</v>
      </c>
      <c r="D3266" s="817" t="s">
        <v>1042</v>
      </c>
      <c r="E3266" s="1021" t="s">
        <v>13539</v>
      </c>
      <c r="F3266" s="1021"/>
      <c r="G3266" s="818" t="s">
        <v>42</v>
      </c>
      <c r="H3266" s="819">
        <v>3.31</v>
      </c>
      <c r="I3266" s="820">
        <v>0.37</v>
      </c>
      <c r="J3266" s="820">
        <v>1.22</v>
      </c>
    </row>
    <row r="3267" spans="1:10" ht="38.25" customHeight="1">
      <c r="A3267" s="817" t="s">
        <v>13491</v>
      </c>
      <c r="B3267" s="816" t="s">
        <v>13656</v>
      </c>
      <c r="C3267" s="817" t="s">
        <v>6</v>
      </c>
      <c r="D3267" s="817" t="s">
        <v>990</v>
      </c>
      <c r="E3267" s="1021" t="s">
        <v>13490</v>
      </c>
      <c r="F3267" s="1021"/>
      <c r="G3267" s="818" t="s">
        <v>19</v>
      </c>
      <c r="H3267" s="819">
        <v>4.32</v>
      </c>
      <c r="I3267" s="820">
        <v>13.71</v>
      </c>
      <c r="J3267" s="820">
        <v>59.22</v>
      </c>
    </row>
    <row r="3268" spans="1:10" ht="25.5">
      <c r="A3268" s="822" t="s">
        <v>13493</v>
      </c>
      <c r="B3268" s="821" t="s">
        <v>14572</v>
      </c>
      <c r="C3268" s="822" t="s">
        <v>6</v>
      </c>
      <c r="D3268" s="822" t="s">
        <v>4587</v>
      </c>
      <c r="E3268" s="1017" t="s">
        <v>13514</v>
      </c>
      <c r="F3268" s="1017"/>
      <c r="G3268" s="823" t="s">
        <v>13543</v>
      </c>
      <c r="H3268" s="824">
        <v>0.95</v>
      </c>
      <c r="I3268" s="825">
        <v>84.59</v>
      </c>
      <c r="J3268" s="825">
        <v>80.36</v>
      </c>
    </row>
    <row r="3269" spans="1:10">
      <c r="A3269" s="822" t="s">
        <v>13493</v>
      </c>
      <c r="B3269" s="821" t="s">
        <v>13658</v>
      </c>
      <c r="C3269" s="822" t="s">
        <v>6</v>
      </c>
      <c r="D3269" s="822" t="s">
        <v>4622</v>
      </c>
      <c r="E3269" s="1017" t="s">
        <v>13514</v>
      </c>
      <c r="F3269" s="1017"/>
      <c r="G3269" s="823" t="s">
        <v>16</v>
      </c>
      <c r="H3269" s="824">
        <v>426.49</v>
      </c>
      <c r="I3269" s="825">
        <v>0.72</v>
      </c>
      <c r="J3269" s="825">
        <v>307.07</v>
      </c>
    </row>
    <row r="3270" spans="1:10" ht="13.5" customHeight="1">
      <c r="A3270" s="827"/>
      <c r="B3270" s="827"/>
      <c r="C3270" s="827"/>
      <c r="D3270" s="827"/>
      <c r="E3270" s="827" t="s">
        <v>13503</v>
      </c>
      <c r="F3270" s="826">
        <v>42.63</v>
      </c>
      <c r="G3270" s="827" t="s">
        <v>13504</v>
      </c>
      <c r="H3270" s="826">
        <v>0</v>
      </c>
      <c r="I3270" s="827" t="s">
        <v>13505</v>
      </c>
      <c r="J3270" s="826">
        <v>42.63</v>
      </c>
    </row>
    <row r="3271" spans="1:10" ht="13.5" customHeight="1" thickBot="1">
      <c r="A3271" s="827"/>
      <c r="B3271" s="827"/>
      <c r="C3271" s="827"/>
      <c r="D3271" s="827"/>
      <c r="E3271" s="827" t="s">
        <v>13506</v>
      </c>
      <c r="F3271" s="826">
        <v>127</v>
      </c>
      <c r="G3271" s="827"/>
      <c r="H3271" s="1018" t="s">
        <v>13507</v>
      </c>
      <c r="I3271" s="1018"/>
      <c r="J3271" s="826">
        <v>576.75</v>
      </c>
    </row>
    <row r="3272" spans="1:10" ht="13.5" thickTop="1">
      <c r="A3272" s="828"/>
      <c r="B3272" s="828"/>
      <c r="C3272" s="828"/>
      <c r="D3272" s="828"/>
      <c r="E3272" s="828"/>
      <c r="F3272" s="828"/>
      <c r="G3272" s="828"/>
      <c r="H3272" s="828"/>
      <c r="I3272" s="828"/>
      <c r="J3272" s="828"/>
    </row>
    <row r="3273" spans="1:10" ht="15">
      <c r="A3273" s="809"/>
      <c r="B3273" s="808" t="s">
        <v>13481</v>
      </c>
      <c r="C3273" s="809" t="s">
        <v>13482</v>
      </c>
      <c r="D3273" s="809" t="s">
        <v>13483</v>
      </c>
      <c r="E3273" s="1019" t="s">
        <v>13484</v>
      </c>
      <c r="F3273" s="1019"/>
      <c r="G3273" s="810" t="s">
        <v>13485</v>
      </c>
      <c r="H3273" s="808" t="s">
        <v>13486</v>
      </c>
      <c r="I3273" s="808" t="s">
        <v>13487</v>
      </c>
      <c r="J3273" s="808" t="s">
        <v>4867</v>
      </c>
    </row>
    <row r="3274" spans="1:10" ht="25.5" customHeight="1">
      <c r="A3274" s="812" t="s">
        <v>13488</v>
      </c>
      <c r="B3274" s="811" t="s">
        <v>13902</v>
      </c>
      <c r="C3274" s="812" t="s">
        <v>6</v>
      </c>
      <c r="D3274" s="812" t="s">
        <v>3954</v>
      </c>
      <c r="E3274" s="1020" t="s">
        <v>13490</v>
      </c>
      <c r="F3274" s="1020"/>
      <c r="G3274" s="813" t="s">
        <v>13543</v>
      </c>
      <c r="H3274" s="814">
        <v>1</v>
      </c>
      <c r="I3274" s="815">
        <v>600.33000000000004</v>
      </c>
      <c r="J3274" s="815">
        <v>600.33000000000004</v>
      </c>
    </row>
    <row r="3275" spans="1:10" ht="38.25" customHeight="1">
      <c r="A3275" s="817" t="s">
        <v>13491</v>
      </c>
      <c r="B3275" s="816" t="s">
        <v>14476</v>
      </c>
      <c r="C3275" s="817" t="s">
        <v>6</v>
      </c>
      <c r="D3275" s="817" t="s">
        <v>1041</v>
      </c>
      <c r="E3275" s="1021" t="s">
        <v>13539</v>
      </c>
      <c r="F3275" s="1021"/>
      <c r="G3275" s="818" t="s">
        <v>28</v>
      </c>
      <c r="H3275" s="819">
        <v>0.87</v>
      </c>
      <c r="I3275" s="820">
        <v>1.87</v>
      </c>
      <c r="J3275" s="820">
        <v>1.62</v>
      </c>
    </row>
    <row r="3276" spans="1:10" ht="13.5" customHeight="1">
      <c r="A3276" s="817" t="s">
        <v>13491</v>
      </c>
      <c r="B3276" s="816" t="s">
        <v>14475</v>
      </c>
      <c r="C3276" s="817" t="s">
        <v>6</v>
      </c>
      <c r="D3276" s="817" t="s">
        <v>1042</v>
      </c>
      <c r="E3276" s="1021" t="s">
        <v>13539</v>
      </c>
      <c r="F3276" s="1021"/>
      <c r="G3276" s="818" t="s">
        <v>42</v>
      </c>
      <c r="H3276" s="819">
        <v>2.88</v>
      </c>
      <c r="I3276" s="820">
        <v>0.37</v>
      </c>
      <c r="J3276" s="820">
        <v>1.06</v>
      </c>
    </row>
    <row r="3277" spans="1:10" ht="38.25" customHeight="1">
      <c r="A3277" s="817" t="s">
        <v>13491</v>
      </c>
      <c r="B3277" s="816" t="s">
        <v>13656</v>
      </c>
      <c r="C3277" s="817" t="s">
        <v>6</v>
      </c>
      <c r="D3277" s="817" t="s">
        <v>990</v>
      </c>
      <c r="E3277" s="1021" t="s">
        <v>13490</v>
      </c>
      <c r="F3277" s="1021"/>
      <c r="G3277" s="818" t="s">
        <v>19</v>
      </c>
      <c r="H3277" s="819">
        <v>3.75</v>
      </c>
      <c r="I3277" s="820">
        <v>13.71</v>
      </c>
      <c r="J3277" s="820">
        <v>51.41</v>
      </c>
    </row>
    <row r="3278" spans="1:10" ht="25.5">
      <c r="A3278" s="822" t="s">
        <v>13493</v>
      </c>
      <c r="B3278" s="821" t="s">
        <v>14483</v>
      </c>
      <c r="C3278" s="822" t="s">
        <v>6</v>
      </c>
      <c r="D3278" s="822" t="s">
        <v>4578</v>
      </c>
      <c r="E3278" s="1017" t="s">
        <v>13514</v>
      </c>
      <c r="F3278" s="1017"/>
      <c r="G3278" s="823" t="s">
        <v>39</v>
      </c>
      <c r="H3278" s="824">
        <v>19.440000000000001</v>
      </c>
      <c r="I3278" s="825">
        <v>5.46</v>
      </c>
      <c r="J3278" s="825">
        <v>106.14</v>
      </c>
    </row>
    <row r="3279" spans="1:10" ht="25.5">
      <c r="A3279" s="822" t="s">
        <v>13493</v>
      </c>
      <c r="B3279" s="821" t="s">
        <v>13657</v>
      </c>
      <c r="C3279" s="822" t="s">
        <v>6</v>
      </c>
      <c r="D3279" s="822" t="s">
        <v>4588</v>
      </c>
      <c r="E3279" s="1017" t="s">
        <v>13514</v>
      </c>
      <c r="F3279" s="1017"/>
      <c r="G3279" s="823" t="s">
        <v>13543</v>
      </c>
      <c r="H3279" s="824">
        <v>1.08</v>
      </c>
      <c r="I3279" s="825">
        <v>83.5</v>
      </c>
      <c r="J3279" s="825">
        <v>90.18</v>
      </c>
    </row>
    <row r="3280" spans="1:10">
      <c r="A3280" s="822" t="s">
        <v>13493</v>
      </c>
      <c r="B3280" s="821" t="s">
        <v>13658</v>
      </c>
      <c r="C3280" s="822" t="s">
        <v>6</v>
      </c>
      <c r="D3280" s="822" t="s">
        <v>4622</v>
      </c>
      <c r="E3280" s="1017" t="s">
        <v>13514</v>
      </c>
      <c r="F3280" s="1017"/>
      <c r="G3280" s="823" t="s">
        <v>16</v>
      </c>
      <c r="H3280" s="824">
        <v>486</v>
      </c>
      <c r="I3280" s="825">
        <v>0.72</v>
      </c>
      <c r="J3280" s="825">
        <v>349.92</v>
      </c>
    </row>
    <row r="3281" spans="1:10" ht="25.5">
      <c r="A3281" s="827"/>
      <c r="B3281" s="827"/>
      <c r="C3281" s="827"/>
      <c r="D3281" s="827"/>
      <c r="E3281" s="827" t="s">
        <v>13503</v>
      </c>
      <c r="F3281" s="826">
        <v>37.01</v>
      </c>
      <c r="G3281" s="827" t="s">
        <v>13504</v>
      </c>
      <c r="H3281" s="826">
        <v>0</v>
      </c>
      <c r="I3281" s="827" t="s">
        <v>13505</v>
      </c>
      <c r="J3281" s="826">
        <v>37.01</v>
      </c>
    </row>
    <row r="3282" spans="1:10" ht="13.5" customHeight="1" thickBot="1">
      <c r="A3282" s="827"/>
      <c r="B3282" s="827"/>
      <c r="C3282" s="827"/>
      <c r="D3282" s="827"/>
      <c r="E3282" s="827" t="s">
        <v>13506</v>
      </c>
      <c r="F3282" s="826">
        <v>169.53</v>
      </c>
      <c r="G3282" s="827"/>
      <c r="H3282" s="1018" t="s">
        <v>13507</v>
      </c>
      <c r="I3282" s="1018"/>
      <c r="J3282" s="826">
        <v>769.86</v>
      </c>
    </row>
    <row r="3283" spans="1:10" ht="13.5" thickTop="1">
      <c r="A3283" s="828"/>
      <c r="B3283" s="828"/>
      <c r="C3283" s="828"/>
      <c r="D3283" s="828"/>
      <c r="E3283" s="828"/>
      <c r="F3283" s="828"/>
      <c r="G3283" s="828"/>
      <c r="H3283" s="828"/>
      <c r="I3283" s="828"/>
      <c r="J3283" s="828"/>
    </row>
    <row r="3284" spans="1:10" ht="15">
      <c r="A3284" s="809"/>
      <c r="B3284" s="808" t="s">
        <v>13481</v>
      </c>
      <c r="C3284" s="809" t="s">
        <v>13482</v>
      </c>
      <c r="D3284" s="809" t="s">
        <v>13483</v>
      </c>
      <c r="E3284" s="1019" t="s">
        <v>13484</v>
      </c>
      <c r="F3284" s="1019"/>
      <c r="G3284" s="810" t="s">
        <v>13485</v>
      </c>
      <c r="H3284" s="808" t="s">
        <v>13486</v>
      </c>
      <c r="I3284" s="808" t="s">
        <v>13487</v>
      </c>
      <c r="J3284" s="808" t="s">
        <v>4867</v>
      </c>
    </row>
    <row r="3285" spans="1:10" ht="25.5" customHeight="1">
      <c r="A3285" s="812" t="s">
        <v>13488</v>
      </c>
      <c r="B3285" s="811" t="s">
        <v>13764</v>
      </c>
      <c r="C3285" s="812" t="s">
        <v>6</v>
      </c>
      <c r="D3285" s="812" t="s">
        <v>3842</v>
      </c>
      <c r="E3285" s="1020" t="s">
        <v>13490</v>
      </c>
      <c r="F3285" s="1020"/>
      <c r="G3285" s="813" t="s">
        <v>13543</v>
      </c>
      <c r="H3285" s="814">
        <v>1</v>
      </c>
      <c r="I3285" s="815">
        <v>582.79</v>
      </c>
      <c r="J3285" s="815">
        <v>582.79</v>
      </c>
    </row>
    <row r="3286" spans="1:10" ht="38.25" customHeight="1">
      <c r="A3286" s="817" t="s">
        <v>13491</v>
      </c>
      <c r="B3286" s="816" t="s">
        <v>14475</v>
      </c>
      <c r="C3286" s="817" t="s">
        <v>6</v>
      </c>
      <c r="D3286" s="817" t="s">
        <v>1042</v>
      </c>
      <c r="E3286" s="1021" t="s">
        <v>13539</v>
      </c>
      <c r="F3286" s="1021"/>
      <c r="G3286" s="818" t="s">
        <v>42</v>
      </c>
      <c r="H3286" s="819">
        <v>3.39</v>
      </c>
      <c r="I3286" s="820">
        <v>0.37</v>
      </c>
      <c r="J3286" s="820">
        <v>1.25</v>
      </c>
    </row>
    <row r="3287" spans="1:10" ht="38.25" customHeight="1">
      <c r="A3287" s="817" t="s">
        <v>13491</v>
      </c>
      <c r="B3287" s="816" t="s">
        <v>14476</v>
      </c>
      <c r="C3287" s="817" t="s">
        <v>6</v>
      </c>
      <c r="D3287" s="817" t="s">
        <v>1041</v>
      </c>
      <c r="E3287" s="1021" t="s">
        <v>13539</v>
      </c>
      <c r="F3287" s="1021"/>
      <c r="G3287" s="818" t="s">
        <v>28</v>
      </c>
      <c r="H3287" s="819">
        <v>1.03</v>
      </c>
      <c r="I3287" s="820">
        <v>1.87</v>
      </c>
      <c r="J3287" s="820">
        <v>1.92</v>
      </c>
    </row>
    <row r="3288" spans="1:10" ht="13.5" customHeight="1">
      <c r="A3288" s="817" t="s">
        <v>13491</v>
      </c>
      <c r="B3288" s="816" t="s">
        <v>13656</v>
      </c>
      <c r="C3288" s="817" t="s">
        <v>6</v>
      </c>
      <c r="D3288" s="817" t="s">
        <v>990</v>
      </c>
      <c r="E3288" s="1021" t="s">
        <v>13490</v>
      </c>
      <c r="F3288" s="1021"/>
      <c r="G3288" s="818" t="s">
        <v>19</v>
      </c>
      <c r="H3288" s="819">
        <v>4.42</v>
      </c>
      <c r="I3288" s="820">
        <v>13.71</v>
      </c>
      <c r="J3288" s="820">
        <v>60.59</v>
      </c>
    </row>
    <row r="3289" spans="1:10" ht="25.5">
      <c r="A3289" s="822" t="s">
        <v>13493</v>
      </c>
      <c r="B3289" s="821" t="s">
        <v>13657</v>
      </c>
      <c r="C3289" s="822" t="s">
        <v>6</v>
      </c>
      <c r="D3289" s="822" t="s">
        <v>4588</v>
      </c>
      <c r="E3289" s="1017" t="s">
        <v>13514</v>
      </c>
      <c r="F3289" s="1017"/>
      <c r="G3289" s="823" t="s">
        <v>13543</v>
      </c>
      <c r="H3289" s="824">
        <v>1.27</v>
      </c>
      <c r="I3289" s="825">
        <v>83.5</v>
      </c>
      <c r="J3289" s="825">
        <v>106.04</v>
      </c>
    </row>
    <row r="3290" spans="1:10">
      <c r="A3290" s="822" t="s">
        <v>13493</v>
      </c>
      <c r="B3290" s="821" t="s">
        <v>13658</v>
      </c>
      <c r="C3290" s="822" t="s">
        <v>6</v>
      </c>
      <c r="D3290" s="822" t="s">
        <v>4622</v>
      </c>
      <c r="E3290" s="1017" t="s">
        <v>13514</v>
      </c>
      <c r="F3290" s="1017"/>
      <c r="G3290" s="823" t="s">
        <v>16</v>
      </c>
      <c r="H3290" s="824">
        <v>573.61</v>
      </c>
      <c r="I3290" s="825">
        <v>0.72</v>
      </c>
      <c r="J3290" s="825">
        <v>412.99</v>
      </c>
    </row>
    <row r="3291" spans="1:10" ht="25.5">
      <c r="A3291" s="827"/>
      <c r="B3291" s="827"/>
      <c r="C3291" s="827"/>
      <c r="D3291" s="827"/>
      <c r="E3291" s="827" t="s">
        <v>13503</v>
      </c>
      <c r="F3291" s="826">
        <v>43.62</v>
      </c>
      <c r="G3291" s="827" t="s">
        <v>13504</v>
      </c>
      <c r="H3291" s="826">
        <v>0</v>
      </c>
      <c r="I3291" s="827" t="s">
        <v>13505</v>
      </c>
      <c r="J3291" s="826">
        <v>43.62</v>
      </c>
    </row>
    <row r="3292" spans="1:10" ht="13.5" customHeight="1" thickBot="1">
      <c r="A3292" s="827"/>
      <c r="B3292" s="827"/>
      <c r="C3292" s="827"/>
      <c r="D3292" s="827"/>
      <c r="E3292" s="827" t="s">
        <v>13506</v>
      </c>
      <c r="F3292" s="826">
        <v>164.57</v>
      </c>
      <c r="G3292" s="827"/>
      <c r="H3292" s="1018" t="s">
        <v>13507</v>
      </c>
      <c r="I3292" s="1018"/>
      <c r="J3292" s="826">
        <v>747.36</v>
      </c>
    </row>
    <row r="3293" spans="1:10" ht="13.5" thickTop="1">
      <c r="A3293" s="828"/>
      <c r="B3293" s="828"/>
      <c r="C3293" s="828"/>
      <c r="D3293" s="828"/>
      <c r="E3293" s="828"/>
      <c r="F3293" s="828"/>
      <c r="G3293" s="828"/>
      <c r="H3293" s="828"/>
      <c r="I3293" s="828"/>
      <c r="J3293" s="828"/>
    </row>
    <row r="3294" spans="1:10" ht="13.5" customHeight="1">
      <c r="A3294" s="809"/>
      <c r="B3294" s="808" t="s">
        <v>13481</v>
      </c>
      <c r="C3294" s="809" t="s">
        <v>13482</v>
      </c>
      <c r="D3294" s="809" t="s">
        <v>13483</v>
      </c>
      <c r="E3294" s="1019" t="s">
        <v>13484</v>
      </c>
      <c r="F3294" s="1019"/>
      <c r="G3294" s="810" t="s">
        <v>13485</v>
      </c>
      <c r="H3294" s="808" t="s">
        <v>13486</v>
      </c>
      <c r="I3294" s="808" t="s">
        <v>13487</v>
      </c>
      <c r="J3294" s="808" t="s">
        <v>4867</v>
      </c>
    </row>
    <row r="3295" spans="1:10" ht="25.5" customHeight="1">
      <c r="A3295" s="812" t="s">
        <v>13488</v>
      </c>
      <c r="B3295" s="811" t="s">
        <v>14251</v>
      </c>
      <c r="C3295" s="812" t="s">
        <v>6</v>
      </c>
      <c r="D3295" s="812" t="s">
        <v>3942</v>
      </c>
      <c r="E3295" s="1020" t="s">
        <v>13490</v>
      </c>
      <c r="F3295" s="1020"/>
      <c r="G3295" s="813" t="s">
        <v>13543</v>
      </c>
      <c r="H3295" s="814">
        <v>1</v>
      </c>
      <c r="I3295" s="815">
        <v>566.99</v>
      </c>
      <c r="J3295" s="815">
        <v>566.99</v>
      </c>
    </row>
    <row r="3296" spans="1:10" ht="38.25" customHeight="1">
      <c r="A3296" s="817" t="s">
        <v>13491</v>
      </c>
      <c r="B3296" s="816" t="s">
        <v>13553</v>
      </c>
      <c r="C3296" s="817" t="s">
        <v>6</v>
      </c>
      <c r="D3296" s="817" t="s">
        <v>21</v>
      </c>
      <c r="E3296" s="1021" t="s">
        <v>13490</v>
      </c>
      <c r="F3296" s="1021"/>
      <c r="G3296" s="818" t="s">
        <v>19</v>
      </c>
      <c r="H3296" s="819">
        <v>8.57</v>
      </c>
      <c r="I3296" s="820">
        <v>15.16</v>
      </c>
      <c r="J3296" s="820">
        <v>129.91999999999999</v>
      </c>
    </row>
    <row r="3297" spans="1:10" ht="25.5">
      <c r="A3297" s="822" t="s">
        <v>13493</v>
      </c>
      <c r="B3297" s="821" t="s">
        <v>13657</v>
      </c>
      <c r="C3297" s="822" t="s">
        <v>6</v>
      </c>
      <c r="D3297" s="822" t="s">
        <v>4588</v>
      </c>
      <c r="E3297" s="1017" t="s">
        <v>13514</v>
      </c>
      <c r="F3297" s="1017"/>
      <c r="G3297" s="823" t="s">
        <v>13543</v>
      </c>
      <c r="H3297" s="824">
        <v>1.07</v>
      </c>
      <c r="I3297" s="825">
        <v>83.5</v>
      </c>
      <c r="J3297" s="825">
        <v>89.34</v>
      </c>
    </row>
    <row r="3298" spans="1:10">
      <c r="A3298" s="822" t="s">
        <v>13493</v>
      </c>
      <c r="B3298" s="821" t="s">
        <v>13658</v>
      </c>
      <c r="C3298" s="822" t="s">
        <v>6</v>
      </c>
      <c r="D3298" s="822" t="s">
        <v>4622</v>
      </c>
      <c r="E3298" s="1017" t="s">
        <v>13514</v>
      </c>
      <c r="F3298" s="1017"/>
      <c r="G3298" s="823" t="s">
        <v>16</v>
      </c>
      <c r="H3298" s="824">
        <v>482.96</v>
      </c>
      <c r="I3298" s="825">
        <v>0.72</v>
      </c>
      <c r="J3298" s="825">
        <v>347.73</v>
      </c>
    </row>
    <row r="3299" spans="1:10" ht="25.5">
      <c r="A3299" s="827"/>
      <c r="B3299" s="827"/>
      <c r="C3299" s="827"/>
      <c r="D3299" s="827"/>
      <c r="E3299" s="827" t="s">
        <v>13503</v>
      </c>
      <c r="F3299" s="826">
        <v>88.95</v>
      </c>
      <c r="G3299" s="827" t="s">
        <v>13504</v>
      </c>
      <c r="H3299" s="826">
        <v>0</v>
      </c>
      <c r="I3299" s="827" t="s">
        <v>13505</v>
      </c>
      <c r="J3299" s="826">
        <v>88.95</v>
      </c>
    </row>
    <row r="3300" spans="1:10" ht="13.5" customHeight="1" thickBot="1">
      <c r="A3300" s="827"/>
      <c r="B3300" s="827"/>
      <c r="C3300" s="827"/>
      <c r="D3300" s="827"/>
      <c r="E3300" s="827" t="s">
        <v>13506</v>
      </c>
      <c r="F3300" s="826">
        <v>160.11000000000001</v>
      </c>
      <c r="G3300" s="827"/>
      <c r="H3300" s="1018" t="s">
        <v>13507</v>
      </c>
      <c r="I3300" s="1018"/>
      <c r="J3300" s="826">
        <v>727.1</v>
      </c>
    </row>
    <row r="3301" spans="1:10" ht="13.5" thickTop="1">
      <c r="A3301" s="828"/>
      <c r="B3301" s="828"/>
      <c r="C3301" s="828"/>
      <c r="D3301" s="828"/>
      <c r="E3301" s="828"/>
      <c r="F3301" s="828"/>
      <c r="G3301" s="828"/>
      <c r="H3301" s="828"/>
      <c r="I3301" s="828"/>
      <c r="J3301" s="828"/>
    </row>
    <row r="3302" spans="1:10" ht="15">
      <c r="A3302" s="809"/>
      <c r="B3302" s="808" t="s">
        <v>13481</v>
      </c>
      <c r="C3302" s="809" t="s">
        <v>13482</v>
      </c>
      <c r="D3302" s="809" t="s">
        <v>13483</v>
      </c>
      <c r="E3302" s="1019" t="s">
        <v>13484</v>
      </c>
      <c r="F3302" s="1019"/>
      <c r="G3302" s="810" t="s">
        <v>13485</v>
      </c>
      <c r="H3302" s="808" t="s">
        <v>13486</v>
      </c>
      <c r="I3302" s="808" t="s">
        <v>13487</v>
      </c>
      <c r="J3302" s="808" t="s">
        <v>4867</v>
      </c>
    </row>
    <row r="3303" spans="1:10" ht="25.5" customHeight="1">
      <c r="A3303" s="812" t="s">
        <v>13488</v>
      </c>
      <c r="B3303" s="811" t="s">
        <v>13975</v>
      </c>
      <c r="C3303" s="812" t="s">
        <v>6</v>
      </c>
      <c r="D3303" s="812" t="s">
        <v>3941</v>
      </c>
      <c r="E3303" s="1020" t="s">
        <v>13490</v>
      </c>
      <c r="F3303" s="1020"/>
      <c r="G3303" s="813" t="s">
        <v>13543</v>
      </c>
      <c r="H3303" s="814">
        <v>1</v>
      </c>
      <c r="I3303" s="815">
        <v>486.93</v>
      </c>
      <c r="J3303" s="815">
        <v>486.93</v>
      </c>
    </row>
    <row r="3304" spans="1:10" ht="38.25" customHeight="1">
      <c r="A3304" s="817" t="s">
        <v>13491</v>
      </c>
      <c r="B3304" s="816" t="s">
        <v>14476</v>
      </c>
      <c r="C3304" s="817" t="s">
        <v>6</v>
      </c>
      <c r="D3304" s="817" t="s">
        <v>1041</v>
      </c>
      <c r="E3304" s="1021" t="s">
        <v>13539</v>
      </c>
      <c r="F3304" s="1021"/>
      <c r="G3304" s="818" t="s">
        <v>28</v>
      </c>
      <c r="H3304" s="819">
        <v>0.8</v>
      </c>
      <c r="I3304" s="820">
        <v>1.87</v>
      </c>
      <c r="J3304" s="820">
        <v>1.49</v>
      </c>
    </row>
    <row r="3305" spans="1:10" ht="38.25" customHeight="1">
      <c r="A3305" s="817" t="s">
        <v>13491</v>
      </c>
      <c r="B3305" s="816" t="s">
        <v>14475</v>
      </c>
      <c r="C3305" s="817" t="s">
        <v>6</v>
      </c>
      <c r="D3305" s="817" t="s">
        <v>1042</v>
      </c>
      <c r="E3305" s="1021" t="s">
        <v>13539</v>
      </c>
      <c r="F3305" s="1021"/>
      <c r="G3305" s="818" t="s">
        <v>42</v>
      </c>
      <c r="H3305" s="819">
        <v>2.62</v>
      </c>
      <c r="I3305" s="820">
        <v>0.37</v>
      </c>
      <c r="J3305" s="820">
        <v>0.96</v>
      </c>
    </row>
    <row r="3306" spans="1:10" ht="13.5" customHeight="1">
      <c r="A3306" s="817" t="s">
        <v>13491</v>
      </c>
      <c r="B3306" s="816" t="s">
        <v>13656</v>
      </c>
      <c r="C3306" s="817" t="s">
        <v>6</v>
      </c>
      <c r="D3306" s="817" t="s">
        <v>990</v>
      </c>
      <c r="E3306" s="1021" t="s">
        <v>13490</v>
      </c>
      <c r="F3306" s="1021"/>
      <c r="G3306" s="818" t="s">
        <v>19</v>
      </c>
      <c r="H3306" s="819">
        <v>3.42</v>
      </c>
      <c r="I3306" s="820">
        <v>13.71</v>
      </c>
      <c r="J3306" s="820">
        <v>46.88</v>
      </c>
    </row>
    <row r="3307" spans="1:10" ht="25.5">
      <c r="A3307" s="822" t="s">
        <v>13493</v>
      </c>
      <c r="B3307" s="821" t="s">
        <v>13657</v>
      </c>
      <c r="C3307" s="822" t="s">
        <v>6</v>
      </c>
      <c r="D3307" s="822" t="s">
        <v>4588</v>
      </c>
      <c r="E3307" s="1017" t="s">
        <v>13514</v>
      </c>
      <c r="F3307" s="1017"/>
      <c r="G3307" s="823" t="s">
        <v>13543</v>
      </c>
      <c r="H3307" s="824">
        <v>1.07</v>
      </c>
      <c r="I3307" s="825">
        <v>83.5</v>
      </c>
      <c r="J3307" s="825">
        <v>89.34</v>
      </c>
    </row>
    <row r="3308" spans="1:10">
      <c r="A3308" s="822" t="s">
        <v>13493</v>
      </c>
      <c r="B3308" s="821" t="s">
        <v>13658</v>
      </c>
      <c r="C3308" s="822" t="s">
        <v>6</v>
      </c>
      <c r="D3308" s="822" t="s">
        <v>4622</v>
      </c>
      <c r="E3308" s="1017" t="s">
        <v>13514</v>
      </c>
      <c r="F3308" s="1017"/>
      <c r="G3308" s="823" t="s">
        <v>16</v>
      </c>
      <c r="H3308" s="824">
        <v>483.7</v>
      </c>
      <c r="I3308" s="825">
        <v>0.72</v>
      </c>
      <c r="J3308" s="825">
        <v>348.26</v>
      </c>
    </row>
    <row r="3309" spans="1:10" ht="25.5">
      <c r="A3309" s="827"/>
      <c r="B3309" s="827"/>
      <c r="C3309" s="827"/>
      <c r="D3309" s="827"/>
      <c r="E3309" s="827" t="s">
        <v>13503</v>
      </c>
      <c r="F3309" s="826">
        <v>33.75</v>
      </c>
      <c r="G3309" s="827" t="s">
        <v>13504</v>
      </c>
      <c r="H3309" s="826">
        <v>0</v>
      </c>
      <c r="I3309" s="827" t="s">
        <v>13505</v>
      </c>
      <c r="J3309" s="826">
        <v>33.75</v>
      </c>
    </row>
    <row r="3310" spans="1:10" ht="13.5" customHeight="1" thickBot="1">
      <c r="A3310" s="827"/>
      <c r="B3310" s="827"/>
      <c r="C3310" s="827"/>
      <c r="D3310" s="827"/>
      <c r="E3310" s="827" t="s">
        <v>13506</v>
      </c>
      <c r="F3310" s="826">
        <v>137.5</v>
      </c>
      <c r="G3310" s="827"/>
      <c r="H3310" s="1018" t="s">
        <v>13507</v>
      </c>
      <c r="I3310" s="1018"/>
      <c r="J3310" s="826">
        <v>624.42999999999995</v>
      </c>
    </row>
    <row r="3311" spans="1:10" ht="13.5" thickTop="1">
      <c r="A3311" s="828"/>
      <c r="B3311" s="828"/>
      <c r="C3311" s="828"/>
      <c r="D3311" s="828"/>
      <c r="E3311" s="828"/>
      <c r="F3311" s="828"/>
      <c r="G3311" s="828"/>
      <c r="H3311" s="828"/>
      <c r="I3311" s="828"/>
      <c r="J3311" s="828"/>
    </row>
    <row r="3312" spans="1:10" ht="13.5" customHeight="1">
      <c r="A3312" s="809"/>
      <c r="B3312" s="808" t="s">
        <v>13481</v>
      </c>
      <c r="C3312" s="809" t="s">
        <v>13482</v>
      </c>
      <c r="D3312" s="809" t="s">
        <v>13483</v>
      </c>
      <c r="E3312" s="1019" t="s">
        <v>13484</v>
      </c>
      <c r="F3312" s="1019"/>
      <c r="G3312" s="810" t="s">
        <v>13485</v>
      </c>
      <c r="H3312" s="808" t="s">
        <v>13486</v>
      </c>
      <c r="I3312" s="808" t="s">
        <v>13487</v>
      </c>
      <c r="J3312" s="808" t="s">
        <v>4867</v>
      </c>
    </row>
    <row r="3313" spans="1:10" ht="25.5" customHeight="1">
      <c r="A3313" s="812" t="s">
        <v>13488</v>
      </c>
      <c r="B3313" s="811" t="s">
        <v>13901</v>
      </c>
      <c r="C3313" s="812" t="s">
        <v>6</v>
      </c>
      <c r="D3313" s="812" t="s">
        <v>3854</v>
      </c>
      <c r="E3313" s="1020" t="s">
        <v>13490</v>
      </c>
      <c r="F3313" s="1020"/>
      <c r="G3313" s="813" t="s">
        <v>13543</v>
      </c>
      <c r="H3313" s="814">
        <v>1</v>
      </c>
      <c r="I3313" s="815">
        <v>400.54</v>
      </c>
      <c r="J3313" s="815">
        <v>400.54</v>
      </c>
    </row>
    <row r="3314" spans="1:10" ht="38.25" customHeight="1">
      <c r="A3314" s="817" t="s">
        <v>13491</v>
      </c>
      <c r="B3314" s="816" t="s">
        <v>14476</v>
      </c>
      <c r="C3314" s="817" t="s">
        <v>6</v>
      </c>
      <c r="D3314" s="817" t="s">
        <v>1041</v>
      </c>
      <c r="E3314" s="1021" t="s">
        <v>13539</v>
      </c>
      <c r="F3314" s="1021"/>
      <c r="G3314" s="818" t="s">
        <v>28</v>
      </c>
      <c r="H3314" s="819">
        <v>1.08</v>
      </c>
      <c r="I3314" s="820">
        <v>1.87</v>
      </c>
      <c r="J3314" s="820">
        <v>2.0099999999999998</v>
      </c>
    </row>
    <row r="3315" spans="1:10" ht="38.25" customHeight="1">
      <c r="A3315" s="817" t="s">
        <v>13491</v>
      </c>
      <c r="B3315" s="816" t="s">
        <v>14475</v>
      </c>
      <c r="C3315" s="817" t="s">
        <v>6</v>
      </c>
      <c r="D3315" s="817" t="s">
        <v>1042</v>
      </c>
      <c r="E3315" s="1021" t="s">
        <v>13539</v>
      </c>
      <c r="F3315" s="1021"/>
      <c r="G3315" s="818" t="s">
        <v>42</v>
      </c>
      <c r="H3315" s="819">
        <v>3.56</v>
      </c>
      <c r="I3315" s="820">
        <v>0.37</v>
      </c>
      <c r="J3315" s="820">
        <v>1.31</v>
      </c>
    </row>
    <row r="3316" spans="1:10" ht="38.25" customHeight="1">
      <c r="A3316" s="817" t="s">
        <v>13491</v>
      </c>
      <c r="B3316" s="816" t="s">
        <v>13656</v>
      </c>
      <c r="C3316" s="817" t="s">
        <v>6</v>
      </c>
      <c r="D3316" s="817" t="s">
        <v>990</v>
      </c>
      <c r="E3316" s="1021" t="s">
        <v>13490</v>
      </c>
      <c r="F3316" s="1021"/>
      <c r="G3316" s="818" t="s">
        <v>19</v>
      </c>
      <c r="H3316" s="819">
        <v>4.6399999999999997</v>
      </c>
      <c r="I3316" s="820">
        <v>13.71</v>
      </c>
      <c r="J3316" s="820">
        <v>63.61</v>
      </c>
    </row>
    <row r="3317" spans="1:10" ht="25.5">
      <c r="A3317" s="822" t="s">
        <v>13493</v>
      </c>
      <c r="B3317" s="821" t="s">
        <v>14572</v>
      </c>
      <c r="C3317" s="822" t="s">
        <v>6</v>
      </c>
      <c r="D3317" s="822" t="s">
        <v>4587</v>
      </c>
      <c r="E3317" s="1017" t="s">
        <v>13514</v>
      </c>
      <c r="F3317" s="1017"/>
      <c r="G3317" s="823" t="s">
        <v>13543</v>
      </c>
      <c r="H3317" s="824">
        <v>1.02</v>
      </c>
      <c r="I3317" s="825">
        <v>84.59</v>
      </c>
      <c r="J3317" s="825">
        <v>86.28</v>
      </c>
    </row>
    <row r="3318" spans="1:10" ht="13.5" customHeight="1">
      <c r="A3318" s="822" t="s">
        <v>13493</v>
      </c>
      <c r="B3318" s="821" t="s">
        <v>13658</v>
      </c>
      <c r="C3318" s="822" t="s">
        <v>6</v>
      </c>
      <c r="D3318" s="822" t="s">
        <v>4622</v>
      </c>
      <c r="E3318" s="1017" t="s">
        <v>13514</v>
      </c>
      <c r="F3318" s="1017"/>
      <c r="G3318" s="823" t="s">
        <v>16</v>
      </c>
      <c r="H3318" s="824">
        <v>343.52</v>
      </c>
      <c r="I3318" s="825">
        <v>0.72</v>
      </c>
      <c r="J3318" s="825">
        <v>247.33</v>
      </c>
    </row>
    <row r="3319" spans="1:10" ht="25.5">
      <c r="A3319" s="827"/>
      <c r="B3319" s="827"/>
      <c r="C3319" s="827"/>
      <c r="D3319" s="827"/>
      <c r="E3319" s="827" t="s">
        <v>13503</v>
      </c>
      <c r="F3319" s="826">
        <v>45.79</v>
      </c>
      <c r="G3319" s="827" t="s">
        <v>13504</v>
      </c>
      <c r="H3319" s="826">
        <v>0</v>
      </c>
      <c r="I3319" s="827" t="s">
        <v>13505</v>
      </c>
      <c r="J3319" s="826">
        <v>45.79</v>
      </c>
    </row>
    <row r="3320" spans="1:10" ht="13.5" customHeight="1" thickBot="1">
      <c r="A3320" s="827"/>
      <c r="B3320" s="827"/>
      <c r="C3320" s="827"/>
      <c r="D3320" s="827"/>
      <c r="E3320" s="827" t="s">
        <v>13506</v>
      </c>
      <c r="F3320" s="826">
        <v>113.11</v>
      </c>
      <c r="G3320" s="827"/>
      <c r="H3320" s="1018" t="s">
        <v>13507</v>
      </c>
      <c r="I3320" s="1018"/>
      <c r="J3320" s="826">
        <v>513.65</v>
      </c>
    </row>
    <row r="3321" spans="1:10" ht="13.5" thickTop="1">
      <c r="A3321" s="828"/>
      <c r="B3321" s="828"/>
      <c r="C3321" s="828"/>
      <c r="D3321" s="828"/>
      <c r="E3321" s="828"/>
      <c r="F3321" s="828"/>
      <c r="G3321" s="828"/>
      <c r="H3321" s="828"/>
      <c r="I3321" s="828"/>
      <c r="J3321" s="828"/>
    </row>
    <row r="3322" spans="1:10" ht="15">
      <c r="A3322" s="809"/>
      <c r="B3322" s="808" t="s">
        <v>13481</v>
      </c>
      <c r="C3322" s="809" t="s">
        <v>13482</v>
      </c>
      <c r="D3322" s="809" t="s">
        <v>13483</v>
      </c>
      <c r="E3322" s="1019" t="s">
        <v>13484</v>
      </c>
      <c r="F3322" s="1019"/>
      <c r="G3322" s="810" t="s">
        <v>13485</v>
      </c>
      <c r="H3322" s="808" t="s">
        <v>13486</v>
      </c>
      <c r="I3322" s="808" t="s">
        <v>13487</v>
      </c>
      <c r="J3322" s="808" t="s">
        <v>4867</v>
      </c>
    </row>
    <row r="3323" spans="1:10" ht="25.5" customHeight="1">
      <c r="A3323" s="812" t="s">
        <v>13488</v>
      </c>
      <c r="B3323" s="811" t="s">
        <v>13761</v>
      </c>
      <c r="C3323" s="812" t="s">
        <v>6</v>
      </c>
      <c r="D3323" s="812" t="s">
        <v>3844</v>
      </c>
      <c r="E3323" s="1020" t="s">
        <v>13490</v>
      </c>
      <c r="F3323" s="1020"/>
      <c r="G3323" s="813" t="s">
        <v>13543</v>
      </c>
      <c r="H3323" s="814">
        <v>1</v>
      </c>
      <c r="I3323" s="815">
        <v>514.62</v>
      </c>
      <c r="J3323" s="815">
        <v>514.62</v>
      </c>
    </row>
    <row r="3324" spans="1:10" ht="13.5" customHeight="1">
      <c r="A3324" s="817" t="s">
        <v>13491</v>
      </c>
      <c r="B3324" s="816" t="s">
        <v>14476</v>
      </c>
      <c r="C3324" s="817" t="s">
        <v>6</v>
      </c>
      <c r="D3324" s="817" t="s">
        <v>1041</v>
      </c>
      <c r="E3324" s="1021" t="s">
        <v>13539</v>
      </c>
      <c r="F3324" s="1021"/>
      <c r="G3324" s="818" t="s">
        <v>28</v>
      </c>
      <c r="H3324" s="819">
        <v>1.1299999999999999</v>
      </c>
      <c r="I3324" s="820">
        <v>1.87</v>
      </c>
      <c r="J3324" s="820">
        <v>2.11</v>
      </c>
    </row>
    <row r="3325" spans="1:10" ht="38.25" customHeight="1">
      <c r="A3325" s="817" t="s">
        <v>13491</v>
      </c>
      <c r="B3325" s="816" t="s">
        <v>14475</v>
      </c>
      <c r="C3325" s="817" t="s">
        <v>6</v>
      </c>
      <c r="D3325" s="817" t="s">
        <v>1042</v>
      </c>
      <c r="E3325" s="1021" t="s">
        <v>13539</v>
      </c>
      <c r="F3325" s="1021"/>
      <c r="G3325" s="818" t="s">
        <v>42</v>
      </c>
      <c r="H3325" s="819">
        <v>3.72</v>
      </c>
      <c r="I3325" s="820">
        <v>0.37</v>
      </c>
      <c r="J3325" s="820">
        <v>1.37</v>
      </c>
    </row>
    <row r="3326" spans="1:10" ht="38.25" customHeight="1">
      <c r="A3326" s="817" t="s">
        <v>13491</v>
      </c>
      <c r="B3326" s="816" t="s">
        <v>13656</v>
      </c>
      <c r="C3326" s="817" t="s">
        <v>6</v>
      </c>
      <c r="D3326" s="817" t="s">
        <v>990</v>
      </c>
      <c r="E3326" s="1021" t="s">
        <v>13490</v>
      </c>
      <c r="F3326" s="1021"/>
      <c r="G3326" s="818" t="s">
        <v>19</v>
      </c>
      <c r="H3326" s="819">
        <v>4.8499999999999996</v>
      </c>
      <c r="I3326" s="820">
        <v>13.71</v>
      </c>
      <c r="J3326" s="820">
        <v>66.489999999999995</v>
      </c>
    </row>
    <row r="3327" spans="1:10" ht="25.5">
      <c r="A3327" s="822" t="s">
        <v>13493</v>
      </c>
      <c r="B3327" s="821" t="s">
        <v>13657</v>
      </c>
      <c r="C3327" s="822" t="s">
        <v>6</v>
      </c>
      <c r="D3327" s="822" t="s">
        <v>4588</v>
      </c>
      <c r="E3327" s="1017" t="s">
        <v>13514</v>
      </c>
      <c r="F3327" s="1017"/>
      <c r="G3327" s="823" t="s">
        <v>13543</v>
      </c>
      <c r="H3327" s="824">
        <v>1.36</v>
      </c>
      <c r="I3327" s="825">
        <v>83.5</v>
      </c>
      <c r="J3327" s="825">
        <v>113.56</v>
      </c>
    </row>
    <row r="3328" spans="1:10">
      <c r="A3328" s="822" t="s">
        <v>13493</v>
      </c>
      <c r="B3328" s="821" t="s">
        <v>13658</v>
      </c>
      <c r="C3328" s="822" t="s">
        <v>6</v>
      </c>
      <c r="D3328" s="822" t="s">
        <v>4622</v>
      </c>
      <c r="E3328" s="1017" t="s">
        <v>13514</v>
      </c>
      <c r="F3328" s="1017"/>
      <c r="G3328" s="823" t="s">
        <v>16</v>
      </c>
      <c r="H3328" s="824">
        <v>459.85</v>
      </c>
      <c r="I3328" s="825">
        <v>0.72</v>
      </c>
      <c r="J3328" s="825">
        <v>331.09</v>
      </c>
    </row>
    <row r="3329" spans="1:10" ht="25.5">
      <c r="A3329" s="827"/>
      <c r="B3329" s="827"/>
      <c r="C3329" s="827"/>
      <c r="D3329" s="827"/>
      <c r="E3329" s="827" t="s">
        <v>13503</v>
      </c>
      <c r="F3329" s="826">
        <v>47.86</v>
      </c>
      <c r="G3329" s="827" t="s">
        <v>13504</v>
      </c>
      <c r="H3329" s="826">
        <v>0</v>
      </c>
      <c r="I3329" s="827" t="s">
        <v>13505</v>
      </c>
      <c r="J3329" s="826">
        <v>47.86</v>
      </c>
    </row>
    <row r="3330" spans="1:10" ht="13.5" customHeight="1" thickBot="1">
      <c r="A3330" s="827"/>
      <c r="B3330" s="827"/>
      <c r="C3330" s="827"/>
      <c r="D3330" s="827"/>
      <c r="E3330" s="827" t="s">
        <v>13506</v>
      </c>
      <c r="F3330" s="826">
        <v>145.32</v>
      </c>
      <c r="G3330" s="827"/>
      <c r="H3330" s="1018" t="s">
        <v>13507</v>
      </c>
      <c r="I3330" s="1018"/>
      <c r="J3330" s="826">
        <v>659.94</v>
      </c>
    </row>
    <row r="3331" spans="1:10" ht="13.5" thickTop="1">
      <c r="A3331" s="828"/>
      <c r="B3331" s="828"/>
      <c r="C3331" s="828"/>
      <c r="D3331" s="828"/>
      <c r="E3331" s="828"/>
      <c r="F3331" s="828"/>
      <c r="G3331" s="828"/>
      <c r="H3331" s="828"/>
      <c r="I3331" s="828"/>
      <c r="J3331" s="828"/>
    </row>
    <row r="3332" spans="1:10" ht="15">
      <c r="A3332" s="809"/>
      <c r="B3332" s="808" t="s">
        <v>13481</v>
      </c>
      <c r="C3332" s="809" t="s">
        <v>13482</v>
      </c>
      <c r="D3332" s="809" t="s">
        <v>13483</v>
      </c>
      <c r="E3332" s="1019" t="s">
        <v>13484</v>
      </c>
      <c r="F3332" s="1019"/>
      <c r="G3332" s="810" t="s">
        <v>13485</v>
      </c>
      <c r="H3332" s="808" t="s">
        <v>13486</v>
      </c>
      <c r="I3332" s="808" t="s">
        <v>13487</v>
      </c>
      <c r="J3332" s="808" t="s">
        <v>4867</v>
      </c>
    </row>
    <row r="3333" spans="1:10" ht="38.25" customHeight="1">
      <c r="A3333" s="812" t="s">
        <v>13488</v>
      </c>
      <c r="B3333" s="811" t="s">
        <v>13789</v>
      </c>
      <c r="C3333" s="812" t="s">
        <v>6</v>
      </c>
      <c r="D3333" s="812" t="s">
        <v>3832</v>
      </c>
      <c r="E3333" s="1020" t="s">
        <v>13490</v>
      </c>
      <c r="F3333" s="1020"/>
      <c r="G3333" s="813" t="s">
        <v>13543</v>
      </c>
      <c r="H3333" s="814">
        <v>1</v>
      </c>
      <c r="I3333" s="815">
        <v>375.08</v>
      </c>
      <c r="J3333" s="815">
        <v>375.08</v>
      </c>
    </row>
    <row r="3334" spans="1:10" ht="38.25" customHeight="1">
      <c r="A3334" s="817" t="s">
        <v>13491</v>
      </c>
      <c r="B3334" s="816" t="s">
        <v>14475</v>
      </c>
      <c r="C3334" s="817" t="s">
        <v>6</v>
      </c>
      <c r="D3334" s="817" t="s">
        <v>1042</v>
      </c>
      <c r="E3334" s="1021" t="s">
        <v>13539</v>
      </c>
      <c r="F3334" s="1021"/>
      <c r="G3334" s="818" t="s">
        <v>42</v>
      </c>
      <c r="H3334" s="819">
        <v>1.01</v>
      </c>
      <c r="I3334" s="820">
        <v>0.37</v>
      </c>
      <c r="J3334" s="820">
        <v>0.37</v>
      </c>
    </row>
    <row r="3335" spans="1:10" ht="38.25" customHeight="1">
      <c r="A3335" s="817" t="s">
        <v>13491</v>
      </c>
      <c r="B3335" s="816" t="s">
        <v>14476</v>
      </c>
      <c r="C3335" s="817" t="s">
        <v>6</v>
      </c>
      <c r="D3335" s="817" t="s">
        <v>1041</v>
      </c>
      <c r="E3335" s="1021" t="s">
        <v>13539</v>
      </c>
      <c r="F3335" s="1021"/>
      <c r="G3335" s="818" t="s">
        <v>28</v>
      </c>
      <c r="H3335" s="819">
        <v>3.3319999999999999</v>
      </c>
      <c r="I3335" s="820">
        <v>1.87</v>
      </c>
      <c r="J3335" s="820">
        <v>6.23</v>
      </c>
    </row>
    <row r="3336" spans="1:10" ht="13.5" customHeight="1">
      <c r="A3336" s="817" t="s">
        <v>13491</v>
      </c>
      <c r="B3336" s="816" t="s">
        <v>13656</v>
      </c>
      <c r="C3336" s="817" t="s">
        <v>6</v>
      </c>
      <c r="D3336" s="817" t="s">
        <v>990</v>
      </c>
      <c r="E3336" s="1021" t="s">
        <v>13490</v>
      </c>
      <c r="F3336" s="1021"/>
      <c r="G3336" s="818" t="s">
        <v>19</v>
      </c>
      <c r="H3336" s="819">
        <v>4.33</v>
      </c>
      <c r="I3336" s="820">
        <v>13.71</v>
      </c>
      <c r="J3336" s="820">
        <v>59.36</v>
      </c>
    </row>
    <row r="3337" spans="1:10" ht="25.5">
      <c r="A3337" s="822" t="s">
        <v>13493</v>
      </c>
      <c r="B3337" s="821" t="s">
        <v>14573</v>
      </c>
      <c r="C3337" s="822" t="s">
        <v>6</v>
      </c>
      <c r="D3337" s="822" t="s">
        <v>8524</v>
      </c>
      <c r="E3337" s="1017" t="s">
        <v>13514</v>
      </c>
      <c r="F3337" s="1017"/>
      <c r="G3337" s="823" t="s">
        <v>39</v>
      </c>
      <c r="H3337" s="824">
        <v>6.3E-2</v>
      </c>
      <c r="I3337" s="825">
        <v>6.05</v>
      </c>
      <c r="J3337" s="825">
        <v>0.38</v>
      </c>
    </row>
    <row r="3338" spans="1:10" ht="25.5">
      <c r="A3338" s="822" t="s">
        <v>13493</v>
      </c>
      <c r="B3338" s="821" t="s">
        <v>13657</v>
      </c>
      <c r="C3338" s="822" t="s">
        <v>6</v>
      </c>
      <c r="D3338" s="822" t="s">
        <v>4588</v>
      </c>
      <c r="E3338" s="1017" t="s">
        <v>13514</v>
      </c>
      <c r="F3338" s="1017"/>
      <c r="G3338" s="823" t="s">
        <v>13543</v>
      </c>
      <c r="H3338" s="824">
        <v>1.27</v>
      </c>
      <c r="I3338" s="825">
        <v>83.5</v>
      </c>
      <c r="J3338" s="825">
        <v>106.04</v>
      </c>
    </row>
    <row r="3339" spans="1:10">
      <c r="A3339" s="822" t="s">
        <v>13493</v>
      </c>
      <c r="B3339" s="821" t="s">
        <v>13658</v>
      </c>
      <c r="C3339" s="822" t="s">
        <v>6</v>
      </c>
      <c r="D3339" s="822" t="s">
        <v>4622</v>
      </c>
      <c r="E3339" s="1017" t="s">
        <v>13514</v>
      </c>
      <c r="F3339" s="1017"/>
      <c r="G3339" s="823" t="s">
        <v>16</v>
      </c>
      <c r="H3339" s="824">
        <v>281.52999999999997</v>
      </c>
      <c r="I3339" s="825">
        <v>0.72</v>
      </c>
      <c r="J3339" s="825">
        <v>202.7</v>
      </c>
    </row>
    <row r="3340" spans="1:10" ht="25.5">
      <c r="A3340" s="827"/>
      <c r="B3340" s="827"/>
      <c r="C3340" s="827"/>
      <c r="D3340" s="827"/>
      <c r="E3340" s="827" t="s">
        <v>13503</v>
      </c>
      <c r="F3340" s="826">
        <v>42.73</v>
      </c>
      <c r="G3340" s="827" t="s">
        <v>13504</v>
      </c>
      <c r="H3340" s="826">
        <v>0</v>
      </c>
      <c r="I3340" s="827" t="s">
        <v>13505</v>
      </c>
      <c r="J3340" s="826">
        <v>42.73</v>
      </c>
    </row>
    <row r="3341" spans="1:10" ht="13.5" customHeight="1" thickBot="1">
      <c r="A3341" s="827"/>
      <c r="B3341" s="827"/>
      <c r="C3341" s="827"/>
      <c r="D3341" s="827"/>
      <c r="E3341" s="827" t="s">
        <v>13506</v>
      </c>
      <c r="F3341" s="826">
        <v>105.92</v>
      </c>
      <c r="G3341" s="827"/>
      <c r="H3341" s="1018" t="s">
        <v>13507</v>
      </c>
      <c r="I3341" s="1018"/>
      <c r="J3341" s="826">
        <v>481</v>
      </c>
    </row>
    <row r="3342" spans="1:10" ht="13.5" customHeight="1" thickTop="1">
      <c r="A3342" s="828"/>
      <c r="B3342" s="828"/>
      <c r="C3342" s="828"/>
      <c r="D3342" s="828"/>
      <c r="E3342" s="828"/>
      <c r="F3342" s="828"/>
      <c r="G3342" s="828"/>
      <c r="H3342" s="828"/>
      <c r="I3342" s="828"/>
      <c r="J3342" s="828"/>
    </row>
    <row r="3343" spans="1:10" ht="15">
      <c r="A3343" s="809"/>
      <c r="B3343" s="808" t="s">
        <v>13481</v>
      </c>
      <c r="C3343" s="809" t="s">
        <v>13482</v>
      </c>
      <c r="D3343" s="809" t="s">
        <v>13483</v>
      </c>
      <c r="E3343" s="1019" t="s">
        <v>13484</v>
      </c>
      <c r="F3343" s="1019"/>
      <c r="G3343" s="810" t="s">
        <v>13485</v>
      </c>
      <c r="H3343" s="808" t="s">
        <v>13486</v>
      </c>
      <c r="I3343" s="808" t="s">
        <v>13487</v>
      </c>
      <c r="J3343" s="808" t="s">
        <v>4867</v>
      </c>
    </row>
    <row r="3344" spans="1:10" ht="25.5" customHeight="1">
      <c r="A3344" s="812" t="s">
        <v>13488</v>
      </c>
      <c r="B3344" s="811" t="s">
        <v>14574</v>
      </c>
      <c r="C3344" s="812" t="s">
        <v>6</v>
      </c>
      <c r="D3344" s="812" t="s">
        <v>2036</v>
      </c>
      <c r="E3344" s="1020" t="s">
        <v>13542</v>
      </c>
      <c r="F3344" s="1020"/>
      <c r="G3344" s="813" t="s">
        <v>16</v>
      </c>
      <c r="H3344" s="814">
        <v>1</v>
      </c>
      <c r="I3344" s="815">
        <v>17.66</v>
      </c>
      <c r="J3344" s="815">
        <v>17.66</v>
      </c>
    </row>
    <row r="3345" spans="1:10" ht="38.25" customHeight="1">
      <c r="A3345" s="817" t="s">
        <v>13491</v>
      </c>
      <c r="B3345" s="816" t="s">
        <v>14575</v>
      </c>
      <c r="C3345" s="817" t="s">
        <v>6</v>
      </c>
      <c r="D3345" s="817" t="s">
        <v>2052</v>
      </c>
      <c r="E3345" s="1021" t="s">
        <v>13542</v>
      </c>
      <c r="F3345" s="1021"/>
      <c r="G3345" s="818" t="s">
        <v>16</v>
      </c>
      <c r="H3345" s="819">
        <v>1</v>
      </c>
      <c r="I3345" s="820">
        <v>12.53</v>
      </c>
      <c r="J3345" s="820">
        <v>12.53</v>
      </c>
    </row>
    <row r="3346" spans="1:10" ht="38.25" customHeight="1">
      <c r="A3346" s="817" t="s">
        <v>13491</v>
      </c>
      <c r="B3346" s="816" t="s">
        <v>13637</v>
      </c>
      <c r="C3346" s="817" t="s">
        <v>6</v>
      </c>
      <c r="D3346" s="817" t="s">
        <v>107</v>
      </c>
      <c r="E3346" s="1021" t="s">
        <v>13490</v>
      </c>
      <c r="F3346" s="1021"/>
      <c r="G3346" s="818" t="s">
        <v>19</v>
      </c>
      <c r="H3346" s="819">
        <v>3.1E-2</v>
      </c>
      <c r="I3346" s="820">
        <v>15.19</v>
      </c>
      <c r="J3346" s="820">
        <v>0.47</v>
      </c>
    </row>
    <row r="3347" spans="1:10" ht="38.25" customHeight="1">
      <c r="A3347" s="817" t="s">
        <v>13491</v>
      </c>
      <c r="B3347" s="816" t="s">
        <v>13638</v>
      </c>
      <c r="C3347" s="817" t="s">
        <v>6</v>
      </c>
      <c r="D3347" s="817" t="s">
        <v>112</v>
      </c>
      <c r="E3347" s="1021" t="s">
        <v>13490</v>
      </c>
      <c r="F3347" s="1021"/>
      <c r="G3347" s="818" t="s">
        <v>19</v>
      </c>
      <c r="H3347" s="819">
        <v>0.18959999999999999</v>
      </c>
      <c r="I3347" s="820">
        <v>18.75</v>
      </c>
      <c r="J3347" s="820">
        <v>3.55</v>
      </c>
    </row>
    <row r="3348" spans="1:10" ht="13.5" customHeight="1">
      <c r="A3348" s="822" t="s">
        <v>13493</v>
      </c>
      <c r="B3348" s="821" t="s">
        <v>13639</v>
      </c>
      <c r="C3348" s="822" t="s">
        <v>6</v>
      </c>
      <c r="D3348" s="822" t="s">
        <v>5166</v>
      </c>
      <c r="E3348" s="1017" t="s">
        <v>13514</v>
      </c>
      <c r="F3348" s="1017"/>
      <c r="G3348" s="823" t="s">
        <v>16</v>
      </c>
      <c r="H3348" s="824">
        <v>2.5000000000000001E-2</v>
      </c>
      <c r="I3348" s="825">
        <v>20</v>
      </c>
      <c r="J3348" s="825">
        <v>0.5</v>
      </c>
    </row>
    <row r="3349" spans="1:10" ht="25.5">
      <c r="A3349" s="822" t="s">
        <v>13493</v>
      </c>
      <c r="B3349" s="821" t="s">
        <v>13640</v>
      </c>
      <c r="C3349" s="822" t="s">
        <v>6</v>
      </c>
      <c r="D3349" s="822" t="s">
        <v>4663</v>
      </c>
      <c r="E3349" s="1017" t="s">
        <v>13514</v>
      </c>
      <c r="F3349" s="1017"/>
      <c r="G3349" s="823" t="s">
        <v>24</v>
      </c>
      <c r="H3349" s="824">
        <v>2.8159999999999998</v>
      </c>
      <c r="I3349" s="825">
        <v>0.22</v>
      </c>
      <c r="J3349" s="825">
        <v>0.61</v>
      </c>
    </row>
    <row r="3350" spans="1:10" ht="25.5">
      <c r="A3350" s="827"/>
      <c r="B3350" s="827"/>
      <c r="C3350" s="827"/>
      <c r="D3350" s="827"/>
      <c r="E3350" s="827" t="s">
        <v>13503</v>
      </c>
      <c r="F3350" s="826">
        <v>4.3499999999999996</v>
      </c>
      <c r="G3350" s="827" t="s">
        <v>13504</v>
      </c>
      <c r="H3350" s="826">
        <v>0</v>
      </c>
      <c r="I3350" s="827" t="s">
        <v>13505</v>
      </c>
      <c r="J3350" s="826">
        <v>4.3499999999999996</v>
      </c>
    </row>
    <row r="3351" spans="1:10" ht="13.5" customHeight="1" thickBot="1">
      <c r="A3351" s="827"/>
      <c r="B3351" s="827"/>
      <c r="C3351" s="827"/>
      <c r="D3351" s="827"/>
      <c r="E3351" s="827" t="s">
        <v>13506</v>
      </c>
      <c r="F3351" s="826">
        <v>4.9800000000000004</v>
      </c>
      <c r="G3351" s="827"/>
      <c r="H3351" s="1018" t="s">
        <v>13507</v>
      </c>
      <c r="I3351" s="1018"/>
      <c r="J3351" s="826">
        <v>22.64</v>
      </c>
    </row>
    <row r="3352" spans="1:10" ht="13.5" thickTop="1">
      <c r="A3352" s="828"/>
      <c r="B3352" s="828"/>
      <c r="C3352" s="828"/>
      <c r="D3352" s="828"/>
      <c r="E3352" s="828"/>
      <c r="F3352" s="828"/>
      <c r="G3352" s="828"/>
      <c r="H3352" s="828"/>
      <c r="I3352" s="828"/>
      <c r="J3352" s="828"/>
    </row>
    <row r="3353" spans="1:10" ht="15">
      <c r="A3353" s="809"/>
      <c r="B3353" s="808" t="s">
        <v>13481</v>
      </c>
      <c r="C3353" s="809" t="s">
        <v>13482</v>
      </c>
      <c r="D3353" s="809" t="s">
        <v>13483</v>
      </c>
      <c r="E3353" s="1019" t="s">
        <v>13484</v>
      </c>
      <c r="F3353" s="1019"/>
      <c r="G3353" s="810" t="s">
        <v>13485</v>
      </c>
      <c r="H3353" s="808" t="s">
        <v>13486</v>
      </c>
      <c r="I3353" s="808" t="s">
        <v>13487</v>
      </c>
      <c r="J3353" s="808" t="s">
        <v>4867</v>
      </c>
    </row>
    <row r="3354" spans="1:10" ht="13.5" customHeight="1">
      <c r="A3354" s="812" t="s">
        <v>13488</v>
      </c>
      <c r="B3354" s="811" t="s">
        <v>14576</v>
      </c>
      <c r="C3354" s="812" t="s">
        <v>6</v>
      </c>
      <c r="D3354" s="812" t="s">
        <v>2037</v>
      </c>
      <c r="E3354" s="1020" t="s">
        <v>13542</v>
      </c>
      <c r="F3354" s="1020"/>
      <c r="G3354" s="813" t="s">
        <v>16</v>
      </c>
      <c r="H3354" s="814">
        <v>1</v>
      </c>
      <c r="I3354" s="815">
        <v>16.04</v>
      </c>
      <c r="J3354" s="815">
        <v>16.04</v>
      </c>
    </row>
    <row r="3355" spans="1:10" ht="38.25" customHeight="1">
      <c r="A3355" s="817" t="s">
        <v>13491</v>
      </c>
      <c r="B3355" s="816" t="s">
        <v>14577</v>
      </c>
      <c r="C3355" s="817" t="s">
        <v>6</v>
      </c>
      <c r="D3355" s="817" t="s">
        <v>2053</v>
      </c>
      <c r="E3355" s="1021" t="s">
        <v>13542</v>
      </c>
      <c r="F3355" s="1021"/>
      <c r="G3355" s="818" t="s">
        <v>16</v>
      </c>
      <c r="H3355" s="819">
        <v>1</v>
      </c>
      <c r="I3355" s="820">
        <v>11.8</v>
      </c>
      <c r="J3355" s="820">
        <v>11.8</v>
      </c>
    </row>
    <row r="3356" spans="1:10" ht="38.25" customHeight="1">
      <c r="A3356" s="817" t="s">
        <v>13491</v>
      </c>
      <c r="B3356" s="816" t="s">
        <v>13637</v>
      </c>
      <c r="C3356" s="817" t="s">
        <v>6</v>
      </c>
      <c r="D3356" s="817" t="s">
        <v>107</v>
      </c>
      <c r="E3356" s="1021" t="s">
        <v>13490</v>
      </c>
      <c r="F3356" s="1021"/>
      <c r="G3356" s="818" t="s">
        <v>19</v>
      </c>
      <c r="H3356" s="819">
        <v>2.53E-2</v>
      </c>
      <c r="I3356" s="820">
        <v>15.19</v>
      </c>
      <c r="J3356" s="820">
        <v>0.38</v>
      </c>
    </row>
    <row r="3357" spans="1:10" ht="38.25" customHeight="1">
      <c r="A3357" s="817" t="s">
        <v>13491</v>
      </c>
      <c r="B3357" s="816" t="s">
        <v>13638</v>
      </c>
      <c r="C3357" s="817" t="s">
        <v>6</v>
      </c>
      <c r="D3357" s="817" t="s">
        <v>112</v>
      </c>
      <c r="E3357" s="1021" t="s">
        <v>13490</v>
      </c>
      <c r="F3357" s="1021"/>
      <c r="G3357" s="818" t="s">
        <v>19</v>
      </c>
      <c r="H3357" s="819">
        <v>0.1547</v>
      </c>
      <c r="I3357" s="820">
        <v>18.75</v>
      </c>
      <c r="J3357" s="820">
        <v>2.9</v>
      </c>
    </row>
    <row r="3358" spans="1:10" ht="25.5">
      <c r="A3358" s="822" t="s">
        <v>13493</v>
      </c>
      <c r="B3358" s="821" t="s">
        <v>13639</v>
      </c>
      <c r="C3358" s="822" t="s">
        <v>6</v>
      </c>
      <c r="D3358" s="822" t="s">
        <v>5166</v>
      </c>
      <c r="E3358" s="1017" t="s">
        <v>13514</v>
      </c>
      <c r="F3358" s="1017"/>
      <c r="G3358" s="823" t="s">
        <v>16</v>
      </c>
      <c r="H3358" s="824">
        <v>2.5000000000000001E-2</v>
      </c>
      <c r="I3358" s="825">
        <v>20</v>
      </c>
      <c r="J3358" s="825">
        <v>0.5</v>
      </c>
    </row>
    <row r="3359" spans="1:10" ht="25.5">
      <c r="A3359" s="822" t="s">
        <v>13493</v>
      </c>
      <c r="B3359" s="821" t="s">
        <v>13640</v>
      </c>
      <c r="C3359" s="822" t="s">
        <v>6</v>
      </c>
      <c r="D3359" s="822" t="s">
        <v>4663</v>
      </c>
      <c r="E3359" s="1017" t="s">
        <v>13514</v>
      </c>
      <c r="F3359" s="1017"/>
      <c r="G3359" s="823" t="s">
        <v>24</v>
      </c>
      <c r="H3359" s="824">
        <v>2.1179999999999999</v>
      </c>
      <c r="I3359" s="825">
        <v>0.22</v>
      </c>
      <c r="J3359" s="825">
        <v>0.46</v>
      </c>
    </row>
    <row r="3360" spans="1:10" ht="13.5" customHeight="1">
      <c r="A3360" s="827"/>
      <c r="B3360" s="827"/>
      <c r="C3360" s="827"/>
      <c r="D3360" s="827"/>
      <c r="E3360" s="827" t="s">
        <v>13503</v>
      </c>
      <c r="F3360" s="826">
        <v>3.28</v>
      </c>
      <c r="G3360" s="827" t="s">
        <v>13504</v>
      </c>
      <c r="H3360" s="826">
        <v>0</v>
      </c>
      <c r="I3360" s="827" t="s">
        <v>13505</v>
      </c>
      <c r="J3360" s="826">
        <v>3.28</v>
      </c>
    </row>
    <row r="3361" spans="1:10" ht="13.5" customHeight="1" thickBot="1">
      <c r="A3361" s="827"/>
      <c r="B3361" s="827"/>
      <c r="C3361" s="827"/>
      <c r="D3361" s="827"/>
      <c r="E3361" s="827" t="s">
        <v>13506</v>
      </c>
      <c r="F3361" s="826">
        <v>4.5199999999999996</v>
      </c>
      <c r="G3361" s="827"/>
      <c r="H3361" s="1018" t="s">
        <v>13507</v>
      </c>
      <c r="I3361" s="1018"/>
      <c r="J3361" s="826">
        <v>20.56</v>
      </c>
    </row>
    <row r="3362" spans="1:10" ht="13.5" thickTop="1">
      <c r="A3362" s="828"/>
      <c r="B3362" s="828"/>
      <c r="C3362" s="828"/>
      <c r="D3362" s="828"/>
      <c r="E3362" s="828"/>
      <c r="F3362" s="828"/>
      <c r="G3362" s="828"/>
      <c r="H3362" s="828"/>
      <c r="I3362" s="828"/>
      <c r="J3362" s="828"/>
    </row>
    <row r="3363" spans="1:10" ht="15">
      <c r="A3363" s="809"/>
      <c r="B3363" s="808" t="s">
        <v>13481</v>
      </c>
      <c r="C3363" s="809" t="s">
        <v>13482</v>
      </c>
      <c r="D3363" s="809" t="s">
        <v>13483</v>
      </c>
      <c r="E3363" s="1019" t="s">
        <v>13484</v>
      </c>
      <c r="F3363" s="1019"/>
      <c r="G3363" s="810" t="s">
        <v>13485</v>
      </c>
      <c r="H3363" s="808" t="s">
        <v>13486</v>
      </c>
      <c r="I3363" s="808" t="s">
        <v>13487</v>
      </c>
      <c r="J3363" s="808" t="s">
        <v>4867</v>
      </c>
    </row>
    <row r="3364" spans="1:10" ht="25.5" customHeight="1">
      <c r="A3364" s="812" t="s">
        <v>13488</v>
      </c>
      <c r="B3364" s="811" t="s">
        <v>14475</v>
      </c>
      <c r="C3364" s="812" t="s">
        <v>6</v>
      </c>
      <c r="D3364" s="812" t="s">
        <v>1042</v>
      </c>
      <c r="E3364" s="1020" t="s">
        <v>13539</v>
      </c>
      <c r="F3364" s="1020"/>
      <c r="G3364" s="813" t="s">
        <v>42</v>
      </c>
      <c r="H3364" s="814">
        <v>1</v>
      </c>
      <c r="I3364" s="815">
        <v>0.37</v>
      </c>
      <c r="J3364" s="815">
        <v>0.37</v>
      </c>
    </row>
    <row r="3365" spans="1:10" ht="38.25" customHeight="1">
      <c r="A3365" s="817" t="s">
        <v>13491</v>
      </c>
      <c r="B3365" s="816" t="s">
        <v>14578</v>
      </c>
      <c r="C3365" s="817" t="s">
        <v>6</v>
      </c>
      <c r="D3365" s="817" t="s">
        <v>1037</v>
      </c>
      <c r="E3365" s="1021" t="s">
        <v>13539</v>
      </c>
      <c r="F3365" s="1021"/>
      <c r="G3365" s="818" t="s">
        <v>19</v>
      </c>
      <c r="H3365" s="819">
        <v>1</v>
      </c>
      <c r="I3365" s="820">
        <v>0.33</v>
      </c>
      <c r="J3365" s="820">
        <v>0.33</v>
      </c>
    </row>
    <row r="3366" spans="1:10" ht="13.5" customHeight="1">
      <c r="A3366" s="817" t="s">
        <v>13491</v>
      </c>
      <c r="B3366" s="816" t="s">
        <v>14579</v>
      </c>
      <c r="C3366" s="817" t="s">
        <v>6</v>
      </c>
      <c r="D3366" s="817" t="s">
        <v>1038</v>
      </c>
      <c r="E3366" s="1021" t="s">
        <v>13539</v>
      </c>
      <c r="F3366" s="1021"/>
      <c r="G3366" s="818" t="s">
        <v>19</v>
      </c>
      <c r="H3366" s="819">
        <v>1</v>
      </c>
      <c r="I3366" s="820">
        <v>0.04</v>
      </c>
      <c r="J3366" s="820">
        <v>0.04</v>
      </c>
    </row>
    <row r="3367" spans="1:10" ht="25.5">
      <c r="A3367" s="827"/>
      <c r="B3367" s="827"/>
      <c r="C3367" s="827"/>
      <c r="D3367" s="827"/>
      <c r="E3367" s="827" t="s">
        <v>13503</v>
      </c>
      <c r="F3367" s="826">
        <v>0</v>
      </c>
      <c r="G3367" s="827" t="s">
        <v>13504</v>
      </c>
      <c r="H3367" s="826">
        <v>0</v>
      </c>
      <c r="I3367" s="827" t="s">
        <v>13505</v>
      </c>
      <c r="J3367" s="826">
        <v>0</v>
      </c>
    </row>
    <row r="3368" spans="1:10" ht="13.5" customHeight="1" thickBot="1">
      <c r="A3368" s="827"/>
      <c r="B3368" s="827"/>
      <c r="C3368" s="827"/>
      <c r="D3368" s="827"/>
      <c r="E3368" s="827" t="s">
        <v>13506</v>
      </c>
      <c r="F3368" s="826">
        <v>0.1</v>
      </c>
      <c r="G3368" s="827"/>
      <c r="H3368" s="1018" t="s">
        <v>13507</v>
      </c>
      <c r="I3368" s="1018"/>
      <c r="J3368" s="826">
        <v>0.47</v>
      </c>
    </row>
    <row r="3369" spans="1:10" ht="13.5" thickTop="1">
      <c r="A3369" s="828"/>
      <c r="B3369" s="828"/>
      <c r="C3369" s="828"/>
      <c r="D3369" s="828"/>
      <c r="E3369" s="828"/>
      <c r="F3369" s="828"/>
      <c r="G3369" s="828"/>
      <c r="H3369" s="828"/>
      <c r="I3369" s="828"/>
      <c r="J3369" s="828"/>
    </row>
    <row r="3370" spans="1:10" ht="15">
      <c r="A3370" s="809"/>
      <c r="B3370" s="808" t="s">
        <v>13481</v>
      </c>
      <c r="C3370" s="809" t="s">
        <v>13482</v>
      </c>
      <c r="D3370" s="809" t="s">
        <v>13483</v>
      </c>
      <c r="E3370" s="1019" t="s">
        <v>13484</v>
      </c>
      <c r="F3370" s="1019"/>
      <c r="G3370" s="810" t="s">
        <v>13485</v>
      </c>
      <c r="H3370" s="808" t="s">
        <v>13486</v>
      </c>
      <c r="I3370" s="808" t="s">
        <v>13487</v>
      </c>
      <c r="J3370" s="808" t="s">
        <v>4867</v>
      </c>
    </row>
    <row r="3371" spans="1:10" ht="25.5" customHeight="1">
      <c r="A3371" s="812" t="s">
        <v>13488</v>
      </c>
      <c r="B3371" s="811" t="s">
        <v>14476</v>
      </c>
      <c r="C3371" s="812" t="s">
        <v>6</v>
      </c>
      <c r="D3371" s="812" t="s">
        <v>1041</v>
      </c>
      <c r="E3371" s="1020" t="s">
        <v>13539</v>
      </c>
      <c r="F3371" s="1020"/>
      <c r="G3371" s="813" t="s">
        <v>28</v>
      </c>
      <c r="H3371" s="814">
        <v>1</v>
      </c>
      <c r="I3371" s="815">
        <v>1.87</v>
      </c>
      <c r="J3371" s="815">
        <v>1.87</v>
      </c>
    </row>
    <row r="3372" spans="1:10" ht="13.5" customHeight="1">
      <c r="A3372" s="817" t="s">
        <v>13491</v>
      </c>
      <c r="B3372" s="816" t="s">
        <v>14578</v>
      </c>
      <c r="C3372" s="817" t="s">
        <v>6</v>
      </c>
      <c r="D3372" s="817" t="s">
        <v>1037</v>
      </c>
      <c r="E3372" s="1021" t="s">
        <v>13539</v>
      </c>
      <c r="F3372" s="1021"/>
      <c r="G3372" s="818" t="s">
        <v>19</v>
      </c>
      <c r="H3372" s="819">
        <v>1</v>
      </c>
      <c r="I3372" s="820">
        <v>0.33</v>
      </c>
      <c r="J3372" s="820">
        <v>0.33</v>
      </c>
    </row>
    <row r="3373" spans="1:10" ht="38.25" customHeight="1">
      <c r="A3373" s="817" t="s">
        <v>13491</v>
      </c>
      <c r="B3373" s="816" t="s">
        <v>14580</v>
      </c>
      <c r="C3373" s="817" t="s">
        <v>6</v>
      </c>
      <c r="D3373" s="817" t="s">
        <v>1039</v>
      </c>
      <c r="E3373" s="1021" t="s">
        <v>13539</v>
      </c>
      <c r="F3373" s="1021"/>
      <c r="G3373" s="818" t="s">
        <v>19</v>
      </c>
      <c r="H3373" s="819">
        <v>1</v>
      </c>
      <c r="I3373" s="820">
        <v>0.37</v>
      </c>
      <c r="J3373" s="820">
        <v>0.37</v>
      </c>
    </row>
    <row r="3374" spans="1:10" ht="38.25" customHeight="1">
      <c r="A3374" s="817" t="s">
        <v>13491</v>
      </c>
      <c r="B3374" s="816" t="s">
        <v>14581</v>
      </c>
      <c r="C3374" s="817" t="s">
        <v>6</v>
      </c>
      <c r="D3374" s="817" t="s">
        <v>1040</v>
      </c>
      <c r="E3374" s="1021" t="s">
        <v>13539</v>
      </c>
      <c r="F3374" s="1021"/>
      <c r="G3374" s="818" t="s">
        <v>19</v>
      </c>
      <c r="H3374" s="819">
        <v>1</v>
      </c>
      <c r="I3374" s="820">
        <v>1.1299999999999999</v>
      </c>
      <c r="J3374" s="820">
        <v>1.1299999999999999</v>
      </c>
    </row>
    <row r="3375" spans="1:10" ht="38.25" customHeight="1">
      <c r="A3375" s="817" t="s">
        <v>13491</v>
      </c>
      <c r="B3375" s="816" t="s">
        <v>14579</v>
      </c>
      <c r="C3375" s="817" t="s">
        <v>6</v>
      </c>
      <c r="D3375" s="817" t="s">
        <v>1038</v>
      </c>
      <c r="E3375" s="1021" t="s">
        <v>13539</v>
      </c>
      <c r="F3375" s="1021"/>
      <c r="G3375" s="818" t="s">
        <v>19</v>
      </c>
      <c r="H3375" s="819">
        <v>1</v>
      </c>
      <c r="I3375" s="820">
        <v>0.04</v>
      </c>
      <c r="J3375" s="820">
        <v>0.04</v>
      </c>
    </row>
    <row r="3376" spans="1:10" ht="25.5">
      <c r="A3376" s="827"/>
      <c r="B3376" s="827"/>
      <c r="C3376" s="827"/>
      <c r="D3376" s="827"/>
      <c r="E3376" s="827" t="s">
        <v>13503</v>
      </c>
      <c r="F3376" s="826">
        <v>0</v>
      </c>
      <c r="G3376" s="827" t="s">
        <v>13504</v>
      </c>
      <c r="H3376" s="826">
        <v>0</v>
      </c>
      <c r="I3376" s="827" t="s">
        <v>13505</v>
      </c>
      <c r="J3376" s="826">
        <v>0</v>
      </c>
    </row>
    <row r="3377" spans="1:10" ht="13.5" customHeight="1" thickBot="1">
      <c r="A3377" s="827"/>
      <c r="B3377" s="827"/>
      <c r="C3377" s="827"/>
      <c r="D3377" s="827"/>
      <c r="E3377" s="827" t="s">
        <v>13506</v>
      </c>
      <c r="F3377" s="826">
        <v>0.52</v>
      </c>
      <c r="G3377" s="827"/>
      <c r="H3377" s="1018" t="s">
        <v>13507</v>
      </c>
      <c r="I3377" s="1018"/>
      <c r="J3377" s="826">
        <v>2.39</v>
      </c>
    </row>
    <row r="3378" spans="1:10" ht="13.5" customHeight="1" thickTop="1">
      <c r="A3378" s="828"/>
      <c r="B3378" s="828"/>
      <c r="C3378" s="828"/>
      <c r="D3378" s="828"/>
      <c r="E3378" s="828"/>
      <c r="F3378" s="828"/>
      <c r="G3378" s="828"/>
      <c r="H3378" s="828"/>
      <c r="I3378" s="828"/>
      <c r="J3378" s="828"/>
    </row>
    <row r="3379" spans="1:10" ht="15">
      <c r="A3379" s="809"/>
      <c r="B3379" s="808" t="s">
        <v>13481</v>
      </c>
      <c r="C3379" s="809" t="s">
        <v>13482</v>
      </c>
      <c r="D3379" s="809" t="s">
        <v>13483</v>
      </c>
      <c r="E3379" s="1019" t="s">
        <v>13484</v>
      </c>
      <c r="F3379" s="1019"/>
      <c r="G3379" s="810" t="s">
        <v>13485</v>
      </c>
      <c r="H3379" s="808" t="s">
        <v>13486</v>
      </c>
      <c r="I3379" s="808" t="s">
        <v>13487</v>
      </c>
      <c r="J3379" s="808" t="s">
        <v>4867</v>
      </c>
    </row>
    <row r="3380" spans="1:10" ht="25.5" customHeight="1">
      <c r="A3380" s="812" t="s">
        <v>13488</v>
      </c>
      <c r="B3380" s="811" t="s">
        <v>14578</v>
      </c>
      <c r="C3380" s="812" t="s">
        <v>6</v>
      </c>
      <c r="D3380" s="812" t="s">
        <v>1037</v>
      </c>
      <c r="E3380" s="1020" t="s">
        <v>13539</v>
      </c>
      <c r="F3380" s="1020"/>
      <c r="G3380" s="813" t="s">
        <v>19</v>
      </c>
      <c r="H3380" s="814">
        <v>1</v>
      </c>
      <c r="I3380" s="815">
        <v>0.33</v>
      </c>
      <c r="J3380" s="815">
        <v>0.33</v>
      </c>
    </row>
    <row r="3381" spans="1:10" ht="38.25">
      <c r="A3381" s="822" t="s">
        <v>13493</v>
      </c>
      <c r="B3381" s="821" t="s">
        <v>14582</v>
      </c>
      <c r="C3381" s="822" t="s">
        <v>6</v>
      </c>
      <c r="D3381" s="822" t="s">
        <v>4597</v>
      </c>
      <c r="E3381" s="1017" t="s">
        <v>13497</v>
      </c>
      <c r="F3381" s="1017"/>
      <c r="G3381" s="823" t="s">
        <v>24</v>
      </c>
      <c r="H3381" s="824">
        <v>6.3999999999999997E-5</v>
      </c>
      <c r="I3381" s="825">
        <v>5299.99</v>
      </c>
      <c r="J3381" s="825">
        <v>0.33</v>
      </c>
    </row>
    <row r="3382" spans="1:10" ht="25.5">
      <c r="A3382" s="827"/>
      <c r="B3382" s="827"/>
      <c r="C3382" s="827"/>
      <c r="D3382" s="827"/>
      <c r="E3382" s="827" t="s">
        <v>13503</v>
      </c>
      <c r="F3382" s="826">
        <v>0</v>
      </c>
      <c r="G3382" s="827" t="s">
        <v>13504</v>
      </c>
      <c r="H3382" s="826">
        <v>0</v>
      </c>
      <c r="I3382" s="827" t="s">
        <v>13505</v>
      </c>
      <c r="J3382" s="826">
        <v>0</v>
      </c>
    </row>
    <row r="3383" spans="1:10" ht="13.5" customHeight="1" thickBot="1">
      <c r="A3383" s="827"/>
      <c r="B3383" s="827"/>
      <c r="C3383" s="827"/>
      <c r="D3383" s="827"/>
      <c r="E3383" s="827" t="s">
        <v>13506</v>
      </c>
      <c r="F3383" s="826">
        <v>0.09</v>
      </c>
      <c r="G3383" s="827"/>
      <c r="H3383" s="1018" t="s">
        <v>13507</v>
      </c>
      <c r="I3383" s="1018"/>
      <c r="J3383" s="826">
        <v>0.42</v>
      </c>
    </row>
    <row r="3384" spans="1:10" ht="13.5" customHeight="1" thickTop="1">
      <c r="A3384" s="828"/>
      <c r="B3384" s="828"/>
      <c r="C3384" s="828"/>
      <c r="D3384" s="828"/>
      <c r="E3384" s="828"/>
      <c r="F3384" s="828"/>
      <c r="G3384" s="828"/>
      <c r="H3384" s="828"/>
      <c r="I3384" s="828"/>
      <c r="J3384" s="828"/>
    </row>
    <row r="3385" spans="1:10" ht="15">
      <c r="A3385" s="809"/>
      <c r="B3385" s="808" t="s">
        <v>13481</v>
      </c>
      <c r="C3385" s="809" t="s">
        <v>13482</v>
      </c>
      <c r="D3385" s="809" t="s">
        <v>13483</v>
      </c>
      <c r="E3385" s="1019" t="s">
        <v>13484</v>
      </c>
      <c r="F3385" s="1019"/>
      <c r="G3385" s="810" t="s">
        <v>13485</v>
      </c>
      <c r="H3385" s="808" t="s">
        <v>13486</v>
      </c>
      <c r="I3385" s="808" t="s">
        <v>13487</v>
      </c>
      <c r="J3385" s="808" t="s">
        <v>4867</v>
      </c>
    </row>
    <row r="3386" spans="1:10" ht="25.5" customHeight="1">
      <c r="A3386" s="812" t="s">
        <v>13488</v>
      </c>
      <c r="B3386" s="811" t="s">
        <v>14579</v>
      </c>
      <c r="C3386" s="812" t="s">
        <v>6</v>
      </c>
      <c r="D3386" s="812" t="s">
        <v>1038</v>
      </c>
      <c r="E3386" s="1020" t="s">
        <v>13539</v>
      </c>
      <c r="F3386" s="1020"/>
      <c r="G3386" s="813" t="s">
        <v>19</v>
      </c>
      <c r="H3386" s="814">
        <v>1</v>
      </c>
      <c r="I3386" s="815">
        <v>0.04</v>
      </c>
      <c r="J3386" s="815">
        <v>0.04</v>
      </c>
    </row>
    <row r="3387" spans="1:10" ht="38.25">
      <c r="A3387" s="822" t="s">
        <v>13493</v>
      </c>
      <c r="B3387" s="821" t="s">
        <v>14582</v>
      </c>
      <c r="C3387" s="822" t="s">
        <v>6</v>
      </c>
      <c r="D3387" s="822" t="s">
        <v>4597</v>
      </c>
      <c r="E3387" s="1017" t="s">
        <v>13497</v>
      </c>
      <c r="F3387" s="1017"/>
      <c r="G3387" s="823" t="s">
        <v>24</v>
      </c>
      <c r="H3387" s="824">
        <v>7.6000000000000001E-6</v>
      </c>
      <c r="I3387" s="825">
        <v>5299.99</v>
      </c>
      <c r="J3387" s="825">
        <v>0.04</v>
      </c>
    </row>
    <row r="3388" spans="1:10" ht="25.5">
      <c r="A3388" s="827"/>
      <c r="B3388" s="827"/>
      <c r="C3388" s="827"/>
      <c r="D3388" s="827"/>
      <c r="E3388" s="827" t="s">
        <v>13503</v>
      </c>
      <c r="F3388" s="826">
        <v>0</v>
      </c>
      <c r="G3388" s="827" t="s">
        <v>13504</v>
      </c>
      <c r="H3388" s="826">
        <v>0</v>
      </c>
      <c r="I3388" s="827" t="s">
        <v>13505</v>
      </c>
      <c r="J3388" s="826">
        <v>0</v>
      </c>
    </row>
    <row r="3389" spans="1:10" ht="13.5" customHeight="1" thickBot="1">
      <c r="A3389" s="827"/>
      <c r="B3389" s="827"/>
      <c r="C3389" s="827"/>
      <c r="D3389" s="827"/>
      <c r="E3389" s="827" t="s">
        <v>13506</v>
      </c>
      <c r="F3389" s="826">
        <v>0.01</v>
      </c>
      <c r="G3389" s="827"/>
      <c r="H3389" s="1018" t="s">
        <v>13507</v>
      </c>
      <c r="I3389" s="1018"/>
      <c r="J3389" s="826">
        <v>0.05</v>
      </c>
    </row>
    <row r="3390" spans="1:10" ht="13.5" customHeight="1" thickTop="1">
      <c r="A3390" s="828"/>
      <c r="B3390" s="828"/>
      <c r="C3390" s="828"/>
      <c r="D3390" s="828"/>
      <c r="E3390" s="828"/>
      <c r="F3390" s="828"/>
      <c r="G3390" s="828"/>
      <c r="H3390" s="828"/>
      <c r="I3390" s="828"/>
      <c r="J3390" s="828"/>
    </row>
    <row r="3391" spans="1:10" ht="15">
      <c r="A3391" s="809"/>
      <c r="B3391" s="808" t="s">
        <v>13481</v>
      </c>
      <c r="C3391" s="809" t="s">
        <v>13482</v>
      </c>
      <c r="D3391" s="809" t="s">
        <v>13483</v>
      </c>
      <c r="E3391" s="1019" t="s">
        <v>13484</v>
      </c>
      <c r="F3391" s="1019"/>
      <c r="G3391" s="810" t="s">
        <v>13485</v>
      </c>
      <c r="H3391" s="808" t="s">
        <v>13486</v>
      </c>
      <c r="I3391" s="808" t="s">
        <v>13487</v>
      </c>
      <c r="J3391" s="808" t="s">
        <v>4867</v>
      </c>
    </row>
    <row r="3392" spans="1:10" ht="25.5" customHeight="1">
      <c r="A3392" s="812" t="s">
        <v>13488</v>
      </c>
      <c r="B3392" s="811" t="s">
        <v>14580</v>
      </c>
      <c r="C3392" s="812" t="s">
        <v>6</v>
      </c>
      <c r="D3392" s="812" t="s">
        <v>1039</v>
      </c>
      <c r="E3392" s="1020" t="s">
        <v>13539</v>
      </c>
      <c r="F3392" s="1020"/>
      <c r="G3392" s="813" t="s">
        <v>19</v>
      </c>
      <c r="H3392" s="814">
        <v>1</v>
      </c>
      <c r="I3392" s="815">
        <v>0.37</v>
      </c>
      <c r="J3392" s="815">
        <v>0.37</v>
      </c>
    </row>
    <row r="3393" spans="1:10" ht="38.25">
      <c r="A3393" s="822" t="s">
        <v>13493</v>
      </c>
      <c r="B3393" s="821" t="s">
        <v>14582</v>
      </c>
      <c r="C3393" s="822" t="s">
        <v>6</v>
      </c>
      <c r="D3393" s="822" t="s">
        <v>4597</v>
      </c>
      <c r="E3393" s="1017" t="s">
        <v>13497</v>
      </c>
      <c r="F3393" s="1017"/>
      <c r="G3393" s="823" t="s">
        <v>24</v>
      </c>
      <c r="H3393" s="824">
        <v>6.9999999999999994E-5</v>
      </c>
      <c r="I3393" s="825">
        <v>5299.99</v>
      </c>
      <c r="J3393" s="825">
        <v>0.37</v>
      </c>
    </row>
    <row r="3394" spans="1:10" ht="25.5">
      <c r="A3394" s="827"/>
      <c r="B3394" s="827"/>
      <c r="C3394" s="827"/>
      <c r="D3394" s="827"/>
      <c r="E3394" s="827" t="s">
        <v>13503</v>
      </c>
      <c r="F3394" s="826">
        <v>0</v>
      </c>
      <c r="G3394" s="827" t="s">
        <v>13504</v>
      </c>
      <c r="H3394" s="826">
        <v>0</v>
      </c>
      <c r="I3394" s="827" t="s">
        <v>13505</v>
      </c>
      <c r="J3394" s="826">
        <v>0</v>
      </c>
    </row>
    <row r="3395" spans="1:10" ht="13.5" customHeight="1" thickBot="1">
      <c r="A3395" s="827"/>
      <c r="B3395" s="827"/>
      <c r="C3395" s="827"/>
      <c r="D3395" s="827"/>
      <c r="E3395" s="827" t="s">
        <v>13506</v>
      </c>
      <c r="F3395" s="826">
        <v>0.1</v>
      </c>
      <c r="G3395" s="827"/>
      <c r="H3395" s="1018" t="s">
        <v>13507</v>
      </c>
      <c r="I3395" s="1018"/>
      <c r="J3395" s="826">
        <v>0.47</v>
      </c>
    </row>
    <row r="3396" spans="1:10" ht="13.5" customHeight="1" thickTop="1">
      <c r="A3396" s="828"/>
      <c r="B3396" s="828"/>
      <c r="C3396" s="828"/>
      <c r="D3396" s="828"/>
      <c r="E3396" s="828"/>
      <c r="F3396" s="828"/>
      <c r="G3396" s="828"/>
      <c r="H3396" s="828"/>
      <c r="I3396" s="828"/>
      <c r="J3396" s="828"/>
    </row>
    <row r="3397" spans="1:10" ht="15">
      <c r="A3397" s="809"/>
      <c r="B3397" s="808" t="s">
        <v>13481</v>
      </c>
      <c r="C3397" s="809" t="s">
        <v>13482</v>
      </c>
      <c r="D3397" s="809" t="s">
        <v>13483</v>
      </c>
      <c r="E3397" s="1019" t="s">
        <v>13484</v>
      </c>
      <c r="F3397" s="1019"/>
      <c r="G3397" s="810" t="s">
        <v>13485</v>
      </c>
      <c r="H3397" s="808" t="s">
        <v>13486</v>
      </c>
      <c r="I3397" s="808" t="s">
        <v>13487</v>
      </c>
      <c r="J3397" s="808" t="s">
        <v>4867</v>
      </c>
    </row>
    <row r="3398" spans="1:10" ht="25.5" customHeight="1">
      <c r="A3398" s="812" t="s">
        <v>13488</v>
      </c>
      <c r="B3398" s="811" t="s">
        <v>14581</v>
      </c>
      <c r="C3398" s="812" t="s">
        <v>6</v>
      </c>
      <c r="D3398" s="812" t="s">
        <v>1040</v>
      </c>
      <c r="E3398" s="1020" t="s">
        <v>13539</v>
      </c>
      <c r="F3398" s="1020"/>
      <c r="G3398" s="813" t="s">
        <v>19</v>
      </c>
      <c r="H3398" s="814">
        <v>1</v>
      </c>
      <c r="I3398" s="815">
        <v>1.1299999999999999</v>
      </c>
      <c r="J3398" s="815">
        <v>1.1299999999999999</v>
      </c>
    </row>
    <row r="3399" spans="1:10">
      <c r="A3399" s="822" t="s">
        <v>13493</v>
      </c>
      <c r="B3399" s="821" t="s">
        <v>14583</v>
      </c>
      <c r="C3399" s="822" t="s">
        <v>6</v>
      </c>
      <c r="D3399" s="822" t="s">
        <v>4647</v>
      </c>
      <c r="E3399" s="1017" t="s">
        <v>13514</v>
      </c>
      <c r="F3399" s="1017"/>
      <c r="G3399" s="823" t="s">
        <v>14584</v>
      </c>
      <c r="H3399" s="824">
        <v>1.25</v>
      </c>
      <c r="I3399" s="825">
        <v>0.91</v>
      </c>
      <c r="J3399" s="825">
        <v>1.1299999999999999</v>
      </c>
    </row>
    <row r="3400" spans="1:10" ht="25.5">
      <c r="A3400" s="827"/>
      <c r="B3400" s="827"/>
      <c r="C3400" s="827"/>
      <c r="D3400" s="827"/>
      <c r="E3400" s="827" t="s">
        <v>13503</v>
      </c>
      <c r="F3400" s="826">
        <v>0</v>
      </c>
      <c r="G3400" s="827" t="s">
        <v>13504</v>
      </c>
      <c r="H3400" s="826">
        <v>0</v>
      </c>
      <c r="I3400" s="827" t="s">
        <v>13505</v>
      </c>
      <c r="J3400" s="826">
        <v>0</v>
      </c>
    </row>
    <row r="3401" spans="1:10" ht="13.5" customHeight="1" thickBot="1">
      <c r="A3401" s="827"/>
      <c r="B3401" s="827"/>
      <c r="C3401" s="827"/>
      <c r="D3401" s="827"/>
      <c r="E3401" s="827" t="s">
        <v>13506</v>
      </c>
      <c r="F3401" s="826">
        <v>0.31</v>
      </c>
      <c r="G3401" s="827"/>
      <c r="H3401" s="1018" t="s">
        <v>13507</v>
      </c>
      <c r="I3401" s="1018"/>
      <c r="J3401" s="826">
        <v>1.44</v>
      </c>
    </row>
    <row r="3402" spans="1:10" ht="13.5" customHeight="1" thickTop="1">
      <c r="A3402" s="828"/>
      <c r="B3402" s="828"/>
      <c r="C3402" s="828"/>
      <c r="D3402" s="828"/>
      <c r="E3402" s="828"/>
      <c r="F3402" s="828"/>
      <c r="G3402" s="828"/>
      <c r="H3402" s="828"/>
      <c r="I3402" s="828"/>
      <c r="J3402" s="828"/>
    </row>
    <row r="3403" spans="1:10" ht="15">
      <c r="A3403" s="809"/>
      <c r="B3403" s="808" t="s">
        <v>13481</v>
      </c>
      <c r="C3403" s="809" t="s">
        <v>13482</v>
      </c>
      <c r="D3403" s="809" t="s">
        <v>13483</v>
      </c>
      <c r="E3403" s="1019" t="s">
        <v>13484</v>
      </c>
      <c r="F3403" s="1019"/>
      <c r="G3403" s="810" t="s">
        <v>13485</v>
      </c>
      <c r="H3403" s="808" t="s">
        <v>13486</v>
      </c>
      <c r="I3403" s="808" t="s">
        <v>13487</v>
      </c>
      <c r="J3403" s="808" t="s">
        <v>4867</v>
      </c>
    </row>
    <row r="3404" spans="1:10" ht="25.5" customHeight="1">
      <c r="A3404" s="812" t="s">
        <v>13488</v>
      </c>
      <c r="B3404" s="811" t="s">
        <v>13654</v>
      </c>
      <c r="C3404" s="812" t="s">
        <v>6</v>
      </c>
      <c r="D3404" s="812" t="s">
        <v>1103</v>
      </c>
      <c r="E3404" s="1020" t="s">
        <v>13539</v>
      </c>
      <c r="F3404" s="1020"/>
      <c r="G3404" s="813" t="s">
        <v>42</v>
      </c>
      <c r="H3404" s="814">
        <v>1</v>
      </c>
      <c r="I3404" s="815">
        <v>1.53</v>
      </c>
      <c r="J3404" s="815">
        <v>1.53</v>
      </c>
    </row>
    <row r="3405" spans="1:10" ht="38.25" customHeight="1">
      <c r="A3405" s="817" t="s">
        <v>13491</v>
      </c>
      <c r="B3405" s="816" t="s">
        <v>14585</v>
      </c>
      <c r="C3405" s="817" t="s">
        <v>6</v>
      </c>
      <c r="D3405" s="817" t="s">
        <v>1098</v>
      </c>
      <c r="E3405" s="1021" t="s">
        <v>13539</v>
      </c>
      <c r="F3405" s="1021"/>
      <c r="G3405" s="818" t="s">
        <v>19</v>
      </c>
      <c r="H3405" s="819">
        <v>1</v>
      </c>
      <c r="I3405" s="820">
        <v>1.37</v>
      </c>
      <c r="J3405" s="820">
        <v>1.37</v>
      </c>
    </row>
    <row r="3406" spans="1:10" ht="38.25" customHeight="1">
      <c r="A3406" s="817" t="s">
        <v>13491</v>
      </c>
      <c r="B3406" s="816" t="s">
        <v>14586</v>
      </c>
      <c r="C3406" s="817" t="s">
        <v>6</v>
      </c>
      <c r="D3406" s="817" t="s">
        <v>1099</v>
      </c>
      <c r="E3406" s="1021" t="s">
        <v>13539</v>
      </c>
      <c r="F3406" s="1021"/>
      <c r="G3406" s="818" t="s">
        <v>19</v>
      </c>
      <c r="H3406" s="819">
        <v>1</v>
      </c>
      <c r="I3406" s="820">
        <v>0.16</v>
      </c>
      <c r="J3406" s="820">
        <v>0.16</v>
      </c>
    </row>
    <row r="3407" spans="1:10" ht="25.5">
      <c r="A3407" s="827"/>
      <c r="B3407" s="827"/>
      <c r="C3407" s="827"/>
      <c r="D3407" s="827"/>
      <c r="E3407" s="827" t="s">
        <v>13503</v>
      </c>
      <c r="F3407" s="826">
        <v>0</v>
      </c>
      <c r="G3407" s="827" t="s">
        <v>13504</v>
      </c>
      <c r="H3407" s="826">
        <v>0</v>
      </c>
      <c r="I3407" s="827" t="s">
        <v>13505</v>
      </c>
      <c r="J3407" s="826">
        <v>0</v>
      </c>
    </row>
    <row r="3408" spans="1:10" ht="13.5" customHeight="1" thickBot="1">
      <c r="A3408" s="827"/>
      <c r="B3408" s="827"/>
      <c r="C3408" s="827"/>
      <c r="D3408" s="827"/>
      <c r="E3408" s="827" t="s">
        <v>13506</v>
      </c>
      <c r="F3408" s="826">
        <v>0.43</v>
      </c>
      <c r="G3408" s="827"/>
      <c r="H3408" s="1018" t="s">
        <v>13507</v>
      </c>
      <c r="I3408" s="1018"/>
      <c r="J3408" s="826">
        <v>1.96</v>
      </c>
    </row>
    <row r="3409" spans="1:10" ht="13.5" thickTop="1">
      <c r="A3409" s="828"/>
      <c r="B3409" s="828"/>
      <c r="C3409" s="828"/>
      <c r="D3409" s="828"/>
      <c r="E3409" s="828"/>
      <c r="F3409" s="828"/>
      <c r="G3409" s="828"/>
      <c r="H3409" s="828"/>
      <c r="I3409" s="828"/>
      <c r="J3409" s="828"/>
    </row>
    <row r="3410" spans="1:10" ht="15">
      <c r="A3410" s="809"/>
      <c r="B3410" s="808" t="s">
        <v>13481</v>
      </c>
      <c r="C3410" s="809" t="s">
        <v>13482</v>
      </c>
      <c r="D3410" s="809" t="s">
        <v>13483</v>
      </c>
      <c r="E3410" s="1019" t="s">
        <v>13484</v>
      </c>
      <c r="F3410" s="1019"/>
      <c r="G3410" s="810" t="s">
        <v>13485</v>
      </c>
      <c r="H3410" s="808" t="s">
        <v>13486</v>
      </c>
      <c r="I3410" s="808" t="s">
        <v>13487</v>
      </c>
      <c r="J3410" s="808" t="s">
        <v>4867</v>
      </c>
    </row>
    <row r="3411" spans="1:10" ht="25.5" customHeight="1">
      <c r="A3411" s="812" t="s">
        <v>13488</v>
      </c>
      <c r="B3411" s="811" t="s">
        <v>13655</v>
      </c>
      <c r="C3411" s="812" t="s">
        <v>6</v>
      </c>
      <c r="D3411" s="812" t="s">
        <v>1102</v>
      </c>
      <c r="E3411" s="1020" t="s">
        <v>13539</v>
      </c>
      <c r="F3411" s="1020"/>
      <c r="G3411" s="813" t="s">
        <v>28</v>
      </c>
      <c r="H3411" s="814">
        <v>1</v>
      </c>
      <c r="I3411" s="815">
        <v>5.3</v>
      </c>
      <c r="J3411" s="815">
        <v>5.3</v>
      </c>
    </row>
    <row r="3412" spans="1:10" ht="38.25" customHeight="1">
      <c r="A3412" s="817" t="s">
        <v>13491</v>
      </c>
      <c r="B3412" s="816" t="s">
        <v>14588</v>
      </c>
      <c r="C3412" s="817" t="s">
        <v>6</v>
      </c>
      <c r="D3412" s="817" t="s">
        <v>1101</v>
      </c>
      <c r="E3412" s="1021" t="s">
        <v>13539</v>
      </c>
      <c r="F3412" s="1021"/>
      <c r="G3412" s="818" t="s">
        <v>19</v>
      </c>
      <c r="H3412" s="819">
        <v>1</v>
      </c>
      <c r="I3412" s="820">
        <v>2.27</v>
      </c>
      <c r="J3412" s="820">
        <v>2.27</v>
      </c>
    </row>
    <row r="3413" spans="1:10" ht="38.25" customHeight="1">
      <c r="A3413" s="817" t="s">
        <v>13491</v>
      </c>
      <c r="B3413" s="816" t="s">
        <v>14586</v>
      </c>
      <c r="C3413" s="817" t="s">
        <v>6</v>
      </c>
      <c r="D3413" s="817" t="s">
        <v>1099</v>
      </c>
      <c r="E3413" s="1021" t="s">
        <v>13539</v>
      </c>
      <c r="F3413" s="1021"/>
      <c r="G3413" s="818" t="s">
        <v>19</v>
      </c>
      <c r="H3413" s="819">
        <v>1</v>
      </c>
      <c r="I3413" s="820">
        <v>0.16</v>
      </c>
      <c r="J3413" s="820">
        <v>0.16</v>
      </c>
    </row>
    <row r="3414" spans="1:10" ht="13.5" customHeight="1">
      <c r="A3414" s="817" t="s">
        <v>13491</v>
      </c>
      <c r="B3414" s="816" t="s">
        <v>14585</v>
      </c>
      <c r="C3414" s="817" t="s">
        <v>6</v>
      </c>
      <c r="D3414" s="817" t="s">
        <v>1098</v>
      </c>
      <c r="E3414" s="1021" t="s">
        <v>13539</v>
      </c>
      <c r="F3414" s="1021"/>
      <c r="G3414" s="818" t="s">
        <v>19</v>
      </c>
      <c r="H3414" s="819">
        <v>1</v>
      </c>
      <c r="I3414" s="820">
        <v>1.37</v>
      </c>
      <c r="J3414" s="820">
        <v>1.37</v>
      </c>
    </row>
    <row r="3415" spans="1:10" ht="38.25" customHeight="1">
      <c r="A3415" s="817" t="s">
        <v>13491</v>
      </c>
      <c r="B3415" s="816" t="s">
        <v>14587</v>
      </c>
      <c r="C3415" s="817" t="s">
        <v>6</v>
      </c>
      <c r="D3415" s="817" t="s">
        <v>1100</v>
      </c>
      <c r="E3415" s="1021" t="s">
        <v>13539</v>
      </c>
      <c r="F3415" s="1021"/>
      <c r="G3415" s="818" t="s">
        <v>19</v>
      </c>
      <c r="H3415" s="819">
        <v>1</v>
      </c>
      <c r="I3415" s="820">
        <v>1.5</v>
      </c>
      <c r="J3415" s="820">
        <v>1.5</v>
      </c>
    </row>
    <row r="3416" spans="1:10" ht="25.5">
      <c r="A3416" s="827"/>
      <c r="B3416" s="827"/>
      <c r="C3416" s="827"/>
      <c r="D3416" s="827"/>
      <c r="E3416" s="827" t="s">
        <v>13503</v>
      </c>
      <c r="F3416" s="826">
        <v>0</v>
      </c>
      <c r="G3416" s="827" t="s">
        <v>13504</v>
      </c>
      <c r="H3416" s="826">
        <v>0</v>
      </c>
      <c r="I3416" s="827" t="s">
        <v>13505</v>
      </c>
      <c r="J3416" s="826">
        <v>0</v>
      </c>
    </row>
    <row r="3417" spans="1:10" ht="13.5" customHeight="1" thickBot="1">
      <c r="A3417" s="827"/>
      <c r="B3417" s="827"/>
      <c r="C3417" s="827"/>
      <c r="D3417" s="827"/>
      <c r="E3417" s="827" t="s">
        <v>13506</v>
      </c>
      <c r="F3417" s="826">
        <v>1.49</v>
      </c>
      <c r="G3417" s="827"/>
      <c r="H3417" s="1018" t="s">
        <v>13507</v>
      </c>
      <c r="I3417" s="1018"/>
      <c r="J3417" s="826">
        <v>6.79</v>
      </c>
    </row>
    <row r="3418" spans="1:10" ht="13.5" thickTop="1">
      <c r="A3418" s="828"/>
      <c r="B3418" s="828"/>
      <c r="C3418" s="828"/>
      <c r="D3418" s="828"/>
      <c r="E3418" s="828"/>
      <c r="F3418" s="828"/>
      <c r="G3418" s="828"/>
      <c r="H3418" s="828"/>
      <c r="I3418" s="828"/>
      <c r="J3418" s="828"/>
    </row>
    <row r="3419" spans="1:10" ht="15">
      <c r="A3419" s="809"/>
      <c r="B3419" s="808" t="s">
        <v>13481</v>
      </c>
      <c r="C3419" s="809" t="s">
        <v>13482</v>
      </c>
      <c r="D3419" s="809" t="s">
        <v>13483</v>
      </c>
      <c r="E3419" s="1019" t="s">
        <v>13484</v>
      </c>
      <c r="F3419" s="1019"/>
      <c r="G3419" s="810" t="s">
        <v>13485</v>
      </c>
      <c r="H3419" s="808" t="s">
        <v>13486</v>
      </c>
      <c r="I3419" s="808" t="s">
        <v>13487</v>
      </c>
      <c r="J3419" s="808" t="s">
        <v>4867</v>
      </c>
    </row>
    <row r="3420" spans="1:10" ht="13.5" customHeight="1">
      <c r="A3420" s="812" t="s">
        <v>13488</v>
      </c>
      <c r="B3420" s="811" t="s">
        <v>14585</v>
      </c>
      <c r="C3420" s="812" t="s">
        <v>6</v>
      </c>
      <c r="D3420" s="812" t="s">
        <v>1098</v>
      </c>
      <c r="E3420" s="1020" t="s">
        <v>13539</v>
      </c>
      <c r="F3420" s="1020"/>
      <c r="G3420" s="813" t="s">
        <v>19</v>
      </c>
      <c r="H3420" s="814">
        <v>1</v>
      </c>
      <c r="I3420" s="815">
        <v>1.37</v>
      </c>
      <c r="J3420" s="815">
        <v>1.37</v>
      </c>
    </row>
    <row r="3421" spans="1:10" ht="38.25">
      <c r="A3421" s="822" t="s">
        <v>13493</v>
      </c>
      <c r="B3421" s="821" t="s">
        <v>14589</v>
      </c>
      <c r="C3421" s="822" t="s">
        <v>6</v>
      </c>
      <c r="D3421" s="822" t="s">
        <v>4598</v>
      </c>
      <c r="E3421" s="1017" t="s">
        <v>13497</v>
      </c>
      <c r="F3421" s="1017"/>
      <c r="G3421" s="823" t="s">
        <v>24</v>
      </c>
      <c r="H3421" s="824">
        <v>6.3999999999999997E-5</v>
      </c>
      <c r="I3421" s="825">
        <v>21559.279999999999</v>
      </c>
      <c r="J3421" s="825">
        <v>1.37</v>
      </c>
    </row>
    <row r="3422" spans="1:10" ht="25.5">
      <c r="A3422" s="827"/>
      <c r="B3422" s="827"/>
      <c r="C3422" s="827"/>
      <c r="D3422" s="827"/>
      <c r="E3422" s="827" t="s">
        <v>13503</v>
      </c>
      <c r="F3422" s="826">
        <v>0</v>
      </c>
      <c r="G3422" s="827" t="s">
        <v>13504</v>
      </c>
      <c r="H3422" s="826">
        <v>0</v>
      </c>
      <c r="I3422" s="827" t="s">
        <v>13505</v>
      </c>
      <c r="J3422" s="826">
        <v>0</v>
      </c>
    </row>
    <row r="3423" spans="1:10" ht="13.5" customHeight="1" thickBot="1">
      <c r="A3423" s="827"/>
      <c r="B3423" s="827"/>
      <c r="C3423" s="827"/>
      <c r="D3423" s="827"/>
      <c r="E3423" s="827" t="s">
        <v>13506</v>
      </c>
      <c r="F3423" s="826">
        <v>0.38</v>
      </c>
      <c r="G3423" s="827"/>
      <c r="H3423" s="1018" t="s">
        <v>13507</v>
      </c>
      <c r="I3423" s="1018"/>
      <c r="J3423" s="826">
        <v>1.75</v>
      </c>
    </row>
    <row r="3424" spans="1:10" ht="13.5" thickTop="1">
      <c r="A3424" s="828"/>
      <c r="B3424" s="828"/>
      <c r="C3424" s="828"/>
      <c r="D3424" s="828"/>
      <c r="E3424" s="828"/>
      <c r="F3424" s="828"/>
      <c r="G3424" s="828"/>
      <c r="H3424" s="828"/>
      <c r="I3424" s="828"/>
      <c r="J3424" s="828"/>
    </row>
    <row r="3425" spans="1:10" ht="15">
      <c r="A3425" s="809"/>
      <c r="B3425" s="808" t="s">
        <v>13481</v>
      </c>
      <c r="C3425" s="809" t="s">
        <v>13482</v>
      </c>
      <c r="D3425" s="809" t="s">
        <v>13483</v>
      </c>
      <c r="E3425" s="1019" t="s">
        <v>13484</v>
      </c>
      <c r="F3425" s="1019"/>
      <c r="G3425" s="810" t="s">
        <v>13485</v>
      </c>
      <c r="H3425" s="808" t="s">
        <v>13486</v>
      </c>
      <c r="I3425" s="808" t="s">
        <v>13487</v>
      </c>
      <c r="J3425" s="808" t="s">
        <v>4867</v>
      </c>
    </row>
    <row r="3426" spans="1:10" ht="13.5" customHeight="1">
      <c r="A3426" s="812" t="s">
        <v>13488</v>
      </c>
      <c r="B3426" s="811" t="s">
        <v>14586</v>
      </c>
      <c r="C3426" s="812" t="s">
        <v>6</v>
      </c>
      <c r="D3426" s="812" t="s">
        <v>1099</v>
      </c>
      <c r="E3426" s="1020" t="s">
        <v>13539</v>
      </c>
      <c r="F3426" s="1020"/>
      <c r="G3426" s="813" t="s">
        <v>19</v>
      </c>
      <c r="H3426" s="814">
        <v>1</v>
      </c>
      <c r="I3426" s="815">
        <v>0.16</v>
      </c>
      <c r="J3426" s="815">
        <v>0.16</v>
      </c>
    </row>
    <row r="3427" spans="1:10" ht="38.25">
      <c r="A3427" s="822" t="s">
        <v>13493</v>
      </c>
      <c r="B3427" s="821" t="s">
        <v>14589</v>
      </c>
      <c r="C3427" s="822" t="s">
        <v>6</v>
      </c>
      <c r="D3427" s="822" t="s">
        <v>4598</v>
      </c>
      <c r="E3427" s="1017" t="s">
        <v>13497</v>
      </c>
      <c r="F3427" s="1017"/>
      <c r="G3427" s="823" t="s">
        <v>24</v>
      </c>
      <c r="H3427" s="824">
        <v>7.6000000000000001E-6</v>
      </c>
      <c r="I3427" s="825">
        <v>21559.279999999999</v>
      </c>
      <c r="J3427" s="825">
        <v>0.16</v>
      </c>
    </row>
    <row r="3428" spans="1:10" ht="25.5">
      <c r="A3428" s="827"/>
      <c r="B3428" s="827"/>
      <c r="C3428" s="827"/>
      <c r="D3428" s="827"/>
      <c r="E3428" s="827" t="s">
        <v>13503</v>
      </c>
      <c r="F3428" s="826">
        <v>0</v>
      </c>
      <c r="G3428" s="827" t="s">
        <v>13504</v>
      </c>
      <c r="H3428" s="826">
        <v>0</v>
      </c>
      <c r="I3428" s="827" t="s">
        <v>13505</v>
      </c>
      <c r="J3428" s="826">
        <v>0</v>
      </c>
    </row>
    <row r="3429" spans="1:10" ht="13.5" customHeight="1" thickBot="1">
      <c r="A3429" s="827"/>
      <c r="B3429" s="827"/>
      <c r="C3429" s="827"/>
      <c r="D3429" s="827"/>
      <c r="E3429" s="827" t="s">
        <v>13506</v>
      </c>
      <c r="F3429" s="826">
        <v>0.04</v>
      </c>
      <c r="G3429" s="827"/>
      <c r="H3429" s="1018" t="s">
        <v>13507</v>
      </c>
      <c r="I3429" s="1018"/>
      <c r="J3429" s="826">
        <v>0.2</v>
      </c>
    </row>
    <row r="3430" spans="1:10" ht="13.5" thickTop="1">
      <c r="A3430" s="828"/>
      <c r="B3430" s="828"/>
      <c r="C3430" s="828"/>
      <c r="D3430" s="828"/>
      <c r="E3430" s="828"/>
      <c r="F3430" s="828"/>
      <c r="G3430" s="828"/>
      <c r="H3430" s="828"/>
      <c r="I3430" s="828"/>
      <c r="J3430" s="828"/>
    </row>
    <row r="3431" spans="1:10" ht="15">
      <c r="A3431" s="809"/>
      <c r="B3431" s="808" t="s">
        <v>13481</v>
      </c>
      <c r="C3431" s="809" t="s">
        <v>13482</v>
      </c>
      <c r="D3431" s="809" t="s">
        <v>13483</v>
      </c>
      <c r="E3431" s="1019" t="s">
        <v>13484</v>
      </c>
      <c r="F3431" s="1019"/>
      <c r="G3431" s="810" t="s">
        <v>13485</v>
      </c>
      <c r="H3431" s="808" t="s">
        <v>13486</v>
      </c>
      <c r="I3431" s="808" t="s">
        <v>13487</v>
      </c>
      <c r="J3431" s="808" t="s">
        <v>4867</v>
      </c>
    </row>
    <row r="3432" spans="1:10" ht="13.5" customHeight="1">
      <c r="A3432" s="812" t="s">
        <v>13488</v>
      </c>
      <c r="B3432" s="811" t="s">
        <v>14587</v>
      </c>
      <c r="C3432" s="812" t="s">
        <v>6</v>
      </c>
      <c r="D3432" s="812" t="s">
        <v>1100</v>
      </c>
      <c r="E3432" s="1020" t="s">
        <v>13539</v>
      </c>
      <c r="F3432" s="1020"/>
      <c r="G3432" s="813" t="s">
        <v>19</v>
      </c>
      <c r="H3432" s="814">
        <v>1</v>
      </c>
      <c r="I3432" s="815">
        <v>1.5</v>
      </c>
      <c r="J3432" s="815">
        <v>1.5</v>
      </c>
    </row>
    <row r="3433" spans="1:10" ht="38.25">
      <c r="A3433" s="822" t="s">
        <v>13493</v>
      </c>
      <c r="B3433" s="821" t="s">
        <v>14589</v>
      </c>
      <c r="C3433" s="822" t="s">
        <v>6</v>
      </c>
      <c r="D3433" s="822" t="s">
        <v>4598</v>
      </c>
      <c r="E3433" s="1017" t="s">
        <v>13497</v>
      </c>
      <c r="F3433" s="1017"/>
      <c r="G3433" s="823" t="s">
        <v>24</v>
      </c>
      <c r="H3433" s="824">
        <v>6.9999999999999994E-5</v>
      </c>
      <c r="I3433" s="825">
        <v>21559.279999999999</v>
      </c>
      <c r="J3433" s="825">
        <v>1.5</v>
      </c>
    </row>
    <row r="3434" spans="1:10" ht="25.5">
      <c r="A3434" s="827"/>
      <c r="B3434" s="827"/>
      <c r="C3434" s="827"/>
      <c r="D3434" s="827"/>
      <c r="E3434" s="827" t="s">
        <v>13503</v>
      </c>
      <c r="F3434" s="826">
        <v>0</v>
      </c>
      <c r="G3434" s="827" t="s">
        <v>13504</v>
      </c>
      <c r="H3434" s="826">
        <v>0</v>
      </c>
      <c r="I3434" s="827" t="s">
        <v>13505</v>
      </c>
      <c r="J3434" s="826">
        <v>0</v>
      </c>
    </row>
    <row r="3435" spans="1:10" ht="13.5" customHeight="1" thickBot="1">
      <c r="A3435" s="827"/>
      <c r="B3435" s="827"/>
      <c r="C3435" s="827"/>
      <c r="D3435" s="827"/>
      <c r="E3435" s="827" t="s">
        <v>13506</v>
      </c>
      <c r="F3435" s="826">
        <v>0.42</v>
      </c>
      <c r="G3435" s="827"/>
      <c r="H3435" s="1018" t="s">
        <v>13507</v>
      </c>
      <c r="I3435" s="1018"/>
      <c r="J3435" s="826">
        <v>1.92</v>
      </c>
    </row>
    <row r="3436" spans="1:10" ht="13.5" thickTop="1">
      <c r="A3436" s="828"/>
      <c r="B3436" s="828"/>
      <c r="C3436" s="828"/>
      <c r="D3436" s="828"/>
      <c r="E3436" s="828"/>
      <c r="F3436" s="828"/>
      <c r="G3436" s="828"/>
      <c r="H3436" s="828"/>
      <c r="I3436" s="828"/>
      <c r="J3436" s="828"/>
    </row>
    <row r="3437" spans="1:10" ht="15">
      <c r="A3437" s="809"/>
      <c r="B3437" s="808" t="s">
        <v>13481</v>
      </c>
      <c r="C3437" s="809" t="s">
        <v>13482</v>
      </c>
      <c r="D3437" s="809" t="s">
        <v>13483</v>
      </c>
      <c r="E3437" s="1019" t="s">
        <v>13484</v>
      </c>
      <c r="F3437" s="1019"/>
      <c r="G3437" s="810" t="s">
        <v>13485</v>
      </c>
      <c r="H3437" s="808" t="s">
        <v>13486</v>
      </c>
      <c r="I3437" s="808" t="s">
        <v>13487</v>
      </c>
      <c r="J3437" s="808" t="s">
        <v>4867</v>
      </c>
    </row>
    <row r="3438" spans="1:10" ht="13.5" customHeight="1">
      <c r="A3438" s="812" t="s">
        <v>13488</v>
      </c>
      <c r="B3438" s="811" t="s">
        <v>14588</v>
      </c>
      <c r="C3438" s="812" t="s">
        <v>6</v>
      </c>
      <c r="D3438" s="812" t="s">
        <v>1101</v>
      </c>
      <c r="E3438" s="1020" t="s">
        <v>13539</v>
      </c>
      <c r="F3438" s="1020"/>
      <c r="G3438" s="813" t="s">
        <v>19</v>
      </c>
      <c r="H3438" s="814">
        <v>1</v>
      </c>
      <c r="I3438" s="815">
        <v>2.27</v>
      </c>
      <c r="J3438" s="815">
        <v>2.27</v>
      </c>
    </row>
    <row r="3439" spans="1:10">
      <c r="A3439" s="822" t="s">
        <v>13493</v>
      </c>
      <c r="B3439" s="821" t="s">
        <v>14583</v>
      </c>
      <c r="C3439" s="822" t="s">
        <v>6</v>
      </c>
      <c r="D3439" s="822" t="s">
        <v>4647</v>
      </c>
      <c r="E3439" s="1017" t="s">
        <v>13514</v>
      </c>
      <c r="F3439" s="1017"/>
      <c r="G3439" s="823" t="s">
        <v>14584</v>
      </c>
      <c r="H3439" s="824">
        <v>2.5</v>
      </c>
      <c r="I3439" s="825">
        <v>0.91</v>
      </c>
      <c r="J3439" s="825">
        <v>2.27</v>
      </c>
    </row>
    <row r="3440" spans="1:10" ht="25.5">
      <c r="A3440" s="827"/>
      <c r="B3440" s="827"/>
      <c r="C3440" s="827"/>
      <c r="D3440" s="827"/>
      <c r="E3440" s="827" t="s">
        <v>13503</v>
      </c>
      <c r="F3440" s="826">
        <v>0</v>
      </c>
      <c r="G3440" s="827" t="s">
        <v>13504</v>
      </c>
      <c r="H3440" s="826">
        <v>0</v>
      </c>
      <c r="I3440" s="827" t="s">
        <v>13505</v>
      </c>
      <c r="J3440" s="826">
        <v>0</v>
      </c>
    </row>
    <row r="3441" spans="1:10" ht="13.5" customHeight="1" thickBot="1">
      <c r="A3441" s="827"/>
      <c r="B3441" s="827"/>
      <c r="C3441" s="827"/>
      <c r="D3441" s="827"/>
      <c r="E3441" s="827" t="s">
        <v>13506</v>
      </c>
      <c r="F3441" s="826">
        <v>0.64</v>
      </c>
      <c r="G3441" s="827"/>
      <c r="H3441" s="1018" t="s">
        <v>13507</v>
      </c>
      <c r="I3441" s="1018"/>
      <c r="J3441" s="826">
        <v>2.91</v>
      </c>
    </row>
    <row r="3442" spans="1:10" ht="13.5" thickTop="1">
      <c r="A3442" s="828"/>
      <c r="B3442" s="828"/>
      <c r="C3442" s="828"/>
      <c r="D3442" s="828"/>
      <c r="E3442" s="828"/>
      <c r="F3442" s="828"/>
      <c r="G3442" s="828"/>
      <c r="H3442" s="828"/>
      <c r="I3442" s="828"/>
      <c r="J3442" s="828"/>
    </row>
    <row r="3443" spans="1:10" ht="15">
      <c r="A3443" s="809"/>
      <c r="B3443" s="808" t="s">
        <v>13481</v>
      </c>
      <c r="C3443" s="809" t="s">
        <v>13482</v>
      </c>
      <c r="D3443" s="809" t="s">
        <v>13483</v>
      </c>
      <c r="E3443" s="1019" t="s">
        <v>13484</v>
      </c>
      <c r="F3443" s="1019"/>
      <c r="G3443" s="810" t="s">
        <v>13485</v>
      </c>
      <c r="H3443" s="808" t="s">
        <v>13486</v>
      </c>
      <c r="I3443" s="808" t="s">
        <v>13487</v>
      </c>
      <c r="J3443" s="808" t="s">
        <v>4867</v>
      </c>
    </row>
    <row r="3444" spans="1:10" ht="13.5" customHeight="1">
      <c r="A3444" s="812" t="s">
        <v>13488</v>
      </c>
      <c r="B3444" s="811" t="s">
        <v>13802</v>
      </c>
      <c r="C3444" s="812" t="s">
        <v>6</v>
      </c>
      <c r="D3444" s="812" t="s">
        <v>121</v>
      </c>
      <c r="E3444" s="1020" t="s">
        <v>13490</v>
      </c>
      <c r="F3444" s="1020"/>
      <c r="G3444" s="813" t="s">
        <v>19</v>
      </c>
      <c r="H3444" s="814">
        <v>1</v>
      </c>
      <c r="I3444" s="815">
        <v>17.420000000000002</v>
      </c>
      <c r="J3444" s="815">
        <v>17.420000000000002</v>
      </c>
    </row>
    <row r="3445" spans="1:10" ht="38.25" customHeight="1">
      <c r="A3445" s="817" t="s">
        <v>13491</v>
      </c>
      <c r="B3445" s="816" t="s">
        <v>14590</v>
      </c>
      <c r="C3445" s="817" t="s">
        <v>6</v>
      </c>
      <c r="D3445" s="817" t="s">
        <v>2522</v>
      </c>
      <c r="E3445" s="1021" t="s">
        <v>13490</v>
      </c>
      <c r="F3445" s="1021"/>
      <c r="G3445" s="818" t="s">
        <v>19</v>
      </c>
      <c r="H3445" s="819">
        <v>1</v>
      </c>
      <c r="I3445" s="820">
        <v>0.11</v>
      </c>
      <c r="J3445" s="820">
        <v>0.11</v>
      </c>
    </row>
    <row r="3446" spans="1:10">
      <c r="A3446" s="822" t="s">
        <v>13493</v>
      </c>
      <c r="B3446" s="821" t="s">
        <v>13528</v>
      </c>
      <c r="C3446" s="822" t="s">
        <v>6</v>
      </c>
      <c r="D3446" s="822" t="s">
        <v>4581</v>
      </c>
      <c r="E3446" s="1017" t="s">
        <v>13499</v>
      </c>
      <c r="F3446" s="1017"/>
      <c r="G3446" s="823" t="s">
        <v>19</v>
      </c>
      <c r="H3446" s="824">
        <v>1</v>
      </c>
      <c r="I3446" s="825">
        <v>1.52</v>
      </c>
      <c r="J3446" s="825">
        <v>1.52</v>
      </c>
    </row>
    <row r="3447" spans="1:10">
      <c r="A3447" s="822" t="s">
        <v>13493</v>
      </c>
      <c r="B3447" s="821" t="s">
        <v>14591</v>
      </c>
      <c r="C3447" s="822" t="s">
        <v>6</v>
      </c>
      <c r="D3447" s="822" t="s">
        <v>9314</v>
      </c>
      <c r="E3447" s="1017" t="s">
        <v>13495</v>
      </c>
      <c r="F3447" s="1017"/>
      <c r="G3447" s="823" t="s">
        <v>19</v>
      </c>
      <c r="H3447" s="824">
        <v>1</v>
      </c>
      <c r="I3447" s="825">
        <v>12.41</v>
      </c>
      <c r="J3447" s="825">
        <v>12.41</v>
      </c>
    </row>
    <row r="3448" spans="1:10" ht="25.5">
      <c r="A3448" s="822" t="s">
        <v>13493</v>
      </c>
      <c r="B3448" s="821" t="s">
        <v>14430</v>
      </c>
      <c r="C3448" s="822" t="s">
        <v>6</v>
      </c>
      <c r="D3448" s="822" t="s">
        <v>4657</v>
      </c>
      <c r="E3448" s="1017" t="s">
        <v>13497</v>
      </c>
      <c r="F3448" s="1017"/>
      <c r="G3448" s="823" t="s">
        <v>19</v>
      </c>
      <c r="H3448" s="824">
        <v>1</v>
      </c>
      <c r="I3448" s="825">
        <v>1.0900000000000001</v>
      </c>
      <c r="J3448" s="825">
        <v>1.0900000000000001</v>
      </c>
    </row>
    <row r="3449" spans="1:10">
      <c r="A3449" s="822" t="s">
        <v>13493</v>
      </c>
      <c r="B3449" s="821" t="s">
        <v>13498</v>
      </c>
      <c r="C3449" s="822" t="s">
        <v>6</v>
      </c>
      <c r="D3449" s="822" t="s">
        <v>4665</v>
      </c>
      <c r="E3449" s="1017" t="s">
        <v>13499</v>
      </c>
      <c r="F3449" s="1017"/>
      <c r="G3449" s="823" t="s">
        <v>19</v>
      </c>
      <c r="H3449" s="824">
        <v>1</v>
      </c>
      <c r="I3449" s="825">
        <v>0.81</v>
      </c>
      <c r="J3449" s="825">
        <v>0.81</v>
      </c>
    </row>
    <row r="3450" spans="1:10" ht="13.5" customHeight="1">
      <c r="A3450" s="822" t="s">
        <v>13493</v>
      </c>
      <c r="B3450" s="821" t="s">
        <v>14431</v>
      </c>
      <c r="C3450" s="822" t="s">
        <v>6</v>
      </c>
      <c r="D3450" s="822" t="s">
        <v>4673</v>
      </c>
      <c r="E3450" s="1017" t="s">
        <v>13497</v>
      </c>
      <c r="F3450" s="1017"/>
      <c r="G3450" s="823" t="s">
        <v>19</v>
      </c>
      <c r="H3450" s="824">
        <v>1</v>
      </c>
      <c r="I3450" s="825">
        <v>0.74</v>
      </c>
      <c r="J3450" s="825">
        <v>0.74</v>
      </c>
    </row>
    <row r="3451" spans="1:10">
      <c r="A3451" s="822" t="s">
        <v>13493</v>
      </c>
      <c r="B3451" s="821" t="s">
        <v>13501</v>
      </c>
      <c r="C3451" s="822" t="s">
        <v>6</v>
      </c>
      <c r="D3451" s="822" t="s">
        <v>4779</v>
      </c>
      <c r="E3451" s="1017" t="s">
        <v>13502</v>
      </c>
      <c r="F3451" s="1017"/>
      <c r="G3451" s="823" t="s">
        <v>19</v>
      </c>
      <c r="H3451" s="824">
        <v>1</v>
      </c>
      <c r="I3451" s="825">
        <v>0.06</v>
      </c>
      <c r="J3451" s="825">
        <v>0.06</v>
      </c>
    </row>
    <row r="3452" spans="1:10">
      <c r="A3452" s="822" t="s">
        <v>13493</v>
      </c>
      <c r="B3452" s="821" t="s">
        <v>13531</v>
      </c>
      <c r="C3452" s="822" t="s">
        <v>6</v>
      </c>
      <c r="D3452" s="822" t="s">
        <v>4808</v>
      </c>
      <c r="E3452" s="1017" t="s">
        <v>13532</v>
      </c>
      <c r="F3452" s="1017"/>
      <c r="G3452" s="823" t="s">
        <v>19</v>
      </c>
      <c r="H3452" s="824">
        <v>1</v>
      </c>
      <c r="I3452" s="825">
        <v>0.68</v>
      </c>
      <c r="J3452" s="825">
        <v>0.68</v>
      </c>
    </row>
    <row r="3453" spans="1:10" ht="25.5">
      <c r="A3453" s="827"/>
      <c r="B3453" s="827"/>
      <c r="C3453" s="827"/>
      <c r="D3453" s="827"/>
      <c r="E3453" s="827" t="s">
        <v>13503</v>
      </c>
      <c r="F3453" s="826">
        <v>12.52</v>
      </c>
      <c r="G3453" s="827" t="s">
        <v>13504</v>
      </c>
      <c r="H3453" s="826">
        <v>0</v>
      </c>
      <c r="I3453" s="827" t="s">
        <v>13505</v>
      </c>
      <c r="J3453" s="826">
        <v>12.52</v>
      </c>
    </row>
    <row r="3454" spans="1:10" ht="13.5" customHeight="1" thickBot="1">
      <c r="A3454" s="827"/>
      <c r="B3454" s="827"/>
      <c r="C3454" s="827"/>
      <c r="D3454" s="827"/>
      <c r="E3454" s="827" t="s">
        <v>13506</v>
      </c>
      <c r="F3454" s="826">
        <v>4.91</v>
      </c>
      <c r="G3454" s="827"/>
      <c r="H3454" s="1018" t="s">
        <v>13507</v>
      </c>
      <c r="I3454" s="1018"/>
      <c r="J3454" s="826">
        <v>22.33</v>
      </c>
    </row>
    <row r="3455" spans="1:10" ht="13.5" thickTop="1">
      <c r="A3455" s="828"/>
      <c r="B3455" s="828"/>
      <c r="C3455" s="828"/>
      <c r="D3455" s="828"/>
      <c r="E3455" s="828"/>
      <c r="F3455" s="828"/>
      <c r="G3455" s="828"/>
      <c r="H3455" s="828"/>
      <c r="I3455" s="828"/>
      <c r="J3455" s="828"/>
    </row>
    <row r="3456" spans="1:10" ht="13.5" customHeight="1">
      <c r="A3456" s="809"/>
      <c r="B3456" s="808" t="s">
        <v>13481</v>
      </c>
      <c r="C3456" s="809" t="s">
        <v>13482</v>
      </c>
      <c r="D3456" s="809" t="s">
        <v>13483</v>
      </c>
      <c r="E3456" s="1019" t="s">
        <v>13484</v>
      </c>
      <c r="F3456" s="1019"/>
      <c r="G3456" s="810" t="s">
        <v>13485</v>
      </c>
      <c r="H3456" s="808" t="s">
        <v>13486</v>
      </c>
      <c r="I3456" s="808" t="s">
        <v>13487</v>
      </c>
      <c r="J3456" s="808" t="s">
        <v>4867</v>
      </c>
    </row>
    <row r="3457" spans="1:10" ht="38.25" customHeight="1">
      <c r="A3457" s="812" t="s">
        <v>13488</v>
      </c>
      <c r="B3457" s="811" t="s">
        <v>14539</v>
      </c>
      <c r="C3457" s="812" t="s">
        <v>6</v>
      </c>
      <c r="D3457" s="812" t="s">
        <v>1747</v>
      </c>
      <c r="E3457" s="1020" t="s">
        <v>13539</v>
      </c>
      <c r="F3457" s="1020"/>
      <c r="G3457" s="813" t="s">
        <v>42</v>
      </c>
      <c r="H3457" s="814">
        <v>1</v>
      </c>
      <c r="I3457" s="815">
        <v>44.35</v>
      </c>
      <c r="J3457" s="815">
        <v>44.35</v>
      </c>
    </row>
    <row r="3458" spans="1:10" ht="38.25" customHeight="1">
      <c r="A3458" s="817" t="s">
        <v>13491</v>
      </c>
      <c r="B3458" s="816" t="s">
        <v>14593</v>
      </c>
      <c r="C3458" s="817" t="s">
        <v>6</v>
      </c>
      <c r="D3458" s="817" t="s">
        <v>1741</v>
      </c>
      <c r="E3458" s="1021" t="s">
        <v>13539</v>
      </c>
      <c r="F3458" s="1021"/>
      <c r="G3458" s="818" t="s">
        <v>19</v>
      </c>
      <c r="H3458" s="819">
        <v>1</v>
      </c>
      <c r="I3458" s="820">
        <v>22.18</v>
      </c>
      <c r="J3458" s="820">
        <v>22.18</v>
      </c>
    </row>
    <row r="3459" spans="1:10" ht="38.25" customHeight="1">
      <c r="A3459" s="817" t="s">
        <v>13491</v>
      </c>
      <c r="B3459" s="816" t="s">
        <v>14592</v>
      </c>
      <c r="C3459" s="817" t="s">
        <v>6</v>
      </c>
      <c r="D3459" s="817" t="s">
        <v>1742</v>
      </c>
      <c r="E3459" s="1021" t="s">
        <v>13539</v>
      </c>
      <c r="F3459" s="1021"/>
      <c r="G3459" s="818" t="s">
        <v>19</v>
      </c>
      <c r="H3459" s="819">
        <v>1</v>
      </c>
      <c r="I3459" s="820">
        <v>4.2699999999999996</v>
      </c>
      <c r="J3459" s="820">
        <v>4.2699999999999996</v>
      </c>
    </row>
    <row r="3460" spans="1:10" ht="38.25" customHeight="1">
      <c r="A3460" s="817" t="s">
        <v>13491</v>
      </c>
      <c r="B3460" s="816" t="s">
        <v>14594</v>
      </c>
      <c r="C3460" s="817" t="s">
        <v>6</v>
      </c>
      <c r="D3460" s="817" t="s">
        <v>1743</v>
      </c>
      <c r="E3460" s="1021" t="s">
        <v>13539</v>
      </c>
      <c r="F3460" s="1021"/>
      <c r="G3460" s="818" t="s">
        <v>19</v>
      </c>
      <c r="H3460" s="819">
        <v>1</v>
      </c>
      <c r="I3460" s="820">
        <v>3.38</v>
      </c>
      <c r="J3460" s="820">
        <v>3.38</v>
      </c>
    </row>
    <row r="3461" spans="1:10" ht="38.25" customHeight="1">
      <c r="A3461" s="817" t="s">
        <v>13491</v>
      </c>
      <c r="B3461" s="816" t="s">
        <v>14595</v>
      </c>
      <c r="C3461" s="817" t="s">
        <v>6</v>
      </c>
      <c r="D3461" s="817" t="s">
        <v>133</v>
      </c>
      <c r="E3461" s="1021" t="s">
        <v>13490</v>
      </c>
      <c r="F3461" s="1021"/>
      <c r="G3461" s="818" t="s">
        <v>19</v>
      </c>
      <c r="H3461" s="819">
        <v>1</v>
      </c>
      <c r="I3461" s="820">
        <v>14.52</v>
      </c>
      <c r="J3461" s="820">
        <v>14.52</v>
      </c>
    </row>
    <row r="3462" spans="1:10" ht="13.5" customHeight="1">
      <c r="A3462" s="827"/>
      <c r="B3462" s="827"/>
      <c r="C3462" s="827"/>
      <c r="D3462" s="827"/>
      <c r="E3462" s="827" t="s">
        <v>13503</v>
      </c>
      <c r="F3462" s="826">
        <v>10.68</v>
      </c>
      <c r="G3462" s="827" t="s">
        <v>13504</v>
      </c>
      <c r="H3462" s="826">
        <v>0</v>
      </c>
      <c r="I3462" s="827" t="s">
        <v>13505</v>
      </c>
      <c r="J3462" s="826">
        <v>10.68</v>
      </c>
    </row>
    <row r="3463" spans="1:10" ht="13.5" customHeight="1" thickBot="1">
      <c r="A3463" s="827"/>
      <c r="B3463" s="827"/>
      <c r="C3463" s="827"/>
      <c r="D3463" s="827"/>
      <c r="E3463" s="827" t="s">
        <v>13506</v>
      </c>
      <c r="F3463" s="826">
        <v>12.52</v>
      </c>
      <c r="G3463" s="827"/>
      <c r="H3463" s="1018" t="s">
        <v>13507</v>
      </c>
      <c r="I3463" s="1018"/>
      <c r="J3463" s="826">
        <v>56.87</v>
      </c>
    </row>
    <row r="3464" spans="1:10" ht="13.5" thickTop="1">
      <c r="A3464" s="828"/>
      <c r="B3464" s="828"/>
      <c r="C3464" s="828"/>
      <c r="D3464" s="828"/>
      <c r="E3464" s="828"/>
      <c r="F3464" s="828"/>
      <c r="G3464" s="828"/>
      <c r="H3464" s="828"/>
      <c r="I3464" s="828"/>
      <c r="J3464" s="828"/>
    </row>
    <row r="3465" spans="1:10" ht="15">
      <c r="A3465" s="809"/>
      <c r="B3465" s="808" t="s">
        <v>13481</v>
      </c>
      <c r="C3465" s="809" t="s">
        <v>13482</v>
      </c>
      <c r="D3465" s="809" t="s">
        <v>13483</v>
      </c>
      <c r="E3465" s="1019" t="s">
        <v>13484</v>
      </c>
      <c r="F3465" s="1019"/>
      <c r="G3465" s="810" t="s">
        <v>13485</v>
      </c>
      <c r="H3465" s="808" t="s">
        <v>13486</v>
      </c>
      <c r="I3465" s="808" t="s">
        <v>13487</v>
      </c>
      <c r="J3465" s="808" t="s">
        <v>4867</v>
      </c>
    </row>
    <row r="3466" spans="1:10" ht="38.25" customHeight="1">
      <c r="A3466" s="812" t="s">
        <v>13488</v>
      </c>
      <c r="B3466" s="811" t="s">
        <v>14540</v>
      </c>
      <c r="C3466" s="812" t="s">
        <v>6</v>
      </c>
      <c r="D3466" s="812" t="s">
        <v>1746</v>
      </c>
      <c r="E3466" s="1020" t="s">
        <v>13539</v>
      </c>
      <c r="F3466" s="1020"/>
      <c r="G3466" s="813" t="s">
        <v>28</v>
      </c>
      <c r="H3466" s="814">
        <v>1</v>
      </c>
      <c r="I3466" s="815">
        <v>183.94</v>
      </c>
      <c r="J3466" s="815">
        <v>183.94</v>
      </c>
    </row>
    <row r="3467" spans="1:10" ht="38.25" customHeight="1">
      <c r="A3467" s="817" t="s">
        <v>13491</v>
      </c>
      <c r="B3467" s="816" t="s">
        <v>14596</v>
      </c>
      <c r="C3467" s="817" t="s">
        <v>6</v>
      </c>
      <c r="D3467" s="817" t="s">
        <v>1744</v>
      </c>
      <c r="E3467" s="1021" t="s">
        <v>13539</v>
      </c>
      <c r="F3467" s="1021"/>
      <c r="G3467" s="818" t="s">
        <v>19</v>
      </c>
      <c r="H3467" s="819">
        <v>1</v>
      </c>
      <c r="I3467" s="820">
        <v>39.54</v>
      </c>
      <c r="J3467" s="820">
        <v>39.54</v>
      </c>
    </row>
    <row r="3468" spans="1:10" ht="13.5" customHeight="1">
      <c r="A3468" s="817" t="s">
        <v>13491</v>
      </c>
      <c r="B3468" s="816" t="s">
        <v>14592</v>
      </c>
      <c r="C3468" s="817" t="s">
        <v>6</v>
      </c>
      <c r="D3468" s="817" t="s">
        <v>1742</v>
      </c>
      <c r="E3468" s="1021" t="s">
        <v>13539</v>
      </c>
      <c r="F3468" s="1021"/>
      <c r="G3468" s="818" t="s">
        <v>19</v>
      </c>
      <c r="H3468" s="819">
        <v>1</v>
      </c>
      <c r="I3468" s="820">
        <v>4.2699999999999996</v>
      </c>
      <c r="J3468" s="820">
        <v>4.2699999999999996</v>
      </c>
    </row>
    <row r="3469" spans="1:10" ht="38.25" customHeight="1">
      <c r="A3469" s="817" t="s">
        <v>13491</v>
      </c>
      <c r="B3469" s="816" t="s">
        <v>14597</v>
      </c>
      <c r="C3469" s="817" t="s">
        <v>6</v>
      </c>
      <c r="D3469" s="817" t="s">
        <v>1745</v>
      </c>
      <c r="E3469" s="1021" t="s">
        <v>13539</v>
      </c>
      <c r="F3469" s="1021"/>
      <c r="G3469" s="818" t="s">
        <v>19</v>
      </c>
      <c r="H3469" s="819">
        <v>1</v>
      </c>
      <c r="I3469" s="820">
        <v>100.05</v>
      </c>
      <c r="J3469" s="820">
        <v>100.05</v>
      </c>
    </row>
    <row r="3470" spans="1:10" ht="38.25" customHeight="1">
      <c r="A3470" s="817" t="s">
        <v>13491</v>
      </c>
      <c r="B3470" s="816" t="s">
        <v>14593</v>
      </c>
      <c r="C3470" s="817" t="s">
        <v>6</v>
      </c>
      <c r="D3470" s="817" t="s">
        <v>1741</v>
      </c>
      <c r="E3470" s="1021" t="s">
        <v>13539</v>
      </c>
      <c r="F3470" s="1021"/>
      <c r="G3470" s="818" t="s">
        <v>19</v>
      </c>
      <c r="H3470" s="819">
        <v>1</v>
      </c>
      <c r="I3470" s="820">
        <v>22.18</v>
      </c>
      <c r="J3470" s="820">
        <v>22.18</v>
      </c>
    </row>
    <row r="3471" spans="1:10" ht="25.5" customHeight="1">
      <c r="A3471" s="817" t="s">
        <v>13491</v>
      </c>
      <c r="B3471" s="816" t="s">
        <v>14594</v>
      </c>
      <c r="C3471" s="817" t="s">
        <v>6</v>
      </c>
      <c r="D3471" s="817" t="s">
        <v>1743</v>
      </c>
      <c r="E3471" s="1021" t="s">
        <v>13539</v>
      </c>
      <c r="F3471" s="1021"/>
      <c r="G3471" s="818" t="s">
        <v>19</v>
      </c>
      <c r="H3471" s="819">
        <v>1</v>
      </c>
      <c r="I3471" s="820">
        <v>3.38</v>
      </c>
      <c r="J3471" s="820">
        <v>3.38</v>
      </c>
    </row>
    <row r="3472" spans="1:10" ht="38.25" customHeight="1">
      <c r="A3472" s="817" t="s">
        <v>13491</v>
      </c>
      <c r="B3472" s="816" t="s">
        <v>14595</v>
      </c>
      <c r="C3472" s="817" t="s">
        <v>6</v>
      </c>
      <c r="D3472" s="817" t="s">
        <v>133</v>
      </c>
      <c r="E3472" s="1021" t="s">
        <v>13490</v>
      </c>
      <c r="F3472" s="1021"/>
      <c r="G3472" s="818" t="s">
        <v>19</v>
      </c>
      <c r="H3472" s="819">
        <v>1</v>
      </c>
      <c r="I3472" s="820">
        <v>14.52</v>
      </c>
      <c r="J3472" s="820">
        <v>14.52</v>
      </c>
    </row>
    <row r="3473" spans="1:10" ht="25.5">
      <c r="A3473" s="827"/>
      <c r="B3473" s="827"/>
      <c r="C3473" s="827"/>
      <c r="D3473" s="827"/>
      <c r="E3473" s="827" t="s">
        <v>13503</v>
      </c>
      <c r="F3473" s="826">
        <v>10.68</v>
      </c>
      <c r="G3473" s="827" t="s">
        <v>13504</v>
      </c>
      <c r="H3473" s="826">
        <v>0</v>
      </c>
      <c r="I3473" s="827" t="s">
        <v>13505</v>
      </c>
      <c r="J3473" s="826">
        <v>10.68</v>
      </c>
    </row>
    <row r="3474" spans="1:10" ht="13.5" customHeight="1" thickBot="1">
      <c r="A3474" s="827"/>
      <c r="B3474" s="827"/>
      <c r="C3474" s="827"/>
      <c r="D3474" s="827"/>
      <c r="E3474" s="827" t="s">
        <v>13506</v>
      </c>
      <c r="F3474" s="826">
        <v>51.94</v>
      </c>
      <c r="G3474" s="827"/>
      <c r="H3474" s="1018" t="s">
        <v>13507</v>
      </c>
      <c r="I3474" s="1018"/>
      <c r="J3474" s="826">
        <v>235.88</v>
      </c>
    </row>
    <row r="3475" spans="1:10" ht="13.5" thickTop="1">
      <c r="A3475" s="828"/>
      <c r="B3475" s="828"/>
      <c r="C3475" s="828"/>
      <c r="D3475" s="828"/>
      <c r="E3475" s="828"/>
      <c r="F3475" s="828"/>
      <c r="G3475" s="828"/>
      <c r="H3475" s="828"/>
      <c r="I3475" s="828"/>
      <c r="J3475" s="828"/>
    </row>
    <row r="3476" spans="1:10" ht="15">
      <c r="A3476" s="809"/>
      <c r="B3476" s="808" t="s">
        <v>13481</v>
      </c>
      <c r="C3476" s="809" t="s">
        <v>13482</v>
      </c>
      <c r="D3476" s="809" t="s">
        <v>13483</v>
      </c>
      <c r="E3476" s="1019" t="s">
        <v>13484</v>
      </c>
      <c r="F3476" s="1019"/>
      <c r="G3476" s="810" t="s">
        <v>13485</v>
      </c>
      <c r="H3476" s="808" t="s">
        <v>13486</v>
      </c>
      <c r="I3476" s="808" t="s">
        <v>13487</v>
      </c>
      <c r="J3476" s="808" t="s">
        <v>4867</v>
      </c>
    </row>
    <row r="3477" spans="1:10" ht="25.5" customHeight="1">
      <c r="A3477" s="812" t="s">
        <v>13488</v>
      </c>
      <c r="B3477" s="811" t="s">
        <v>14593</v>
      </c>
      <c r="C3477" s="812" t="s">
        <v>6</v>
      </c>
      <c r="D3477" s="812" t="s">
        <v>1741</v>
      </c>
      <c r="E3477" s="1020" t="s">
        <v>13539</v>
      </c>
      <c r="F3477" s="1020"/>
      <c r="G3477" s="813" t="s">
        <v>19</v>
      </c>
      <c r="H3477" s="814">
        <v>1</v>
      </c>
      <c r="I3477" s="815">
        <v>22.18</v>
      </c>
      <c r="J3477" s="815">
        <v>22.18</v>
      </c>
    </row>
    <row r="3478" spans="1:10" ht="25.5">
      <c r="A3478" s="822" t="s">
        <v>13493</v>
      </c>
      <c r="B3478" s="821" t="s">
        <v>14598</v>
      </c>
      <c r="C3478" s="822" t="s">
        <v>6</v>
      </c>
      <c r="D3478" s="822" t="s">
        <v>9208</v>
      </c>
      <c r="E3478" s="1017" t="s">
        <v>13514</v>
      </c>
      <c r="F3478" s="1017"/>
      <c r="G3478" s="823" t="s">
        <v>24</v>
      </c>
      <c r="H3478" s="824">
        <v>6.0300000000000002E-5</v>
      </c>
      <c r="I3478" s="825">
        <v>74596.399999999994</v>
      </c>
      <c r="J3478" s="825">
        <v>4.49</v>
      </c>
    </row>
    <row r="3479" spans="1:10" ht="38.25">
      <c r="A3479" s="822" t="s">
        <v>13493</v>
      </c>
      <c r="B3479" s="821" t="s">
        <v>14599</v>
      </c>
      <c r="C3479" s="822" t="s">
        <v>6</v>
      </c>
      <c r="D3479" s="822" t="s">
        <v>4617</v>
      </c>
      <c r="E3479" s="1017" t="s">
        <v>13497</v>
      </c>
      <c r="F3479" s="1017"/>
      <c r="G3479" s="823" t="s">
        <v>24</v>
      </c>
      <c r="H3479" s="824">
        <v>3.4199999999999998E-5</v>
      </c>
      <c r="I3479" s="825">
        <v>517389.58</v>
      </c>
      <c r="J3479" s="825">
        <v>17.690000000000001</v>
      </c>
    </row>
    <row r="3480" spans="1:10" ht="13.5" customHeight="1">
      <c r="A3480" s="827"/>
      <c r="B3480" s="827"/>
      <c r="C3480" s="827"/>
      <c r="D3480" s="827"/>
      <c r="E3480" s="827" t="s">
        <v>13503</v>
      </c>
      <c r="F3480" s="826">
        <v>0</v>
      </c>
      <c r="G3480" s="827" t="s">
        <v>13504</v>
      </c>
      <c r="H3480" s="826">
        <v>0</v>
      </c>
      <c r="I3480" s="827" t="s">
        <v>13505</v>
      </c>
      <c r="J3480" s="826">
        <v>0</v>
      </c>
    </row>
    <row r="3481" spans="1:10" ht="13.5" customHeight="1" thickBot="1">
      <c r="A3481" s="827"/>
      <c r="B3481" s="827"/>
      <c r="C3481" s="827"/>
      <c r="D3481" s="827"/>
      <c r="E3481" s="827" t="s">
        <v>13506</v>
      </c>
      <c r="F3481" s="826">
        <v>6.26</v>
      </c>
      <c r="G3481" s="827"/>
      <c r="H3481" s="1018" t="s">
        <v>13507</v>
      </c>
      <c r="I3481" s="1018"/>
      <c r="J3481" s="826">
        <v>28.44</v>
      </c>
    </row>
    <row r="3482" spans="1:10" ht="13.5" thickTop="1">
      <c r="A3482" s="828"/>
      <c r="B3482" s="828"/>
      <c r="C3482" s="828"/>
      <c r="D3482" s="828"/>
      <c r="E3482" s="828"/>
      <c r="F3482" s="828"/>
      <c r="G3482" s="828"/>
      <c r="H3482" s="828"/>
      <c r="I3482" s="828"/>
      <c r="J3482" s="828"/>
    </row>
    <row r="3483" spans="1:10" ht="15">
      <c r="A3483" s="809"/>
      <c r="B3483" s="808" t="s">
        <v>13481</v>
      </c>
      <c r="C3483" s="809" t="s">
        <v>13482</v>
      </c>
      <c r="D3483" s="809" t="s">
        <v>13483</v>
      </c>
      <c r="E3483" s="1019" t="s">
        <v>13484</v>
      </c>
      <c r="F3483" s="1019"/>
      <c r="G3483" s="810" t="s">
        <v>13485</v>
      </c>
      <c r="H3483" s="808" t="s">
        <v>13486</v>
      </c>
      <c r="I3483" s="808" t="s">
        <v>13487</v>
      </c>
      <c r="J3483" s="808" t="s">
        <v>4867</v>
      </c>
    </row>
    <row r="3484" spans="1:10" ht="38.25" customHeight="1">
      <c r="A3484" s="812" t="s">
        <v>13488</v>
      </c>
      <c r="B3484" s="811" t="s">
        <v>14594</v>
      </c>
      <c r="C3484" s="812" t="s">
        <v>6</v>
      </c>
      <c r="D3484" s="812" t="s">
        <v>1743</v>
      </c>
      <c r="E3484" s="1020" t="s">
        <v>13539</v>
      </c>
      <c r="F3484" s="1020"/>
      <c r="G3484" s="813" t="s">
        <v>19</v>
      </c>
      <c r="H3484" s="814">
        <v>1</v>
      </c>
      <c r="I3484" s="815">
        <v>3.38</v>
      </c>
      <c r="J3484" s="815">
        <v>3.38</v>
      </c>
    </row>
    <row r="3485" spans="1:10" ht="25.5">
      <c r="A3485" s="822" t="s">
        <v>13493</v>
      </c>
      <c r="B3485" s="821" t="s">
        <v>14598</v>
      </c>
      <c r="C3485" s="822" t="s">
        <v>6</v>
      </c>
      <c r="D3485" s="822" t="s">
        <v>9208</v>
      </c>
      <c r="E3485" s="1017" t="s">
        <v>13514</v>
      </c>
      <c r="F3485" s="1017"/>
      <c r="G3485" s="823" t="s">
        <v>24</v>
      </c>
      <c r="H3485" s="824">
        <v>5.9000000000000003E-6</v>
      </c>
      <c r="I3485" s="825">
        <v>74596.399999999994</v>
      </c>
      <c r="J3485" s="825">
        <v>0.44</v>
      </c>
    </row>
    <row r="3486" spans="1:10" ht="38.25">
      <c r="A3486" s="822" t="s">
        <v>13493</v>
      </c>
      <c r="B3486" s="821" t="s">
        <v>14599</v>
      </c>
      <c r="C3486" s="822" t="s">
        <v>6</v>
      </c>
      <c r="D3486" s="822" t="s">
        <v>4617</v>
      </c>
      <c r="E3486" s="1017" t="s">
        <v>13497</v>
      </c>
      <c r="F3486" s="1017"/>
      <c r="G3486" s="823" t="s">
        <v>24</v>
      </c>
      <c r="H3486" s="824">
        <v>5.6999999999999996E-6</v>
      </c>
      <c r="I3486" s="825">
        <v>517389.58</v>
      </c>
      <c r="J3486" s="825">
        <v>2.94</v>
      </c>
    </row>
    <row r="3487" spans="1:10" ht="25.5">
      <c r="A3487" s="827"/>
      <c r="B3487" s="827"/>
      <c r="C3487" s="827"/>
      <c r="D3487" s="827"/>
      <c r="E3487" s="827" t="s">
        <v>13503</v>
      </c>
      <c r="F3487" s="826">
        <v>0</v>
      </c>
      <c r="G3487" s="827" t="s">
        <v>13504</v>
      </c>
      <c r="H3487" s="826">
        <v>0</v>
      </c>
      <c r="I3487" s="827" t="s">
        <v>13505</v>
      </c>
      <c r="J3487" s="826">
        <v>0</v>
      </c>
    </row>
    <row r="3488" spans="1:10" ht="13.5" customHeight="1" thickBot="1">
      <c r="A3488" s="827"/>
      <c r="B3488" s="827"/>
      <c r="C3488" s="827"/>
      <c r="D3488" s="827"/>
      <c r="E3488" s="827" t="s">
        <v>13506</v>
      </c>
      <c r="F3488" s="826">
        <v>0.95</v>
      </c>
      <c r="G3488" s="827"/>
      <c r="H3488" s="1018" t="s">
        <v>13507</v>
      </c>
      <c r="I3488" s="1018"/>
      <c r="J3488" s="826">
        <v>4.33</v>
      </c>
    </row>
    <row r="3489" spans="1:10" ht="13.5" thickTop="1">
      <c r="A3489" s="828"/>
      <c r="B3489" s="828"/>
      <c r="C3489" s="828"/>
      <c r="D3489" s="828"/>
      <c r="E3489" s="828"/>
      <c r="F3489" s="828"/>
      <c r="G3489" s="828"/>
      <c r="H3489" s="828"/>
      <c r="I3489" s="828"/>
      <c r="J3489" s="828"/>
    </row>
    <row r="3490" spans="1:10" ht="15">
      <c r="A3490" s="809"/>
      <c r="B3490" s="808" t="s">
        <v>13481</v>
      </c>
      <c r="C3490" s="809" t="s">
        <v>13482</v>
      </c>
      <c r="D3490" s="809" t="s">
        <v>13483</v>
      </c>
      <c r="E3490" s="1019" t="s">
        <v>13484</v>
      </c>
      <c r="F3490" s="1019"/>
      <c r="G3490" s="810" t="s">
        <v>13485</v>
      </c>
      <c r="H3490" s="808" t="s">
        <v>13486</v>
      </c>
      <c r="I3490" s="808" t="s">
        <v>13487</v>
      </c>
      <c r="J3490" s="808" t="s">
        <v>4867</v>
      </c>
    </row>
    <row r="3491" spans="1:10" ht="13.5" customHeight="1">
      <c r="A3491" s="812" t="s">
        <v>13488</v>
      </c>
      <c r="B3491" s="811" t="s">
        <v>14592</v>
      </c>
      <c r="C3491" s="812" t="s">
        <v>6</v>
      </c>
      <c r="D3491" s="812" t="s">
        <v>1742</v>
      </c>
      <c r="E3491" s="1020" t="s">
        <v>13539</v>
      </c>
      <c r="F3491" s="1020"/>
      <c r="G3491" s="813" t="s">
        <v>19</v>
      </c>
      <c r="H3491" s="814">
        <v>1</v>
      </c>
      <c r="I3491" s="815">
        <v>4.2699999999999996</v>
      </c>
      <c r="J3491" s="815">
        <v>4.2699999999999996</v>
      </c>
    </row>
    <row r="3492" spans="1:10" ht="25.5">
      <c r="A3492" s="822" t="s">
        <v>13493</v>
      </c>
      <c r="B3492" s="821" t="s">
        <v>14598</v>
      </c>
      <c r="C3492" s="822" t="s">
        <v>6</v>
      </c>
      <c r="D3492" s="822" t="s">
        <v>9208</v>
      </c>
      <c r="E3492" s="1017" t="s">
        <v>13514</v>
      </c>
      <c r="F3492" s="1017"/>
      <c r="G3492" s="823" t="s">
        <v>24</v>
      </c>
      <c r="H3492" s="824">
        <v>7.4000000000000003E-6</v>
      </c>
      <c r="I3492" s="825">
        <v>74596.399999999994</v>
      </c>
      <c r="J3492" s="825">
        <v>0.55000000000000004</v>
      </c>
    </row>
    <row r="3493" spans="1:10" ht="38.25">
      <c r="A3493" s="822" t="s">
        <v>13493</v>
      </c>
      <c r="B3493" s="821" t="s">
        <v>14599</v>
      </c>
      <c r="C3493" s="822" t="s">
        <v>6</v>
      </c>
      <c r="D3493" s="822" t="s">
        <v>4617</v>
      </c>
      <c r="E3493" s="1017" t="s">
        <v>13497</v>
      </c>
      <c r="F3493" s="1017"/>
      <c r="G3493" s="823" t="s">
        <v>24</v>
      </c>
      <c r="H3493" s="824">
        <v>7.1999999999999997E-6</v>
      </c>
      <c r="I3493" s="825">
        <v>517389.58</v>
      </c>
      <c r="J3493" s="825">
        <v>3.72</v>
      </c>
    </row>
    <row r="3494" spans="1:10" ht="38.25" customHeight="1">
      <c r="A3494" s="827"/>
      <c r="B3494" s="827"/>
      <c r="C3494" s="827"/>
      <c r="D3494" s="827"/>
      <c r="E3494" s="827" t="s">
        <v>13503</v>
      </c>
      <c r="F3494" s="826">
        <v>0</v>
      </c>
      <c r="G3494" s="827" t="s">
        <v>13504</v>
      </c>
      <c r="H3494" s="826">
        <v>0</v>
      </c>
      <c r="I3494" s="827" t="s">
        <v>13505</v>
      </c>
      <c r="J3494" s="826">
        <v>0</v>
      </c>
    </row>
    <row r="3495" spans="1:10" ht="38.25" customHeight="1" thickBot="1">
      <c r="A3495" s="827"/>
      <c r="B3495" s="827"/>
      <c r="C3495" s="827"/>
      <c r="D3495" s="827"/>
      <c r="E3495" s="827" t="s">
        <v>13506</v>
      </c>
      <c r="F3495" s="826">
        <v>1.2</v>
      </c>
      <c r="G3495" s="827"/>
      <c r="H3495" s="1018" t="s">
        <v>13507</v>
      </c>
      <c r="I3495" s="1018"/>
      <c r="J3495" s="826">
        <v>5.47</v>
      </c>
    </row>
    <row r="3496" spans="1:10" ht="38.25" customHeight="1" thickTop="1">
      <c r="A3496" s="828"/>
      <c r="B3496" s="828"/>
      <c r="C3496" s="828"/>
      <c r="D3496" s="828"/>
      <c r="E3496" s="828"/>
      <c r="F3496" s="828"/>
      <c r="G3496" s="828"/>
      <c r="H3496" s="828"/>
      <c r="I3496" s="828"/>
      <c r="J3496" s="828"/>
    </row>
    <row r="3497" spans="1:10" ht="15">
      <c r="A3497" s="809"/>
      <c r="B3497" s="808" t="s">
        <v>13481</v>
      </c>
      <c r="C3497" s="809" t="s">
        <v>13482</v>
      </c>
      <c r="D3497" s="809" t="s">
        <v>13483</v>
      </c>
      <c r="E3497" s="1019" t="s">
        <v>13484</v>
      </c>
      <c r="F3497" s="1019"/>
      <c r="G3497" s="810" t="s">
        <v>13485</v>
      </c>
      <c r="H3497" s="808" t="s">
        <v>13486</v>
      </c>
      <c r="I3497" s="808" t="s">
        <v>13487</v>
      </c>
      <c r="J3497" s="808" t="s">
        <v>4867</v>
      </c>
    </row>
    <row r="3498" spans="1:10" ht="38.25" customHeight="1">
      <c r="A3498" s="812" t="s">
        <v>13488</v>
      </c>
      <c r="B3498" s="811" t="s">
        <v>14596</v>
      </c>
      <c r="C3498" s="812" t="s">
        <v>6</v>
      </c>
      <c r="D3498" s="812" t="s">
        <v>1744</v>
      </c>
      <c r="E3498" s="1020" t="s">
        <v>13539</v>
      </c>
      <c r="F3498" s="1020"/>
      <c r="G3498" s="813" t="s">
        <v>19</v>
      </c>
      <c r="H3498" s="814">
        <v>1</v>
      </c>
      <c r="I3498" s="815">
        <v>39.54</v>
      </c>
      <c r="J3498" s="815">
        <v>39.54</v>
      </c>
    </row>
    <row r="3499" spans="1:10" ht="13.5" customHeight="1">
      <c r="A3499" s="822" t="s">
        <v>13493</v>
      </c>
      <c r="B3499" s="821" t="s">
        <v>14598</v>
      </c>
      <c r="C3499" s="822" t="s">
        <v>6</v>
      </c>
      <c r="D3499" s="822" t="s">
        <v>9208</v>
      </c>
      <c r="E3499" s="1017" t="s">
        <v>13514</v>
      </c>
      <c r="F3499" s="1017"/>
      <c r="G3499" s="823" t="s">
        <v>24</v>
      </c>
      <c r="H3499" s="824">
        <v>8.4900000000000004E-5</v>
      </c>
      <c r="I3499" s="825">
        <v>74596.399999999994</v>
      </c>
      <c r="J3499" s="825">
        <v>6.33</v>
      </c>
    </row>
    <row r="3500" spans="1:10" ht="38.25">
      <c r="A3500" s="822" t="s">
        <v>13493</v>
      </c>
      <c r="B3500" s="821" t="s">
        <v>14599</v>
      </c>
      <c r="C3500" s="822" t="s">
        <v>6</v>
      </c>
      <c r="D3500" s="822" t="s">
        <v>4617</v>
      </c>
      <c r="E3500" s="1017" t="s">
        <v>13497</v>
      </c>
      <c r="F3500" s="1017"/>
      <c r="G3500" s="823" t="s">
        <v>24</v>
      </c>
      <c r="H3500" s="824">
        <v>6.4200000000000002E-5</v>
      </c>
      <c r="I3500" s="825">
        <v>517389.58</v>
      </c>
      <c r="J3500" s="825">
        <v>33.21</v>
      </c>
    </row>
    <row r="3501" spans="1:10" ht="25.5">
      <c r="A3501" s="827"/>
      <c r="B3501" s="827"/>
      <c r="C3501" s="827"/>
      <c r="D3501" s="827"/>
      <c r="E3501" s="827" t="s">
        <v>13503</v>
      </c>
      <c r="F3501" s="826">
        <v>0</v>
      </c>
      <c r="G3501" s="827" t="s">
        <v>13504</v>
      </c>
      <c r="H3501" s="826">
        <v>0</v>
      </c>
      <c r="I3501" s="827" t="s">
        <v>13505</v>
      </c>
      <c r="J3501" s="826">
        <v>0</v>
      </c>
    </row>
    <row r="3502" spans="1:10" ht="38.25" customHeight="1" thickBot="1">
      <c r="A3502" s="827"/>
      <c r="B3502" s="827"/>
      <c r="C3502" s="827"/>
      <c r="D3502" s="827"/>
      <c r="E3502" s="827" t="s">
        <v>13506</v>
      </c>
      <c r="F3502" s="826">
        <v>11.16</v>
      </c>
      <c r="G3502" s="827"/>
      <c r="H3502" s="1018" t="s">
        <v>13507</v>
      </c>
      <c r="I3502" s="1018"/>
      <c r="J3502" s="826">
        <v>50.7</v>
      </c>
    </row>
    <row r="3503" spans="1:10" ht="38.25" customHeight="1" thickTop="1">
      <c r="A3503" s="828"/>
      <c r="B3503" s="828"/>
      <c r="C3503" s="828"/>
      <c r="D3503" s="828"/>
      <c r="E3503" s="828"/>
      <c r="F3503" s="828"/>
      <c r="G3503" s="828"/>
      <c r="H3503" s="828"/>
      <c r="I3503" s="828"/>
      <c r="J3503" s="828"/>
    </row>
    <row r="3504" spans="1:10" ht="38.25" customHeight="1">
      <c r="A3504" s="809"/>
      <c r="B3504" s="808" t="s">
        <v>13481</v>
      </c>
      <c r="C3504" s="809" t="s">
        <v>13482</v>
      </c>
      <c r="D3504" s="809" t="s">
        <v>13483</v>
      </c>
      <c r="E3504" s="1019" t="s">
        <v>13484</v>
      </c>
      <c r="F3504" s="1019"/>
      <c r="G3504" s="810" t="s">
        <v>13485</v>
      </c>
      <c r="H3504" s="808" t="s">
        <v>13486</v>
      </c>
      <c r="I3504" s="808" t="s">
        <v>13487</v>
      </c>
      <c r="J3504" s="808" t="s">
        <v>4867</v>
      </c>
    </row>
    <row r="3505" spans="1:10" ht="38.25" customHeight="1">
      <c r="A3505" s="812" t="s">
        <v>13488</v>
      </c>
      <c r="B3505" s="811" t="s">
        <v>14597</v>
      </c>
      <c r="C3505" s="812" t="s">
        <v>6</v>
      </c>
      <c r="D3505" s="812" t="s">
        <v>1745</v>
      </c>
      <c r="E3505" s="1020" t="s">
        <v>13539</v>
      </c>
      <c r="F3505" s="1020"/>
      <c r="G3505" s="813" t="s">
        <v>19</v>
      </c>
      <c r="H3505" s="814">
        <v>1</v>
      </c>
      <c r="I3505" s="815">
        <v>100.05</v>
      </c>
      <c r="J3505" s="815">
        <v>100.05</v>
      </c>
    </row>
    <row r="3506" spans="1:10" ht="38.25" customHeight="1">
      <c r="A3506" s="822" t="s">
        <v>13493</v>
      </c>
      <c r="B3506" s="821" t="s">
        <v>14463</v>
      </c>
      <c r="C3506" s="822" t="s">
        <v>6</v>
      </c>
      <c r="D3506" s="822" t="s">
        <v>4725</v>
      </c>
      <c r="E3506" s="1017" t="s">
        <v>13514</v>
      </c>
      <c r="F3506" s="1017"/>
      <c r="G3506" s="823" t="s">
        <v>39</v>
      </c>
      <c r="H3506" s="824">
        <v>16.93</v>
      </c>
      <c r="I3506" s="825">
        <v>5.91</v>
      </c>
      <c r="J3506" s="825">
        <v>100.05</v>
      </c>
    </row>
    <row r="3507" spans="1:10" ht="25.5">
      <c r="A3507" s="827"/>
      <c r="B3507" s="827"/>
      <c r="C3507" s="827"/>
      <c r="D3507" s="827"/>
      <c r="E3507" s="827" t="s">
        <v>13503</v>
      </c>
      <c r="F3507" s="826">
        <v>0</v>
      </c>
      <c r="G3507" s="827" t="s">
        <v>13504</v>
      </c>
      <c r="H3507" s="826">
        <v>0</v>
      </c>
      <c r="I3507" s="827" t="s">
        <v>13505</v>
      </c>
      <c r="J3507" s="826">
        <v>0</v>
      </c>
    </row>
    <row r="3508" spans="1:10" ht="13.5" customHeight="1" thickBot="1">
      <c r="A3508" s="827"/>
      <c r="B3508" s="827"/>
      <c r="C3508" s="827"/>
      <c r="D3508" s="827"/>
      <c r="E3508" s="827" t="s">
        <v>13506</v>
      </c>
      <c r="F3508" s="826">
        <v>28.25</v>
      </c>
      <c r="G3508" s="827"/>
      <c r="H3508" s="1018" t="s">
        <v>13507</v>
      </c>
      <c r="I3508" s="1018"/>
      <c r="J3508" s="826">
        <v>128.30000000000001</v>
      </c>
    </row>
    <row r="3509" spans="1:10" ht="13.5" customHeight="1" thickTop="1">
      <c r="A3509" s="828"/>
      <c r="B3509" s="828"/>
      <c r="C3509" s="828"/>
      <c r="D3509" s="828"/>
      <c r="E3509" s="828"/>
      <c r="F3509" s="828"/>
      <c r="G3509" s="828"/>
      <c r="H3509" s="828"/>
      <c r="I3509" s="828"/>
      <c r="J3509" s="828"/>
    </row>
    <row r="3510" spans="1:10" ht="15">
      <c r="A3510" s="809"/>
      <c r="B3510" s="808" t="s">
        <v>13481</v>
      </c>
      <c r="C3510" s="809" t="s">
        <v>13482</v>
      </c>
      <c r="D3510" s="809" t="s">
        <v>13483</v>
      </c>
      <c r="E3510" s="1019" t="s">
        <v>13484</v>
      </c>
      <c r="F3510" s="1019"/>
      <c r="G3510" s="810" t="s">
        <v>13485</v>
      </c>
      <c r="H3510" s="808" t="s">
        <v>13486</v>
      </c>
      <c r="I3510" s="808" t="s">
        <v>13487</v>
      </c>
      <c r="J3510" s="808" t="s">
        <v>4867</v>
      </c>
    </row>
    <row r="3511" spans="1:10" ht="38.25" customHeight="1">
      <c r="A3511" s="812" t="s">
        <v>13488</v>
      </c>
      <c r="B3511" s="811" t="s">
        <v>13618</v>
      </c>
      <c r="C3511" s="812" t="s">
        <v>6</v>
      </c>
      <c r="D3511" s="812" t="s">
        <v>798</v>
      </c>
      <c r="E3511" s="1020" t="s">
        <v>13539</v>
      </c>
      <c r="F3511" s="1020"/>
      <c r="G3511" s="813" t="s">
        <v>42</v>
      </c>
      <c r="H3511" s="814">
        <v>1</v>
      </c>
      <c r="I3511" s="815">
        <v>39.53</v>
      </c>
      <c r="J3511" s="815">
        <v>39.53</v>
      </c>
    </row>
    <row r="3512" spans="1:10" ht="38.25" customHeight="1">
      <c r="A3512" s="817" t="s">
        <v>13491</v>
      </c>
      <c r="B3512" s="816" t="s">
        <v>14600</v>
      </c>
      <c r="C3512" s="817" t="s">
        <v>6</v>
      </c>
      <c r="D3512" s="817" t="s">
        <v>768</v>
      </c>
      <c r="E3512" s="1021" t="s">
        <v>13539</v>
      </c>
      <c r="F3512" s="1021"/>
      <c r="G3512" s="818" t="s">
        <v>19</v>
      </c>
      <c r="H3512" s="819">
        <v>1</v>
      </c>
      <c r="I3512" s="820">
        <v>18.559999999999999</v>
      </c>
      <c r="J3512" s="820">
        <v>18.559999999999999</v>
      </c>
    </row>
    <row r="3513" spans="1:10" ht="38.25" customHeight="1">
      <c r="A3513" s="817" t="s">
        <v>13491</v>
      </c>
      <c r="B3513" s="816" t="s">
        <v>14601</v>
      </c>
      <c r="C3513" s="817" t="s">
        <v>6</v>
      </c>
      <c r="D3513" s="817" t="s">
        <v>769</v>
      </c>
      <c r="E3513" s="1021" t="s">
        <v>13539</v>
      </c>
      <c r="F3513" s="1021"/>
      <c r="G3513" s="818" t="s">
        <v>19</v>
      </c>
      <c r="H3513" s="819">
        <v>1</v>
      </c>
      <c r="I3513" s="820">
        <v>3.6</v>
      </c>
      <c r="J3513" s="820">
        <v>3.6</v>
      </c>
    </row>
    <row r="3514" spans="1:10" ht="38.25" customHeight="1">
      <c r="A3514" s="817" t="s">
        <v>13491</v>
      </c>
      <c r="B3514" s="816" t="s">
        <v>14602</v>
      </c>
      <c r="C3514" s="817" t="s">
        <v>6</v>
      </c>
      <c r="D3514" s="817" t="s">
        <v>1755</v>
      </c>
      <c r="E3514" s="1021" t="s">
        <v>13539</v>
      </c>
      <c r="F3514" s="1021"/>
      <c r="G3514" s="818" t="s">
        <v>19</v>
      </c>
      <c r="H3514" s="819">
        <v>1</v>
      </c>
      <c r="I3514" s="820">
        <v>2.85</v>
      </c>
      <c r="J3514" s="820">
        <v>2.85</v>
      </c>
    </row>
    <row r="3515" spans="1:10" ht="13.5" customHeight="1">
      <c r="A3515" s="817" t="s">
        <v>13491</v>
      </c>
      <c r="B3515" s="816" t="s">
        <v>14595</v>
      </c>
      <c r="C3515" s="817" t="s">
        <v>6</v>
      </c>
      <c r="D3515" s="817" t="s">
        <v>133</v>
      </c>
      <c r="E3515" s="1021" t="s">
        <v>13490</v>
      </c>
      <c r="F3515" s="1021"/>
      <c r="G3515" s="818" t="s">
        <v>19</v>
      </c>
      <c r="H3515" s="819">
        <v>1</v>
      </c>
      <c r="I3515" s="820">
        <v>14.52</v>
      </c>
      <c r="J3515" s="820">
        <v>14.52</v>
      </c>
    </row>
    <row r="3516" spans="1:10" ht="25.5">
      <c r="A3516" s="827"/>
      <c r="B3516" s="827"/>
      <c r="C3516" s="827"/>
      <c r="D3516" s="827"/>
      <c r="E3516" s="827" t="s">
        <v>13503</v>
      </c>
      <c r="F3516" s="826">
        <v>10.68</v>
      </c>
      <c r="G3516" s="827" t="s">
        <v>13504</v>
      </c>
      <c r="H3516" s="826">
        <v>0</v>
      </c>
      <c r="I3516" s="827" t="s">
        <v>13505</v>
      </c>
      <c r="J3516" s="826">
        <v>10.68</v>
      </c>
    </row>
    <row r="3517" spans="1:10" ht="13.5" customHeight="1" thickBot="1">
      <c r="A3517" s="827"/>
      <c r="B3517" s="827"/>
      <c r="C3517" s="827"/>
      <c r="D3517" s="827"/>
      <c r="E3517" s="827" t="s">
        <v>13506</v>
      </c>
      <c r="F3517" s="826">
        <v>11.16</v>
      </c>
      <c r="G3517" s="827"/>
      <c r="H3517" s="1018" t="s">
        <v>13507</v>
      </c>
      <c r="I3517" s="1018"/>
      <c r="J3517" s="826">
        <v>50.69</v>
      </c>
    </row>
    <row r="3518" spans="1:10" ht="38.25" customHeight="1" thickTop="1">
      <c r="A3518" s="828"/>
      <c r="B3518" s="828"/>
      <c r="C3518" s="828"/>
      <c r="D3518" s="828"/>
      <c r="E3518" s="828"/>
      <c r="F3518" s="828"/>
      <c r="G3518" s="828"/>
      <c r="H3518" s="828"/>
      <c r="I3518" s="828"/>
      <c r="J3518" s="828"/>
    </row>
    <row r="3519" spans="1:10" ht="15">
      <c r="A3519" s="809"/>
      <c r="B3519" s="808" t="s">
        <v>13481</v>
      </c>
      <c r="C3519" s="809" t="s">
        <v>13482</v>
      </c>
      <c r="D3519" s="809" t="s">
        <v>13483</v>
      </c>
      <c r="E3519" s="1019" t="s">
        <v>13484</v>
      </c>
      <c r="F3519" s="1019"/>
      <c r="G3519" s="810" t="s">
        <v>13485</v>
      </c>
      <c r="H3519" s="808" t="s">
        <v>13486</v>
      </c>
      <c r="I3519" s="808" t="s">
        <v>13487</v>
      </c>
      <c r="J3519" s="808" t="s">
        <v>4867</v>
      </c>
    </row>
    <row r="3520" spans="1:10" ht="38.25" customHeight="1">
      <c r="A3520" s="812" t="s">
        <v>13488</v>
      </c>
      <c r="B3520" s="811" t="s">
        <v>13617</v>
      </c>
      <c r="C3520" s="812" t="s">
        <v>6</v>
      </c>
      <c r="D3520" s="812" t="s">
        <v>797</v>
      </c>
      <c r="E3520" s="1020" t="s">
        <v>13539</v>
      </c>
      <c r="F3520" s="1020"/>
      <c r="G3520" s="813" t="s">
        <v>28</v>
      </c>
      <c r="H3520" s="814">
        <v>1</v>
      </c>
      <c r="I3520" s="815">
        <v>153.28</v>
      </c>
      <c r="J3520" s="815">
        <v>153.28</v>
      </c>
    </row>
    <row r="3521" spans="1:10" ht="13.5" customHeight="1">
      <c r="A3521" s="817" t="s">
        <v>13491</v>
      </c>
      <c r="B3521" s="816" t="s">
        <v>14603</v>
      </c>
      <c r="C3521" s="817" t="s">
        <v>6</v>
      </c>
      <c r="D3521" s="817" t="s">
        <v>770</v>
      </c>
      <c r="E3521" s="1021" t="s">
        <v>13539</v>
      </c>
      <c r="F3521" s="1021"/>
      <c r="G3521" s="818" t="s">
        <v>19</v>
      </c>
      <c r="H3521" s="819">
        <v>1</v>
      </c>
      <c r="I3521" s="820">
        <v>33.26</v>
      </c>
      <c r="J3521" s="820">
        <v>33.26</v>
      </c>
    </row>
    <row r="3522" spans="1:10" ht="38.25" customHeight="1">
      <c r="A3522" s="817" t="s">
        <v>13491</v>
      </c>
      <c r="B3522" s="816" t="s">
        <v>14600</v>
      </c>
      <c r="C3522" s="817" t="s">
        <v>6</v>
      </c>
      <c r="D3522" s="817" t="s">
        <v>768</v>
      </c>
      <c r="E3522" s="1021" t="s">
        <v>13539</v>
      </c>
      <c r="F3522" s="1021"/>
      <c r="G3522" s="818" t="s">
        <v>19</v>
      </c>
      <c r="H3522" s="819">
        <v>1</v>
      </c>
      <c r="I3522" s="820">
        <v>18.559999999999999</v>
      </c>
      <c r="J3522" s="820">
        <v>18.559999999999999</v>
      </c>
    </row>
    <row r="3523" spans="1:10" ht="38.25" customHeight="1">
      <c r="A3523" s="817" t="s">
        <v>13491</v>
      </c>
      <c r="B3523" s="816" t="s">
        <v>14601</v>
      </c>
      <c r="C3523" s="817" t="s">
        <v>6</v>
      </c>
      <c r="D3523" s="817" t="s">
        <v>769</v>
      </c>
      <c r="E3523" s="1021" t="s">
        <v>13539</v>
      </c>
      <c r="F3523" s="1021"/>
      <c r="G3523" s="818" t="s">
        <v>19</v>
      </c>
      <c r="H3523" s="819">
        <v>1</v>
      </c>
      <c r="I3523" s="820">
        <v>3.6</v>
      </c>
      <c r="J3523" s="820">
        <v>3.6</v>
      </c>
    </row>
    <row r="3524" spans="1:10" ht="38.25" customHeight="1">
      <c r="A3524" s="817" t="s">
        <v>13491</v>
      </c>
      <c r="B3524" s="816" t="s">
        <v>14604</v>
      </c>
      <c r="C3524" s="817" t="s">
        <v>6</v>
      </c>
      <c r="D3524" s="817" t="s">
        <v>771</v>
      </c>
      <c r="E3524" s="1021" t="s">
        <v>13539</v>
      </c>
      <c r="F3524" s="1021"/>
      <c r="G3524" s="818" t="s">
        <v>19</v>
      </c>
      <c r="H3524" s="819">
        <v>1</v>
      </c>
      <c r="I3524" s="820">
        <v>80.489999999999995</v>
      </c>
      <c r="J3524" s="820">
        <v>80.489999999999995</v>
      </c>
    </row>
    <row r="3525" spans="1:10" ht="38.25" customHeight="1">
      <c r="A3525" s="817" t="s">
        <v>13491</v>
      </c>
      <c r="B3525" s="816" t="s">
        <v>14602</v>
      </c>
      <c r="C3525" s="817" t="s">
        <v>6</v>
      </c>
      <c r="D3525" s="817" t="s">
        <v>1755</v>
      </c>
      <c r="E3525" s="1021" t="s">
        <v>13539</v>
      </c>
      <c r="F3525" s="1021"/>
      <c r="G3525" s="818" t="s">
        <v>19</v>
      </c>
      <c r="H3525" s="819">
        <v>1</v>
      </c>
      <c r="I3525" s="820">
        <v>2.85</v>
      </c>
      <c r="J3525" s="820">
        <v>2.85</v>
      </c>
    </row>
    <row r="3526" spans="1:10" ht="38.25" customHeight="1">
      <c r="A3526" s="817" t="s">
        <v>13491</v>
      </c>
      <c r="B3526" s="816" t="s">
        <v>14595</v>
      </c>
      <c r="C3526" s="817" t="s">
        <v>6</v>
      </c>
      <c r="D3526" s="817" t="s">
        <v>133</v>
      </c>
      <c r="E3526" s="1021" t="s">
        <v>13490</v>
      </c>
      <c r="F3526" s="1021"/>
      <c r="G3526" s="818" t="s">
        <v>19</v>
      </c>
      <c r="H3526" s="819">
        <v>1</v>
      </c>
      <c r="I3526" s="820">
        <v>14.52</v>
      </c>
      <c r="J3526" s="820">
        <v>14.52</v>
      </c>
    </row>
    <row r="3527" spans="1:10" ht="13.5" customHeight="1">
      <c r="A3527" s="827"/>
      <c r="B3527" s="827"/>
      <c r="C3527" s="827"/>
      <c r="D3527" s="827"/>
      <c r="E3527" s="827" t="s">
        <v>13503</v>
      </c>
      <c r="F3527" s="826">
        <v>10.68</v>
      </c>
      <c r="G3527" s="827" t="s">
        <v>13504</v>
      </c>
      <c r="H3527" s="826">
        <v>0</v>
      </c>
      <c r="I3527" s="827" t="s">
        <v>13505</v>
      </c>
      <c r="J3527" s="826">
        <v>10.68</v>
      </c>
    </row>
    <row r="3528" spans="1:10" ht="13.5" customHeight="1" thickBot="1">
      <c r="A3528" s="827"/>
      <c r="B3528" s="827"/>
      <c r="C3528" s="827"/>
      <c r="D3528" s="827"/>
      <c r="E3528" s="827" t="s">
        <v>13506</v>
      </c>
      <c r="F3528" s="826">
        <v>43.28</v>
      </c>
      <c r="G3528" s="827"/>
      <c r="H3528" s="1018" t="s">
        <v>13507</v>
      </c>
      <c r="I3528" s="1018"/>
      <c r="J3528" s="826">
        <v>196.56</v>
      </c>
    </row>
    <row r="3529" spans="1:10" ht="13.5" thickTop="1">
      <c r="A3529" s="828"/>
      <c r="B3529" s="828"/>
      <c r="C3529" s="828"/>
      <c r="D3529" s="828"/>
      <c r="E3529" s="828"/>
      <c r="F3529" s="828"/>
      <c r="G3529" s="828"/>
      <c r="H3529" s="828"/>
      <c r="I3529" s="828"/>
      <c r="J3529" s="828"/>
    </row>
    <row r="3530" spans="1:10" ht="38.25" customHeight="1">
      <c r="A3530" s="809"/>
      <c r="B3530" s="808" t="s">
        <v>13481</v>
      </c>
      <c r="C3530" s="809" t="s">
        <v>13482</v>
      </c>
      <c r="D3530" s="809" t="s">
        <v>13483</v>
      </c>
      <c r="E3530" s="1019" t="s">
        <v>13484</v>
      </c>
      <c r="F3530" s="1019"/>
      <c r="G3530" s="810" t="s">
        <v>13485</v>
      </c>
      <c r="H3530" s="808" t="s">
        <v>13486</v>
      </c>
      <c r="I3530" s="808" t="s">
        <v>13487</v>
      </c>
      <c r="J3530" s="808" t="s">
        <v>4867</v>
      </c>
    </row>
    <row r="3531" spans="1:10" ht="38.25" customHeight="1">
      <c r="A3531" s="812" t="s">
        <v>13488</v>
      </c>
      <c r="B3531" s="811" t="s">
        <v>14600</v>
      </c>
      <c r="C3531" s="812" t="s">
        <v>6</v>
      </c>
      <c r="D3531" s="812" t="s">
        <v>768</v>
      </c>
      <c r="E3531" s="1020" t="s">
        <v>13539</v>
      </c>
      <c r="F3531" s="1020"/>
      <c r="G3531" s="813" t="s">
        <v>19</v>
      </c>
      <c r="H3531" s="814">
        <v>1</v>
      </c>
      <c r="I3531" s="815">
        <v>18.559999999999999</v>
      </c>
      <c r="J3531" s="815">
        <v>18.559999999999999</v>
      </c>
    </row>
    <row r="3532" spans="1:10" ht="25.5">
      <c r="A3532" s="822" t="s">
        <v>13493</v>
      </c>
      <c r="B3532" s="821" t="s">
        <v>14605</v>
      </c>
      <c r="C3532" s="822" t="s">
        <v>6</v>
      </c>
      <c r="D3532" s="822" t="s">
        <v>4609</v>
      </c>
      <c r="E3532" s="1017" t="s">
        <v>13514</v>
      </c>
      <c r="F3532" s="1017"/>
      <c r="G3532" s="823" t="s">
        <v>24</v>
      </c>
      <c r="H3532" s="824">
        <v>6.0300000000000002E-5</v>
      </c>
      <c r="I3532" s="825">
        <v>55932.1</v>
      </c>
      <c r="J3532" s="825">
        <v>3.37</v>
      </c>
    </row>
    <row r="3533" spans="1:10" ht="13.5" customHeight="1">
      <c r="A3533" s="822" t="s">
        <v>13493</v>
      </c>
      <c r="B3533" s="821" t="s">
        <v>14606</v>
      </c>
      <c r="C3533" s="822" t="s">
        <v>6</v>
      </c>
      <c r="D3533" s="822" t="s">
        <v>4615</v>
      </c>
      <c r="E3533" s="1017" t="s">
        <v>13497</v>
      </c>
      <c r="F3533" s="1017"/>
      <c r="G3533" s="823" t="s">
        <v>24</v>
      </c>
      <c r="H3533" s="824">
        <v>3.4199999999999998E-5</v>
      </c>
      <c r="I3533" s="825">
        <v>444251.4</v>
      </c>
      <c r="J3533" s="825">
        <v>15.19</v>
      </c>
    </row>
    <row r="3534" spans="1:10" ht="25.5">
      <c r="A3534" s="827"/>
      <c r="B3534" s="827"/>
      <c r="C3534" s="827"/>
      <c r="D3534" s="827"/>
      <c r="E3534" s="827" t="s">
        <v>13503</v>
      </c>
      <c r="F3534" s="826">
        <v>0</v>
      </c>
      <c r="G3534" s="827" t="s">
        <v>13504</v>
      </c>
      <c r="H3534" s="826">
        <v>0</v>
      </c>
      <c r="I3534" s="827" t="s">
        <v>13505</v>
      </c>
      <c r="J3534" s="826">
        <v>0</v>
      </c>
    </row>
    <row r="3535" spans="1:10" ht="13.5" customHeight="1" thickBot="1">
      <c r="A3535" s="827"/>
      <c r="B3535" s="827"/>
      <c r="C3535" s="827"/>
      <c r="D3535" s="827"/>
      <c r="E3535" s="827" t="s">
        <v>13506</v>
      </c>
      <c r="F3535" s="826">
        <v>5.24</v>
      </c>
      <c r="G3535" s="827"/>
      <c r="H3535" s="1018" t="s">
        <v>13507</v>
      </c>
      <c r="I3535" s="1018"/>
      <c r="J3535" s="826">
        <v>23.8</v>
      </c>
    </row>
    <row r="3536" spans="1:10" ht="25.5" customHeight="1" thickTop="1">
      <c r="A3536" s="828"/>
      <c r="B3536" s="828"/>
      <c r="C3536" s="828"/>
      <c r="D3536" s="828"/>
      <c r="E3536" s="828"/>
      <c r="F3536" s="828"/>
      <c r="G3536" s="828"/>
      <c r="H3536" s="828"/>
      <c r="I3536" s="828"/>
      <c r="J3536" s="828"/>
    </row>
    <row r="3537" spans="1:10" ht="25.5" customHeight="1">
      <c r="A3537" s="809"/>
      <c r="B3537" s="808" t="s">
        <v>13481</v>
      </c>
      <c r="C3537" s="809" t="s">
        <v>13482</v>
      </c>
      <c r="D3537" s="809" t="s">
        <v>13483</v>
      </c>
      <c r="E3537" s="1019" t="s">
        <v>13484</v>
      </c>
      <c r="F3537" s="1019"/>
      <c r="G3537" s="810" t="s">
        <v>13485</v>
      </c>
      <c r="H3537" s="808" t="s">
        <v>13486</v>
      </c>
      <c r="I3537" s="808" t="s">
        <v>13487</v>
      </c>
      <c r="J3537" s="808" t="s">
        <v>4867</v>
      </c>
    </row>
    <row r="3538" spans="1:10" ht="25.5" customHeight="1">
      <c r="A3538" s="812" t="s">
        <v>13488</v>
      </c>
      <c r="B3538" s="811" t="s">
        <v>14602</v>
      </c>
      <c r="C3538" s="812" t="s">
        <v>6</v>
      </c>
      <c r="D3538" s="812" t="s">
        <v>1755</v>
      </c>
      <c r="E3538" s="1020" t="s">
        <v>13539</v>
      </c>
      <c r="F3538" s="1020"/>
      <c r="G3538" s="813" t="s">
        <v>19</v>
      </c>
      <c r="H3538" s="814">
        <v>1</v>
      </c>
      <c r="I3538" s="815">
        <v>2.85</v>
      </c>
      <c r="J3538" s="815">
        <v>2.85</v>
      </c>
    </row>
    <row r="3539" spans="1:10" ht="25.5">
      <c r="A3539" s="822" t="s">
        <v>13493</v>
      </c>
      <c r="B3539" s="821" t="s">
        <v>14605</v>
      </c>
      <c r="C3539" s="822" t="s">
        <v>6</v>
      </c>
      <c r="D3539" s="822" t="s">
        <v>4609</v>
      </c>
      <c r="E3539" s="1017" t="s">
        <v>13514</v>
      </c>
      <c r="F3539" s="1017"/>
      <c r="G3539" s="823" t="s">
        <v>24</v>
      </c>
      <c r="H3539" s="824">
        <v>5.9000000000000003E-6</v>
      </c>
      <c r="I3539" s="825">
        <v>55932.1</v>
      </c>
      <c r="J3539" s="825">
        <v>0.32</v>
      </c>
    </row>
    <row r="3540" spans="1:10" ht="38.25">
      <c r="A3540" s="822" t="s">
        <v>13493</v>
      </c>
      <c r="B3540" s="821" t="s">
        <v>14606</v>
      </c>
      <c r="C3540" s="822" t="s">
        <v>6</v>
      </c>
      <c r="D3540" s="822" t="s">
        <v>4615</v>
      </c>
      <c r="E3540" s="1017" t="s">
        <v>13497</v>
      </c>
      <c r="F3540" s="1017"/>
      <c r="G3540" s="823" t="s">
        <v>24</v>
      </c>
      <c r="H3540" s="824">
        <v>5.6999999999999996E-6</v>
      </c>
      <c r="I3540" s="825">
        <v>444251.4</v>
      </c>
      <c r="J3540" s="825">
        <v>2.5299999999999998</v>
      </c>
    </row>
    <row r="3541" spans="1:10" ht="25.5">
      <c r="A3541" s="827"/>
      <c r="B3541" s="827"/>
      <c r="C3541" s="827"/>
      <c r="D3541" s="827"/>
      <c r="E3541" s="827" t="s">
        <v>13503</v>
      </c>
      <c r="F3541" s="826">
        <v>0</v>
      </c>
      <c r="G3541" s="827" t="s">
        <v>13504</v>
      </c>
      <c r="H3541" s="826">
        <v>0</v>
      </c>
      <c r="I3541" s="827" t="s">
        <v>13505</v>
      </c>
      <c r="J3541" s="826">
        <v>0</v>
      </c>
    </row>
    <row r="3542" spans="1:10" ht="13.5" customHeight="1" thickBot="1">
      <c r="A3542" s="827"/>
      <c r="B3542" s="827"/>
      <c r="C3542" s="827"/>
      <c r="D3542" s="827"/>
      <c r="E3542" s="827" t="s">
        <v>13506</v>
      </c>
      <c r="F3542" s="826">
        <v>0.8</v>
      </c>
      <c r="G3542" s="827"/>
      <c r="H3542" s="1018" t="s">
        <v>13507</v>
      </c>
      <c r="I3542" s="1018"/>
      <c r="J3542" s="826">
        <v>3.65</v>
      </c>
    </row>
    <row r="3543" spans="1:10" ht="13.5" thickTop="1">
      <c r="A3543" s="828"/>
      <c r="B3543" s="828"/>
      <c r="C3543" s="828"/>
      <c r="D3543" s="828"/>
      <c r="E3543" s="828"/>
      <c r="F3543" s="828"/>
      <c r="G3543" s="828"/>
      <c r="H3543" s="828"/>
      <c r="I3543" s="828"/>
      <c r="J3543" s="828"/>
    </row>
    <row r="3544" spans="1:10" ht="15">
      <c r="A3544" s="809"/>
      <c r="B3544" s="808" t="s">
        <v>13481</v>
      </c>
      <c r="C3544" s="809" t="s">
        <v>13482</v>
      </c>
      <c r="D3544" s="809" t="s">
        <v>13483</v>
      </c>
      <c r="E3544" s="1019" t="s">
        <v>13484</v>
      </c>
      <c r="F3544" s="1019"/>
      <c r="G3544" s="810" t="s">
        <v>13485</v>
      </c>
      <c r="H3544" s="808" t="s">
        <v>13486</v>
      </c>
      <c r="I3544" s="808" t="s">
        <v>13487</v>
      </c>
      <c r="J3544" s="808" t="s">
        <v>4867</v>
      </c>
    </row>
    <row r="3545" spans="1:10" ht="13.5" customHeight="1">
      <c r="A3545" s="812" t="s">
        <v>13488</v>
      </c>
      <c r="B3545" s="811" t="s">
        <v>14601</v>
      </c>
      <c r="C3545" s="812" t="s">
        <v>6</v>
      </c>
      <c r="D3545" s="812" t="s">
        <v>769</v>
      </c>
      <c r="E3545" s="1020" t="s">
        <v>13539</v>
      </c>
      <c r="F3545" s="1020"/>
      <c r="G3545" s="813" t="s">
        <v>19</v>
      </c>
      <c r="H3545" s="814">
        <v>1</v>
      </c>
      <c r="I3545" s="815">
        <v>3.6</v>
      </c>
      <c r="J3545" s="815">
        <v>3.6</v>
      </c>
    </row>
    <row r="3546" spans="1:10" ht="25.5">
      <c r="A3546" s="822" t="s">
        <v>13493</v>
      </c>
      <c r="B3546" s="821" t="s">
        <v>14605</v>
      </c>
      <c r="C3546" s="822" t="s">
        <v>6</v>
      </c>
      <c r="D3546" s="822" t="s">
        <v>4609</v>
      </c>
      <c r="E3546" s="1017" t="s">
        <v>13514</v>
      </c>
      <c r="F3546" s="1017"/>
      <c r="G3546" s="823" t="s">
        <v>24</v>
      </c>
      <c r="H3546" s="824">
        <v>7.4000000000000003E-6</v>
      </c>
      <c r="I3546" s="825">
        <v>55932.1</v>
      </c>
      <c r="J3546" s="825">
        <v>0.41</v>
      </c>
    </row>
    <row r="3547" spans="1:10" ht="38.25">
      <c r="A3547" s="822" t="s">
        <v>13493</v>
      </c>
      <c r="B3547" s="821" t="s">
        <v>14606</v>
      </c>
      <c r="C3547" s="822" t="s">
        <v>6</v>
      </c>
      <c r="D3547" s="822" t="s">
        <v>4615</v>
      </c>
      <c r="E3547" s="1017" t="s">
        <v>13497</v>
      </c>
      <c r="F3547" s="1017"/>
      <c r="G3547" s="823" t="s">
        <v>24</v>
      </c>
      <c r="H3547" s="824">
        <v>7.1999999999999997E-6</v>
      </c>
      <c r="I3547" s="825">
        <v>444251.4</v>
      </c>
      <c r="J3547" s="825">
        <v>3.19</v>
      </c>
    </row>
    <row r="3548" spans="1:10" ht="25.5" customHeight="1">
      <c r="A3548" s="827"/>
      <c r="B3548" s="827"/>
      <c r="C3548" s="827"/>
      <c r="D3548" s="827"/>
      <c r="E3548" s="827" t="s">
        <v>13503</v>
      </c>
      <c r="F3548" s="826">
        <v>0</v>
      </c>
      <c r="G3548" s="827" t="s">
        <v>13504</v>
      </c>
      <c r="H3548" s="826">
        <v>0</v>
      </c>
      <c r="I3548" s="827" t="s">
        <v>13505</v>
      </c>
      <c r="J3548" s="826">
        <v>0</v>
      </c>
    </row>
    <row r="3549" spans="1:10" ht="25.5" customHeight="1" thickBot="1">
      <c r="A3549" s="827"/>
      <c r="B3549" s="827"/>
      <c r="C3549" s="827"/>
      <c r="D3549" s="827"/>
      <c r="E3549" s="827" t="s">
        <v>13506</v>
      </c>
      <c r="F3549" s="826">
        <v>1.01</v>
      </c>
      <c r="G3549" s="827"/>
      <c r="H3549" s="1018" t="s">
        <v>13507</v>
      </c>
      <c r="I3549" s="1018"/>
      <c r="J3549" s="826">
        <v>4.6100000000000003</v>
      </c>
    </row>
    <row r="3550" spans="1:10" ht="25.5" customHeight="1" thickTop="1">
      <c r="A3550" s="828"/>
      <c r="B3550" s="828"/>
      <c r="C3550" s="828"/>
      <c r="D3550" s="828"/>
      <c r="E3550" s="828"/>
      <c r="F3550" s="828"/>
      <c r="G3550" s="828"/>
      <c r="H3550" s="828"/>
      <c r="I3550" s="828"/>
      <c r="J3550" s="828"/>
    </row>
    <row r="3551" spans="1:10" ht="15">
      <c r="A3551" s="809"/>
      <c r="B3551" s="808" t="s">
        <v>13481</v>
      </c>
      <c r="C3551" s="809" t="s">
        <v>13482</v>
      </c>
      <c r="D3551" s="809" t="s">
        <v>13483</v>
      </c>
      <c r="E3551" s="1019" t="s">
        <v>13484</v>
      </c>
      <c r="F3551" s="1019"/>
      <c r="G3551" s="810" t="s">
        <v>13485</v>
      </c>
      <c r="H3551" s="808" t="s">
        <v>13486</v>
      </c>
      <c r="I3551" s="808" t="s">
        <v>13487</v>
      </c>
      <c r="J3551" s="808" t="s">
        <v>4867</v>
      </c>
    </row>
    <row r="3552" spans="1:10" ht="38.25" customHeight="1">
      <c r="A3552" s="812" t="s">
        <v>13488</v>
      </c>
      <c r="B3552" s="811" t="s">
        <v>14603</v>
      </c>
      <c r="C3552" s="812" t="s">
        <v>6</v>
      </c>
      <c r="D3552" s="812" t="s">
        <v>770</v>
      </c>
      <c r="E3552" s="1020" t="s">
        <v>13539</v>
      </c>
      <c r="F3552" s="1020"/>
      <c r="G3552" s="813" t="s">
        <v>19</v>
      </c>
      <c r="H3552" s="814">
        <v>1</v>
      </c>
      <c r="I3552" s="815">
        <v>33.26</v>
      </c>
      <c r="J3552" s="815">
        <v>33.26</v>
      </c>
    </row>
    <row r="3553" spans="1:10" ht="25.5">
      <c r="A3553" s="822" t="s">
        <v>13493</v>
      </c>
      <c r="B3553" s="821" t="s">
        <v>14605</v>
      </c>
      <c r="C3553" s="822" t="s">
        <v>6</v>
      </c>
      <c r="D3553" s="822" t="s">
        <v>4609</v>
      </c>
      <c r="E3553" s="1017" t="s">
        <v>13514</v>
      </c>
      <c r="F3553" s="1017"/>
      <c r="G3553" s="823" t="s">
        <v>24</v>
      </c>
      <c r="H3553" s="824">
        <v>8.4900000000000004E-5</v>
      </c>
      <c r="I3553" s="825">
        <v>55932.1</v>
      </c>
      <c r="J3553" s="825">
        <v>4.74</v>
      </c>
    </row>
    <row r="3554" spans="1:10" ht="38.25">
      <c r="A3554" s="822" t="s">
        <v>13493</v>
      </c>
      <c r="B3554" s="821" t="s">
        <v>14606</v>
      </c>
      <c r="C3554" s="822" t="s">
        <v>6</v>
      </c>
      <c r="D3554" s="822" t="s">
        <v>4615</v>
      </c>
      <c r="E3554" s="1017" t="s">
        <v>13497</v>
      </c>
      <c r="F3554" s="1017"/>
      <c r="G3554" s="823" t="s">
        <v>24</v>
      </c>
      <c r="H3554" s="824">
        <v>6.4200000000000002E-5</v>
      </c>
      <c r="I3554" s="825">
        <v>444251.4</v>
      </c>
      <c r="J3554" s="825">
        <v>28.52</v>
      </c>
    </row>
    <row r="3555" spans="1:10" ht="25.5">
      <c r="A3555" s="827"/>
      <c r="B3555" s="827"/>
      <c r="C3555" s="827"/>
      <c r="D3555" s="827"/>
      <c r="E3555" s="827" t="s">
        <v>13503</v>
      </c>
      <c r="F3555" s="826">
        <v>0</v>
      </c>
      <c r="G3555" s="827" t="s">
        <v>13504</v>
      </c>
      <c r="H3555" s="826">
        <v>0</v>
      </c>
      <c r="I3555" s="827" t="s">
        <v>13505</v>
      </c>
      <c r="J3555" s="826">
        <v>0</v>
      </c>
    </row>
    <row r="3556" spans="1:10" ht="13.5" customHeight="1" thickBot="1">
      <c r="A3556" s="827"/>
      <c r="B3556" s="827"/>
      <c r="C3556" s="827"/>
      <c r="D3556" s="827"/>
      <c r="E3556" s="827" t="s">
        <v>13506</v>
      </c>
      <c r="F3556" s="826">
        <v>9.39</v>
      </c>
      <c r="G3556" s="827"/>
      <c r="H3556" s="1018" t="s">
        <v>13507</v>
      </c>
      <c r="I3556" s="1018"/>
      <c r="J3556" s="826">
        <v>42.65</v>
      </c>
    </row>
    <row r="3557" spans="1:10" ht="13.5" thickTop="1">
      <c r="A3557" s="828"/>
      <c r="B3557" s="828"/>
      <c r="C3557" s="828"/>
      <c r="D3557" s="828"/>
      <c r="E3557" s="828"/>
      <c r="F3557" s="828"/>
      <c r="G3557" s="828"/>
      <c r="H3557" s="828"/>
      <c r="I3557" s="828"/>
      <c r="J3557" s="828"/>
    </row>
    <row r="3558" spans="1:10" ht="15">
      <c r="A3558" s="809"/>
      <c r="B3558" s="808" t="s">
        <v>13481</v>
      </c>
      <c r="C3558" s="809" t="s">
        <v>13482</v>
      </c>
      <c r="D3558" s="809" t="s">
        <v>13483</v>
      </c>
      <c r="E3558" s="1019" t="s">
        <v>13484</v>
      </c>
      <c r="F3558" s="1019"/>
      <c r="G3558" s="810" t="s">
        <v>13485</v>
      </c>
      <c r="H3558" s="808" t="s">
        <v>13486</v>
      </c>
      <c r="I3558" s="808" t="s">
        <v>13487</v>
      </c>
      <c r="J3558" s="808" t="s">
        <v>4867</v>
      </c>
    </row>
    <row r="3559" spans="1:10" ht="25.5" customHeight="1">
      <c r="A3559" s="812" t="s">
        <v>13488</v>
      </c>
      <c r="B3559" s="811" t="s">
        <v>14604</v>
      </c>
      <c r="C3559" s="812" t="s">
        <v>6</v>
      </c>
      <c r="D3559" s="812" t="s">
        <v>771</v>
      </c>
      <c r="E3559" s="1020" t="s">
        <v>13539</v>
      </c>
      <c r="F3559" s="1020"/>
      <c r="G3559" s="813" t="s">
        <v>19</v>
      </c>
      <c r="H3559" s="814">
        <v>1</v>
      </c>
      <c r="I3559" s="815">
        <v>80.489999999999995</v>
      </c>
      <c r="J3559" s="815">
        <v>80.489999999999995</v>
      </c>
    </row>
    <row r="3560" spans="1:10" ht="25.5" customHeight="1">
      <c r="A3560" s="822" t="s">
        <v>13493</v>
      </c>
      <c r="B3560" s="821" t="s">
        <v>14463</v>
      </c>
      <c r="C3560" s="822" t="s">
        <v>6</v>
      </c>
      <c r="D3560" s="822" t="s">
        <v>4725</v>
      </c>
      <c r="E3560" s="1017" t="s">
        <v>13514</v>
      </c>
      <c r="F3560" s="1017"/>
      <c r="G3560" s="823" t="s">
        <v>39</v>
      </c>
      <c r="H3560" s="824">
        <v>13.62</v>
      </c>
      <c r="I3560" s="825">
        <v>5.91</v>
      </c>
      <c r="J3560" s="825">
        <v>80.489999999999995</v>
      </c>
    </row>
    <row r="3561" spans="1:10" ht="25.5" customHeight="1">
      <c r="A3561" s="827"/>
      <c r="B3561" s="827"/>
      <c r="C3561" s="827"/>
      <c r="D3561" s="827"/>
      <c r="E3561" s="827" t="s">
        <v>13503</v>
      </c>
      <c r="F3561" s="826">
        <v>0</v>
      </c>
      <c r="G3561" s="827" t="s">
        <v>13504</v>
      </c>
      <c r="H3561" s="826">
        <v>0</v>
      </c>
      <c r="I3561" s="827" t="s">
        <v>13505</v>
      </c>
      <c r="J3561" s="826">
        <v>0</v>
      </c>
    </row>
    <row r="3562" spans="1:10" ht="13.5" customHeight="1" thickBot="1">
      <c r="A3562" s="827"/>
      <c r="B3562" s="827"/>
      <c r="C3562" s="827"/>
      <c r="D3562" s="827"/>
      <c r="E3562" s="827" t="s">
        <v>13506</v>
      </c>
      <c r="F3562" s="826">
        <v>22.73</v>
      </c>
      <c r="G3562" s="827"/>
      <c r="H3562" s="1018" t="s">
        <v>13507</v>
      </c>
      <c r="I3562" s="1018"/>
      <c r="J3562" s="826">
        <v>103.22</v>
      </c>
    </row>
    <row r="3563" spans="1:10" ht="13.5" thickTop="1">
      <c r="A3563" s="828"/>
      <c r="B3563" s="828"/>
      <c r="C3563" s="828"/>
      <c r="D3563" s="828"/>
      <c r="E3563" s="828"/>
      <c r="F3563" s="828"/>
      <c r="G3563" s="828"/>
      <c r="H3563" s="828"/>
      <c r="I3563" s="828"/>
      <c r="J3563" s="828"/>
    </row>
    <row r="3564" spans="1:10" ht="15">
      <c r="A3564" s="809"/>
      <c r="B3564" s="808" t="s">
        <v>13481</v>
      </c>
      <c r="C3564" s="809" t="s">
        <v>13482</v>
      </c>
      <c r="D3564" s="809" t="s">
        <v>13483</v>
      </c>
      <c r="E3564" s="1019" t="s">
        <v>13484</v>
      </c>
      <c r="F3564" s="1019"/>
      <c r="G3564" s="810" t="s">
        <v>13485</v>
      </c>
      <c r="H3564" s="808" t="s">
        <v>13486</v>
      </c>
      <c r="I3564" s="808" t="s">
        <v>13487</v>
      </c>
      <c r="J3564" s="808" t="s">
        <v>4867</v>
      </c>
    </row>
    <row r="3565" spans="1:10" ht="38.25" customHeight="1">
      <c r="A3565" s="812" t="s">
        <v>13488</v>
      </c>
      <c r="B3565" s="811" t="s">
        <v>13626</v>
      </c>
      <c r="C3565" s="812" t="s">
        <v>6</v>
      </c>
      <c r="D3565" s="812" t="s">
        <v>733</v>
      </c>
      <c r="E3565" s="1020" t="s">
        <v>13539</v>
      </c>
      <c r="F3565" s="1020"/>
      <c r="G3565" s="813" t="s">
        <v>42</v>
      </c>
      <c r="H3565" s="814">
        <v>1</v>
      </c>
      <c r="I3565" s="815">
        <v>45.3</v>
      </c>
      <c r="J3565" s="815">
        <v>45.3</v>
      </c>
    </row>
    <row r="3566" spans="1:10" ht="38.25" customHeight="1">
      <c r="A3566" s="817" t="s">
        <v>13491</v>
      </c>
      <c r="B3566" s="816" t="s">
        <v>14607</v>
      </c>
      <c r="C3566" s="817" t="s">
        <v>6</v>
      </c>
      <c r="D3566" s="817" t="s">
        <v>1753</v>
      </c>
      <c r="E3566" s="1021" t="s">
        <v>13539</v>
      </c>
      <c r="F3566" s="1021"/>
      <c r="G3566" s="818" t="s">
        <v>19</v>
      </c>
      <c r="H3566" s="819">
        <v>1</v>
      </c>
      <c r="I3566" s="820">
        <v>4.33</v>
      </c>
      <c r="J3566" s="820">
        <v>4.33</v>
      </c>
    </row>
    <row r="3567" spans="1:10" ht="38.25" customHeight="1">
      <c r="A3567" s="817" t="s">
        <v>13491</v>
      </c>
      <c r="B3567" s="816" t="s">
        <v>14608</v>
      </c>
      <c r="C3567" s="817" t="s">
        <v>6</v>
      </c>
      <c r="D3567" s="817" t="s">
        <v>1754</v>
      </c>
      <c r="E3567" s="1021" t="s">
        <v>13539</v>
      </c>
      <c r="F3567" s="1021"/>
      <c r="G3567" s="818" t="s">
        <v>19</v>
      </c>
      <c r="H3567" s="819">
        <v>1</v>
      </c>
      <c r="I3567" s="820">
        <v>3.42</v>
      </c>
      <c r="J3567" s="820">
        <v>3.42</v>
      </c>
    </row>
    <row r="3568" spans="1:10" ht="38.25" customHeight="1">
      <c r="A3568" s="817" t="s">
        <v>13491</v>
      </c>
      <c r="B3568" s="816" t="s">
        <v>14609</v>
      </c>
      <c r="C3568" s="817" t="s">
        <v>6</v>
      </c>
      <c r="D3568" s="817" t="s">
        <v>1752</v>
      </c>
      <c r="E3568" s="1021" t="s">
        <v>13539</v>
      </c>
      <c r="F3568" s="1021"/>
      <c r="G3568" s="818" t="s">
        <v>19</v>
      </c>
      <c r="H3568" s="819">
        <v>1</v>
      </c>
      <c r="I3568" s="820">
        <v>22.38</v>
      </c>
      <c r="J3568" s="820">
        <v>22.38</v>
      </c>
    </row>
    <row r="3569" spans="1:10" ht="13.5" customHeight="1">
      <c r="A3569" s="817" t="s">
        <v>13491</v>
      </c>
      <c r="B3569" s="816" t="s">
        <v>14610</v>
      </c>
      <c r="C3569" s="817" t="s">
        <v>6</v>
      </c>
      <c r="D3569" s="817" t="s">
        <v>134</v>
      </c>
      <c r="E3569" s="1021" t="s">
        <v>13490</v>
      </c>
      <c r="F3569" s="1021"/>
      <c r="G3569" s="818" t="s">
        <v>19</v>
      </c>
      <c r="H3569" s="819">
        <v>1</v>
      </c>
      <c r="I3569" s="820">
        <v>15.17</v>
      </c>
      <c r="J3569" s="820">
        <v>15.17</v>
      </c>
    </row>
    <row r="3570" spans="1:10" ht="25.5">
      <c r="A3570" s="827"/>
      <c r="B3570" s="827"/>
      <c r="C3570" s="827"/>
      <c r="D3570" s="827"/>
      <c r="E3570" s="827" t="s">
        <v>13503</v>
      </c>
      <c r="F3570" s="826">
        <v>11.33</v>
      </c>
      <c r="G3570" s="827" t="s">
        <v>13504</v>
      </c>
      <c r="H3570" s="826">
        <v>0</v>
      </c>
      <c r="I3570" s="827" t="s">
        <v>13505</v>
      </c>
      <c r="J3570" s="826">
        <v>11.33</v>
      </c>
    </row>
    <row r="3571" spans="1:10" ht="13.5" customHeight="1" thickBot="1">
      <c r="A3571" s="827"/>
      <c r="B3571" s="827"/>
      <c r="C3571" s="827"/>
      <c r="D3571" s="827"/>
      <c r="E3571" s="827" t="s">
        <v>13506</v>
      </c>
      <c r="F3571" s="826">
        <v>12.79</v>
      </c>
      <c r="G3571" s="827"/>
      <c r="H3571" s="1018" t="s">
        <v>13507</v>
      </c>
      <c r="I3571" s="1018"/>
      <c r="J3571" s="826">
        <v>58.09</v>
      </c>
    </row>
    <row r="3572" spans="1:10" ht="13.5" thickTop="1">
      <c r="A3572" s="828"/>
      <c r="B3572" s="828"/>
      <c r="C3572" s="828"/>
      <c r="D3572" s="828"/>
      <c r="E3572" s="828"/>
      <c r="F3572" s="828"/>
      <c r="G3572" s="828"/>
      <c r="H3572" s="828"/>
      <c r="I3572" s="828"/>
      <c r="J3572" s="828"/>
    </row>
    <row r="3573" spans="1:10" ht="15">
      <c r="A3573" s="809"/>
      <c r="B3573" s="808" t="s">
        <v>13481</v>
      </c>
      <c r="C3573" s="809" t="s">
        <v>13482</v>
      </c>
      <c r="D3573" s="809" t="s">
        <v>13483</v>
      </c>
      <c r="E3573" s="1019" t="s">
        <v>13484</v>
      </c>
      <c r="F3573" s="1019"/>
      <c r="G3573" s="810" t="s">
        <v>13485</v>
      </c>
      <c r="H3573" s="808" t="s">
        <v>13486</v>
      </c>
      <c r="I3573" s="808" t="s">
        <v>13487</v>
      </c>
      <c r="J3573" s="808" t="s">
        <v>4867</v>
      </c>
    </row>
    <row r="3574" spans="1:10" ht="38.25" customHeight="1">
      <c r="A3574" s="812" t="s">
        <v>13488</v>
      </c>
      <c r="B3574" s="811" t="s">
        <v>13624</v>
      </c>
      <c r="C3574" s="812" t="s">
        <v>6</v>
      </c>
      <c r="D3574" s="812" t="s">
        <v>732</v>
      </c>
      <c r="E3574" s="1020" t="s">
        <v>13539</v>
      </c>
      <c r="F3574" s="1020"/>
      <c r="G3574" s="813" t="s">
        <v>28</v>
      </c>
      <c r="H3574" s="814">
        <v>1</v>
      </c>
      <c r="I3574" s="815">
        <v>274.42</v>
      </c>
      <c r="J3574" s="815">
        <v>274.42</v>
      </c>
    </row>
    <row r="3575" spans="1:10" ht="38.25" customHeight="1">
      <c r="A3575" s="817" t="s">
        <v>13491</v>
      </c>
      <c r="B3575" s="816" t="s">
        <v>14611</v>
      </c>
      <c r="C3575" s="817" t="s">
        <v>6</v>
      </c>
      <c r="D3575" s="817" t="s">
        <v>785</v>
      </c>
      <c r="E3575" s="1021" t="s">
        <v>13539</v>
      </c>
      <c r="F3575" s="1021"/>
      <c r="G3575" s="818" t="s">
        <v>19</v>
      </c>
      <c r="H3575" s="819">
        <v>1</v>
      </c>
      <c r="I3575" s="820">
        <v>190.06</v>
      </c>
      <c r="J3575" s="820">
        <v>190.06</v>
      </c>
    </row>
    <row r="3576" spans="1:10" ht="38.25" customHeight="1">
      <c r="A3576" s="817" t="s">
        <v>13491</v>
      </c>
      <c r="B3576" s="816" t="s">
        <v>14612</v>
      </c>
      <c r="C3576" s="817" t="s">
        <v>6</v>
      </c>
      <c r="D3576" s="817" t="s">
        <v>705</v>
      </c>
      <c r="E3576" s="1021" t="s">
        <v>13539</v>
      </c>
      <c r="F3576" s="1021"/>
      <c r="G3576" s="818" t="s">
        <v>19</v>
      </c>
      <c r="H3576" s="819">
        <v>1</v>
      </c>
      <c r="I3576" s="820">
        <v>39.06</v>
      </c>
      <c r="J3576" s="820">
        <v>39.06</v>
      </c>
    </row>
    <row r="3577" spans="1:10" ht="13.5" customHeight="1">
      <c r="A3577" s="817" t="s">
        <v>13491</v>
      </c>
      <c r="B3577" s="816" t="s">
        <v>14607</v>
      </c>
      <c r="C3577" s="817" t="s">
        <v>6</v>
      </c>
      <c r="D3577" s="817" t="s">
        <v>1753</v>
      </c>
      <c r="E3577" s="1021" t="s">
        <v>13539</v>
      </c>
      <c r="F3577" s="1021"/>
      <c r="G3577" s="818" t="s">
        <v>19</v>
      </c>
      <c r="H3577" s="819">
        <v>1</v>
      </c>
      <c r="I3577" s="820">
        <v>4.33</v>
      </c>
      <c r="J3577" s="820">
        <v>4.33</v>
      </c>
    </row>
    <row r="3578" spans="1:10" ht="38.25" customHeight="1">
      <c r="A3578" s="817" t="s">
        <v>13491</v>
      </c>
      <c r="B3578" s="816" t="s">
        <v>14608</v>
      </c>
      <c r="C3578" s="817" t="s">
        <v>6</v>
      </c>
      <c r="D3578" s="817" t="s">
        <v>1754</v>
      </c>
      <c r="E3578" s="1021" t="s">
        <v>13539</v>
      </c>
      <c r="F3578" s="1021"/>
      <c r="G3578" s="818" t="s">
        <v>19</v>
      </c>
      <c r="H3578" s="819">
        <v>1</v>
      </c>
      <c r="I3578" s="820">
        <v>3.42</v>
      </c>
      <c r="J3578" s="820">
        <v>3.42</v>
      </c>
    </row>
    <row r="3579" spans="1:10" ht="38.25" customHeight="1">
      <c r="A3579" s="817" t="s">
        <v>13491</v>
      </c>
      <c r="B3579" s="816" t="s">
        <v>14609</v>
      </c>
      <c r="C3579" s="817" t="s">
        <v>6</v>
      </c>
      <c r="D3579" s="817" t="s">
        <v>1752</v>
      </c>
      <c r="E3579" s="1021" t="s">
        <v>13539</v>
      </c>
      <c r="F3579" s="1021"/>
      <c r="G3579" s="818" t="s">
        <v>19</v>
      </c>
      <c r="H3579" s="819">
        <v>1</v>
      </c>
      <c r="I3579" s="820">
        <v>22.38</v>
      </c>
      <c r="J3579" s="820">
        <v>22.38</v>
      </c>
    </row>
    <row r="3580" spans="1:10" ht="38.25" customHeight="1">
      <c r="A3580" s="817" t="s">
        <v>13491</v>
      </c>
      <c r="B3580" s="816" t="s">
        <v>14610</v>
      </c>
      <c r="C3580" s="817" t="s">
        <v>6</v>
      </c>
      <c r="D3580" s="817" t="s">
        <v>134</v>
      </c>
      <c r="E3580" s="1021" t="s">
        <v>13490</v>
      </c>
      <c r="F3580" s="1021"/>
      <c r="G3580" s="818" t="s">
        <v>19</v>
      </c>
      <c r="H3580" s="819">
        <v>1</v>
      </c>
      <c r="I3580" s="820">
        <v>15.17</v>
      </c>
      <c r="J3580" s="820">
        <v>15.17</v>
      </c>
    </row>
    <row r="3581" spans="1:10" ht="25.5">
      <c r="A3581" s="827"/>
      <c r="B3581" s="827"/>
      <c r="C3581" s="827"/>
      <c r="D3581" s="827"/>
      <c r="E3581" s="827" t="s">
        <v>13503</v>
      </c>
      <c r="F3581" s="826">
        <v>11.33</v>
      </c>
      <c r="G3581" s="827" t="s">
        <v>13504</v>
      </c>
      <c r="H3581" s="826">
        <v>0</v>
      </c>
      <c r="I3581" s="827" t="s">
        <v>13505</v>
      </c>
      <c r="J3581" s="826">
        <v>11.33</v>
      </c>
    </row>
    <row r="3582" spans="1:10" ht="13.5" customHeight="1" thickBot="1">
      <c r="A3582" s="827"/>
      <c r="B3582" s="827"/>
      <c r="C3582" s="827"/>
      <c r="D3582" s="827"/>
      <c r="E3582" s="827" t="s">
        <v>13506</v>
      </c>
      <c r="F3582" s="826">
        <v>77.489999999999995</v>
      </c>
      <c r="G3582" s="827"/>
      <c r="H3582" s="1018" t="s">
        <v>13507</v>
      </c>
      <c r="I3582" s="1018"/>
      <c r="J3582" s="826">
        <v>351.91</v>
      </c>
    </row>
    <row r="3583" spans="1:10" ht="13.5" thickTop="1">
      <c r="A3583" s="828"/>
      <c r="B3583" s="828"/>
      <c r="C3583" s="828"/>
      <c r="D3583" s="828"/>
      <c r="E3583" s="828"/>
      <c r="F3583" s="828"/>
      <c r="G3583" s="828"/>
      <c r="H3583" s="828"/>
      <c r="I3583" s="828"/>
      <c r="J3583" s="828"/>
    </row>
    <row r="3584" spans="1:10" ht="15">
      <c r="A3584" s="809"/>
      <c r="B3584" s="808" t="s">
        <v>13481</v>
      </c>
      <c r="C3584" s="809" t="s">
        <v>13482</v>
      </c>
      <c r="D3584" s="809" t="s">
        <v>13483</v>
      </c>
      <c r="E3584" s="1019" t="s">
        <v>13484</v>
      </c>
      <c r="F3584" s="1019"/>
      <c r="G3584" s="810" t="s">
        <v>13485</v>
      </c>
      <c r="H3584" s="808" t="s">
        <v>13486</v>
      </c>
      <c r="I3584" s="808" t="s">
        <v>13487</v>
      </c>
      <c r="J3584" s="808" t="s">
        <v>4867</v>
      </c>
    </row>
    <row r="3585" spans="1:10" ht="13.5" customHeight="1">
      <c r="A3585" s="812" t="s">
        <v>13488</v>
      </c>
      <c r="B3585" s="811" t="s">
        <v>14609</v>
      </c>
      <c r="C3585" s="812" t="s">
        <v>6</v>
      </c>
      <c r="D3585" s="812" t="s">
        <v>1752</v>
      </c>
      <c r="E3585" s="1020" t="s">
        <v>13539</v>
      </c>
      <c r="F3585" s="1020"/>
      <c r="G3585" s="813" t="s">
        <v>19</v>
      </c>
      <c r="H3585" s="814">
        <v>1</v>
      </c>
      <c r="I3585" s="815">
        <v>22.38</v>
      </c>
      <c r="J3585" s="815">
        <v>22.38</v>
      </c>
    </row>
    <row r="3586" spans="1:10" ht="38.25">
      <c r="A3586" s="822" t="s">
        <v>13493</v>
      </c>
      <c r="B3586" s="821" t="s">
        <v>14599</v>
      </c>
      <c r="C3586" s="822" t="s">
        <v>6</v>
      </c>
      <c r="D3586" s="822" t="s">
        <v>4617</v>
      </c>
      <c r="E3586" s="1017" t="s">
        <v>13497</v>
      </c>
      <c r="F3586" s="1017"/>
      <c r="G3586" s="823" t="s">
        <v>24</v>
      </c>
      <c r="H3586" s="824">
        <v>3.43E-5</v>
      </c>
      <c r="I3586" s="825">
        <v>517389.58</v>
      </c>
      <c r="J3586" s="825">
        <v>17.739999999999998</v>
      </c>
    </row>
    <row r="3587" spans="1:10" ht="51">
      <c r="A3587" s="822" t="s">
        <v>13493</v>
      </c>
      <c r="B3587" s="821" t="s">
        <v>14613</v>
      </c>
      <c r="C3587" s="822" t="s">
        <v>6</v>
      </c>
      <c r="D3587" s="822" t="s">
        <v>4792</v>
      </c>
      <c r="E3587" s="1017" t="s">
        <v>13514</v>
      </c>
      <c r="F3587" s="1017"/>
      <c r="G3587" s="823" t="s">
        <v>24</v>
      </c>
      <c r="H3587" s="824">
        <v>5.5099999999999998E-5</v>
      </c>
      <c r="I3587" s="825">
        <v>84300</v>
      </c>
      <c r="J3587" s="825">
        <v>4.6399999999999997</v>
      </c>
    </row>
    <row r="3588" spans="1:10" ht="12.75" customHeight="1">
      <c r="A3588" s="827"/>
      <c r="B3588" s="827"/>
      <c r="C3588" s="827"/>
      <c r="D3588" s="827"/>
      <c r="E3588" s="827" t="s">
        <v>13503</v>
      </c>
      <c r="F3588" s="826">
        <v>0</v>
      </c>
      <c r="G3588" s="827" t="s">
        <v>13504</v>
      </c>
      <c r="H3588" s="826">
        <v>0</v>
      </c>
      <c r="I3588" s="827" t="s">
        <v>13505</v>
      </c>
      <c r="J3588" s="826">
        <v>0</v>
      </c>
    </row>
    <row r="3589" spans="1:10" ht="13.5" customHeight="1" thickBot="1">
      <c r="A3589" s="827"/>
      <c r="B3589" s="827"/>
      <c r="C3589" s="827"/>
      <c r="D3589" s="827"/>
      <c r="E3589" s="827" t="s">
        <v>13506</v>
      </c>
      <c r="F3589" s="826">
        <v>6.32</v>
      </c>
      <c r="G3589" s="827"/>
      <c r="H3589" s="1018" t="s">
        <v>13507</v>
      </c>
      <c r="I3589" s="1018"/>
      <c r="J3589" s="826">
        <v>28.7</v>
      </c>
    </row>
    <row r="3590" spans="1:10" ht="13.5" thickTop="1">
      <c r="A3590" s="828"/>
      <c r="B3590" s="828"/>
      <c r="C3590" s="828"/>
      <c r="D3590" s="828"/>
      <c r="E3590" s="828"/>
      <c r="F3590" s="828"/>
      <c r="G3590" s="828"/>
      <c r="H3590" s="828"/>
      <c r="I3590" s="828"/>
      <c r="J3590" s="828"/>
    </row>
    <row r="3591" spans="1:10" ht="15">
      <c r="A3591" s="809"/>
      <c r="B3591" s="808" t="s">
        <v>13481</v>
      </c>
      <c r="C3591" s="809" t="s">
        <v>13482</v>
      </c>
      <c r="D3591" s="809" t="s">
        <v>13483</v>
      </c>
      <c r="E3591" s="1019" t="s">
        <v>13484</v>
      </c>
      <c r="F3591" s="1019"/>
      <c r="G3591" s="810" t="s">
        <v>13485</v>
      </c>
      <c r="H3591" s="808" t="s">
        <v>13486</v>
      </c>
      <c r="I3591" s="808" t="s">
        <v>13487</v>
      </c>
      <c r="J3591" s="808" t="s">
        <v>4867</v>
      </c>
    </row>
    <row r="3592" spans="1:10" ht="38.25" customHeight="1">
      <c r="A3592" s="812" t="s">
        <v>13488</v>
      </c>
      <c r="B3592" s="811" t="s">
        <v>14608</v>
      </c>
      <c r="C3592" s="812" t="s">
        <v>6</v>
      </c>
      <c r="D3592" s="812" t="s">
        <v>1754</v>
      </c>
      <c r="E3592" s="1020" t="s">
        <v>13539</v>
      </c>
      <c r="F3592" s="1020"/>
      <c r="G3592" s="813" t="s">
        <v>19</v>
      </c>
      <c r="H3592" s="814">
        <v>1</v>
      </c>
      <c r="I3592" s="815">
        <v>3.42</v>
      </c>
      <c r="J3592" s="815">
        <v>3.42</v>
      </c>
    </row>
    <row r="3593" spans="1:10" ht="38.25">
      <c r="A3593" s="822" t="s">
        <v>13493</v>
      </c>
      <c r="B3593" s="821" t="s">
        <v>14599</v>
      </c>
      <c r="C3593" s="822" t="s">
        <v>6</v>
      </c>
      <c r="D3593" s="822" t="s">
        <v>4617</v>
      </c>
      <c r="E3593" s="1017" t="s">
        <v>13497</v>
      </c>
      <c r="F3593" s="1017"/>
      <c r="G3593" s="823" t="s">
        <v>24</v>
      </c>
      <c r="H3593" s="824">
        <v>5.6999999999999996E-6</v>
      </c>
      <c r="I3593" s="825">
        <v>517389.58</v>
      </c>
      <c r="J3593" s="825">
        <v>2.94</v>
      </c>
    </row>
    <row r="3594" spans="1:10" ht="51">
      <c r="A3594" s="822" t="s">
        <v>13493</v>
      </c>
      <c r="B3594" s="821" t="s">
        <v>14613</v>
      </c>
      <c r="C3594" s="822" t="s">
        <v>6</v>
      </c>
      <c r="D3594" s="822" t="s">
        <v>4792</v>
      </c>
      <c r="E3594" s="1017" t="s">
        <v>13514</v>
      </c>
      <c r="F3594" s="1017"/>
      <c r="G3594" s="823" t="s">
        <v>24</v>
      </c>
      <c r="H3594" s="824">
        <v>5.8000000000000004E-6</v>
      </c>
      <c r="I3594" s="825">
        <v>84300</v>
      </c>
      <c r="J3594" s="825">
        <v>0.48</v>
      </c>
    </row>
    <row r="3595" spans="1:10" ht="25.5">
      <c r="A3595" s="827"/>
      <c r="B3595" s="827"/>
      <c r="C3595" s="827"/>
      <c r="D3595" s="827"/>
      <c r="E3595" s="827" t="s">
        <v>13503</v>
      </c>
      <c r="F3595" s="826">
        <v>0</v>
      </c>
      <c r="G3595" s="827" t="s">
        <v>13504</v>
      </c>
      <c r="H3595" s="826">
        <v>0</v>
      </c>
      <c r="I3595" s="827" t="s">
        <v>13505</v>
      </c>
      <c r="J3595" s="826">
        <v>0</v>
      </c>
    </row>
    <row r="3596" spans="1:10" ht="13.5" customHeight="1" thickBot="1">
      <c r="A3596" s="827"/>
      <c r="B3596" s="827"/>
      <c r="C3596" s="827"/>
      <c r="D3596" s="827"/>
      <c r="E3596" s="827" t="s">
        <v>13506</v>
      </c>
      <c r="F3596" s="826">
        <v>0.96</v>
      </c>
      <c r="G3596" s="827"/>
      <c r="H3596" s="1018" t="s">
        <v>13507</v>
      </c>
      <c r="I3596" s="1018"/>
      <c r="J3596" s="826">
        <v>4.38</v>
      </c>
    </row>
    <row r="3597" spans="1:10" ht="13.5" thickTop="1">
      <c r="A3597" s="828"/>
      <c r="B3597" s="828"/>
      <c r="C3597" s="828"/>
      <c r="D3597" s="828"/>
      <c r="E3597" s="828"/>
      <c r="F3597" s="828"/>
      <c r="G3597" s="828"/>
      <c r="H3597" s="828"/>
      <c r="I3597" s="828"/>
      <c r="J3597" s="828"/>
    </row>
    <row r="3598" spans="1:10" ht="13.5" customHeight="1">
      <c r="A3598" s="809"/>
      <c r="B3598" s="808" t="s">
        <v>13481</v>
      </c>
      <c r="C3598" s="809" t="s">
        <v>13482</v>
      </c>
      <c r="D3598" s="809" t="s">
        <v>13483</v>
      </c>
      <c r="E3598" s="1019" t="s">
        <v>13484</v>
      </c>
      <c r="F3598" s="1019"/>
      <c r="G3598" s="810" t="s">
        <v>13485</v>
      </c>
      <c r="H3598" s="808" t="s">
        <v>13486</v>
      </c>
      <c r="I3598" s="808" t="s">
        <v>13487</v>
      </c>
      <c r="J3598" s="808" t="s">
        <v>4867</v>
      </c>
    </row>
    <row r="3599" spans="1:10" ht="38.25" customHeight="1">
      <c r="A3599" s="812" t="s">
        <v>13488</v>
      </c>
      <c r="B3599" s="811" t="s">
        <v>14607</v>
      </c>
      <c r="C3599" s="812" t="s">
        <v>6</v>
      </c>
      <c r="D3599" s="812" t="s">
        <v>1753</v>
      </c>
      <c r="E3599" s="1020" t="s">
        <v>13539</v>
      </c>
      <c r="F3599" s="1020"/>
      <c r="G3599" s="813" t="s">
        <v>19</v>
      </c>
      <c r="H3599" s="814">
        <v>1</v>
      </c>
      <c r="I3599" s="815">
        <v>4.33</v>
      </c>
      <c r="J3599" s="815">
        <v>4.33</v>
      </c>
    </row>
    <row r="3600" spans="1:10" ht="38.25">
      <c r="A3600" s="822" t="s">
        <v>13493</v>
      </c>
      <c r="B3600" s="821" t="s">
        <v>14599</v>
      </c>
      <c r="C3600" s="822" t="s">
        <v>6</v>
      </c>
      <c r="D3600" s="822" t="s">
        <v>4617</v>
      </c>
      <c r="E3600" s="1017" t="s">
        <v>13497</v>
      </c>
      <c r="F3600" s="1017"/>
      <c r="G3600" s="823" t="s">
        <v>24</v>
      </c>
      <c r="H3600" s="824">
        <v>7.1999999999999997E-6</v>
      </c>
      <c r="I3600" s="825">
        <v>517389.58</v>
      </c>
      <c r="J3600" s="825">
        <v>3.72</v>
      </c>
    </row>
    <row r="3601" spans="1:10" ht="51">
      <c r="A3601" s="822" t="s">
        <v>13493</v>
      </c>
      <c r="B3601" s="821" t="s">
        <v>14613</v>
      </c>
      <c r="C3601" s="822" t="s">
        <v>6</v>
      </c>
      <c r="D3601" s="822" t="s">
        <v>4792</v>
      </c>
      <c r="E3601" s="1017" t="s">
        <v>13514</v>
      </c>
      <c r="F3601" s="1017"/>
      <c r="G3601" s="823" t="s">
        <v>24</v>
      </c>
      <c r="H3601" s="824">
        <v>7.3000000000000004E-6</v>
      </c>
      <c r="I3601" s="825">
        <v>84300</v>
      </c>
      <c r="J3601" s="825">
        <v>0.61</v>
      </c>
    </row>
    <row r="3602" spans="1:10" ht="38.25" customHeight="1">
      <c r="A3602" s="827"/>
      <c r="B3602" s="827"/>
      <c r="C3602" s="827"/>
      <c r="D3602" s="827"/>
      <c r="E3602" s="827" t="s">
        <v>13503</v>
      </c>
      <c r="F3602" s="826">
        <v>0</v>
      </c>
      <c r="G3602" s="827" t="s">
        <v>13504</v>
      </c>
      <c r="H3602" s="826">
        <v>0</v>
      </c>
      <c r="I3602" s="827" t="s">
        <v>13505</v>
      </c>
      <c r="J3602" s="826">
        <v>0</v>
      </c>
    </row>
    <row r="3603" spans="1:10" ht="38.25" customHeight="1" thickBot="1">
      <c r="A3603" s="827"/>
      <c r="B3603" s="827"/>
      <c r="C3603" s="827"/>
      <c r="D3603" s="827"/>
      <c r="E3603" s="827" t="s">
        <v>13506</v>
      </c>
      <c r="F3603" s="826">
        <v>1.22</v>
      </c>
      <c r="G3603" s="827"/>
      <c r="H3603" s="1018" t="s">
        <v>13507</v>
      </c>
      <c r="I3603" s="1018"/>
      <c r="J3603" s="826">
        <v>5.55</v>
      </c>
    </row>
    <row r="3604" spans="1:10" ht="13.5" thickTop="1">
      <c r="A3604" s="828"/>
      <c r="B3604" s="828"/>
      <c r="C3604" s="828"/>
      <c r="D3604" s="828"/>
      <c r="E3604" s="828"/>
      <c r="F3604" s="828"/>
      <c r="G3604" s="828"/>
      <c r="H3604" s="828"/>
      <c r="I3604" s="828"/>
      <c r="J3604" s="828"/>
    </row>
    <row r="3605" spans="1:10" ht="15">
      <c r="A3605" s="809"/>
      <c r="B3605" s="808" t="s">
        <v>13481</v>
      </c>
      <c r="C3605" s="809" t="s">
        <v>13482</v>
      </c>
      <c r="D3605" s="809" t="s">
        <v>13483</v>
      </c>
      <c r="E3605" s="1019" t="s">
        <v>13484</v>
      </c>
      <c r="F3605" s="1019"/>
      <c r="G3605" s="810" t="s">
        <v>13485</v>
      </c>
      <c r="H3605" s="808" t="s">
        <v>13486</v>
      </c>
      <c r="I3605" s="808" t="s">
        <v>13487</v>
      </c>
      <c r="J3605" s="808" t="s">
        <v>4867</v>
      </c>
    </row>
    <row r="3606" spans="1:10" ht="38.25" customHeight="1">
      <c r="A3606" s="812" t="s">
        <v>13488</v>
      </c>
      <c r="B3606" s="811" t="s">
        <v>14612</v>
      </c>
      <c r="C3606" s="812" t="s">
        <v>6</v>
      </c>
      <c r="D3606" s="812" t="s">
        <v>705</v>
      </c>
      <c r="E3606" s="1020" t="s">
        <v>13539</v>
      </c>
      <c r="F3606" s="1020"/>
      <c r="G3606" s="813" t="s">
        <v>19</v>
      </c>
      <c r="H3606" s="814">
        <v>1</v>
      </c>
      <c r="I3606" s="815">
        <v>39.06</v>
      </c>
      <c r="J3606" s="815">
        <v>39.06</v>
      </c>
    </row>
    <row r="3607" spans="1:10" ht="38.25">
      <c r="A3607" s="822" t="s">
        <v>13493</v>
      </c>
      <c r="B3607" s="821" t="s">
        <v>14599</v>
      </c>
      <c r="C3607" s="822" t="s">
        <v>6</v>
      </c>
      <c r="D3607" s="822" t="s">
        <v>4617</v>
      </c>
      <c r="E3607" s="1017" t="s">
        <v>13497</v>
      </c>
      <c r="F3607" s="1017"/>
      <c r="G3607" s="823" t="s">
        <v>24</v>
      </c>
      <c r="H3607" s="824">
        <v>6.4300000000000004E-5</v>
      </c>
      <c r="I3607" s="825">
        <v>517389.58</v>
      </c>
      <c r="J3607" s="825">
        <v>33.26</v>
      </c>
    </row>
    <row r="3608" spans="1:10" ht="51">
      <c r="A3608" s="822" t="s">
        <v>13493</v>
      </c>
      <c r="B3608" s="821" t="s">
        <v>14613</v>
      </c>
      <c r="C3608" s="822" t="s">
        <v>6</v>
      </c>
      <c r="D3608" s="822" t="s">
        <v>4792</v>
      </c>
      <c r="E3608" s="1017" t="s">
        <v>13514</v>
      </c>
      <c r="F3608" s="1017"/>
      <c r="G3608" s="823" t="s">
        <v>24</v>
      </c>
      <c r="H3608" s="824">
        <v>6.8899999999999994E-5</v>
      </c>
      <c r="I3608" s="825">
        <v>84300</v>
      </c>
      <c r="J3608" s="825">
        <v>5.8</v>
      </c>
    </row>
    <row r="3609" spans="1:10" ht="25.5">
      <c r="A3609" s="827"/>
      <c r="B3609" s="827"/>
      <c r="C3609" s="827"/>
      <c r="D3609" s="827"/>
      <c r="E3609" s="827" t="s">
        <v>13503</v>
      </c>
      <c r="F3609" s="826">
        <v>0</v>
      </c>
      <c r="G3609" s="827" t="s">
        <v>13504</v>
      </c>
      <c r="H3609" s="826">
        <v>0</v>
      </c>
      <c r="I3609" s="827" t="s">
        <v>13505</v>
      </c>
      <c r="J3609" s="826">
        <v>0</v>
      </c>
    </row>
    <row r="3610" spans="1:10" ht="13.5" customHeight="1" thickBot="1">
      <c r="A3610" s="827"/>
      <c r="B3610" s="827"/>
      <c r="C3610" s="827"/>
      <c r="D3610" s="827"/>
      <c r="E3610" s="827" t="s">
        <v>13506</v>
      </c>
      <c r="F3610" s="826">
        <v>11.03</v>
      </c>
      <c r="G3610" s="827"/>
      <c r="H3610" s="1018" t="s">
        <v>13507</v>
      </c>
      <c r="I3610" s="1018"/>
      <c r="J3610" s="826">
        <v>50.09</v>
      </c>
    </row>
    <row r="3611" spans="1:10" ht="13.5" thickTop="1">
      <c r="A3611" s="828"/>
      <c r="B3611" s="828"/>
      <c r="C3611" s="828"/>
      <c r="D3611" s="828"/>
      <c r="E3611" s="828"/>
      <c r="F3611" s="828"/>
      <c r="G3611" s="828"/>
      <c r="H3611" s="828"/>
      <c r="I3611" s="828"/>
      <c r="J3611" s="828"/>
    </row>
    <row r="3612" spans="1:10" ht="15">
      <c r="A3612" s="809"/>
      <c r="B3612" s="808" t="s">
        <v>13481</v>
      </c>
      <c r="C3612" s="809" t="s">
        <v>13482</v>
      </c>
      <c r="D3612" s="809" t="s">
        <v>13483</v>
      </c>
      <c r="E3612" s="1019" t="s">
        <v>13484</v>
      </c>
      <c r="F3612" s="1019"/>
      <c r="G3612" s="810" t="s">
        <v>13485</v>
      </c>
      <c r="H3612" s="808" t="s">
        <v>13486</v>
      </c>
      <c r="I3612" s="808" t="s">
        <v>13487</v>
      </c>
      <c r="J3612" s="808" t="s">
        <v>4867</v>
      </c>
    </row>
    <row r="3613" spans="1:10" ht="25.5" customHeight="1">
      <c r="A3613" s="812" t="s">
        <v>13488</v>
      </c>
      <c r="B3613" s="811" t="s">
        <v>14611</v>
      </c>
      <c r="C3613" s="812" t="s">
        <v>6</v>
      </c>
      <c r="D3613" s="812" t="s">
        <v>785</v>
      </c>
      <c r="E3613" s="1020" t="s">
        <v>13539</v>
      </c>
      <c r="F3613" s="1020"/>
      <c r="G3613" s="813" t="s">
        <v>19</v>
      </c>
      <c r="H3613" s="814">
        <v>1</v>
      </c>
      <c r="I3613" s="815">
        <v>190.06</v>
      </c>
      <c r="J3613" s="815">
        <v>190.06</v>
      </c>
    </row>
    <row r="3614" spans="1:10">
      <c r="A3614" s="822" t="s">
        <v>13493</v>
      </c>
      <c r="B3614" s="821" t="s">
        <v>14463</v>
      </c>
      <c r="C3614" s="822" t="s">
        <v>6</v>
      </c>
      <c r="D3614" s="822" t="s">
        <v>4725</v>
      </c>
      <c r="E3614" s="1017" t="s">
        <v>13514</v>
      </c>
      <c r="F3614" s="1017"/>
      <c r="G3614" s="823" t="s">
        <v>39</v>
      </c>
      <c r="H3614" s="824">
        <v>32.159999999999997</v>
      </c>
      <c r="I3614" s="825">
        <v>5.91</v>
      </c>
      <c r="J3614" s="825">
        <v>190.06</v>
      </c>
    </row>
    <row r="3615" spans="1:10" ht="25.5">
      <c r="A3615" s="827"/>
      <c r="B3615" s="827"/>
      <c r="C3615" s="827"/>
      <c r="D3615" s="827"/>
      <c r="E3615" s="827" t="s">
        <v>13503</v>
      </c>
      <c r="F3615" s="826">
        <v>0</v>
      </c>
      <c r="G3615" s="827" t="s">
        <v>13504</v>
      </c>
      <c r="H3615" s="826">
        <v>0</v>
      </c>
      <c r="I3615" s="827" t="s">
        <v>13505</v>
      </c>
      <c r="J3615" s="826">
        <v>0</v>
      </c>
    </row>
    <row r="3616" spans="1:10" ht="13.5" customHeight="1" thickBot="1">
      <c r="A3616" s="827"/>
      <c r="B3616" s="827"/>
      <c r="C3616" s="827"/>
      <c r="D3616" s="827"/>
      <c r="E3616" s="827" t="s">
        <v>13506</v>
      </c>
      <c r="F3616" s="826">
        <v>53.67</v>
      </c>
      <c r="G3616" s="827"/>
      <c r="H3616" s="1018" t="s">
        <v>13507</v>
      </c>
      <c r="I3616" s="1018"/>
      <c r="J3616" s="826">
        <v>243.73</v>
      </c>
    </row>
    <row r="3617" spans="1:10" ht="13.5" thickTop="1">
      <c r="A3617" s="828"/>
      <c r="B3617" s="828"/>
      <c r="C3617" s="828"/>
      <c r="D3617" s="828"/>
      <c r="E3617" s="828"/>
      <c r="F3617" s="828"/>
      <c r="G3617" s="828"/>
      <c r="H3617" s="828"/>
      <c r="I3617" s="828"/>
      <c r="J3617" s="828"/>
    </row>
    <row r="3618" spans="1:10" ht="13.5" customHeight="1">
      <c r="A3618" s="809"/>
      <c r="B3618" s="808" t="s">
        <v>13481</v>
      </c>
      <c r="C3618" s="809" t="s">
        <v>13482</v>
      </c>
      <c r="D3618" s="809" t="s">
        <v>13483</v>
      </c>
      <c r="E3618" s="1019" t="s">
        <v>13484</v>
      </c>
      <c r="F3618" s="1019"/>
      <c r="G3618" s="810" t="s">
        <v>13485</v>
      </c>
      <c r="H3618" s="808" t="s">
        <v>13486</v>
      </c>
      <c r="I3618" s="808" t="s">
        <v>13487</v>
      </c>
      <c r="J3618" s="808" t="s">
        <v>4867</v>
      </c>
    </row>
    <row r="3619" spans="1:10" ht="25.5" customHeight="1">
      <c r="A3619" s="812" t="s">
        <v>13488</v>
      </c>
      <c r="B3619" s="811" t="s">
        <v>14404</v>
      </c>
      <c r="C3619" s="812" t="s">
        <v>6</v>
      </c>
      <c r="D3619" s="812" t="s">
        <v>36</v>
      </c>
      <c r="E3619" s="1020" t="s">
        <v>13490</v>
      </c>
      <c r="F3619" s="1020"/>
      <c r="G3619" s="813" t="s">
        <v>19</v>
      </c>
      <c r="H3619" s="814">
        <v>1</v>
      </c>
      <c r="I3619" s="815">
        <v>17.84</v>
      </c>
      <c r="J3619" s="815">
        <v>17.84</v>
      </c>
    </row>
    <row r="3620" spans="1:10" ht="38.25" customHeight="1">
      <c r="A3620" s="817" t="s">
        <v>13491</v>
      </c>
      <c r="B3620" s="816" t="s">
        <v>14614</v>
      </c>
      <c r="C3620" s="817" t="s">
        <v>6</v>
      </c>
      <c r="D3620" s="817" t="s">
        <v>2523</v>
      </c>
      <c r="E3620" s="1021" t="s">
        <v>13490</v>
      </c>
      <c r="F3620" s="1021"/>
      <c r="G3620" s="818" t="s">
        <v>19</v>
      </c>
      <c r="H3620" s="819">
        <v>1</v>
      </c>
      <c r="I3620" s="820">
        <v>0.15</v>
      </c>
      <c r="J3620" s="820">
        <v>0.15</v>
      </c>
    </row>
    <row r="3621" spans="1:10" ht="25.5" customHeight="1">
      <c r="A3621" s="822" t="s">
        <v>13493</v>
      </c>
      <c r="B3621" s="821" t="s">
        <v>13528</v>
      </c>
      <c r="C3621" s="822" t="s">
        <v>6</v>
      </c>
      <c r="D3621" s="822" t="s">
        <v>4581</v>
      </c>
      <c r="E3621" s="1017" t="s">
        <v>13499</v>
      </c>
      <c r="F3621" s="1017"/>
      <c r="G3621" s="823" t="s">
        <v>19</v>
      </c>
      <c r="H3621" s="824">
        <v>1</v>
      </c>
      <c r="I3621" s="825">
        <v>1.52</v>
      </c>
      <c r="J3621" s="825">
        <v>1.52</v>
      </c>
    </row>
    <row r="3622" spans="1:10">
      <c r="A3622" s="822" t="s">
        <v>13493</v>
      </c>
      <c r="B3622" s="821" t="s">
        <v>14615</v>
      </c>
      <c r="C3622" s="822" t="s">
        <v>6</v>
      </c>
      <c r="D3622" s="822" t="s">
        <v>13448</v>
      </c>
      <c r="E3622" s="1017" t="s">
        <v>13495</v>
      </c>
      <c r="F3622" s="1017"/>
      <c r="G3622" s="823" t="s">
        <v>19</v>
      </c>
      <c r="H3622" s="824">
        <v>1</v>
      </c>
      <c r="I3622" s="825">
        <v>12.91</v>
      </c>
      <c r="J3622" s="825">
        <v>12.91</v>
      </c>
    </row>
    <row r="3623" spans="1:10" ht="25.5">
      <c r="A3623" s="822" t="s">
        <v>13493</v>
      </c>
      <c r="B3623" s="821" t="s">
        <v>14543</v>
      </c>
      <c r="C3623" s="822" t="s">
        <v>6</v>
      </c>
      <c r="D3623" s="822" t="s">
        <v>4651</v>
      </c>
      <c r="E3623" s="1017" t="s">
        <v>13497</v>
      </c>
      <c r="F3623" s="1017"/>
      <c r="G3623" s="823" t="s">
        <v>19</v>
      </c>
      <c r="H3623" s="824">
        <v>1</v>
      </c>
      <c r="I3623" s="825">
        <v>1.26</v>
      </c>
      <c r="J3623" s="825">
        <v>1.26</v>
      </c>
    </row>
    <row r="3624" spans="1:10" ht="13.5" customHeight="1">
      <c r="A3624" s="822" t="s">
        <v>13493</v>
      </c>
      <c r="B3624" s="821" t="s">
        <v>13498</v>
      </c>
      <c r="C3624" s="822" t="s">
        <v>6</v>
      </c>
      <c r="D3624" s="822" t="s">
        <v>4665</v>
      </c>
      <c r="E3624" s="1017" t="s">
        <v>13499</v>
      </c>
      <c r="F3624" s="1017"/>
      <c r="G3624" s="823" t="s">
        <v>19</v>
      </c>
      <c r="H3624" s="824">
        <v>1</v>
      </c>
      <c r="I3624" s="825">
        <v>0.81</v>
      </c>
      <c r="J3624" s="825">
        <v>0.81</v>
      </c>
    </row>
    <row r="3625" spans="1:10" ht="25.5">
      <c r="A3625" s="822" t="s">
        <v>13493</v>
      </c>
      <c r="B3625" s="821" t="s">
        <v>14544</v>
      </c>
      <c r="C3625" s="822" t="s">
        <v>6</v>
      </c>
      <c r="D3625" s="822" t="s">
        <v>4667</v>
      </c>
      <c r="E3625" s="1017" t="s">
        <v>13497</v>
      </c>
      <c r="F3625" s="1017"/>
      <c r="G3625" s="823" t="s">
        <v>19</v>
      </c>
      <c r="H3625" s="824">
        <v>1</v>
      </c>
      <c r="I3625" s="825">
        <v>0.45</v>
      </c>
      <c r="J3625" s="825">
        <v>0.45</v>
      </c>
    </row>
    <row r="3626" spans="1:10">
      <c r="A3626" s="822" t="s">
        <v>13493</v>
      </c>
      <c r="B3626" s="821" t="s">
        <v>13501</v>
      </c>
      <c r="C3626" s="822" t="s">
        <v>6</v>
      </c>
      <c r="D3626" s="822" t="s">
        <v>4779</v>
      </c>
      <c r="E3626" s="1017" t="s">
        <v>13502</v>
      </c>
      <c r="F3626" s="1017"/>
      <c r="G3626" s="823" t="s">
        <v>19</v>
      </c>
      <c r="H3626" s="824">
        <v>1</v>
      </c>
      <c r="I3626" s="825">
        <v>0.06</v>
      </c>
      <c r="J3626" s="825">
        <v>0.06</v>
      </c>
    </row>
    <row r="3627" spans="1:10" ht="25.5" customHeight="1">
      <c r="A3627" s="822" t="s">
        <v>13493</v>
      </c>
      <c r="B3627" s="821" t="s">
        <v>13531</v>
      </c>
      <c r="C3627" s="822" t="s">
        <v>6</v>
      </c>
      <c r="D3627" s="822" t="s">
        <v>4808</v>
      </c>
      <c r="E3627" s="1017" t="s">
        <v>13532</v>
      </c>
      <c r="F3627" s="1017"/>
      <c r="G3627" s="823" t="s">
        <v>19</v>
      </c>
      <c r="H3627" s="824">
        <v>1</v>
      </c>
      <c r="I3627" s="825">
        <v>0.68</v>
      </c>
      <c r="J3627" s="825">
        <v>0.68</v>
      </c>
    </row>
    <row r="3628" spans="1:10" ht="25.5">
      <c r="A3628" s="827"/>
      <c r="B3628" s="827"/>
      <c r="C3628" s="827"/>
      <c r="D3628" s="827"/>
      <c r="E3628" s="827" t="s">
        <v>13503</v>
      </c>
      <c r="F3628" s="826">
        <v>13.06</v>
      </c>
      <c r="G3628" s="827" t="s">
        <v>13504</v>
      </c>
      <c r="H3628" s="826">
        <v>0</v>
      </c>
      <c r="I3628" s="827" t="s">
        <v>13505</v>
      </c>
      <c r="J3628" s="826">
        <v>13.06</v>
      </c>
    </row>
    <row r="3629" spans="1:10" ht="13.5" customHeight="1" thickBot="1">
      <c r="A3629" s="827"/>
      <c r="B3629" s="827"/>
      <c r="C3629" s="827"/>
      <c r="D3629" s="827"/>
      <c r="E3629" s="827" t="s">
        <v>13506</v>
      </c>
      <c r="F3629" s="826">
        <v>5.03</v>
      </c>
      <c r="G3629" s="827"/>
      <c r="H3629" s="1018" t="s">
        <v>13507</v>
      </c>
      <c r="I3629" s="1018"/>
      <c r="J3629" s="826">
        <v>22.87</v>
      </c>
    </row>
    <row r="3630" spans="1:10" ht="13.5" customHeight="1" thickTop="1">
      <c r="A3630" s="828"/>
      <c r="B3630" s="828"/>
      <c r="C3630" s="828"/>
      <c r="D3630" s="828"/>
      <c r="E3630" s="828"/>
      <c r="F3630" s="828"/>
      <c r="G3630" s="828"/>
      <c r="H3630" s="828"/>
      <c r="I3630" s="828"/>
      <c r="J3630" s="828"/>
    </row>
    <row r="3631" spans="1:10" ht="15">
      <c r="A3631" s="809"/>
      <c r="B3631" s="808" t="s">
        <v>13481</v>
      </c>
      <c r="C3631" s="809" t="s">
        <v>13482</v>
      </c>
      <c r="D3631" s="809" t="s">
        <v>13483</v>
      </c>
      <c r="E3631" s="1019" t="s">
        <v>13484</v>
      </c>
      <c r="F3631" s="1019"/>
      <c r="G3631" s="810" t="s">
        <v>13485</v>
      </c>
      <c r="H3631" s="808" t="s">
        <v>13486</v>
      </c>
      <c r="I3631" s="808" t="s">
        <v>13487</v>
      </c>
      <c r="J3631" s="808" t="s">
        <v>4867</v>
      </c>
    </row>
    <row r="3632" spans="1:10" ht="25.5" customHeight="1">
      <c r="A3632" s="812" t="s">
        <v>13488</v>
      </c>
      <c r="B3632" s="811" t="s">
        <v>13627</v>
      </c>
      <c r="C3632" s="812" t="s">
        <v>6</v>
      </c>
      <c r="D3632" s="812" t="s">
        <v>1774</v>
      </c>
      <c r="E3632" s="1020" t="s">
        <v>13539</v>
      </c>
      <c r="F3632" s="1020"/>
      <c r="G3632" s="813" t="s">
        <v>42</v>
      </c>
      <c r="H3632" s="814">
        <v>1</v>
      </c>
      <c r="I3632" s="815">
        <v>15.22</v>
      </c>
      <c r="J3632" s="815">
        <v>15.22</v>
      </c>
    </row>
    <row r="3633" spans="1:10" ht="25.5" customHeight="1">
      <c r="A3633" s="817" t="s">
        <v>13491</v>
      </c>
      <c r="B3633" s="816" t="s">
        <v>14617</v>
      </c>
      <c r="C3633" s="817" t="s">
        <v>6</v>
      </c>
      <c r="D3633" s="817" t="s">
        <v>1769</v>
      </c>
      <c r="E3633" s="1021" t="s">
        <v>13539</v>
      </c>
      <c r="F3633" s="1021"/>
      <c r="G3633" s="818" t="s">
        <v>19</v>
      </c>
      <c r="H3633" s="819">
        <v>1</v>
      </c>
      <c r="I3633" s="820">
        <v>0.74</v>
      </c>
      <c r="J3633" s="820">
        <v>0.74</v>
      </c>
    </row>
    <row r="3634" spans="1:10" ht="38.25" customHeight="1">
      <c r="A3634" s="817" t="s">
        <v>13491</v>
      </c>
      <c r="B3634" s="816" t="s">
        <v>14616</v>
      </c>
      <c r="C3634" s="817" t="s">
        <v>6</v>
      </c>
      <c r="D3634" s="817" t="s">
        <v>1770</v>
      </c>
      <c r="E3634" s="1021" t="s">
        <v>13539</v>
      </c>
      <c r="F3634" s="1021"/>
      <c r="G3634" s="818" t="s">
        <v>19</v>
      </c>
      <c r="H3634" s="819">
        <v>1</v>
      </c>
      <c r="I3634" s="820">
        <v>0.1</v>
      </c>
      <c r="J3634" s="820">
        <v>0.1</v>
      </c>
    </row>
    <row r="3635" spans="1:10" ht="38.25" customHeight="1">
      <c r="A3635" s="817" t="s">
        <v>13491</v>
      </c>
      <c r="B3635" s="816" t="s">
        <v>14618</v>
      </c>
      <c r="C3635" s="817" t="s">
        <v>6</v>
      </c>
      <c r="D3635" s="817" t="s">
        <v>146</v>
      </c>
      <c r="E3635" s="1021" t="s">
        <v>13490</v>
      </c>
      <c r="F3635" s="1021"/>
      <c r="G3635" s="818" t="s">
        <v>19</v>
      </c>
      <c r="H3635" s="819">
        <v>1</v>
      </c>
      <c r="I3635" s="820">
        <v>14.38</v>
      </c>
      <c r="J3635" s="820">
        <v>14.38</v>
      </c>
    </row>
    <row r="3636" spans="1:10" ht="13.5" customHeight="1">
      <c r="A3636" s="827"/>
      <c r="B3636" s="827"/>
      <c r="C3636" s="827"/>
      <c r="D3636" s="827"/>
      <c r="E3636" s="827" t="s">
        <v>13503</v>
      </c>
      <c r="F3636" s="826">
        <v>10.54</v>
      </c>
      <c r="G3636" s="827" t="s">
        <v>13504</v>
      </c>
      <c r="H3636" s="826">
        <v>0</v>
      </c>
      <c r="I3636" s="827" t="s">
        <v>13505</v>
      </c>
      <c r="J3636" s="826">
        <v>10.54</v>
      </c>
    </row>
    <row r="3637" spans="1:10" ht="13.5" customHeight="1" thickBot="1">
      <c r="A3637" s="827"/>
      <c r="B3637" s="827"/>
      <c r="C3637" s="827"/>
      <c r="D3637" s="827"/>
      <c r="E3637" s="827" t="s">
        <v>13506</v>
      </c>
      <c r="F3637" s="826">
        <v>4.29</v>
      </c>
      <c r="G3637" s="827"/>
      <c r="H3637" s="1018" t="s">
        <v>13507</v>
      </c>
      <c r="I3637" s="1018"/>
      <c r="J3637" s="826">
        <v>19.510000000000002</v>
      </c>
    </row>
    <row r="3638" spans="1:10" ht="13.5" thickTop="1">
      <c r="A3638" s="828"/>
      <c r="B3638" s="828"/>
      <c r="C3638" s="828"/>
      <c r="D3638" s="828"/>
      <c r="E3638" s="828"/>
      <c r="F3638" s="828"/>
      <c r="G3638" s="828"/>
      <c r="H3638" s="828"/>
      <c r="I3638" s="828"/>
      <c r="J3638" s="828"/>
    </row>
    <row r="3639" spans="1:10" ht="38.25" customHeight="1">
      <c r="A3639" s="809"/>
      <c r="B3639" s="808" t="s">
        <v>13481</v>
      </c>
      <c r="C3639" s="809" t="s">
        <v>13482</v>
      </c>
      <c r="D3639" s="809" t="s">
        <v>13483</v>
      </c>
      <c r="E3639" s="1019" t="s">
        <v>13484</v>
      </c>
      <c r="F3639" s="1019"/>
      <c r="G3639" s="810" t="s">
        <v>13485</v>
      </c>
      <c r="H3639" s="808" t="s">
        <v>13486</v>
      </c>
      <c r="I3639" s="808" t="s">
        <v>13487</v>
      </c>
      <c r="J3639" s="808" t="s">
        <v>4867</v>
      </c>
    </row>
    <row r="3640" spans="1:10" ht="25.5" customHeight="1">
      <c r="A3640" s="812" t="s">
        <v>13488</v>
      </c>
      <c r="B3640" s="811" t="s">
        <v>13625</v>
      </c>
      <c r="C3640" s="812" t="s">
        <v>6</v>
      </c>
      <c r="D3640" s="812" t="s">
        <v>1773</v>
      </c>
      <c r="E3640" s="1020" t="s">
        <v>13539</v>
      </c>
      <c r="F3640" s="1020"/>
      <c r="G3640" s="813" t="s">
        <v>28</v>
      </c>
      <c r="H3640" s="814">
        <v>1</v>
      </c>
      <c r="I3640" s="815">
        <v>22.75</v>
      </c>
      <c r="J3640" s="815">
        <v>22.75</v>
      </c>
    </row>
    <row r="3641" spans="1:10" ht="38.25" customHeight="1">
      <c r="A3641" s="817" t="s">
        <v>13491</v>
      </c>
      <c r="B3641" s="816" t="s">
        <v>14619</v>
      </c>
      <c r="C3641" s="817" t="s">
        <v>6</v>
      </c>
      <c r="D3641" s="817" t="s">
        <v>1772</v>
      </c>
      <c r="E3641" s="1021" t="s">
        <v>13539</v>
      </c>
      <c r="F3641" s="1021"/>
      <c r="G3641" s="818" t="s">
        <v>19</v>
      </c>
      <c r="H3641" s="819">
        <v>1</v>
      </c>
      <c r="I3641" s="820">
        <v>6.61</v>
      </c>
      <c r="J3641" s="820">
        <v>6.61</v>
      </c>
    </row>
    <row r="3642" spans="1:10" ht="13.5" customHeight="1">
      <c r="A3642" s="817" t="s">
        <v>13491</v>
      </c>
      <c r="B3642" s="816" t="s">
        <v>14616</v>
      </c>
      <c r="C3642" s="817" t="s">
        <v>6</v>
      </c>
      <c r="D3642" s="817" t="s">
        <v>1770</v>
      </c>
      <c r="E3642" s="1021" t="s">
        <v>13539</v>
      </c>
      <c r="F3642" s="1021"/>
      <c r="G3642" s="818" t="s">
        <v>19</v>
      </c>
      <c r="H3642" s="819">
        <v>1</v>
      </c>
      <c r="I3642" s="820">
        <v>0.1</v>
      </c>
      <c r="J3642" s="820">
        <v>0.1</v>
      </c>
    </row>
    <row r="3643" spans="1:10" ht="38.25" customHeight="1">
      <c r="A3643" s="817" t="s">
        <v>13491</v>
      </c>
      <c r="B3643" s="816" t="s">
        <v>14617</v>
      </c>
      <c r="C3643" s="817" t="s">
        <v>6</v>
      </c>
      <c r="D3643" s="817" t="s">
        <v>1769</v>
      </c>
      <c r="E3643" s="1021" t="s">
        <v>13539</v>
      </c>
      <c r="F3643" s="1021"/>
      <c r="G3643" s="818" t="s">
        <v>19</v>
      </c>
      <c r="H3643" s="819">
        <v>1</v>
      </c>
      <c r="I3643" s="820">
        <v>0.74</v>
      </c>
      <c r="J3643" s="820">
        <v>0.74</v>
      </c>
    </row>
    <row r="3644" spans="1:10" ht="38.25" customHeight="1">
      <c r="A3644" s="817" t="s">
        <v>13491</v>
      </c>
      <c r="B3644" s="816" t="s">
        <v>14620</v>
      </c>
      <c r="C3644" s="817" t="s">
        <v>6</v>
      </c>
      <c r="D3644" s="817" t="s">
        <v>1771</v>
      </c>
      <c r="E3644" s="1021" t="s">
        <v>13539</v>
      </c>
      <c r="F3644" s="1021"/>
      <c r="G3644" s="818" t="s">
        <v>19</v>
      </c>
      <c r="H3644" s="819">
        <v>1</v>
      </c>
      <c r="I3644" s="820">
        <v>0.92</v>
      </c>
      <c r="J3644" s="820">
        <v>0.92</v>
      </c>
    </row>
    <row r="3645" spans="1:10" ht="38.25" customHeight="1">
      <c r="A3645" s="817" t="s">
        <v>13491</v>
      </c>
      <c r="B3645" s="816" t="s">
        <v>14618</v>
      </c>
      <c r="C3645" s="817" t="s">
        <v>6</v>
      </c>
      <c r="D3645" s="817" t="s">
        <v>146</v>
      </c>
      <c r="E3645" s="1021" t="s">
        <v>13490</v>
      </c>
      <c r="F3645" s="1021"/>
      <c r="G3645" s="818" t="s">
        <v>19</v>
      </c>
      <c r="H3645" s="819">
        <v>1</v>
      </c>
      <c r="I3645" s="820">
        <v>14.38</v>
      </c>
      <c r="J3645" s="820">
        <v>14.38</v>
      </c>
    </row>
    <row r="3646" spans="1:10" ht="38.25" customHeight="1">
      <c r="A3646" s="827"/>
      <c r="B3646" s="827"/>
      <c r="C3646" s="827"/>
      <c r="D3646" s="827"/>
      <c r="E3646" s="827" t="s">
        <v>13503</v>
      </c>
      <c r="F3646" s="826">
        <v>10.54</v>
      </c>
      <c r="G3646" s="827" t="s">
        <v>13504</v>
      </c>
      <c r="H3646" s="826">
        <v>0</v>
      </c>
      <c r="I3646" s="827" t="s">
        <v>13505</v>
      </c>
      <c r="J3646" s="826">
        <v>10.54</v>
      </c>
    </row>
    <row r="3647" spans="1:10" ht="38.25" customHeight="1" thickBot="1">
      <c r="A3647" s="827"/>
      <c r="B3647" s="827"/>
      <c r="C3647" s="827"/>
      <c r="D3647" s="827"/>
      <c r="E3647" s="827" t="s">
        <v>13506</v>
      </c>
      <c r="F3647" s="826">
        <v>6.42</v>
      </c>
      <c r="G3647" s="827"/>
      <c r="H3647" s="1018" t="s">
        <v>13507</v>
      </c>
      <c r="I3647" s="1018"/>
      <c r="J3647" s="826">
        <v>29.17</v>
      </c>
    </row>
    <row r="3648" spans="1:10" ht="38.25" customHeight="1" thickTop="1">
      <c r="A3648" s="828"/>
      <c r="B3648" s="828"/>
      <c r="C3648" s="828"/>
      <c r="D3648" s="828"/>
      <c r="E3648" s="828"/>
      <c r="F3648" s="828"/>
      <c r="G3648" s="828"/>
      <c r="H3648" s="828"/>
      <c r="I3648" s="828"/>
      <c r="J3648" s="828"/>
    </row>
    <row r="3649" spans="1:10" ht="15">
      <c r="A3649" s="809"/>
      <c r="B3649" s="808" t="s">
        <v>13481</v>
      </c>
      <c r="C3649" s="809" t="s">
        <v>13482</v>
      </c>
      <c r="D3649" s="809" t="s">
        <v>13483</v>
      </c>
      <c r="E3649" s="1019" t="s">
        <v>13484</v>
      </c>
      <c r="F3649" s="1019"/>
      <c r="G3649" s="810" t="s">
        <v>13485</v>
      </c>
      <c r="H3649" s="808" t="s">
        <v>13486</v>
      </c>
      <c r="I3649" s="808" t="s">
        <v>13487</v>
      </c>
      <c r="J3649" s="808" t="s">
        <v>4867</v>
      </c>
    </row>
    <row r="3650" spans="1:10" ht="25.5" customHeight="1">
      <c r="A3650" s="812" t="s">
        <v>13488</v>
      </c>
      <c r="B3650" s="811" t="s">
        <v>14617</v>
      </c>
      <c r="C3650" s="812" t="s">
        <v>6</v>
      </c>
      <c r="D3650" s="812" t="s">
        <v>1769</v>
      </c>
      <c r="E3650" s="1020" t="s">
        <v>13539</v>
      </c>
      <c r="F3650" s="1020"/>
      <c r="G3650" s="813" t="s">
        <v>19</v>
      </c>
      <c r="H3650" s="814">
        <v>1</v>
      </c>
      <c r="I3650" s="815">
        <v>0.74</v>
      </c>
      <c r="J3650" s="815">
        <v>0.74</v>
      </c>
    </row>
    <row r="3651" spans="1:10" ht="13.5" customHeight="1">
      <c r="A3651" s="822" t="s">
        <v>13493</v>
      </c>
      <c r="B3651" s="821" t="s">
        <v>14621</v>
      </c>
      <c r="C3651" s="822" t="s">
        <v>6</v>
      </c>
      <c r="D3651" s="822" t="s">
        <v>4624</v>
      </c>
      <c r="E3651" s="1017" t="s">
        <v>13497</v>
      </c>
      <c r="F3651" s="1017"/>
      <c r="G3651" s="823" t="s">
        <v>24</v>
      </c>
      <c r="H3651" s="824">
        <v>5.3300000000000001E-5</v>
      </c>
      <c r="I3651" s="825">
        <v>13938.97</v>
      </c>
      <c r="J3651" s="825">
        <v>0.74</v>
      </c>
    </row>
    <row r="3652" spans="1:10" ht="25.5">
      <c r="A3652" s="827"/>
      <c r="B3652" s="827"/>
      <c r="C3652" s="827"/>
      <c r="D3652" s="827"/>
      <c r="E3652" s="827" t="s">
        <v>13503</v>
      </c>
      <c r="F3652" s="826">
        <v>0</v>
      </c>
      <c r="G3652" s="827" t="s">
        <v>13504</v>
      </c>
      <c r="H3652" s="826">
        <v>0</v>
      </c>
      <c r="I3652" s="827" t="s">
        <v>13505</v>
      </c>
      <c r="J3652" s="826">
        <v>0</v>
      </c>
    </row>
    <row r="3653" spans="1:10" ht="13.5" customHeight="1" thickBot="1">
      <c r="A3653" s="827"/>
      <c r="B3653" s="827"/>
      <c r="C3653" s="827"/>
      <c r="D3653" s="827"/>
      <c r="E3653" s="827" t="s">
        <v>13506</v>
      </c>
      <c r="F3653" s="826">
        <v>0.2</v>
      </c>
      <c r="G3653" s="827"/>
      <c r="H3653" s="1018" t="s">
        <v>13507</v>
      </c>
      <c r="I3653" s="1018"/>
      <c r="J3653" s="826">
        <v>0.94</v>
      </c>
    </row>
    <row r="3654" spans="1:10" ht="38.25" customHeight="1" thickTop="1">
      <c r="A3654" s="828"/>
      <c r="B3654" s="828"/>
      <c r="C3654" s="828"/>
      <c r="D3654" s="828"/>
      <c r="E3654" s="828"/>
      <c r="F3654" s="828"/>
      <c r="G3654" s="828"/>
      <c r="H3654" s="828"/>
      <c r="I3654" s="828"/>
      <c r="J3654" s="828"/>
    </row>
    <row r="3655" spans="1:10" ht="38.25" customHeight="1">
      <c r="A3655" s="809"/>
      <c r="B3655" s="808" t="s">
        <v>13481</v>
      </c>
      <c r="C3655" s="809" t="s">
        <v>13482</v>
      </c>
      <c r="D3655" s="809" t="s">
        <v>13483</v>
      </c>
      <c r="E3655" s="1019" t="s">
        <v>13484</v>
      </c>
      <c r="F3655" s="1019"/>
      <c r="G3655" s="810" t="s">
        <v>13485</v>
      </c>
      <c r="H3655" s="808" t="s">
        <v>13486</v>
      </c>
      <c r="I3655" s="808" t="s">
        <v>13487</v>
      </c>
      <c r="J3655" s="808" t="s">
        <v>4867</v>
      </c>
    </row>
    <row r="3656" spans="1:10" ht="38.25" customHeight="1">
      <c r="A3656" s="812" t="s">
        <v>13488</v>
      </c>
      <c r="B3656" s="811" t="s">
        <v>14616</v>
      </c>
      <c r="C3656" s="812" t="s">
        <v>6</v>
      </c>
      <c r="D3656" s="812" t="s">
        <v>1770</v>
      </c>
      <c r="E3656" s="1020" t="s">
        <v>13539</v>
      </c>
      <c r="F3656" s="1020"/>
      <c r="G3656" s="813" t="s">
        <v>19</v>
      </c>
      <c r="H3656" s="814">
        <v>1</v>
      </c>
      <c r="I3656" s="815">
        <v>0.1</v>
      </c>
      <c r="J3656" s="815">
        <v>0.1</v>
      </c>
    </row>
    <row r="3657" spans="1:10" ht="38.25" customHeight="1">
      <c r="A3657" s="822" t="s">
        <v>13493</v>
      </c>
      <c r="B3657" s="821" t="s">
        <v>14621</v>
      </c>
      <c r="C3657" s="822" t="s">
        <v>6</v>
      </c>
      <c r="D3657" s="822" t="s">
        <v>4624</v>
      </c>
      <c r="E3657" s="1017" t="s">
        <v>13497</v>
      </c>
      <c r="F3657" s="1017"/>
      <c r="G3657" s="823" t="s">
        <v>24</v>
      </c>
      <c r="H3657" s="824">
        <v>7.4000000000000003E-6</v>
      </c>
      <c r="I3657" s="825">
        <v>13938.97</v>
      </c>
      <c r="J3657" s="825">
        <v>0.1</v>
      </c>
    </row>
    <row r="3658" spans="1:10" ht="38.25" customHeight="1">
      <c r="A3658" s="827"/>
      <c r="B3658" s="827"/>
      <c r="C3658" s="827"/>
      <c r="D3658" s="827"/>
      <c r="E3658" s="827" t="s">
        <v>13503</v>
      </c>
      <c r="F3658" s="826">
        <v>0</v>
      </c>
      <c r="G3658" s="827" t="s">
        <v>13504</v>
      </c>
      <c r="H3658" s="826">
        <v>0</v>
      </c>
      <c r="I3658" s="827" t="s">
        <v>13505</v>
      </c>
      <c r="J3658" s="826">
        <v>0</v>
      </c>
    </row>
    <row r="3659" spans="1:10" ht="38.25" customHeight="1" thickBot="1">
      <c r="A3659" s="827"/>
      <c r="B3659" s="827"/>
      <c r="C3659" s="827"/>
      <c r="D3659" s="827"/>
      <c r="E3659" s="827" t="s">
        <v>13506</v>
      </c>
      <c r="F3659" s="826">
        <v>0.02</v>
      </c>
      <c r="G3659" s="827"/>
      <c r="H3659" s="1018" t="s">
        <v>13507</v>
      </c>
      <c r="I3659" s="1018"/>
      <c r="J3659" s="826">
        <v>0.12</v>
      </c>
    </row>
    <row r="3660" spans="1:10" ht="13.5" thickTop="1">
      <c r="A3660" s="828"/>
      <c r="B3660" s="828"/>
      <c r="C3660" s="828"/>
      <c r="D3660" s="828"/>
      <c r="E3660" s="828"/>
      <c r="F3660" s="828"/>
      <c r="G3660" s="828"/>
      <c r="H3660" s="828"/>
      <c r="I3660" s="828"/>
      <c r="J3660" s="828"/>
    </row>
    <row r="3661" spans="1:10" ht="15">
      <c r="A3661" s="809"/>
      <c r="B3661" s="808" t="s">
        <v>13481</v>
      </c>
      <c r="C3661" s="809" t="s">
        <v>13482</v>
      </c>
      <c r="D3661" s="809" t="s">
        <v>13483</v>
      </c>
      <c r="E3661" s="1019" t="s">
        <v>13484</v>
      </c>
      <c r="F3661" s="1019"/>
      <c r="G3661" s="810" t="s">
        <v>13485</v>
      </c>
      <c r="H3661" s="808" t="s">
        <v>13486</v>
      </c>
      <c r="I3661" s="808" t="s">
        <v>13487</v>
      </c>
      <c r="J3661" s="808" t="s">
        <v>4867</v>
      </c>
    </row>
    <row r="3662" spans="1:10" ht="13.5" customHeight="1">
      <c r="A3662" s="812" t="s">
        <v>13488</v>
      </c>
      <c r="B3662" s="811" t="s">
        <v>14620</v>
      </c>
      <c r="C3662" s="812" t="s">
        <v>6</v>
      </c>
      <c r="D3662" s="812" t="s">
        <v>1771</v>
      </c>
      <c r="E3662" s="1020" t="s">
        <v>13539</v>
      </c>
      <c r="F3662" s="1020"/>
      <c r="G3662" s="813" t="s">
        <v>19</v>
      </c>
      <c r="H3662" s="814">
        <v>1</v>
      </c>
      <c r="I3662" s="815">
        <v>0.92</v>
      </c>
      <c r="J3662" s="815">
        <v>0.92</v>
      </c>
    </row>
    <row r="3663" spans="1:10" ht="25.5">
      <c r="A3663" s="822" t="s">
        <v>13493</v>
      </c>
      <c r="B3663" s="821" t="s">
        <v>14621</v>
      </c>
      <c r="C3663" s="822" t="s">
        <v>6</v>
      </c>
      <c r="D3663" s="822" t="s">
        <v>4624</v>
      </c>
      <c r="E3663" s="1017" t="s">
        <v>13497</v>
      </c>
      <c r="F3663" s="1017"/>
      <c r="G3663" s="823" t="s">
        <v>24</v>
      </c>
      <c r="H3663" s="824">
        <v>6.6699999999999995E-5</v>
      </c>
      <c r="I3663" s="825">
        <v>13938.97</v>
      </c>
      <c r="J3663" s="825">
        <v>0.92</v>
      </c>
    </row>
    <row r="3664" spans="1:10" ht="25.5">
      <c r="A3664" s="827"/>
      <c r="B3664" s="827"/>
      <c r="C3664" s="827"/>
      <c r="D3664" s="827"/>
      <c r="E3664" s="827" t="s">
        <v>13503</v>
      </c>
      <c r="F3664" s="826">
        <v>0</v>
      </c>
      <c r="G3664" s="827" t="s">
        <v>13504</v>
      </c>
      <c r="H3664" s="826">
        <v>0</v>
      </c>
      <c r="I3664" s="827" t="s">
        <v>13505</v>
      </c>
      <c r="J3664" s="826">
        <v>0</v>
      </c>
    </row>
    <row r="3665" spans="1:10" ht="38.25" customHeight="1" thickBot="1">
      <c r="A3665" s="827"/>
      <c r="B3665" s="827"/>
      <c r="C3665" s="827"/>
      <c r="D3665" s="827"/>
      <c r="E3665" s="827" t="s">
        <v>13506</v>
      </c>
      <c r="F3665" s="826">
        <v>0.25</v>
      </c>
      <c r="G3665" s="827"/>
      <c r="H3665" s="1018" t="s">
        <v>13507</v>
      </c>
      <c r="I3665" s="1018"/>
      <c r="J3665" s="826">
        <v>1.17</v>
      </c>
    </row>
    <row r="3666" spans="1:10" ht="13.5" thickTop="1">
      <c r="A3666" s="828"/>
      <c r="B3666" s="828"/>
      <c r="C3666" s="828"/>
      <c r="D3666" s="828"/>
      <c r="E3666" s="828"/>
      <c r="F3666" s="828"/>
      <c r="G3666" s="828"/>
      <c r="H3666" s="828"/>
      <c r="I3666" s="828"/>
      <c r="J3666" s="828"/>
    </row>
    <row r="3667" spans="1:10" ht="15">
      <c r="A3667" s="809"/>
      <c r="B3667" s="808" t="s">
        <v>13481</v>
      </c>
      <c r="C3667" s="809" t="s">
        <v>13482</v>
      </c>
      <c r="D3667" s="809" t="s">
        <v>13483</v>
      </c>
      <c r="E3667" s="1019" t="s">
        <v>13484</v>
      </c>
      <c r="F3667" s="1019"/>
      <c r="G3667" s="810" t="s">
        <v>13485</v>
      </c>
      <c r="H3667" s="808" t="s">
        <v>13486</v>
      </c>
      <c r="I3667" s="808" t="s">
        <v>13487</v>
      </c>
      <c r="J3667" s="808" t="s">
        <v>4867</v>
      </c>
    </row>
    <row r="3668" spans="1:10" ht="13.5" customHeight="1">
      <c r="A3668" s="812" t="s">
        <v>13488</v>
      </c>
      <c r="B3668" s="811" t="s">
        <v>14619</v>
      </c>
      <c r="C3668" s="812" t="s">
        <v>6</v>
      </c>
      <c r="D3668" s="812" t="s">
        <v>1772</v>
      </c>
      <c r="E3668" s="1020" t="s">
        <v>13539</v>
      </c>
      <c r="F3668" s="1020"/>
      <c r="G3668" s="813" t="s">
        <v>19</v>
      </c>
      <c r="H3668" s="814">
        <v>1</v>
      </c>
      <c r="I3668" s="815">
        <v>6.61</v>
      </c>
      <c r="J3668" s="815">
        <v>6.61</v>
      </c>
    </row>
    <row r="3669" spans="1:10">
      <c r="A3669" s="822" t="s">
        <v>13493</v>
      </c>
      <c r="B3669" s="821" t="s">
        <v>14622</v>
      </c>
      <c r="C3669" s="822" t="s">
        <v>6</v>
      </c>
      <c r="D3669" s="822" t="s">
        <v>4685</v>
      </c>
      <c r="E3669" s="1017" t="s">
        <v>13514</v>
      </c>
      <c r="F3669" s="1017"/>
      <c r="G3669" s="823" t="s">
        <v>39</v>
      </c>
      <c r="H3669" s="824">
        <v>1.03</v>
      </c>
      <c r="I3669" s="825">
        <v>6.42</v>
      </c>
      <c r="J3669" s="825">
        <v>6.61</v>
      </c>
    </row>
    <row r="3670" spans="1:10" ht="25.5">
      <c r="A3670" s="827"/>
      <c r="B3670" s="827"/>
      <c r="C3670" s="827"/>
      <c r="D3670" s="827"/>
      <c r="E3670" s="827" t="s">
        <v>13503</v>
      </c>
      <c r="F3670" s="826">
        <v>0</v>
      </c>
      <c r="G3670" s="827" t="s">
        <v>13504</v>
      </c>
      <c r="H3670" s="826">
        <v>0</v>
      </c>
      <c r="I3670" s="827" t="s">
        <v>13505</v>
      </c>
      <c r="J3670" s="826">
        <v>0</v>
      </c>
    </row>
    <row r="3671" spans="1:10" ht="38.25" customHeight="1" thickBot="1">
      <c r="A3671" s="827"/>
      <c r="B3671" s="827"/>
      <c r="C3671" s="827"/>
      <c r="D3671" s="827"/>
      <c r="E3671" s="827" t="s">
        <v>13506</v>
      </c>
      <c r="F3671" s="826">
        <v>1.86</v>
      </c>
      <c r="G3671" s="827"/>
      <c r="H3671" s="1018" t="s">
        <v>13507</v>
      </c>
      <c r="I3671" s="1018"/>
      <c r="J3671" s="826">
        <v>8.4700000000000006</v>
      </c>
    </row>
    <row r="3672" spans="1:10" ht="13.5" thickTop="1">
      <c r="A3672" s="828"/>
      <c r="B3672" s="828"/>
      <c r="C3672" s="828"/>
      <c r="D3672" s="828"/>
      <c r="E3672" s="828"/>
      <c r="F3672" s="828"/>
      <c r="G3672" s="828"/>
      <c r="H3672" s="828"/>
      <c r="I3672" s="828"/>
      <c r="J3672" s="828"/>
    </row>
    <row r="3673" spans="1:10" ht="15">
      <c r="A3673" s="809"/>
      <c r="B3673" s="808" t="s">
        <v>13481</v>
      </c>
      <c r="C3673" s="809" t="s">
        <v>13482</v>
      </c>
      <c r="D3673" s="809" t="s">
        <v>13483</v>
      </c>
      <c r="E3673" s="1019" t="s">
        <v>13484</v>
      </c>
      <c r="F3673" s="1019"/>
      <c r="G3673" s="810" t="s">
        <v>13485</v>
      </c>
      <c r="H3673" s="808" t="s">
        <v>13486</v>
      </c>
      <c r="I3673" s="808" t="s">
        <v>13487</v>
      </c>
      <c r="J3673" s="808" t="s">
        <v>4867</v>
      </c>
    </row>
    <row r="3674" spans="1:10" ht="13.5" customHeight="1">
      <c r="A3674" s="812" t="s">
        <v>13488</v>
      </c>
      <c r="B3674" s="811" t="s">
        <v>13793</v>
      </c>
      <c r="C3674" s="812" t="s">
        <v>6</v>
      </c>
      <c r="D3674" s="812" t="s">
        <v>6576</v>
      </c>
      <c r="E3674" s="1020" t="s">
        <v>13542</v>
      </c>
      <c r="F3674" s="1020"/>
      <c r="G3674" s="813" t="s">
        <v>13543</v>
      </c>
      <c r="H3674" s="814">
        <v>1</v>
      </c>
      <c r="I3674" s="815">
        <v>407.4</v>
      </c>
      <c r="J3674" s="815">
        <v>407.4</v>
      </c>
    </row>
    <row r="3675" spans="1:10" ht="38.25" customHeight="1">
      <c r="A3675" s="817" t="s">
        <v>13491</v>
      </c>
      <c r="B3675" s="816" t="s">
        <v>14476</v>
      </c>
      <c r="C3675" s="817" t="s">
        <v>6</v>
      </c>
      <c r="D3675" s="817" t="s">
        <v>1041</v>
      </c>
      <c r="E3675" s="1021" t="s">
        <v>13539</v>
      </c>
      <c r="F3675" s="1021"/>
      <c r="G3675" s="818" t="s">
        <v>28</v>
      </c>
      <c r="H3675" s="819">
        <v>0.82589999999999997</v>
      </c>
      <c r="I3675" s="820">
        <v>1.87</v>
      </c>
      <c r="J3675" s="820">
        <v>1.54</v>
      </c>
    </row>
    <row r="3676" spans="1:10" ht="38.25" customHeight="1">
      <c r="A3676" s="817" t="s">
        <v>13491</v>
      </c>
      <c r="B3676" s="816" t="s">
        <v>14475</v>
      </c>
      <c r="C3676" s="817" t="s">
        <v>6</v>
      </c>
      <c r="D3676" s="817" t="s">
        <v>1042</v>
      </c>
      <c r="E3676" s="1021" t="s">
        <v>13539</v>
      </c>
      <c r="F3676" s="1021"/>
      <c r="G3676" s="818" t="s">
        <v>42</v>
      </c>
      <c r="H3676" s="819">
        <v>0.77869999999999995</v>
      </c>
      <c r="I3676" s="820">
        <v>0.37</v>
      </c>
      <c r="J3676" s="820">
        <v>0.28000000000000003</v>
      </c>
    </row>
    <row r="3677" spans="1:10" ht="38.25" customHeight="1">
      <c r="A3677" s="817" t="s">
        <v>13491</v>
      </c>
      <c r="B3677" s="816" t="s">
        <v>13553</v>
      </c>
      <c r="C3677" s="817" t="s">
        <v>6</v>
      </c>
      <c r="D3677" s="817" t="s">
        <v>21</v>
      </c>
      <c r="E3677" s="1021" t="s">
        <v>13490</v>
      </c>
      <c r="F3677" s="1021"/>
      <c r="G3677" s="818" t="s">
        <v>19</v>
      </c>
      <c r="H3677" s="819">
        <v>2.5333000000000001</v>
      </c>
      <c r="I3677" s="820">
        <v>15.16</v>
      </c>
      <c r="J3677" s="820">
        <v>38.4</v>
      </c>
    </row>
    <row r="3678" spans="1:10" ht="38.25" customHeight="1">
      <c r="A3678" s="817" t="s">
        <v>13491</v>
      </c>
      <c r="B3678" s="816" t="s">
        <v>13656</v>
      </c>
      <c r="C3678" s="817" t="s">
        <v>6</v>
      </c>
      <c r="D3678" s="817" t="s">
        <v>990</v>
      </c>
      <c r="E3678" s="1021" t="s">
        <v>13490</v>
      </c>
      <c r="F3678" s="1021"/>
      <c r="G3678" s="818" t="s">
        <v>19</v>
      </c>
      <c r="H3678" s="819">
        <v>1.6046</v>
      </c>
      <c r="I3678" s="820">
        <v>13.71</v>
      </c>
      <c r="J3678" s="820">
        <v>21.99</v>
      </c>
    </row>
    <row r="3679" spans="1:10" ht="25.5">
      <c r="A3679" s="822" t="s">
        <v>13493</v>
      </c>
      <c r="B3679" s="821" t="s">
        <v>13657</v>
      </c>
      <c r="C3679" s="822" t="s">
        <v>6</v>
      </c>
      <c r="D3679" s="822" t="s">
        <v>4588</v>
      </c>
      <c r="E3679" s="1017" t="s">
        <v>13514</v>
      </c>
      <c r="F3679" s="1017"/>
      <c r="G3679" s="823" t="s">
        <v>13543</v>
      </c>
      <c r="H3679" s="824">
        <v>0.75580000000000003</v>
      </c>
      <c r="I3679" s="825">
        <v>83.5</v>
      </c>
      <c r="J3679" s="825">
        <v>63.1</v>
      </c>
    </row>
    <row r="3680" spans="1:10" ht="13.5" customHeight="1">
      <c r="A3680" s="822" t="s">
        <v>13493</v>
      </c>
      <c r="B3680" s="821" t="s">
        <v>13658</v>
      </c>
      <c r="C3680" s="822" t="s">
        <v>6</v>
      </c>
      <c r="D3680" s="822" t="s">
        <v>4622</v>
      </c>
      <c r="E3680" s="1017" t="s">
        <v>13514</v>
      </c>
      <c r="F3680" s="1017"/>
      <c r="G3680" s="823" t="s">
        <v>16</v>
      </c>
      <c r="H3680" s="824">
        <v>322.97770000000003</v>
      </c>
      <c r="I3680" s="825">
        <v>0.72</v>
      </c>
      <c r="J3680" s="825">
        <v>232.54</v>
      </c>
    </row>
    <row r="3681" spans="1:10" ht="25.5">
      <c r="A3681" s="822" t="s">
        <v>13493</v>
      </c>
      <c r="B3681" s="821" t="s">
        <v>13659</v>
      </c>
      <c r="C3681" s="822" t="s">
        <v>6</v>
      </c>
      <c r="D3681" s="822" t="s">
        <v>4749</v>
      </c>
      <c r="E3681" s="1017" t="s">
        <v>13514</v>
      </c>
      <c r="F3681" s="1017"/>
      <c r="G3681" s="823" t="s">
        <v>13543</v>
      </c>
      <c r="H3681" s="824">
        <v>0.58720000000000006</v>
      </c>
      <c r="I3681" s="825">
        <v>84.4</v>
      </c>
      <c r="J3681" s="825">
        <v>49.55</v>
      </c>
    </row>
    <row r="3682" spans="1:10" ht="25.5">
      <c r="A3682" s="827"/>
      <c r="B3682" s="827"/>
      <c r="C3682" s="827"/>
      <c r="D3682" s="827"/>
      <c r="E3682" s="827" t="s">
        <v>13503</v>
      </c>
      <c r="F3682" s="826">
        <v>42.12</v>
      </c>
      <c r="G3682" s="827" t="s">
        <v>13504</v>
      </c>
      <c r="H3682" s="826">
        <v>0</v>
      </c>
      <c r="I3682" s="827" t="s">
        <v>13505</v>
      </c>
      <c r="J3682" s="826">
        <v>42.12</v>
      </c>
    </row>
    <row r="3683" spans="1:10" ht="38.25" customHeight="1" thickBot="1">
      <c r="A3683" s="827"/>
      <c r="B3683" s="827"/>
      <c r="C3683" s="827"/>
      <c r="D3683" s="827"/>
      <c r="E3683" s="827" t="s">
        <v>13506</v>
      </c>
      <c r="F3683" s="826">
        <v>115.04</v>
      </c>
      <c r="G3683" s="827"/>
      <c r="H3683" s="1018" t="s">
        <v>13507</v>
      </c>
      <c r="I3683" s="1018"/>
      <c r="J3683" s="826">
        <v>522.44000000000005</v>
      </c>
    </row>
    <row r="3684" spans="1:10" ht="13.5" thickTop="1">
      <c r="A3684" s="828"/>
      <c r="B3684" s="828"/>
      <c r="C3684" s="828"/>
      <c r="D3684" s="828"/>
      <c r="E3684" s="828"/>
      <c r="F3684" s="828"/>
      <c r="G3684" s="828"/>
      <c r="H3684" s="828"/>
      <c r="I3684" s="828"/>
      <c r="J3684" s="828"/>
    </row>
    <row r="3685" spans="1:10" ht="15">
      <c r="A3685" s="809"/>
      <c r="B3685" s="808" t="s">
        <v>13481</v>
      </c>
      <c r="C3685" s="809" t="s">
        <v>13482</v>
      </c>
      <c r="D3685" s="809" t="s">
        <v>13483</v>
      </c>
      <c r="E3685" s="1019" t="s">
        <v>13484</v>
      </c>
      <c r="F3685" s="1019"/>
      <c r="G3685" s="810" t="s">
        <v>13485</v>
      </c>
      <c r="H3685" s="808" t="s">
        <v>13486</v>
      </c>
      <c r="I3685" s="808" t="s">
        <v>13487</v>
      </c>
      <c r="J3685" s="808" t="s">
        <v>4867</v>
      </c>
    </row>
    <row r="3686" spans="1:10" ht="13.5" customHeight="1">
      <c r="A3686" s="812" t="s">
        <v>13488</v>
      </c>
      <c r="B3686" s="811" t="s">
        <v>14623</v>
      </c>
      <c r="C3686" s="812" t="s">
        <v>6</v>
      </c>
      <c r="D3686" s="812" t="s">
        <v>6584</v>
      </c>
      <c r="E3686" s="1020" t="s">
        <v>13542</v>
      </c>
      <c r="F3686" s="1020"/>
      <c r="G3686" s="813" t="s">
        <v>13543</v>
      </c>
      <c r="H3686" s="814">
        <v>1</v>
      </c>
      <c r="I3686" s="815">
        <v>442.15</v>
      </c>
      <c r="J3686" s="815">
        <v>442.15</v>
      </c>
    </row>
    <row r="3687" spans="1:10" ht="38.25" customHeight="1">
      <c r="A3687" s="817" t="s">
        <v>13491</v>
      </c>
      <c r="B3687" s="816" t="s">
        <v>13655</v>
      </c>
      <c r="C3687" s="817" t="s">
        <v>6</v>
      </c>
      <c r="D3687" s="817" t="s">
        <v>1102</v>
      </c>
      <c r="E3687" s="1021" t="s">
        <v>13539</v>
      </c>
      <c r="F3687" s="1021"/>
      <c r="G3687" s="818" t="s">
        <v>28</v>
      </c>
      <c r="H3687" s="819">
        <v>0.63819999999999999</v>
      </c>
      <c r="I3687" s="820">
        <v>5.3</v>
      </c>
      <c r="J3687" s="820">
        <v>3.38</v>
      </c>
    </row>
    <row r="3688" spans="1:10" ht="38.25" customHeight="1">
      <c r="A3688" s="817" t="s">
        <v>13491</v>
      </c>
      <c r="B3688" s="816" t="s">
        <v>13654</v>
      </c>
      <c r="C3688" s="817" t="s">
        <v>6</v>
      </c>
      <c r="D3688" s="817" t="s">
        <v>1103</v>
      </c>
      <c r="E3688" s="1021" t="s">
        <v>13539</v>
      </c>
      <c r="F3688" s="1021"/>
      <c r="G3688" s="818" t="s">
        <v>42</v>
      </c>
      <c r="H3688" s="819">
        <v>0.6018</v>
      </c>
      <c r="I3688" s="820">
        <v>1.53</v>
      </c>
      <c r="J3688" s="820">
        <v>0.92</v>
      </c>
    </row>
    <row r="3689" spans="1:10" ht="38.25" customHeight="1">
      <c r="A3689" s="817" t="s">
        <v>13491</v>
      </c>
      <c r="B3689" s="816" t="s">
        <v>13553</v>
      </c>
      <c r="C3689" s="817" t="s">
        <v>6</v>
      </c>
      <c r="D3689" s="817" t="s">
        <v>21</v>
      </c>
      <c r="E3689" s="1021" t="s">
        <v>13490</v>
      </c>
      <c r="F3689" s="1021"/>
      <c r="G3689" s="818" t="s">
        <v>19</v>
      </c>
      <c r="H3689" s="819">
        <v>1.9633</v>
      </c>
      <c r="I3689" s="820">
        <v>15.16</v>
      </c>
      <c r="J3689" s="820">
        <v>29.76</v>
      </c>
    </row>
    <row r="3690" spans="1:10" ht="38.25" customHeight="1">
      <c r="A3690" s="817" t="s">
        <v>13491</v>
      </c>
      <c r="B3690" s="816" t="s">
        <v>13656</v>
      </c>
      <c r="C3690" s="817" t="s">
        <v>6</v>
      </c>
      <c r="D3690" s="817" t="s">
        <v>990</v>
      </c>
      <c r="E3690" s="1021" t="s">
        <v>13490</v>
      </c>
      <c r="F3690" s="1021"/>
      <c r="G3690" s="818" t="s">
        <v>19</v>
      </c>
      <c r="H3690" s="819">
        <v>1.24</v>
      </c>
      <c r="I3690" s="820">
        <v>13.71</v>
      </c>
      <c r="J3690" s="820">
        <v>17</v>
      </c>
    </row>
    <row r="3691" spans="1:10" ht="25.5">
      <c r="A3691" s="822" t="s">
        <v>13493</v>
      </c>
      <c r="B3691" s="821" t="s">
        <v>13657</v>
      </c>
      <c r="C3691" s="822" t="s">
        <v>6</v>
      </c>
      <c r="D3691" s="822" t="s">
        <v>4588</v>
      </c>
      <c r="E3691" s="1017" t="s">
        <v>13514</v>
      </c>
      <c r="F3691" s="1017"/>
      <c r="G3691" s="823" t="s">
        <v>13543</v>
      </c>
      <c r="H3691" s="824">
        <v>0.71189999999999998</v>
      </c>
      <c r="I3691" s="825">
        <v>83.5</v>
      </c>
      <c r="J3691" s="825">
        <v>59.44</v>
      </c>
    </row>
    <row r="3692" spans="1:10" ht="13.5" customHeight="1">
      <c r="A3692" s="822" t="s">
        <v>13493</v>
      </c>
      <c r="B3692" s="821" t="s">
        <v>13658</v>
      </c>
      <c r="C3692" s="822" t="s">
        <v>6</v>
      </c>
      <c r="D3692" s="822" t="s">
        <v>4622</v>
      </c>
      <c r="E3692" s="1017" t="s">
        <v>13514</v>
      </c>
      <c r="F3692" s="1017"/>
      <c r="G3692" s="823" t="s">
        <v>16</v>
      </c>
      <c r="H3692" s="824">
        <v>391.16629999999998</v>
      </c>
      <c r="I3692" s="825">
        <v>0.72</v>
      </c>
      <c r="J3692" s="825">
        <v>281.63</v>
      </c>
    </row>
    <row r="3693" spans="1:10" ht="25.5">
      <c r="A3693" s="822" t="s">
        <v>13493</v>
      </c>
      <c r="B3693" s="821" t="s">
        <v>13659</v>
      </c>
      <c r="C3693" s="822" t="s">
        <v>6</v>
      </c>
      <c r="D3693" s="822" t="s">
        <v>4749</v>
      </c>
      <c r="E3693" s="1017" t="s">
        <v>13514</v>
      </c>
      <c r="F3693" s="1017"/>
      <c r="G3693" s="823" t="s">
        <v>13543</v>
      </c>
      <c r="H3693" s="824">
        <v>0.5927</v>
      </c>
      <c r="I3693" s="825">
        <v>84.4</v>
      </c>
      <c r="J3693" s="825">
        <v>50.02</v>
      </c>
    </row>
    <row r="3694" spans="1:10" ht="25.5">
      <c r="A3694" s="827"/>
      <c r="B3694" s="827"/>
      <c r="C3694" s="827"/>
      <c r="D3694" s="827"/>
      <c r="E3694" s="827" t="s">
        <v>13503</v>
      </c>
      <c r="F3694" s="826">
        <v>32.6</v>
      </c>
      <c r="G3694" s="827" t="s">
        <v>13504</v>
      </c>
      <c r="H3694" s="826">
        <v>0</v>
      </c>
      <c r="I3694" s="827" t="s">
        <v>13505</v>
      </c>
      <c r="J3694" s="826">
        <v>32.6</v>
      </c>
    </row>
    <row r="3695" spans="1:10" ht="12.75" customHeight="1" thickBot="1">
      <c r="A3695" s="827"/>
      <c r="B3695" s="827"/>
      <c r="C3695" s="827"/>
      <c r="D3695" s="827"/>
      <c r="E3695" s="827" t="s">
        <v>13506</v>
      </c>
      <c r="F3695" s="826">
        <v>124.86</v>
      </c>
      <c r="G3695" s="827"/>
      <c r="H3695" s="1018" t="s">
        <v>13507</v>
      </c>
      <c r="I3695" s="1018"/>
      <c r="J3695" s="826">
        <v>567.01</v>
      </c>
    </row>
    <row r="3696" spans="1:10" ht="13.5" thickTop="1">
      <c r="A3696" s="828"/>
      <c r="B3696" s="828"/>
      <c r="C3696" s="828"/>
      <c r="D3696" s="828"/>
      <c r="E3696" s="828"/>
      <c r="F3696" s="828"/>
      <c r="G3696" s="828"/>
      <c r="H3696" s="828"/>
      <c r="I3696" s="828"/>
      <c r="J3696" s="828"/>
    </row>
    <row r="3697" spans="1:10" ht="15">
      <c r="A3697" s="809"/>
      <c r="B3697" s="808" t="s">
        <v>13481</v>
      </c>
      <c r="C3697" s="809" t="s">
        <v>13482</v>
      </c>
      <c r="D3697" s="809" t="s">
        <v>13483</v>
      </c>
      <c r="E3697" s="1019" t="s">
        <v>13484</v>
      </c>
      <c r="F3697" s="1019"/>
      <c r="G3697" s="810" t="s">
        <v>13485</v>
      </c>
      <c r="H3697" s="808" t="s">
        <v>13486</v>
      </c>
      <c r="I3697" s="808" t="s">
        <v>13487</v>
      </c>
      <c r="J3697" s="808" t="s">
        <v>4867</v>
      </c>
    </row>
    <row r="3698" spans="1:10" ht="25.5" customHeight="1">
      <c r="A3698" s="812" t="s">
        <v>13488</v>
      </c>
      <c r="B3698" s="811" t="s">
        <v>13541</v>
      </c>
      <c r="C3698" s="812" t="s">
        <v>6</v>
      </c>
      <c r="D3698" s="812" t="s">
        <v>6586</v>
      </c>
      <c r="E3698" s="1020" t="s">
        <v>13542</v>
      </c>
      <c r="F3698" s="1020"/>
      <c r="G3698" s="813" t="s">
        <v>13543</v>
      </c>
      <c r="H3698" s="814">
        <v>1</v>
      </c>
      <c r="I3698" s="815">
        <v>374.59</v>
      </c>
      <c r="J3698" s="815">
        <v>374.59</v>
      </c>
    </row>
    <row r="3699" spans="1:10" ht="38.25" customHeight="1">
      <c r="A3699" s="817" t="s">
        <v>13491</v>
      </c>
      <c r="B3699" s="816" t="s">
        <v>13553</v>
      </c>
      <c r="C3699" s="817" t="s">
        <v>6</v>
      </c>
      <c r="D3699" s="817" t="s">
        <v>21</v>
      </c>
      <c r="E3699" s="1021" t="s">
        <v>13490</v>
      </c>
      <c r="F3699" s="1021"/>
      <c r="G3699" s="818" t="s">
        <v>19</v>
      </c>
      <c r="H3699" s="819">
        <v>6.2858000000000001</v>
      </c>
      <c r="I3699" s="820">
        <v>15.16</v>
      </c>
      <c r="J3699" s="820">
        <v>95.29</v>
      </c>
    </row>
    <row r="3700" spans="1:10" ht="25.5">
      <c r="A3700" s="822" t="s">
        <v>13493</v>
      </c>
      <c r="B3700" s="821" t="s">
        <v>13657</v>
      </c>
      <c r="C3700" s="822" t="s">
        <v>6</v>
      </c>
      <c r="D3700" s="822" t="s">
        <v>4588</v>
      </c>
      <c r="E3700" s="1017" t="s">
        <v>13514</v>
      </c>
      <c r="F3700" s="1017"/>
      <c r="G3700" s="823" t="s">
        <v>13543</v>
      </c>
      <c r="H3700" s="824">
        <v>0.8538</v>
      </c>
      <c r="I3700" s="825">
        <v>83.5</v>
      </c>
      <c r="J3700" s="825">
        <v>71.290000000000006</v>
      </c>
    </row>
    <row r="3701" spans="1:10">
      <c r="A3701" s="822" t="s">
        <v>13493</v>
      </c>
      <c r="B3701" s="821" t="s">
        <v>13658</v>
      </c>
      <c r="C3701" s="822" t="s">
        <v>6</v>
      </c>
      <c r="D3701" s="822" t="s">
        <v>4622</v>
      </c>
      <c r="E3701" s="1017" t="s">
        <v>13514</v>
      </c>
      <c r="F3701" s="1017"/>
      <c r="G3701" s="823" t="s">
        <v>16</v>
      </c>
      <c r="H3701" s="824">
        <v>218.93</v>
      </c>
      <c r="I3701" s="825">
        <v>0.72</v>
      </c>
      <c r="J3701" s="825">
        <v>157.62</v>
      </c>
    </row>
    <row r="3702" spans="1:10" ht="25.5">
      <c r="A3702" s="822" t="s">
        <v>13493</v>
      </c>
      <c r="B3702" s="821" t="s">
        <v>13659</v>
      </c>
      <c r="C3702" s="822" t="s">
        <v>6</v>
      </c>
      <c r="D3702" s="822" t="s">
        <v>4749</v>
      </c>
      <c r="E3702" s="1017" t="s">
        <v>13514</v>
      </c>
      <c r="F3702" s="1017"/>
      <c r="G3702" s="823" t="s">
        <v>13543</v>
      </c>
      <c r="H3702" s="824">
        <v>0.59709999999999996</v>
      </c>
      <c r="I3702" s="825">
        <v>84.4</v>
      </c>
      <c r="J3702" s="825">
        <v>50.39</v>
      </c>
    </row>
    <row r="3703" spans="1:10" ht="25.5">
      <c r="A3703" s="827"/>
      <c r="B3703" s="827"/>
      <c r="C3703" s="827"/>
      <c r="D3703" s="827"/>
      <c r="E3703" s="827" t="s">
        <v>13503</v>
      </c>
      <c r="F3703" s="826">
        <v>65.239999999999995</v>
      </c>
      <c r="G3703" s="827" t="s">
        <v>13504</v>
      </c>
      <c r="H3703" s="826">
        <v>0</v>
      </c>
      <c r="I3703" s="827" t="s">
        <v>13505</v>
      </c>
      <c r="J3703" s="826">
        <v>65.239999999999995</v>
      </c>
    </row>
    <row r="3704" spans="1:10" ht="13.5" customHeight="1" thickBot="1">
      <c r="A3704" s="827"/>
      <c r="B3704" s="827"/>
      <c r="C3704" s="827"/>
      <c r="D3704" s="827"/>
      <c r="E3704" s="827" t="s">
        <v>13506</v>
      </c>
      <c r="F3704" s="826">
        <v>105.78</v>
      </c>
      <c r="G3704" s="827"/>
      <c r="H3704" s="1018" t="s">
        <v>13507</v>
      </c>
      <c r="I3704" s="1018"/>
      <c r="J3704" s="826">
        <v>480.37</v>
      </c>
    </row>
    <row r="3705" spans="1:10" ht="13.5" customHeight="1" thickTop="1">
      <c r="A3705" s="828"/>
      <c r="B3705" s="828"/>
      <c r="C3705" s="828"/>
      <c r="D3705" s="828"/>
      <c r="E3705" s="828"/>
      <c r="F3705" s="828"/>
      <c r="G3705" s="828"/>
      <c r="H3705" s="828"/>
      <c r="I3705" s="828"/>
      <c r="J3705" s="828"/>
    </row>
    <row r="3706" spans="1:10" ht="15">
      <c r="A3706" s="809"/>
      <c r="B3706" s="808" t="s">
        <v>13481</v>
      </c>
      <c r="C3706" s="809" t="s">
        <v>13482</v>
      </c>
      <c r="D3706" s="809" t="s">
        <v>13483</v>
      </c>
      <c r="E3706" s="1019" t="s">
        <v>13484</v>
      </c>
      <c r="F3706" s="1019"/>
      <c r="G3706" s="810" t="s">
        <v>13485</v>
      </c>
      <c r="H3706" s="808" t="s">
        <v>13486</v>
      </c>
      <c r="I3706" s="808" t="s">
        <v>13487</v>
      </c>
      <c r="J3706" s="808" t="s">
        <v>4867</v>
      </c>
    </row>
    <row r="3707" spans="1:10" ht="25.5" customHeight="1">
      <c r="A3707" s="812" t="s">
        <v>13488</v>
      </c>
      <c r="B3707" s="811" t="s">
        <v>13633</v>
      </c>
      <c r="C3707" s="812" t="s">
        <v>6</v>
      </c>
      <c r="D3707" s="812" t="s">
        <v>6580</v>
      </c>
      <c r="E3707" s="1020" t="s">
        <v>13542</v>
      </c>
      <c r="F3707" s="1020"/>
      <c r="G3707" s="813" t="s">
        <v>13543</v>
      </c>
      <c r="H3707" s="814">
        <v>1</v>
      </c>
      <c r="I3707" s="815">
        <v>327.08999999999997</v>
      </c>
      <c r="J3707" s="815">
        <v>327.08999999999997</v>
      </c>
    </row>
    <row r="3708" spans="1:10" ht="38.25" customHeight="1">
      <c r="A3708" s="817" t="s">
        <v>13491</v>
      </c>
      <c r="B3708" s="816" t="s">
        <v>13654</v>
      </c>
      <c r="C3708" s="817" t="s">
        <v>6</v>
      </c>
      <c r="D3708" s="817" t="s">
        <v>1103</v>
      </c>
      <c r="E3708" s="1021" t="s">
        <v>13539</v>
      </c>
      <c r="F3708" s="1021"/>
      <c r="G3708" s="818" t="s">
        <v>42</v>
      </c>
      <c r="H3708" s="819">
        <v>0.6462</v>
      </c>
      <c r="I3708" s="820">
        <v>1.53</v>
      </c>
      <c r="J3708" s="820">
        <v>0.98</v>
      </c>
    </row>
    <row r="3709" spans="1:10" ht="38.25" customHeight="1">
      <c r="A3709" s="817" t="s">
        <v>13491</v>
      </c>
      <c r="B3709" s="816" t="s">
        <v>13655</v>
      </c>
      <c r="C3709" s="817" t="s">
        <v>6</v>
      </c>
      <c r="D3709" s="817" t="s">
        <v>1102</v>
      </c>
      <c r="E3709" s="1021" t="s">
        <v>13539</v>
      </c>
      <c r="F3709" s="1021"/>
      <c r="G3709" s="818" t="s">
        <v>28</v>
      </c>
      <c r="H3709" s="819">
        <v>0.68530000000000002</v>
      </c>
      <c r="I3709" s="820">
        <v>5.3</v>
      </c>
      <c r="J3709" s="820">
        <v>3.63</v>
      </c>
    </row>
    <row r="3710" spans="1:10" ht="38.25" customHeight="1">
      <c r="A3710" s="817" t="s">
        <v>13491</v>
      </c>
      <c r="B3710" s="816" t="s">
        <v>13553</v>
      </c>
      <c r="C3710" s="817" t="s">
        <v>6</v>
      </c>
      <c r="D3710" s="817" t="s">
        <v>21</v>
      </c>
      <c r="E3710" s="1021" t="s">
        <v>13490</v>
      </c>
      <c r="F3710" s="1021"/>
      <c r="G3710" s="818" t="s">
        <v>19</v>
      </c>
      <c r="H3710" s="819">
        <v>2.1057999999999999</v>
      </c>
      <c r="I3710" s="820">
        <v>15.16</v>
      </c>
      <c r="J3710" s="820">
        <v>31.92</v>
      </c>
    </row>
    <row r="3711" spans="1:10" ht="38.25" customHeight="1">
      <c r="A3711" s="817" t="s">
        <v>13491</v>
      </c>
      <c r="B3711" s="816" t="s">
        <v>13656</v>
      </c>
      <c r="C3711" s="817" t="s">
        <v>6</v>
      </c>
      <c r="D3711" s="817" t="s">
        <v>990</v>
      </c>
      <c r="E3711" s="1021" t="s">
        <v>13490</v>
      </c>
      <c r="F3711" s="1021"/>
      <c r="G3711" s="818" t="s">
        <v>19</v>
      </c>
      <c r="H3711" s="819">
        <v>1.3314999999999999</v>
      </c>
      <c r="I3711" s="820">
        <v>13.71</v>
      </c>
      <c r="J3711" s="820">
        <v>18.25</v>
      </c>
    </row>
    <row r="3712" spans="1:10" ht="25.5">
      <c r="A3712" s="822" t="s">
        <v>13493</v>
      </c>
      <c r="B3712" s="821" t="s">
        <v>13657</v>
      </c>
      <c r="C3712" s="822" t="s">
        <v>6</v>
      </c>
      <c r="D3712" s="822" t="s">
        <v>4588</v>
      </c>
      <c r="E3712" s="1017" t="s">
        <v>13514</v>
      </c>
      <c r="F3712" s="1017"/>
      <c r="G3712" s="823" t="s">
        <v>13543</v>
      </c>
      <c r="H3712" s="824">
        <v>0.83250000000000002</v>
      </c>
      <c r="I3712" s="825">
        <v>83.5</v>
      </c>
      <c r="J3712" s="825">
        <v>69.510000000000005</v>
      </c>
    </row>
    <row r="3713" spans="1:10">
      <c r="A3713" s="822" t="s">
        <v>13493</v>
      </c>
      <c r="B3713" s="821" t="s">
        <v>13658</v>
      </c>
      <c r="C3713" s="822" t="s">
        <v>6</v>
      </c>
      <c r="D3713" s="822" t="s">
        <v>4622</v>
      </c>
      <c r="E3713" s="1017" t="s">
        <v>13514</v>
      </c>
      <c r="F3713" s="1017"/>
      <c r="G3713" s="823" t="s">
        <v>16</v>
      </c>
      <c r="H3713" s="824">
        <v>213.45310000000001</v>
      </c>
      <c r="I3713" s="825">
        <v>0.72</v>
      </c>
      <c r="J3713" s="825">
        <v>153.68</v>
      </c>
    </row>
    <row r="3714" spans="1:10" ht="25.5">
      <c r="A3714" s="822" t="s">
        <v>13493</v>
      </c>
      <c r="B3714" s="821" t="s">
        <v>13659</v>
      </c>
      <c r="C3714" s="822" t="s">
        <v>6</v>
      </c>
      <c r="D3714" s="822" t="s">
        <v>4749</v>
      </c>
      <c r="E3714" s="1017" t="s">
        <v>13514</v>
      </c>
      <c r="F3714" s="1017"/>
      <c r="G3714" s="823" t="s">
        <v>13543</v>
      </c>
      <c r="H3714" s="824">
        <v>0.58209999999999995</v>
      </c>
      <c r="I3714" s="825">
        <v>84.4</v>
      </c>
      <c r="J3714" s="825">
        <v>49.12</v>
      </c>
    </row>
    <row r="3715" spans="1:10" ht="13.5" customHeight="1">
      <c r="A3715" s="827"/>
      <c r="B3715" s="827"/>
      <c r="C3715" s="827"/>
      <c r="D3715" s="827"/>
      <c r="E3715" s="827" t="s">
        <v>13503</v>
      </c>
      <c r="F3715" s="826">
        <v>34.99</v>
      </c>
      <c r="G3715" s="827" t="s">
        <v>13504</v>
      </c>
      <c r="H3715" s="826">
        <v>0</v>
      </c>
      <c r="I3715" s="827" t="s">
        <v>13505</v>
      </c>
      <c r="J3715" s="826">
        <v>34.99</v>
      </c>
    </row>
    <row r="3716" spans="1:10" ht="13.5" customHeight="1" thickBot="1">
      <c r="A3716" s="827"/>
      <c r="B3716" s="827"/>
      <c r="C3716" s="827"/>
      <c r="D3716" s="827"/>
      <c r="E3716" s="827" t="s">
        <v>13506</v>
      </c>
      <c r="F3716" s="826">
        <v>92.37</v>
      </c>
      <c r="G3716" s="827"/>
      <c r="H3716" s="1018" t="s">
        <v>13507</v>
      </c>
      <c r="I3716" s="1018"/>
      <c r="J3716" s="826">
        <v>419.46</v>
      </c>
    </row>
    <row r="3717" spans="1:10" ht="13.5" thickTop="1">
      <c r="A3717" s="828"/>
      <c r="B3717" s="828"/>
      <c r="C3717" s="828"/>
      <c r="D3717" s="828"/>
      <c r="E3717" s="828"/>
      <c r="F3717" s="828"/>
      <c r="G3717" s="828"/>
      <c r="H3717" s="828"/>
      <c r="I3717" s="828"/>
      <c r="J3717" s="828"/>
    </row>
    <row r="3718" spans="1:10" ht="38.25" customHeight="1">
      <c r="A3718" s="809"/>
      <c r="B3718" s="808" t="s">
        <v>13481</v>
      </c>
      <c r="C3718" s="809" t="s">
        <v>13482</v>
      </c>
      <c r="D3718" s="809" t="s">
        <v>13483</v>
      </c>
      <c r="E3718" s="1019" t="s">
        <v>13484</v>
      </c>
      <c r="F3718" s="1019"/>
      <c r="G3718" s="810" t="s">
        <v>13485</v>
      </c>
      <c r="H3718" s="808" t="s">
        <v>13486</v>
      </c>
      <c r="I3718" s="808" t="s">
        <v>13487</v>
      </c>
      <c r="J3718" s="808" t="s">
        <v>4867</v>
      </c>
    </row>
    <row r="3719" spans="1:10" ht="38.25" customHeight="1">
      <c r="A3719" s="812" t="s">
        <v>13488</v>
      </c>
      <c r="B3719" s="811" t="s">
        <v>13801</v>
      </c>
      <c r="C3719" s="812" t="s">
        <v>6</v>
      </c>
      <c r="D3719" s="812" t="s">
        <v>1731</v>
      </c>
      <c r="E3719" s="1020" t="s">
        <v>13539</v>
      </c>
      <c r="F3719" s="1020"/>
      <c r="G3719" s="813" t="s">
        <v>42</v>
      </c>
      <c r="H3719" s="814">
        <v>1</v>
      </c>
      <c r="I3719" s="815">
        <v>1.19</v>
      </c>
      <c r="J3719" s="815">
        <v>1.19</v>
      </c>
    </row>
    <row r="3720" spans="1:10" ht="38.25" customHeight="1">
      <c r="A3720" s="817" t="s">
        <v>13491</v>
      </c>
      <c r="B3720" s="816" t="s">
        <v>14624</v>
      </c>
      <c r="C3720" s="817" t="s">
        <v>6</v>
      </c>
      <c r="D3720" s="817" t="s">
        <v>1726</v>
      </c>
      <c r="E3720" s="1021" t="s">
        <v>13539</v>
      </c>
      <c r="F3720" s="1021"/>
      <c r="G3720" s="818" t="s">
        <v>19</v>
      </c>
      <c r="H3720" s="819">
        <v>1</v>
      </c>
      <c r="I3720" s="820">
        <v>1.07</v>
      </c>
      <c r="J3720" s="820">
        <v>1.07</v>
      </c>
    </row>
    <row r="3721" spans="1:10" ht="38.25" customHeight="1">
      <c r="A3721" s="817" t="s">
        <v>13491</v>
      </c>
      <c r="B3721" s="816" t="s">
        <v>14625</v>
      </c>
      <c r="C3721" s="817" t="s">
        <v>6</v>
      </c>
      <c r="D3721" s="817" t="s">
        <v>1727</v>
      </c>
      <c r="E3721" s="1021" t="s">
        <v>13539</v>
      </c>
      <c r="F3721" s="1021"/>
      <c r="G3721" s="818" t="s">
        <v>19</v>
      </c>
      <c r="H3721" s="819">
        <v>1</v>
      </c>
      <c r="I3721" s="820">
        <v>0.12</v>
      </c>
      <c r="J3721" s="820">
        <v>0.12</v>
      </c>
    </row>
    <row r="3722" spans="1:10" ht="25.5">
      <c r="A3722" s="827"/>
      <c r="B3722" s="827"/>
      <c r="C3722" s="827"/>
      <c r="D3722" s="827"/>
      <c r="E3722" s="827" t="s">
        <v>13503</v>
      </c>
      <c r="F3722" s="826">
        <v>0</v>
      </c>
      <c r="G3722" s="827" t="s">
        <v>13504</v>
      </c>
      <c r="H3722" s="826">
        <v>0</v>
      </c>
      <c r="I3722" s="827" t="s">
        <v>13505</v>
      </c>
      <c r="J3722" s="826">
        <v>0</v>
      </c>
    </row>
    <row r="3723" spans="1:10" ht="13.5" customHeight="1" thickBot="1">
      <c r="A3723" s="827"/>
      <c r="B3723" s="827"/>
      <c r="C3723" s="827"/>
      <c r="D3723" s="827"/>
      <c r="E3723" s="827" t="s">
        <v>13506</v>
      </c>
      <c r="F3723" s="826">
        <v>0.33</v>
      </c>
      <c r="G3723" s="827"/>
      <c r="H3723" s="1018" t="s">
        <v>13507</v>
      </c>
      <c r="I3723" s="1018"/>
      <c r="J3723" s="826">
        <v>1.52</v>
      </c>
    </row>
    <row r="3724" spans="1:10" ht="13.5" customHeight="1" thickTop="1">
      <c r="A3724" s="828"/>
      <c r="B3724" s="828"/>
      <c r="C3724" s="828"/>
      <c r="D3724" s="828"/>
      <c r="E3724" s="828"/>
      <c r="F3724" s="828"/>
      <c r="G3724" s="828"/>
      <c r="H3724" s="828"/>
      <c r="I3724" s="828"/>
      <c r="J3724" s="828"/>
    </row>
    <row r="3725" spans="1:10" ht="15">
      <c r="A3725" s="809"/>
      <c r="B3725" s="808" t="s">
        <v>13481</v>
      </c>
      <c r="C3725" s="809" t="s">
        <v>13482</v>
      </c>
      <c r="D3725" s="809" t="s">
        <v>13483</v>
      </c>
      <c r="E3725" s="1019" t="s">
        <v>13484</v>
      </c>
      <c r="F3725" s="1019"/>
      <c r="G3725" s="810" t="s">
        <v>13485</v>
      </c>
      <c r="H3725" s="808" t="s">
        <v>13486</v>
      </c>
      <c r="I3725" s="808" t="s">
        <v>13487</v>
      </c>
      <c r="J3725" s="808" t="s">
        <v>4867</v>
      </c>
    </row>
    <row r="3726" spans="1:10" ht="38.25" customHeight="1">
      <c r="A3726" s="812" t="s">
        <v>13488</v>
      </c>
      <c r="B3726" s="811" t="s">
        <v>13798</v>
      </c>
      <c r="C3726" s="812" t="s">
        <v>6</v>
      </c>
      <c r="D3726" s="812" t="s">
        <v>1730</v>
      </c>
      <c r="E3726" s="1020" t="s">
        <v>13539</v>
      </c>
      <c r="F3726" s="1020"/>
      <c r="G3726" s="813" t="s">
        <v>28</v>
      </c>
      <c r="H3726" s="814">
        <v>1</v>
      </c>
      <c r="I3726" s="815">
        <v>11.83</v>
      </c>
      <c r="J3726" s="815">
        <v>11.83</v>
      </c>
    </row>
    <row r="3727" spans="1:10" ht="25.5" customHeight="1">
      <c r="A3727" s="817" t="s">
        <v>13491</v>
      </c>
      <c r="B3727" s="816" t="s">
        <v>14627</v>
      </c>
      <c r="C3727" s="817" t="s">
        <v>6</v>
      </c>
      <c r="D3727" s="817" t="s">
        <v>1729</v>
      </c>
      <c r="E3727" s="1021" t="s">
        <v>13539</v>
      </c>
      <c r="F3727" s="1021"/>
      <c r="G3727" s="818" t="s">
        <v>19</v>
      </c>
      <c r="H3727" s="819">
        <v>1</v>
      </c>
      <c r="I3727" s="820">
        <v>9.3000000000000007</v>
      </c>
      <c r="J3727" s="820">
        <v>9.3000000000000007</v>
      </c>
    </row>
    <row r="3728" spans="1:10" ht="38.25" customHeight="1">
      <c r="A3728" s="817" t="s">
        <v>13491</v>
      </c>
      <c r="B3728" s="816" t="s">
        <v>14624</v>
      </c>
      <c r="C3728" s="817" t="s">
        <v>6</v>
      </c>
      <c r="D3728" s="817" t="s">
        <v>1726</v>
      </c>
      <c r="E3728" s="1021" t="s">
        <v>13539</v>
      </c>
      <c r="F3728" s="1021"/>
      <c r="G3728" s="818" t="s">
        <v>19</v>
      </c>
      <c r="H3728" s="819">
        <v>1</v>
      </c>
      <c r="I3728" s="820">
        <v>1.07</v>
      </c>
      <c r="J3728" s="820">
        <v>1.07</v>
      </c>
    </row>
    <row r="3729" spans="1:10" ht="38.25" customHeight="1">
      <c r="A3729" s="817" t="s">
        <v>13491</v>
      </c>
      <c r="B3729" s="816" t="s">
        <v>14625</v>
      </c>
      <c r="C3729" s="817" t="s">
        <v>6</v>
      </c>
      <c r="D3729" s="817" t="s">
        <v>1727</v>
      </c>
      <c r="E3729" s="1021" t="s">
        <v>13539</v>
      </c>
      <c r="F3729" s="1021"/>
      <c r="G3729" s="818" t="s">
        <v>19</v>
      </c>
      <c r="H3729" s="819">
        <v>1</v>
      </c>
      <c r="I3729" s="820">
        <v>0.12</v>
      </c>
      <c r="J3729" s="820">
        <v>0.12</v>
      </c>
    </row>
    <row r="3730" spans="1:10" ht="38.25" customHeight="1">
      <c r="A3730" s="817" t="s">
        <v>13491</v>
      </c>
      <c r="B3730" s="816" t="s">
        <v>14626</v>
      </c>
      <c r="C3730" s="817" t="s">
        <v>6</v>
      </c>
      <c r="D3730" s="817" t="s">
        <v>1728</v>
      </c>
      <c r="E3730" s="1021" t="s">
        <v>13539</v>
      </c>
      <c r="F3730" s="1021"/>
      <c r="G3730" s="818" t="s">
        <v>19</v>
      </c>
      <c r="H3730" s="819">
        <v>1</v>
      </c>
      <c r="I3730" s="820">
        <v>1.34</v>
      </c>
      <c r="J3730" s="820">
        <v>1.34</v>
      </c>
    </row>
    <row r="3731" spans="1:10" ht="25.5">
      <c r="A3731" s="827"/>
      <c r="B3731" s="827"/>
      <c r="C3731" s="827"/>
      <c r="D3731" s="827"/>
      <c r="E3731" s="827" t="s">
        <v>13503</v>
      </c>
      <c r="F3731" s="826">
        <v>0</v>
      </c>
      <c r="G3731" s="827" t="s">
        <v>13504</v>
      </c>
      <c r="H3731" s="826">
        <v>0</v>
      </c>
      <c r="I3731" s="827" t="s">
        <v>13505</v>
      </c>
      <c r="J3731" s="826">
        <v>0</v>
      </c>
    </row>
    <row r="3732" spans="1:10" ht="13.5" customHeight="1" thickBot="1">
      <c r="A3732" s="827"/>
      <c r="B3732" s="827"/>
      <c r="C3732" s="827"/>
      <c r="D3732" s="827"/>
      <c r="E3732" s="827" t="s">
        <v>13506</v>
      </c>
      <c r="F3732" s="826">
        <v>3.34</v>
      </c>
      <c r="G3732" s="827"/>
      <c r="H3732" s="1018" t="s">
        <v>13507</v>
      </c>
      <c r="I3732" s="1018"/>
      <c r="J3732" s="826">
        <v>15.17</v>
      </c>
    </row>
    <row r="3733" spans="1:10" ht="13.5" thickTop="1">
      <c r="A3733" s="828"/>
      <c r="B3733" s="828"/>
      <c r="C3733" s="828"/>
      <c r="D3733" s="828"/>
      <c r="E3733" s="828"/>
      <c r="F3733" s="828"/>
      <c r="G3733" s="828"/>
      <c r="H3733" s="828"/>
      <c r="I3733" s="828"/>
      <c r="J3733" s="828"/>
    </row>
    <row r="3734" spans="1:10" ht="15">
      <c r="A3734" s="809"/>
      <c r="B3734" s="808" t="s">
        <v>13481</v>
      </c>
      <c r="C3734" s="809" t="s">
        <v>13482</v>
      </c>
      <c r="D3734" s="809" t="s">
        <v>13483</v>
      </c>
      <c r="E3734" s="1019" t="s">
        <v>13484</v>
      </c>
      <c r="F3734" s="1019"/>
      <c r="G3734" s="810" t="s">
        <v>13485</v>
      </c>
      <c r="H3734" s="808" t="s">
        <v>13486</v>
      </c>
      <c r="I3734" s="808" t="s">
        <v>13487</v>
      </c>
      <c r="J3734" s="808" t="s">
        <v>4867</v>
      </c>
    </row>
    <row r="3735" spans="1:10" ht="12.75" customHeight="1">
      <c r="A3735" s="812" t="s">
        <v>13488</v>
      </c>
      <c r="B3735" s="811" t="s">
        <v>14624</v>
      </c>
      <c r="C3735" s="812" t="s">
        <v>6</v>
      </c>
      <c r="D3735" s="812" t="s">
        <v>1726</v>
      </c>
      <c r="E3735" s="1020" t="s">
        <v>13539</v>
      </c>
      <c r="F3735" s="1020"/>
      <c r="G3735" s="813" t="s">
        <v>19</v>
      </c>
      <c r="H3735" s="814">
        <v>1</v>
      </c>
      <c r="I3735" s="815">
        <v>1.07</v>
      </c>
      <c r="J3735" s="815">
        <v>1.07</v>
      </c>
    </row>
    <row r="3736" spans="1:10" ht="38.25">
      <c r="A3736" s="822" t="s">
        <v>13493</v>
      </c>
      <c r="B3736" s="821" t="s">
        <v>14628</v>
      </c>
      <c r="C3736" s="822" t="s">
        <v>6</v>
      </c>
      <c r="D3736" s="822" t="s">
        <v>9798</v>
      </c>
      <c r="E3736" s="1017" t="s">
        <v>13497</v>
      </c>
      <c r="F3736" s="1017"/>
      <c r="G3736" s="823" t="s">
        <v>24</v>
      </c>
      <c r="H3736" s="824">
        <v>6.3999999999999997E-5</v>
      </c>
      <c r="I3736" s="825">
        <v>16233.28</v>
      </c>
      <c r="J3736" s="825">
        <v>1.03</v>
      </c>
    </row>
    <row r="3737" spans="1:10" ht="25.5">
      <c r="A3737" s="822" t="s">
        <v>13493</v>
      </c>
      <c r="B3737" s="821" t="s">
        <v>14629</v>
      </c>
      <c r="C3737" s="822" t="s">
        <v>6</v>
      </c>
      <c r="D3737" s="822" t="s">
        <v>10096</v>
      </c>
      <c r="E3737" s="1017" t="s">
        <v>13497</v>
      </c>
      <c r="F3737" s="1017"/>
      <c r="G3737" s="823" t="s">
        <v>24</v>
      </c>
      <c r="H3737" s="824">
        <v>6.3999999999999997E-5</v>
      </c>
      <c r="I3737" s="825">
        <v>671.2</v>
      </c>
      <c r="J3737" s="825">
        <v>0.04</v>
      </c>
    </row>
    <row r="3738" spans="1:10" ht="25.5">
      <c r="A3738" s="827"/>
      <c r="B3738" s="827"/>
      <c r="C3738" s="827"/>
      <c r="D3738" s="827"/>
      <c r="E3738" s="827" t="s">
        <v>13503</v>
      </c>
      <c r="F3738" s="826">
        <v>0</v>
      </c>
      <c r="G3738" s="827" t="s">
        <v>13504</v>
      </c>
      <c r="H3738" s="826">
        <v>0</v>
      </c>
      <c r="I3738" s="827" t="s">
        <v>13505</v>
      </c>
      <c r="J3738" s="826">
        <v>0</v>
      </c>
    </row>
    <row r="3739" spans="1:10" ht="13.5" customHeight="1" thickBot="1">
      <c r="A3739" s="827"/>
      <c r="B3739" s="827"/>
      <c r="C3739" s="827"/>
      <c r="D3739" s="827"/>
      <c r="E3739" s="827" t="s">
        <v>13506</v>
      </c>
      <c r="F3739" s="826">
        <v>0.3</v>
      </c>
      <c r="G3739" s="827"/>
      <c r="H3739" s="1018" t="s">
        <v>13507</v>
      </c>
      <c r="I3739" s="1018"/>
      <c r="J3739" s="826">
        <v>1.37</v>
      </c>
    </row>
    <row r="3740" spans="1:10" ht="13.5" thickTop="1">
      <c r="A3740" s="828"/>
      <c r="B3740" s="828"/>
      <c r="C3740" s="828"/>
      <c r="D3740" s="828"/>
      <c r="E3740" s="828"/>
      <c r="F3740" s="828"/>
      <c r="G3740" s="828"/>
      <c r="H3740" s="828"/>
      <c r="I3740" s="828"/>
      <c r="J3740" s="828"/>
    </row>
    <row r="3741" spans="1:10" ht="15">
      <c r="A3741" s="809"/>
      <c r="B3741" s="808" t="s">
        <v>13481</v>
      </c>
      <c r="C3741" s="809" t="s">
        <v>13482</v>
      </c>
      <c r="D3741" s="809" t="s">
        <v>13483</v>
      </c>
      <c r="E3741" s="1019" t="s">
        <v>13484</v>
      </c>
      <c r="F3741" s="1019"/>
      <c r="G3741" s="810" t="s">
        <v>13485</v>
      </c>
      <c r="H3741" s="808" t="s">
        <v>13486</v>
      </c>
      <c r="I3741" s="808" t="s">
        <v>13487</v>
      </c>
      <c r="J3741" s="808" t="s">
        <v>4867</v>
      </c>
    </row>
    <row r="3742" spans="1:10" ht="38.25" customHeight="1">
      <c r="A3742" s="812" t="s">
        <v>13488</v>
      </c>
      <c r="B3742" s="811" t="s">
        <v>14625</v>
      </c>
      <c r="C3742" s="812" t="s">
        <v>6</v>
      </c>
      <c r="D3742" s="812" t="s">
        <v>1727</v>
      </c>
      <c r="E3742" s="1020" t="s">
        <v>13539</v>
      </c>
      <c r="F3742" s="1020"/>
      <c r="G3742" s="813" t="s">
        <v>19</v>
      </c>
      <c r="H3742" s="814">
        <v>1</v>
      </c>
      <c r="I3742" s="815">
        <v>0.12</v>
      </c>
      <c r="J3742" s="815">
        <v>0.12</v>
      </c>
    </row>
    <row r="3743" spans="1:10" ht="38.25">
      <c r="A3743" s="822" t="s">
        <v>13493</v>
      </c>
      <c r="B3743" s="821" t="s">
        <v>14628</v>
      </c>
      <c r="C3743" s="822" t="s">
        <v>6</v>
      </c>
      <c r="D3743" s="822" t="s">
        <v>9798</v>
      </c>
      <c r="E3743" s="1017" t="s">
        <v>13497</v>
      </c>
      <c r="F3743" s="1017"/>
      <c r="G3743" s="823" t="s">
        <v>24</v>
      </c>
      <c r="H3743" s="824">
        <v>7.6000000000000001E-6</v>
      </c>
      <c r="I3743" s="825">
        <v>16233.28</v>
      </c>
      <c r="J3743" s="825">
        <v>0.12</v>
      </c>
    </row>
    <row r="3744" spans="1:10" ht="25.5">
      <c r="A3744" s="827"/>
      <c r="B3744" s="827"/>
      <c r="C3744" s="827"/>
      <c r="D3744" s="827"/>
      <c r="E3744" s="827" t="s">
        <v>13503</v>
      </c>
      <c r="F3744" s="826">
        <v>0</v>
      </c>
      <c r="G3744" s="827" t="s">
        <v>13504</v>
      </c>
      <c r="H3744" s="826">
        <v>0</v>
      </c>
      <c r="I3744" s="827" t="s">
        <v>13505</v>
      </c>
      <c r="J3744" s="826">
        <v>0</v>
      </c>
    </row>
    <row r="3745" spans="1:10" ht="13.5" customHeight="1" thickBot="1">
      <c r="A3745" s="827"/>
      <c r="B3745" s="827"/>
      <c r="C3745" s="827"/>
      <c r="D3745" s="827"/>
      <c r="E3745" s="827" t="s">
        <v>13506</v>
      </c>
      <c r="F3745" s="826">
        <v>0.03</v>
      </c>
      <c r="G3745" s="827"/>
      <c r="H3745" s="1018" t="s">
        <v>13507</v>
      </c>
      <c r="I3745" s="1018"/>
      <c r="J3745" s="826">
        <v>0.15</v>
      </c>
    </row>
    <row r="3746" spans="1:10" ht="13.5" thickTop="1">
      <c r="A3746" s="828"/>
      <c r="B3746" s="828"/>
      <c r="C3746" s="828"/>
      <c r="D3746" s="828"/>
      <c r="E3746" s="828"/>
      <c r="F3746" s="828"/>
      <c r="G3746" s="828"/>
      <c r="H3746" s="828"/>
      <c r="I3746" s="828"/>
      <c r="J3746" s="828"/>
    </row>
    <row r="3747" spans="1:10" ht="15">
      <c r="A3747" s="809"/>
      <c r="B3747" s="808" t="s">
        <v>13481</v>
      </c>
      <c r="C3747" s="809" t="s">
        <v>13482</v>
      </c>
      <c r="D3747" s="809" t="s">
        <v>13483</v>
      </c>
      <c r="E3747" s="1019" t="s">
        <v>13484</v>
      </c>
      <c r="F3747" s="1019"/>
      <c r="G3747" s="810" t="s">
        <v>13485</v>
      </c>
      <c r="H3747" s="808" t="s">
        <v>13486</v>
      </c>
      <c r="I3747" s="808" t="s">
        <v>13487</v>
      </c>
      <c r="J3747" s="808" t="s">
        <v>4867</v>
      </c>
    </row>
    <row r="3748" spans="1:10" ht="25.5" customHeight="1">
      <c r="A3748" s="812" t="s">
        <v>13488</v>
      </c>
      <c r="B3748" s="811" t="s">
        <v>14626</v>
      </c>
      <c r="C3748" s="812" t="s">
        <v>6</v>
      </c>
      <c r="D3748" s="812" t="s">
        <v>1728</v>
      </c>
      <c r="E3748" s="1020" t="s">
        <v>13539</v>
      </c>
      <c r="F3748" s="1020"/>
      <c r="G3748" s="813" t="s">
        <v>19</v>
      </c>
      <c r="H3748" s="814">
        <v>1</v>
      </c>
      <c r="I3748" s="815">
        <v>1.34</v>
      </c>
      <c r="J3748" s="815">
        <v>1.34</v>
      </c>
    </row>
    <row r="3749" spans="1:10" ht="38.25">
      <c r="A3749" s="822" t="s">
        <v>13493</v>
      </c>
      <c r="B3749" s="821" t="s">
        <v>14628</v>
      </c>
      <c r="C3749" s="822" t="s">
        <v>6</v>
      </c>
      <c r="D3749" s="822" t="s">
        <v>9798</v>
      </c>
      <c r="E3749" s="1017" t="s">
        <v>13497</v>
      </c>
      <c r="F3749" s="1017"/>
      <c r="G3749" s="823" t="s">
        <v>24</v>
      </c>
      <c r="H3749" s="824">
        <v>8.0000000000000007E-5</v>
      </c>
      <c r="I3749" s="825">
        <v>16233.28</v>
      </c>
      <c r="J3749" s="825">
        <v>1.29</v>
      </c>
    </row>
    <row r="3750" spans="1:10" ht="25.5" customHeight="1">
      <c r="A3750" s="822" t="s">
        <v>13493</v>
      </c>
      <c r="B3750" s="821" t="s">
        <v>14629</v>
      </c>
      <c r="C3750" s="822" t="s">
        <v>6</v>
      </c>
      <c r="D3750" s="822" t="s">
        <v>10096</v>
      </c>
      <c r="E3750" s="1017" t="s">
        <v>13497</v>
      </c>
      <c r="F3750" s="1017"/>
      <c r="G3750" s="823" t="s">
        <v>24</v>
      </c>
      <c r="H3750" s="824">
        <v>8.0000000000000007E-5</v>
      </c>
      <c r="I3750" s="825">
        <v>671.2</v>
      </c>
      <c r="J3750" s="825">
        <v>0.05</v>
      </c>
    </row>
    <row r="3751" spans="1:10" ht="25.5" customHeight="1">
      <c r="A3751" s="827"/>
      <c r="B3751" s="827"/>
      <c r="C3751" s="827"/>
      <c r="D3751" s="827"/>
      <c r="E3751" s="827" t="s">
        <v>13503</v>
      </c>
      <c r="F3751" s="826">
        <v>0</v>
      </c>
      <c r="G3751" s="827" t="s">
        <v>13504</v>
      </c>
      <c r="H3751" s="826">
        <v>0</v>
      </c>
      <c r="I3751" s="827" t="s">
        <v>13505</v>
      </c>
      <c r="J3751" s="826">
        <v>0</v>
      </c>
    </row>
    <row r="3752" spans="1:10" ht="13.5" customHeight="1" thickBot="1">
      <c r="A3752" s="827"/>
      <c r="B3752" s="827"/>
      <c r="C3752" s="827"/>
      <c r="D3752" s="827"/>
      <c r="E3752" s="827" t="s">
        <v>13506</v>
      </c>
      <c r="F3752" s="826">
        <v>0.37</v>
      </c>
      <c r="G3752" s="827"/>
      <c r="H3752" s="1018" t="s">
        <v>13507</v>
      </c>
      <c r="I3752" s="1018"/>
      <c r="J3752" s="826">
        <v>1.71</v>
      </c>
    </row>
    <row r="3753" spans="1:10" ht="13.5" thickTop="1">
      <c r="A3753" s="828"/>
      <c r="B3753" s="828"/>
      <c r="C3753" s="828"/>
      <c r="D3753" s="828"/>
      <c r="E3753" s="828"/>
      <c r="F3753" s="828"/>
      <c r="G3753" s="828"/>
      <c r="H3753" s="828"/>
      <c r="I3753" s="828"/>
      <c r="J3753" s="828"/>
    </row>
    <row r="3754" spans="1:10" ht="15">
      <c r="A3754" s="809"/>
      <c r="B3754" s="808" t="s">
        <v>13481</v>
      </c>
      <c r="C3754" s="809" t="s">
        <v>13482</v>
      </c>
      <c r="D3754" s="809" t="s">
        <v>13483</v>
      </c>
      <c r="E3754" s="1019" t="s">
        <v>13484</v>
      </c>
      <c r="F3754" s="1019"/>
      <c r="G3754" s="810" t="s">
        <v>13485</v>
      </c>
      <c r="H3754" s="808" t="s">
        <v>13486</v>
      </c>
      <c r="I3754" s="808" t="s">
        <v>13487</v>
      </c>
      <c r="J3754" s="808" t="s">
        <v>4867</v>
      </c>
    </row>
    <row r="3755" spans="1:10" ht="38.25" customHeight="1">
      <c r="A3755" s="812" t="s">
        <v>13488</v>
      </c>
      <c r="B3755" s="811" t="s">
        <v>14627</v>
      </c>
      <c r="C3755" s="812" t="s">
        <v>6</v>
      </c>
      <c r="D3755" s="812" t="s">
        <v>1729</v>
      </c>
      <c r="E3755" s="1020" t="s">
        <v>13539</v>
      </c>
      <c r="F3755" s="1020"/>
      <c r="G3755" s="813" t="s">
        <v>19</v>
      </c>
      <c r="H3755" s="814">
        <v>1</v>
      </c>
      <c r="I3755" s="815">
        <v>9.3000000000000007</v>
      </c>
      <c r="J3755" s="815">
        <v>9.3000000000000007</v>
      </c>
    </row>
    <row r="3756" spans="1:10">
      <c r="A3756" s="822" t="s">
        <v>13493</v>
      </c>
      <c r="B3756" s="821" t="s">
        <v>14622</v>
      </c>
      <c r="C3756" s="822" t="s">
        <v>6</v>
      </c>
      <c r="D3756" s="822" t="s">
        <v>4685</v>
      </c>
      <c r="E3756" s="1017" t="s">
        <v>13514</v>
      </c>
      <c r="F3756" s="1017"/>
      <c r="G3756" s="823" t="s">
        <v>39</v>
      </c>
      <c r="H3756" s="824">
        <v>1.45</v>
      </c>
      <c r="I3756" s="825">
        <v>6.42</v>
      </c>
      <c r="J3756" s="825">
        <v>9.3000000000000007</v>
      </c>
    </row>
    <row r="3757" spans="1:10" ht="13.5" customHeight="1">
      <c r="A3757" s="827"/>
      <c r="B3757" s="827"/>
      <c r="C3757" s="827"/>
      <c r="D3757" s="827"/>
      <c r="E3757" s="827" t="s">
        <v>13503</v>
      </c>
      <c r="F3757" s="826">
        <v>0</v>
      </c>
      <c r="G3757" s="827" t="s">
        <v>13504</v>
      </c>
      <c r="H3757" s="826">
        <v>0</v>
      </c>
      <c r="I3757" s="827" t="s">
        <v>13505</v>
      </c>
      <c r="J3757" s="826">
        <v>0</v>
      </c>
    </row>
    <row r="3758" spans="1:10" ht="13.5" customHeight="1" thickBot="1">
      <c r="A3758" s="827"/>
      <c r="B3758" s="827"/>
      <c r="C3758" s="827"/>
      <c r="D3758" s="827"/>
      <c r="E3758" s="827" t="s">
        <v>13506</v>
      </c>
      <c r="F3758" s="826">
        <v>2.62</v>
      </c>
      <c r="G3758" s="827"/>
      <c r="H3758" s="1018" t="s">
        <v>13507</v>
      </c>
      <c r="I3758" s="1018"/>
      <c r="J3758" s="826">
        <v>11.92</v>
      </c>
    </row>
    <row r="3759" spans="1:10" ht="13.5" thickTop="1">
      <c r="A3759" s="828"/>
      <c r="B3759" s="828"/>
      <c r="C3759" s="828"/>
      <c r="D3759" s="828"/>
      <c r="E3759" s="828"/>
      <c r="F3759" s="828"/>
      <c r="G3759" s="828"/>
      <c r="H3759" s="828"/>
      <c r="I3759" s="828"/>
      <c r="J3759" s="828"/>
    </row>
    <row r="3760" spans="1:10" ht="38.25" customHeight="1">
      <c r="A3760" s="809"/>
      <c r="B3760" s="808" t="s">
        <v>13481</v>
      </c>
      <c r="C3760" s="809" t="s">
        <v>13482</v>
      </c>
      <c r="D3760" s="809" t="s">
        <v>13483</v>
      </c>
      <c r="E3760" s="1019" t="s">
        <v>13484</v>
      </c>
      <c r="F3760" s="1019"/>
      <c r="G3760" s="810" t="s">
        <v>13485</v>
      </c>
      <c r="H3760" s="808" t="s">
        <v>13486</v>
      </c>
      <c r="I3760" s="808" t="s">
        <v>13487</v>
      </c>
      <c r="J3760" s="808" t="s">
        <v>4867</v>
      </c>
    </row>
    <row r="3761" spans="1:10" ht="38.25" customHeight="1">
      <c r="A3761" s="812" t="s">
        <v>13488</v>
      </c>
      <c r="B3761" s="811" t="s">
        <v>13636</v>
      </c>
      <c r="C3761" s="812" t="s">
        <v>6</v>
      </c>
      <c r="D3761" s="812" t="s">
        <v>2047</v>
      </c>
      <c r="E3761" s="1020" t="s">
        <v>13542</v>
      </c>
      <c r="F3761" s="1020"/>
      <c r="G3761" s="813" t="s">
        <v>16</v>
      </c>
      <c r="H3761" s="814">
        <v>1</v>
      </c>
      <c r="I3761" s="815">
        <v>11.87</v>
      </c>
      <c r="J3761" s="815">
        <v>11.87</v>
      </c>
    </row>
    <row r="3762" spans="1:10" ht="38.25" customHeight="1">
      <c r="A3762" s="817" t="s">
        <v>13491</v>
      </c>
      <c r="B3762" s="816" t="s">
        <v>13637</v>
      </c>
      <c r="C3762" s="817" t="s">
        <v>6</v>
      </c>
      <c r="D3762" s="817" t="s">
        <v>107</v>
      </c>
      <c r="E3762" s="1021" t="s">
        <v>13490</v>
      </c>
      <c r="F3762" s="1021"/>
      <c r="G3762" s="818" t="s">
        <v>19</v>
      </c>
      <c r="H3762" s="819">
        <v>1.8E-3</v>
      </c>
      <c r="I3762" s="820">
        <v>15.19</v>
      </c>
      <c r="J3762" s="820">
        <v>0.02</v>
      </c>
    </row>
    <row r="3763" spans="1:10" ht="38.25" customHeight="1">
      <c r="A3763" s="817" t="s">
        <v>13491</v>
      </c>
      <c r="B3763" s="816" t="s">
        <v>13638</v>
      </c>
      <c r="C3763" s="817" t="s">
        <v>6</v>
      </c>
      <c r="D3763" s="817" t="s">
        <v>112</v>
      </c>
      <c r="E3763" s="1021" t="s">
        <v>13490</v>
      </c>
      <c r="F3763" s="1021"/>
      <c r="G3763" s="818" t="s">
        <v>19</v>
      </c>
      <c r="H3763" s="819">
        <v>1.2500000000000001E-2</v>
      </c>
      <c r="I3763" s="820">
        <v>18.75</v>
      </c>
      <c r="J3763" s="820">
        <v>0.23</v>
      </c>
    </row>
    <row r="3764" spans="1:10" ht="38.25" customHeight="1">
      <c r="A3764" s="822" t="s">
        <v>13493</v>
      </c>
      <c r="B3764" s="821" t="s">
        <v>14630</v>
      </c>
      <c r="C3764" s="822" t="s">
        <v>6</v>
      </c>
      <c r="D3764" s="822" t="s">
        <v>4568</v>
      </c>
      <c r="E3764" s="1017" t="s">
        <v>13514</v>
      </c>
      <c r="F3764" s="1017"/>
      <c r="G3764" s="823" t="s">
        <v>16</v>
      </c>
      <c r="H3764" s="824">
        <v>1.1100000000000001</v>
      </c>
      <c r="I3764" s="825">
        <v>10.47</v>
      </c>
      <c r="J3764" s="825">
        <v>11.62</v>
      </c>
    </row>
    <row r="3765" spans="1:10" ht="25.5">
      <c r="A3765" s="827"/>
      <c r="B3765" s="827"/>
      <c r="C3765" s="827"/>
      <c r="D3765" s="827"/>
      <c r="E3765" s="827" t="s">
        <v>13503</v>
      </c>
      <c r="F3765" s="826">
        <v>0.18</v>
      </c>
      <c r="G3765" s="827" t="s">
        <v>13504</v>
      </c>
      <c r="H3765" s="826">
        <v>0</v>
      </c>
      <c r="I3765" s="827" t="s">
        <v>13505</v>
      </c>
      <c r="J3765" s="826">
        <v>0.18</v>
      </c>
    </row>
    <row r="3766" spans="1:10" ht="13.5" customHeight="1" thickBot="1">
      <c r="A3766" s="827"/>
      <c r="B3766" s="827"/>
      <c r="C3766" s="827"/>
      <c r="D3766" s="827"/>
      <c r="E3766" s="827" t="s">
        <v>13506</v>
      </c>
      <c r="F3766" s="826">
        <v>3.35</v>
      </c>
      <c r="G3766" s="827"/>
      <c r="H3766" s="1018" t="s">
        <v>13507</v>
      </c>
      <c r="I3766" s="1018"/>
      <c r="J3766" s="826">
        <v>15.22</v>
      </c>
    </row>
    <row r="3767" spans="1:10" ht="13.5" thickTop="1">
      <c r="A3767" s="828"/>
      <c r="B3767" s="828"/>
      <c r="C3767" s="828"/>
      <c r="D3767" s="828"/>
      <c r="E3767" s="828"/>
      <c r="F3767" s="828"/>
      <c r="G3767" s="828"/>
      <c r="H3767" s="828"/>
      <c r="I3767" s="828"/>
      <c r="J3767" s="828"/>
    </row>
    <row r="3768" spans="1:10" ht="15">
      <c r="A3768" s="809"/>
      <c r="B3768" s="808" t="s">
        <v>13481</v>
      </c>
      <c r="C3768" s="809" t="s">
        <v>13482</v>
      </c>
      <c r="D3768" s="809" t="s">
        <v>13483</v>
      </c>
      <c r="E3768" s="1019" t="s">
        <v>13484</v>
      </c>
      <c r="F3768" s="1019"/>
      <c r="G3768" s="810" t="s">
        <v>13485</v>
      </c>
      <c r="H3768" s="808" t="s">
        <v>13486</v>
      </c>
      <c r="I3768" s="808" t="s">
        <v>13487</v>
      </c>
      <c r="J3768" s="808" t="s">
        <v>4867</v>
      </c>
    </row>
    <row r="3769" spans="1:10" ht="38.25" customHeight="1">
      <c r="A3769" s="812" t="s">
        <v>13488</v>
      </c>
      <c r="B3769" s="811" t="s">
        <v>13729</v>
      </c>
      <c r="C3769" s="812" t="s">
        <v>6</v>
      </c>
      <c r="D3769" s="812" t="s">
        <v>2045</v>
      </c>
      <c r="E3769" s="1020" t="s">
        <v>13542</v>
      </c>
      <c r="F3769" s="1020"/>
      <c r="G3769" s="813" t="s">
        <v>16</v>
      </c>
      <c r="H3769" s="814">
        <v>1</v>
      </c>
      <c r="I3769" s="815">
        <v>12.68</v>
      </c>
      <c r="J3769" s="815">
        <v>12.68</v>
      </c>
    </row>
    <row r="3770" spans="1:10" ht="38.25" customHeight="1">
      <c r="A3770" s="817" t="s">
        <v>13491</v>
      </c>
      <c r="B3770" s="816" t="s">
        <v>13637</v>
      </c>
      <c r="C3770" s="817" t="s">
        <v>6</v>
      </c>
      <c r="D3770" s="817" t="s">
        <v>107</v>
      </c>
      <c r="E3770" s="1021" t="s">
        <v>13490</v>
      </c>
      <c r="F3770" s="1021"/>
      <c r="G3770" s="818" t="s">
        <v>19</v>
      </c>
      <c r="H3770" s="819">
        <v>5.8999999999999999E-3</v>
      </c>
      <c r="I3770" s="820">
        <v>15.19</v>
      </c>
      <c r="J3770" s="820">
        <v>0.08</v>
      </c>
    </row>
    <row r="3771" spans="1:10" ht="38.25" customHeight="1">
      <c r="A3771" s="817" t="s">
        <v>13491</v>
      </c>
      <c r="B3771" s="816" t="s">
        <v>13638</v>
      </c>
      <c r="C3771" s="817" t="s">
        <v>6</v>
      </c>
      <c r="D3771" s="817" t="s">
        <v>112</v>
      </c>
      <c r="E3771" s="1021" t="s">
        <v>13490</v>
      </c>
      <c r="F3771" s="1021"/>
      <c r="G3771" s="818" t="s">
        <v>19</v>
      </c>
      <c r="H3771" s="819">
        <v>4.2000000000000003E-2</v>
      </c>
      <c r="I3771" s="820">
        <v>18.75</v>
      </c>
      <c r="J3771" s="820">
        <v>0.78</v>
      </c>
    </row>
    <row r="3772" spans="1:10" ht="13.5" customHeight="1">
      <c r="A3772" s="822" t="s">
        <v>13493</v>
      </c>
      <c r="B3772" s="821" t="s">
        <v>14631</v>
      </c>
      <c r="C3772" s="822" t="s">
        <v>6</v>
      </c>
      <c r="D3772" s="822" t="s">
        <v>8446</v>
      </c>
      <c r="E3772" s="1017" t="s">
        <v>13514</v>
      </c>
      <c r="F3772" s="1017"/>
      <c r="G3772" s="823" t="s">
        <v>16</v>
      </c>
      <c r="H3772" s="824">
        <v>1.07</v>
      </c>
      <c r="I3772" s="825">
        <v>11.05</v>
      </c>
      <c r="J3772" s="825">
        <v>11.82</v>
      </c>
    </row>
    <row r="3773" spans="1:10" ht="25.5">
      <c r="A3773" s="827"/>
      <c r="B3773" s="827"/>
      <c r="C3773" s="827"/>
      <c r="D3773" s="827"/>
      <c r="E3773" s="827" t="s">
        <v>13503</v>
      </c>
      <c r="F3773" s="826">
        <v>0.64</v>
      </c>
      <c r="G3773" s="827" t="s">
        <v>13504</v>
      </c>
      <c r="H3773" s="826">
        <v>0</v>
      </c>
      <c r="I3773" s="827" t="s">
        <v>13505</v>
      </c>
      <c r="J3773" s="826">
        <v>0.64</v>
      </c>
    </row>
    <row r="3774" spans="1:10" ht="13.5" customHeight="1" thickBot="1">
      <c r="A3774" s="827"/>
      <c r="B3774" s="827"/>
      <c r="C3774" s="827"/>
      <c r="D3774" s="827"/>
      <c r="E3774" s="827" t="s">
        <v>13506</v>
      </c>
      <c r="F3774" s="826">
        <v>3.58</v>
      </c>
      <c r="G3774" s="827"/>
      <c r="H3774" s="1018" t="s">
        <v>13507</v>
      </c>
      <c r="I3774" s="1018"/>
      <c r="J3774" s="826">
        <v>16.260000000000002</v>
      </c>
    </row>
    <row r="3775" spans="1:10" ht="38.25" customHeight="1" thickTop="1">
      <c r="A3775" s="828"/>
      <c r="B3775" s="828"/>
      <c r="C3775" s="828"/>
      <c r="D3775" s="828"/>
      <c r="E3775" s="828"/>
      <c r="F3775" s="828"/>
      <c r="G3775" s="828"/>
      <c r="H3775" s="828"/>
      <c r="I3775" s="828"/>
      <c r="J3775" s="828"/>
    </row>
    <row r="3776" spans="1:10" ht="15">
      <c r="A3776" s="809"/>
      <c r="B3776" s="808" t="s">
        <v>13481</v>
      </c>
      <c r="C3776" s="809" t="s">
        <v>13482</v>
      </c>
      <c r="D3776" s="809" t="s">
        <v>13483</v>
      </c>
      <c r="E3776" s="1019" t="s">
        <v>13484</v>
      </c>
      <c r="F3776" s="1019"/>
      <c r="G3776" s="810" t="s">
        <v>13485</v>
      </c>
      <c r="H3776" s="808" t="s">
        <v>13486</v>
      </c>
      <c r="I3776" s="808" t="s">
        <v>13487</v>
      </c>
      <c r="J3776" s="808" t="s">
        <v>4867</v>
      </c>
    </row>
    <row r="3777" spans="1:10" ht="25.5" customHeight="1">
      <c r="A3777" s="812" t="s">
        <v>13488</v>
      </c>
      <c r="B3777" s="811" t="s">
        <v>13683</v>
      </c>
      <c r="C3777" s="812" t="s">
        <v>6</v>
      </c>
      <c r="D3777" s="812" t="s">
        <v>2046</v>
      </c>
      <c r="E3777" s="1020" t="s">
        <v>13542</v>
      </c>
      <c r="F3777" s="1020"/>
      <c r="G3777" s="813" t="s">
        <v>16</v>
      </c>
      <c r="H3777" s="814">
        <v>1</v>
      </c>
      <c r="I3777" s="815">
        <v>12.79</v>
      </c>
      <c r="J3777" s="815">
        <v>12.79</v>
      </c>
    </row>
    <row r="3778" spans="1:10" ht="13.5" customHeight="1">
      <c r="A3778" s="817" t="s">
        <v>13491</v>
      </c>
      <c r="B3778" s="816" t="s">
        <v>13637</v>
      </c>
      <c r="C3778" s="817" t="s">
        <v>6</v>
      </c>
      <c r="D3778" s="817" t="s">
        <v>107</v>
      </c>
      <c r="E3778" s="1021" t="s">
        <v>13490</v>
      </c>
      <c r="F3778" s="1021"/>
      <c r="G3778" s="818" t="s">
        <v>19</v>
      </c>
      <c r="H3778" s="819">
        <v>3.2000000000000002E-3</v>
      </c>
      <c r="I3778" s="820">
        <v>15.19</v>
      </c>
      <c r="J3778" s="820">
        <v>0.04</v>
      </c>
    </row>
    <row r="3779" spans="1:10" ht="38.25" customHeight="1">
      <c r="A3779" s="817" t="s">
        <v>13491</v>
      </c>
      <c r="B3779" s="816" t="s">
        <v>13638</v>
      </c>
      <c r="C3779" s="817" t="s">
        <v>6</v>
      </c>
      <c r="D3779" s="817" t="s">
        <v>112</v>
      </c>
      <c r="E3779" s="1021" t="s">
        <v>13490</v>
      </c>
      <c r="F3779" s="1021"/>
      <c r="G3779" s="818" t="s">
        <v>19</v>
      </c>
      <c r="H3779" s="819">
        <v>2.24E-2</v>
      </c>
      <c r="I3779" s="820">
        <v>18.75</v>
      </c>
      <c r="J3779" s="820">
        <v>0.42</v>
      </c>
    </row>
    <row r="3780" spans="1:10">
      <c r="A3780" s="822" t="s">
        <v>13493</v>
      </c>
      <c r="B3780" s="821" t="s">
        <v>14632</v>
      </c>
      <c r="C3780" s="822" t="s">
        <v>6</v>
      </c>
      <c r="D3780" s="822" t="s">
        <v>4571</v>
      </c>
      <c r="E3780" s="1017" t="s">
        <v>13514</v>
      </c>
      <c r="F3780" s="1017"/>
      <c r="G3780" s="823" t="s">
        <v>16</v>
      </c>
      <c r="H3780" s="824">
        <v>1.1100000000000001</v>
      </c>
      <c r="I3780" s="825">
        <v>11.11</v>
      </c>
      <c r="J3780" s="825">
        <v>12.33</v>
      </c>
    </row>
    <row r="3781" spans="1:10" ht="38.25" customHeight="1">
      <c r="A3781" s="827"/>
      <c r="B3781" s="827"/>
      <c r="C3781" s="827"/>
      <c r="D3781" s="827"/>
      <c r="E3781" s="827" t="s">
        <v>13503</v>
      </c>
      <c r="F3781" s="826">
        <v>0.34</v>
      </c>
      <c r="G3781" s="827" t="s">
        <v>13504</v>
      </c>
      <c r="H3781" s="826">
        <v>0</v>
      </c>
      <c r="I3781" s="827" t="s">
        <v>13505</v>
      </c>
      <c r="J3781" s="826">
        <v>0.34</v>
      </c>
    </row>
    <row r="3782" spans="1:10" ht="13.5" customHeight="1" thickBot="1">
      <c r="A3782" s="827"/>
      <c r="B3782" s="827"/>
      <c r="C3782" s="827"/>
      <c r="D3782" s="827"/>
      <c r="E3782" s="827" t="s">
        <v>13506</v>
      </c>
      <c r="F3782" s="826">
        <v>3.61</v>
      </c>
      <c r="G3782" s="827"/>
      <c r="H3782" s="1018" t="s">
        <v>13507</v>
      </c>
      <c r="I3782" s="1018"/>
      <c r="J3782" s="826">
        <v>16.399999999999999</v>
      </c>
    </row>
    <row r="3783" spans="1:10" ht="13.5" thickTop="1">
      <c r="A3783" s="828"/>
      <c r="B3783" s="828"/>
      <c r="C3783" s="828"/>
      <c r="D3783" s="828"/>
      <c r="E3783" s="828"/>
      <c r="F3783" s="828"/>
      <c r="G3783" s="828"/>
      <c r="H3783" s="828"/>
      <c r="I3783" s="828"/>
      <c r="J3783" s="828"/>
    </row>
    <row r="3784" spans="1:10" ht="13.5" customHeight="1">
      <c r="A3784" s="809"/>
      <c r="B3784" s="808" t="s">
        <v>13481</v>
      </c>
      <c r="C3784" s="809" t="s">
        <v>13482</v>
      </c>
      <c r="D3784" s="809" t="s">
        <v>13483</v>
      </c>
      <c r="E3784" s="1019" t="s">
        <v>13484</v>
      </c>
      <c r="F3784" s="1019"/>
      <c r="G3784" s="810" t="s">
        <v>13485</v>
      </c>
      <c r="H3784" s="808" t="s">
        <v>13486</v>
      </c>
      <c r="I3784" s="808" t="s">
        <v>13487</v>
      </c>
      <c r="J3784" s="808" t="s">
        <v>4867</v>
      </c>
    </row>
    <row r="3785" spans="1:10" ht="25.5" customHeight="1">
      <c r="A3785" s="812" t="s">
        <v>13488</v>
      </c>
      <c r="B3785" s="811" t="s">
        <v>14575</v>
      </c>
      <c r="C3785" s="812" t="s">
        <v>6</v>
      </c>
      <c r="D3785" s="812" t="s">
        <v>2052</v>
      </c>
      <c r="E3785" s="1020" t="s">
        <v>13542</v>
      </c>
      <c r="F3785" s="1020"/>
      <c r="G3785" s="813" t="s">
        <v>16</v>
      </c>
      <c r="H3785" s="814">
        <v>1</v>
      </c>
      <c r="I3785" s="815">
        <v>12.53</v>
      </c>
      <c r="J3785" s="815">
        <v>12.53</v>
      </c>
    </row>
    <row r="3786" spans="1:10" ht="38.25" customHeight="1">
      <c r="A3786" s="817" t="s">
        <v>13491</v>
      </c>
      <c r="B3786" s="816" t="s">
        <v>13637</v>
      </c>
      <c r="C3786" s="817" t="s">
        <v>6</v>
      </c>
      <c r="D3786" s="817" t="s">
        <v>107</v>
      </c>
      <c r="E3786" s="1021" t="s">
        <v>13490</v>
      </c>
      <c r="F3786" s="1021"/>
      <c r="G3786" s="818" t="s">
        <v>19</v>
      </c>
      <c r="H3786" s="819">
        <v>1.3100000000000001E-2</v>
      </c>
      <c r="I3786" s="820">
        <v>15.19</v>
      </c>
      <c r="J3786" s="820">
        <v>0.19</v>
      </c>
    </row>
    <row r="3787" spans="1:10" ht="38.25" customHeight="1">
      <c r="A3787" s="817" t="s">
        <v>13491</v>
      </c>
      <c r="B3787" s="816" t="s">
        <v>13638</v>
      </c>
      <c r="C3787" s="817" t="s">
        <v>6</v>
      </c>
      <c r="D3787" s="817" t="s">
        <v>112</v>
      </c>
      <c r="E3787" s="1021" t="s">
        <v>13490</v>
      </c>
      <c r="F3787" s="1021"/>
      <c r="G3787" s="818" t="s">
        <v>19</v>
      </c>
      <c r="H3787" s="819">
        <v>9.3299999999999994E-2</v>
      </c>
      <c r="I3787" s="820">
        <v>18.75</v>
      </c>
      <c r="J3787" s="820">
        <v>1.74</v>
      </c>
    </row>
    <row r="3788" spans="1:10">
      <c r="A3788" s="822" t="s">
        <v>13493</v>
      </c>
      <c r="B3788" s="821" t="s">
        <v>14633</v>
      </c>
      <c r="C3788" s="822" t="s">
        <v>6</v>
      </c>
      <c r="D3788" s="822" t="s">
        <v>4572</v>
      </c>
      <c r="E3788" s="1017" t="s">
        <v>13514</v>
      </c>
      <c r="F3788" s="1017"/>
      <c r="G3788" s="823" t="s">
        <v>16</v>
      </c>
      <c r="H3788" s="824">
        <v>1.07</v>
      </c>
      <c r="I3788" s="825">
        <v>9.91</v>
      </c>
      <c r="J3788" s="825">
        <v>10.6</v>
      </c>
    </row>
    <row r="3789" spans="1:10" ht="25.5">
      <c r="A3789" s="827"/>
      <c r="B3789" s="827"/>
      <c r="C3789" s="827"/>
      <c r="D3789" s="827"/>
      <c r="E3789" s="827" t="s">
        <v>13503</v>
      </c>
      <c r="F3789" s="826">
        <v>1.42</v>
      </c>
      <c r="G3789" s="827" t="s">
        <v>13504</v>
      </c>
      <c r="H3789" s="826">
        <v>0</v>
      </c>
      <c r="I3789" s="827" t="s">
        <v>13505</v>
      </c>
      <c r="J3789" s="826">
        <v>1.42</v>
      </c>
    </row>
    <row r="3790" spans="1:10" ht="13.5" customHeight="1" thickBot="1">
      <c r="A3790" s="827"/>
      <c r="B3790" s="827"/>
      <c r="C3790" s="827"/>
      <c r="D3790" s="827"/>
      <c r="E3790" s="827" t="s">
        <v>13506</v>
      </c>
      <c r="F3790" s="826">
        <v>3.53</v>
      </c>
      <c r="G3790" s="827"/>
      <c r="H3790" s="1018" t="s">
        <v>13507</v>
      </c>
      <c r="I3790" s="1018"/>
      <c r="J3790" s="826">
        <v>16.059999999999999</v>
      </c>
    </row>
    <row r="3791" spans="1:10" ht="13.5" thickTop="1">
      <c r="A3791" s="828"/>
      <c r="B3791" s="828"/>
      <c r="C3791" s="828"/>
      <c r="D3791" s="828"/>
      <c r="E3791" s="828"/>
      <c r="F3791" s="828"/>
      <c r="G3791" s="828"/>
      <c r="H3791" s="828"/>
      <c r="I3791" s="828"/>
      <c r="J3791" s="828"/>
    </row>
    <row r="3792" spans="1:10" ht="15">
      <c r="A3792" s="809"/>
      <c r="B3792" s="808" t="s">
        <v>13481</v>
      </c>
      <c r="C3792" s="809" t="s">
        <v>13482</v>
      </c>
      <c r="D3792" s="809" t="s">
        <v>13483</v>
      </c>
      <c r="E3792" s="1019" t="s">
        <v>13484</v>
      </c>
      <c r="F3792" s="1019"/>
      <c r="G3792" s="810" t="s">
        <v>13485</v>
      </c>
      <c r="H3792" s="808" t="s">
        <v>13486</v>
      </c>
      <c r="I3792" s="808" t="s">
        <v>13487</v>
      </c>
      <c r="J3792" s="808" t="s">
        <v>4867</v>
      </c>
    </row>
    <row r="3793" spans="1:10" ht="12.75" customHeight="1">
      <c r="A3793" s="812" t="s">
        <v>13488</v>
      </c>
      <c r="B3793" s="811" t="s">
        <v>14480</v>
      </c>
      <c r="C3793" s="812" t="s">
        <v>6</v>
      </c>
      <c r="D3793" s="812" t="s">
        <v>7540</v>
      </c>
      <c r="E3793" s="1020" t="s">
        <v>13542</v>
      </c>
      <c r="F3793" s="1020"/>
      <c r="G3793" s="813" t="s">
        <v>16</v>
      </c>
      <c r="H3793" s="814">
        <v>1</v>
      </c>
      <c r="I3793" s="815">
        <v>11.07</v>
      </c>
      <c r="J3793" s="815">
        <v>11.07</v>
      </c>
    </row>
    <row r="3794" spans="1:10" ht="38.25" customHeight="1">
      <c r="A3794" s="817" t="s">
        <v>13491</v>
      </c>
      <c r="B3794" s="816" t="s">
        <v>13637</v>
      </c>
      <c r="C3794" s="817" t="s">
        <v>6</v>
      </c>
      <c r="D3794" s="817" t="s">
        <v>107</v>
      </c>
      <c r="E3794" s="1021" t="s">
        <v>13490</v>
      </c>
      <c r="F3794" s="1021"/>
      <c r="G3794" s="818" t="s">
        <v>19</v>
      </c>
      <c r="H3794" s="819">
        <v>4.4000000000000003E-3</v>
      </c>
      <c r="I3794" s="820">
        <v>15.19</v>
      </c>
      <c r="J3794" s="820">
        <v>0.06</v>
      </c>
    </row>
    <row r="3795" spans="1:10" ht="38.25" customHeight="1">
      <c r="A3795" s="817" t="s">
        <v>13491</v>
      </c>
      <c r="B3795" s="816" t="s">
        <v>13638</v>
      </c>
      <c r="C3795" s="817" t="s">
        <v>6</v>
      </c>
      <c r="D3795" s="817" t="s">
        <v>112</v>
      </c>
      <c r="E3795" s="1021" t="s">
        <v>13490</v>
      </c>
      <c r="F3795" s="1021"/>
      <c r="G3795" s="818" t="s">
        <v>19</v>
      </c>
      <c r="H3795" s="819">
        <v>2.2200000000000001E-2</v>
      </c>
      <c r="I3795" s="820">
        <v>18.75</v>
      </c>
      <c r="J3795" s="820">
        <v>0.41</v>
      </c>
    </row>
    <row r="3796" spans="1:10">
      <c r="A3796" s="822" t="s">
        <v>13493</v>
      </c>
      <c r="B3796" s="821" t="s">
        <v>14633</v>
      </c>
      <c r="C3796" s="822" t="s">
        <v>6</v>
      </c>
      <c r="D3796" s="822" t="s">
        <v>4572</v>
      </c>
      <c r="E3796" s="1017" t="s">
        <v>13514</v>
      </c>
      <c r="F3796" s="1017"/>
      <c r="G3796" s="823" t="s">
        <v>16</v>
      </c>
      <c r="H3796" s="824">
        <v>1.07</v>
      </c>
      <c r="I3796" s="825">
        <v>9.91</v>
      </c>
      <c r="J3796" s="825">
        <v>10.6</v>
      </c>
    </row>
    <row r="3797" spans="1:10" ht="25.5">
      <c r="A3797" s="827"/>
      <c r="B3797" s="827"/>
      <c r="C3797" s="827"/>
      <c r="D3797" s="827"/>
      <c r="E3797" s="827" t="s">
        <v>13503</v>
      </c>
      <c r="F3797" s="826">
        <v>0.34</v>
      </c>
      <c r="G3797" s="827" t="s">
        <v>13504</v>
      </c>
      <c r="H3797" s="826">
        <v>0</v>
      </c>
      <c r="I3797" s="827" t="s">
        <v>13505</v>
      </c>
      <c r="J3797" s="826">
        <v>0.34</v>
      </c>
    </row>
    <row r="3798" spans="1:10" ht="13.5" customHeight="1" thickBot="1">
      <c r="A3798" s="827"/>
      <c r="B3798" s="827"/>
      <c r="C3798" s="827"/>
      <c r="D3798" s="827"/>
      <c r="E3798" s="827" t="s">
        <v>13506</v>
      </c>
      <c r="F3798" s="826">
        <v>3.12</v>
      </c>
      <c r="G3798" s="827"/>
      <c r="H3798" s="1018" t="s">
        <v>13507</v>
      </c>
      <c r="I3798" s="1018"/>
      <c r="J3798" s="826">
        <v>14.19</v>
      </c>
    </row>
    <row r="3799" spans="1:10" ht="13.5" thickTop="1">
      <c r="A3799" s="828"/>
      <c r="B3799" s="828"/>
      <c r="C3799" s="828"/>
      <c r="D3799" s="828"/>
      <c r="E3799" s="828"/>
      <c r="F3799" s="828"/>
      <c r="G3799" s="828"/>
      <c r="H3799" s="828"/>
      <c r="I3799" s="828"/>
      <c r="J3799" s="828"/>
    </row>
    <row r="3800" spans="1:10" ht="15">
      <c r="A3800" s="809"/>
      <c r="B3800" s="808" t="s">
        <v>13481</v>
      </c>
      <c r="C3800" s="809" t="s">
        <v>13482</v>
      </c>
      <c r="D3800" s="809" t="s">
        <v>13483</v>
      </c>
      <c r="E3800" s="1019" t="s">
        <v>13484</v>
      </c>
      <c r="F3800" s="1019"/>
      <c r="G3800" s="810" t="s">
        <v>13485</v>
      </c>
      <c r="H3800" s="808" t="s">
        <v>13486</v>
      </c>
      <c r="I3800" s="808" t="s">
        <v>13487</v>
      </c>
      <c r="J3800" s="808" t="s">
        <v>4867</v>
      </c>
    </row>
    <row r="3801" spans="1:10" ht="25.5" customHeight="1">
      <c r="A3801" s="812" t="s">
        <v>13488</v>
      </c>
      <c r="B3801" s="811" t="s">
        <v>13643</v>
      </c>
      <c r="C3801" s="812" t="s">
        <v>6</v>
      </c>
      <c r="D3801" s="812" t="s">
        <v>2044</v>
      </c>
      <c r="E3801" s="1020" t="s">
        <v>13542</v>
      </c>
      <c r="F3801" s="1020"/>
      <c r="G3801" s="813" t="s">
        <v>16</v>
      </c>
      <c r="H3801" s="814">
        <v>1</v>
      </c>
      <c r="I3801" s="815">
        <v>12.2</v>
      </c>
      <c r="J3801" s="815">
        <v>12.2</v>
      </c>
    </row>
    <row r="3802" spans="1:10" ht="38.25" customHeight="1">
      <c r="A3802" s="817" t="s">
        <v>13491</v>
      </c>
      <c r="B3802" s="816" t="s">
        <v>13637</v>
      </c>
      <c r="C3802" s="817" t="s">
        <v>6</v>
      </c>
      <c r="D3802" s="817" t="s">
        <v>107</v>
      </c>
      <c r="E3802" s="1021" t="s">
        <v>13490</v>
      </c>
      <c r="F3802" s="1021"/>
      <c r="G3802" s="818" t="s">
        <v>19</v>
      </c>
      <c r="H3802" s="819">
        <v>1.0800000000000001E-2</v>
      </c>
      <c r="I3802" s="820">
        <v>15.19</v>
      </c>
      <c r="J3802" s="820">
        <v>0.16</v>
      </c>
    </row>
    <row r="3803" spans="1:10" ht="13.5" customHeight="1">
      <c r="A3803" s="817" t="s">
        <v>13491</v>
      </c>
      <c r="B3803" s="816" t="s">
        <v>13638</v>
      </c>
      <c r="C3803" s="817" t="s">
        <v>6</v>
      </c>
      <c r="D3803" s="817" t="s">
        <v>112</v>
      </c>
      <c r="E3803" s="1021" t="s">
        <v>13490</v>
      </c>
      <c r="F3803" s="1021"/>
      <c r="G3803" s="818" t="s">
        <v>19</v>
      </c>
      <c r="H3803" s="819">
        <v>7.6899999999999996E-2</v>
      </c>
      <c r="I3803" s="820">
        <v>18.75</v>
      </c>
      <c r="J3803" s="820">
        <v>1.44</v>
      </c>
    </row>
    <row r="3804" spans="1:10">
      <c r="A3804" s="822" t="s">
        <v>13493</v>
      </c>
      <c r="B3804" s="821" t="s">
        <v>14633</v>
      </c>
      <c r="C3804" s="822" t="s">
        <v>6</v>
      </c>
      <c r="D3804" s="822" t="s">
        <v>4572</v>
      </c>
      <c r="E3804" s="1017" t="s">
        <v>13514</v>
      </c>
      <c r="F3804" s="1017"/>
      <c r="G3804" s="823" t="s">
        <v>16</v>
      </c>
      <c r="H3804" s="824">
        <v>1.07</v>
      </c>
      <c r="I3804" s="825">
        <v>9.91</v>
      </c>
      <c r="J3804" s="825">
        <v>10.6</v>
      </c>
    </row>
    <row r="3805" spans="1:10" ht="25.5">
      <c r="A3805" s="827"/>
      <c r="B3805" s="827"/>
      <c r="C3805" s="827"/>
      <c r="D3805" s="827"/>
      <c r="E3805" s="827" t="s">
        <v>13503</v>
      </c>
      <c r="F3805" s="826">
        <v>1.17</v>
      </c>
      <c r="G3805" s="827" t="s">
        <v>13504</v>
      </c>
      <c r="H3805" s="826">
        <v>0</v>
      </c>
      <c r="I3805" s="827" t="s">
        <v>13505</v>
      </c>
      <c r="J3805" s="826">
        <v>1.17</v>
      </c>
    </row>
    <row r="3806" spans="1:10" ht="25.5" customHeight="1" thickBot="1">
      <c r="A3806" s="827"/>
      <c r="B3806" s="827"/>
      <c r="C3806" s="827"/>
      <c r="D3806" s="827"/>
      <c r="E3806" s="827" t="s">
        <v>13506</v>
      </c>
      <c r="F3806" s="826">
        <v>3.44</v>
      </c>
      <c r="G3806" s="827"/>
      <c r="H3806" s="1018" t="s">
        <v>13507</v>
      </c>
      <c r="I3806" s="1018"/>
      <c r="J3806" s="826">
        <v>15.64</v>
      </c>
    </row>
    <row r="3807" spans="1:10" ht="25.5" customHeight="1" thickTop="1">
      <c r="A3807" s="828"/>
      <c r="B3807" s="828"/>
      <c r="C3807" s="828"/>
      <c r="D3807" s="828"/>
      <c r="E3807" s="828"/>
      <c r="F3807" s="828"/>
      <c r="G3807" s="828"/>
      <c r="H3807" s="828"/>
      <c r="I3807" s="828"/>
      <c r="J3807" s="828"/>
    </row>
    <row r="3808" spans="1:10" ht="25.5" customHeight="1">
      <c r="A3808" s="809"/>
      <c r="B3808" s="808" t="s">
        <v>13481</v>
      </c>
      <c r="C3808" s="809" t="s">
        <v>13482</v>
      </c>
      <c r="D3808" s="809" t="s">
        <v>13483</v>
      </c>
      <c r="E3808" s="1019" t="s">
        <v>13484</v>
      </c>
      <c r="F3808" s="1019"/>
      <c r="G3808" s="810" t="s">
        <v>13485</v>
      </c>
      <c r="H3808" s="808" t="s">
        <v>13486</v>
      </c>
      <c r="I3808" s="808" t="s">
        <v>13487</v>
      </c>
      <c r="J3808" s="808" t="s">
        <v>4867</v>
      </c>
    </row>
    <row r="3809" spans="1:10" ht="25.5" customHeight="1">
      <c r="A3809" s="812" t="s">
        <v>13488</v>
      </c>
      <c r="B3809" s="811" t="s">
        <v>14577</v>
      </c>
      <c r="C3809" s="812" t="s">
        <v>6</v>
      </c>
      <c r="D3809" s="812" t="s">
        <v>2053</v>
      </c>
      <c r="E3809" s="1020" t="s">
        <v>13542</v>
      </c>
      <c r="F3809" s="1020"/>
      <c r="G3809" s="813" t="s">
        <v>16</v>
      </c>
      <c r="H3809" s="814">
        <v>1</v>
      </c>
      <c r="I3809" s="815">
        <v>11.8</v>
      </c>
      <c r="J3809" s="815">
        <v>11.8</v>
      </c>
    </row>
    <row r="3810" spans="1:10" ht="38.25" customHeight="1">
      <c r="A3810" s="817" t="s">
        <v>13491</v>
      </c>
      <c r="B3810" s="816" t="s">
        <v>13637</v>
      </c>
      <c r="C3810" s="817" t="s">
        <v>6</v>
      </c>
      <c r="D3810" s="817" t="s">
        <v>107</v>
      </c>
      <c r="E3810" s="1021" t="s">
        <v>13490</v>
      </c>
      <c r="F3810" s="1021"/>
      <c r="G3810" s="818" t="s">
        <v>19</v>
      </c>
      <c r="H3810" s="819">
        <v>8.2000000000000007E-3</v>
      </c>
      <c r="I3810" s="820">
        <v>15.19</v>
      </c>
      <c r="J3810" s="820">
        <v>0.12</v>
      </c>
    </row>
    <row r="3811" spans="1:10" ht="13.5" customHeight="1">
      <c r="A3811" s="817" t="s">
        <v>13491</v>
      </c>
      <c r="B3811" s="816" t="s">
        <v>13638</v>
      </c>
      <c r="C3811" s="817" t="s">
        <v>6</v>
      </c>
      <c r="D3811" s="817" t="s">
        <v>112</v>
      </c>
      <c r="E3811" s="1021" t="s">
        <v>13490</v>
      </c>
      <c r="F3811" s="1021"/>
      <c r="G3811" s="818" t="s">
        <v>19</v>
      </c>
      <c r="H3811" s="819">
        <v>5.8099999999999999E-2</v>
      </c>
      <c r="I3811" s="820">
        <v>18.75</v>
      </c>
      <c r="J3811" s="820">
        <v>1.08</v>
      </c>
    </row>
    <row r="3812" spans="1:10">
      <c r="A3812" s="822" t="s">
        <v>13493</v>
      </c>
      <c r="B3812" s="821" t="s">
        <v>14633</v>
      </c>
      <c r="C3812" s="822" t="s">
        <v>6</v>
      </c>
      <c r="D3812" s="822" t="s">
        <v>4572</v>
      </c>
      <c r="E3812" s="1017" t="s">
        <v>13514</v>
      </c>
      <c r="F3812" s="1017"/>
      <c r="G3812" s="823" t="s">
        <v>16</v>
      </c>
      <c r="H3812" s="824">
        <v>1.07</v>
      </c>
      <c r="I3812" s="825">
        <v>9.91</v>
      </c>
      <c r="J3812" s="825">
        <v>10.6</v>
      </c>
    </row>
    <row r="3813" spans="1:10" ht="25.5">
      <c r="A3813" s="827"/>
      <c r="B3813" s="827"/>
      <c r="C3813" s="827"/>
      <c r="D3813" s="827"/>
      <c r="E3813" s="827" t="s">
        <v>13503</v>
      </c>
      <c r="F3813" s="826">
        <v>0.88</v>
      </c>
      <c r="G3813" s="827" t="s">
        <v>13504</v>
      </c>
      <c r="H3813" s="826">
        <v>0</v>
      </c>
      <c r="I3813" s="827" t="s">
        <v>13505</v>
      </c>
      <c r="J3813" s="826">
        <v>0.88</v>
      </c>
    </row>
    <row r="3814" spans="1:10" ht="25.5" customHeight="1" thickBot="1">
      <c r="A3814" s="827"/>
      <c r="B3814" s="827"/>
      <c r="C3814" s="827"/>
      <c r="D3814" s="827"/>
      <c r="E3814" s="827" t="s">
        <v>13506</v>
      </c>
      <c r="F3814" s="826">
        <v>3.33</v>
      </c>
      <c r="G3814" s="827"/>
      <c r="H3814" s="1018" t="s">
        <v>13507</v>
      </c>
      <c r="I3814" s="1018"/>
      <c r="J3814" s="826">
        <v>15.13</v>
      </c>
    </row>
    <row r="3815" spans="1:10" ht="25.5" customHeight="1" thickTop="1">
      <c r="A3815" s="828"/>
      <c r="B3815" s="828"/>
      <c r="C3815" s="828"/>
      <c r="D3815" s="828"/>
      <c r="E3815" s="828"/>
      <c r="F3815" s="828"/>
      <c r="G3815" s="828"/>
      <c r="H3815" s="828"/>
      <c r="I3815" s="828"/>
      <c r="J3815" s="828"/>
    </row>
    <row r="3816" spans="1:10" ht="25.5" customHeight="1">
      <c r="A3816" s="809"/>
      <c r="B3816" s="808" t="s">
        <v>13481</v>
      </c>
      <c r="C3816" s="809" t="s">
        <v>13482</v>
      </c>
      <c r="D3816" s="809" t="s">
        <v>13483</v>
      </c>
      <c r="E3816" s="1019" t="s">
        <v>13484</v>
      </c>
      <c r="F3816" s="1019"/>
      <c r="G3816" s="810" t="s">
        <v>13485</v>
      </c>
      <c r="H3816" s="808" t="s">
        <v>13486</v>
      </c>
      <c r="I3816" s="808" t="s">
        <v>13487</v>
      </c>
      <c r="J3816" s="808" t="s">
        <v>4867</v>
      </c>
    </row>
    <row r="3817" spans="1:10" ht="25.5" customHeight="1">
      <c r="A3817" s="812" t="s">
        <v>13488</v>
      </c>
      <c r="B3817" s="811" t="s">
        <v>14172</v>
      </c>
      <c r="C3817" s="812" t="s">
        <v>6</v>
      </c>
      <c r="D3817" s="812" t="s">
        <v>4428</v>
      </c>
      <c r="E3817" s="1020" t="s">
        <v>13898</v>
      </c>
      <c r="F3817" s="1020"/>
      <c r="G3817" s="813" t="s">
        <v>24</v>
      </c>
      <c r="H3817" s="814">
        <v>1</v>
      </c>
      <c r="I3817" s="815">
        <v>129.91999999999999</v>
      </c>
      <c r="J3817" s="815">
        <v>129.91999999999999</v>
      </c>
    </row>
    <row r="3818" spans="1:10" ht="38.25" customHeight="1">
      <c r="A3818" s="817" t="s">
        <v>13491</v>
      </c>
      <c r="B3818" s="816" t="s">
        <v>13749</v>
      </c>
      <c r="C3818" s="817" t="s">
        <v>6</v>
      </c>
      <c r="D3818" s="817" t="s">
        <v>128</v>
      </c>
      <c r="E3818" s="1021" t="s">
        <v>13490</v>
      </c>
      <c r="F3818" s="1021"/>
      <c r="G3818" s="818" t="s">
        <v>19</v>
      </c>
      <c r="H3818" s="819">
        <v>0.8458</v>
      </c>
      <c r="I3818" s="820">
        <v>18.79</v>
      </c>
      <c r="J3818" s="820">
        <v>15.89</v>
      </c>
    </row>
    <row r="3819" spans="1:10" ht="38.25" customHeight="1">
      <c r="A3819" s="817" t="s">
        <v>13491</v>
      </c>
      <c r="B3819" s="816" t="s">
        <v>13553</v>
      </c>
      <c r="C3819" s="817" t="s">
        <v>6</v>
      </c>
      <c r="D3819" s="817" t="s">
        <v>21</v>
      </c>
      <c r="E3819" s="1021" t="s">
        <v>13490</v>
      </c>
      <c r="F3819" s="1021"/>
      <c r="G3819" s="818" t="s">
        <v>19</v>
      </c>
      <c r="H3819" s="819">
        <v>0.26650000000000001</v>
      </c>
      <c r="I3819" s="820">
        <v>15.16</v>
      </c>
      <c r="J3819" s="820">
        <v>4.04</v>
      </c>
    </row>
    <row r="3820" spans="1:10" ht="13.5" customHeight="1">
      <c r="A3820" s="822" t="s">
        <v>13493</v>
      </c>
      <c r="B3820" s="821" t="s">
        <v>14634</v>
      </c>
      <c r="C3820" s="822" t="s">
        <v>6</v>
      </c>
      <c r="D3820" s="822" t="s">
        <v>10967</v>
      </c>
      <c r="E3820" s="1017" t="s">
        <v>13514</v>
      </c>
      <c r="F3820" s="1017"/>
      <c r="G3820" s="823" t="s">
        <v>24</v>
      </c>
      <c r="H3820" s="824">
        <v>1</v>
      </c>
      <c r="I3820" s="825">
        <v>88.63</v>
      </c>
      <c r="J3820" s="825">
        <v>88.63</v>
      </c>
    </row>
    <row r="3821" spans="1:10">
      <c r="A3821" s="822" t="s">
        <v>13493</v>
      </c>
      <c r="B3821" s="821" t="s">
        <v>14635</v>
      </c>
      <c r="C3821" s="822" t="s">
        <v>6</v>
      </c>
      <c r="D3821" s="822" t="s">
        <v>11361</v>
      </c>
      <c r="E3821" s="1017" t="s">
        <v>13514</v>
      </c>
      <c r="F3821" s="1017"/>
      <c r="G3821" s="823" t="s">
        <v>16</v>
      </c>
      <c r="H3821" s="824">
        <v>0.52710000000000001</v>
      </c>
      <c r="I3821" s="825">
        <v>40.53</v>
      </c>
      <c r="J3821" s="825">
        <v>21.36</v>
      </c>
    </row>
    <row r="3822" spans="1:10" ht="25.5">
      <c r="A3822" s="827"/>
      <c r="B3822" s="827"/>
      <c r="C3822" s="827"/>
      <c r="D3822" s="827"/>
      <c r="E3822" s="827" t="s">
        <v>13503</v>
      </c>
      <c r="F3822" s="826">
        <v>14.5</v>
      </c>
      <c r="G3822" s="827" t="s">
        <v>13504</v>
      </c>
      <c r="H3822" s="826">
        <v>0</v>
      </c>
      <c r="I3822" s="827" t="s">
        <v>13505</v>
      </c>
      <c r="J3822" s="826">
        <v>14.5</v>
      </c>
    </row>
    <row r="3823" spans="1:10" ht="25.5" customHeight="1" thickBot="1">
      <c r="A3823" s="827"/>
      <c r="B3823" s="827"/>
      <c r="C3823" s="827"/>
      <c r="D3823" s="827"/>
      <c r="E3823" s="827" t="s">
        <v>13506</v>
      </c>
      <c r="F3823" s="826">
        <v>36.68</v>
      </c>
      <c r="G3823" s="827"/>
      <c r="H3823" s="1018" t="s">
        <v>13507</v>
      </c>
      <c r="I3823" s="1018"/>
      <c r="J3823" s="826">
        <v>166.6</v>
      </c>
    </row>
    <row r="3824" spans="1:10" ht="13.5" thickTop="1">
      <c r="A3824" s="828"/>
      <c r="B3824" s="828"/>
      <c r="C3824" s="828"/>
      <c r="D3824" s="828"/>
      <c r="E3824" s="828"/>
      <c r="F3824" s="828"/>
      <c r="G3824" s="828"/>
      <c r="H3824" s="828"/>
      <c r="I3824" s="828"/>
      <c r="J3824" s="828"/>
    </row>
    <row r="3825" spans="1:10" ht="15">
      <c r="A3825" s="809"/>
      <c r="B3825" s="808" t="s">
        <v>13481</v>
      </c>
      <c r="C3825" s="809" t="s">
        <v>13482</v>
      </c>
      <c r="D3825" s="809" t="s">
        <v>13483</v>
      </c>
      <c r="E3825" s="1019" t="s">
        <v>13484</v>
      </c>
      <c r="F3825" s="1019"/>
      <c r="G3825" s="810" t="s">
        <v>13485</v>
      </c>
      <c r="H3825" s="808" t="s">
        <v>13486</v>
      </c>
      <c r="I3825" s="808" t="s">
        <v>13487</v>
      </c>
      <c r="J3825" s="808" t="s">
        <v>4867</v>
      </c>
    </row>
    <row r="3826" spans="1:10" ht="13.5" customHeight="1">
      <c r="A3826" s="812" t="s">
        <v>13488</v>
      </c>
      <c r="B3826" s="811" t="s">
        <v>14165</v>
      </c>
      <c r="C3826" s="812" t="s">
        <v>6</v>
      </c>
      <c r="D3826" s="812" t="s">
        <v>4427</v>
      </c>
      <c r="E3826" s="1020" t="s">
        <v>13898</v>
      </c>
      <c r="F3826" s="1020"/>
      <c r="G3826" s="813" t="s">
        <v>24</v>
      </c>
      <c r="H3826" s="814">
        <v>1</v>
      </c>
      <c r="I3826" s="815">
        <v>230.81</v>
      </c>
      <c r="J3826" s="815">
        <v>230.81</v>
      </c>
    </row>
    <row r="3827" spans="1:10" ht="38.25" customHeight="1">
      <c r="A3827" s="817" t="s">
        <v>13491</v>
      </c>
      <c r="B3827" s="816" t="s">
        <v>13749</v>
      </c>
      <c r="C3827" s="817" t="s">
        <v>6</v>
      </c>
      <c r="D3827" s="817" t="s">
        <v>128</v>
      </c>
      <c r="E3827" s="1021" t="s">
        <v>13490</v>
      </c>
      <c r="F3827" s="1021"/>
      <c r="G3827" s="818" t="s">
        <v>19</v>
      </c>
      <c r="H3827" s="819">
        <v>0.47739999999999999</v>
      </c>
      <c r="I3827" s="820">
        <v>18.79</v>
      </c>
      <c r="J3827" s="820">
        <v>8.9700000000000006</v>
      </c>
    </row>
    <row r="3828" spans="1:10" ht="38.25" customHeight="1">
      <c r="A3828" s="817" t="s">
        <v>13491</v>
      </c>
      <c r="B3828" s="816" t="s">
        <v>13553</v>
      </c>
      <c r="C3828" s="817" t="s">
        <v>6</v>
      </c>
      <c r="D3828" s="817" t="s">
        <v>21</v>
      </c>
      <c r="E3828" s="1021" t="s">
        <v>13490</v>
      </c>
      <c r="F3828" s="1021"/>
      <c r="G3828" s="818" t="s">
        <v>19</v>
      </c>
      <c r="H3828" s="819">
        <v>0.15040000000000001</v>
      </c>
      <c r="I3828" s="820">
        <v>15.16</v>
      </c>
      <c r="J3828" s="820">
        <v>2.2799999999999998</v>
      </c>
    </row>
    <row r="3829" spans="1:10" ht="25.5" customHeight="1">
      <c r="A3829" s="822" t="s">
        <v>13493</v>
      </c>
      <c r="B3829" s="821" t="s">
        <v>14636</v>
      </c>
      <c r="C3829" s="822" t="s">
        <v>6</v>
      </c>
      <c r="D3829" s="822" t="s">
        <v>9876</v>
      </c>
      <c r="E3829" s="1017" t="s">
        <v>13514</v>
      </c>
      <c r="F3829" s="1017"/>
      <c r="G3829" s="823" t="s">
        <v>24</v>
      </c>
      <c r="H3829" s="824">
        <v>1</v>
      </c>
      <c r="I3829" s="825">
        <v>207.51</v>
      </c>
      <c r="J3829" s="825">
        <v>207.51</v>
      </c>
    </row>
    <row r="3830" spans="1:10">
      <c r="A3830" s="822" t="s">
        <v>13493</v>
      </c>
      <c r="B3830" s="821" t="s">
        <v>14635</v>
      </c>
      <c r="C3830" s="822" t="s">
        <v>6</v>
      </c>
      <c r="D3830" s="822" t="s">
        <v>11361</v>
      </c>
      <c r="E3830" s="1017" t="s">
        <v>13514</v>
      </c>
      <c r="F3830" s="1017"/>
      <c r="G3830" s="823" t="s">
        <v>16</v>
      </c>
      <c r="H3830" s="824">
        <v>0.2974</v>
      </c>
      <c r="I3830" s="825">
        <v>40.53</v>
      </c>
      <c r="J3830" s="825">
        <v>12.05</v>
      </c>
    </row>
    <row r="3831" spans="1:10" ht="25.5">
      <c r="A3831" s="827"/>
      <c r="B3831" s="827"/>
      <c r="C3831" s="827"/>
      <c r="D3831" s="827"/>
      <c r="E3831" s="827" t="s">
        <v>13503</v>
      </c>
      <c r="F3831" s="826">
        <v>8.19</v>
      </c>
      <c r="G3831" s="827" t="s">
        <v>13504</v>
      </c>
      <c r="H3831" s="826">
        <v>0</v>
      </c>
      <c r="I3831" s="827" t="s">
        <v>13505</v>
      </c>
      <c r="J3831" s="826">
        <v>8.19</v>
      </c>
    </row>
    <row r="3832" spans="1:10" ht="13.5" customHeight="1" thickBot="1">
      <c r="A3832" s="827"/>
      <c r="B3832" s="827"/>
      <c r="C3832" s="827"/>
      <c r="D3832" s="827"/>
      <c r="E3832" s="827" t="s">
        <v>13506</v>
      </c>
      <c r="F3832" s="826">
        <v>65.180000000000007</v>
      </c>
      <c r="G3832" s="827"/>
      <c r="H3832" s="1018" t="s">
        <v>13507</v>
      </c>
      <c r="I3832" s="1018"/>
      <c r="J3832" s="826">
        <v>295.99</v>
      </c>
    </row>
    <row r="3833" spans="1:10" ht="13.5" thickTop="1">
      <c r="A3833" s="828"/>
      <c r="B3833" s="828"/>
      <c r="C3833" s="828"/>
      <c r="D3833" s="828"/>
      <c r="E3833" s="828"/>
      <c r="F3833" s="828"/>
      <c r="G3833" s="828"/>
      <c r="H3833" s="828"/>
      <c r="I3833" s="828"/>
      <c r="J3833" s="828"/>
    </row>
    <row r="3834" spans="1:10" ht="15">
      <c r="A3834" s="809"/>
      <c r="B3834" s="808" t="s">
        <v>13481</v>
      </c>
      <c r="C3834" s="809" t="s">
        <v>13482</v>
      </c>
      <c r="D3834" s="809" t="s">
        <v>13483</v>
      </c>
      <c r="E3834" s="1019" t="s">
        <v>13484</v>
      </c>
      <c r="F3834" s="1019"/>
      <c r="G3834" s="810" t="s">
        <v>13485</v>
      </c>
      <c r="H3834" s="808" t="s">
        <v>13486</v>
      </c>
      <c r="I3834" s="808" t="s">
        <v>13487</v>
      </c>
      <c r="J3834" s="808" t="s">
        <v>4867</v>
      </c>
    </row>
    <row r="3835" spans="1:10" ht="25.5" customHeight="1">
      <c r="A3835" s="812" t="s">
        <v>13488</v>
      </c>
      <c r="B3835" s="811" t="s">
        <v>14545</v>
      </c>
      <c r="C3835" s="812" t="s">
        <v>6</v>
      </c>
      <c r="D3835" s="812" t="s">
        <v>2504</v>
      </c>
      <c r="E3835" s="1020" t="s">
        <v>13490</v>
      </c>
      <c r="F3835" s="1020"/>
      <c r="G3835" s="813" t="s">
        <v>19</v>
      </c>
      <c r="H3835" s="814">
        <v>1</v>
      </c>
      <c r="I3835" s="815">
        <v>0.09</v>
      </c>
      <c r="J3835" s="815">
        <v>0.09</v>
      </c>
    </row>
    <row r="3836" spans="1:10">
      <c r="A3836" s="822" t="s">
        <v>13493</v>
      </c>
      <c r="B3836" s="821" t="s">
        <v>14546</v>
      </c>
      <c r="C3836" s="822" t="s">
        <v>6</v>
      </c>
      <c r="D3836" s="822" t="s">
        <v>8534</v>
      </c>
      <c r="E3836" s="1017" t="s">
        <v>13495</v>
      </c>
      <c r="F3836" s="1017"/>
      <c r="G3836" s="823" t="s">
        <v>19</v>
      </c>
      <c r="H3836" s="824">
        <v>9.4000000000000004E-3</v>
      </c>
      <c r="I3836" s="825">
        <v>10.199999999999999</v>
      </c>
      <c r="J3836" s="825">
        <v>0.09</v>
      </c>
    </row>
    <row r="3837" spans="1:10" ht="25.5">
      <c r="A3837" s="827"/>
      <c r="B3837" s="827"/>
      <c r="C3837" s="827"/>
      <c r="D3837" s="827"/>
      <c r="E3837" s="827" t="s">
        <v>13503</v>
      </c>
      <c r="F3837" s="826">
        <v>0.09</v>
      </c>
      <c r="G3837" s="827" t="s">
        <v>13504</v>
      </c>
      <c r="H3837" s="826">
        <v>0</v>
      </c>
      <c r="I3837" s="827" t="s">
        <v>13505</v>
      </c>
      <c r="J3837" s="826">
        <v>0.09</v>
      </c>
    </row>
    <row r="3838" spans="1:10" ht="13.5" customHeight="1" thickBot="1">
      <c r="A3838" s="827"/>
      <c r="B3838" s="827"/>
      <c r="C3838" s="827"/>
      <c r="D3838" s="827"/>
      <c r="E3838" s="827" t="s">
        <v>13506</v>
      </c>
      <c r="F3838" s="826">
        <v>0.02</v>
      </c>
      <c r="G3838" s="827"/>
      <c r="H3838" s="1018" t="s">
        <v>13507</v>
      </c>
      <c r="I3838" s="1018"/>
      <c r="J3838" s="826">
        <v>0.11</v>
      </c>
    </row>
    <row r="3839" spans="1:10" ht="13.5" thickTop="1">
      <c r="A3839" s="828"/>
      <c r="B3839" s="828"/>
      <c r="C3839" s="828"/>
      <c r="D3839" s="828"/>
      <c r="E3839" s="828"/>
      <c r="F3839" s="828"/>
      <c r="G3839" s="828"/>
      <c r="H3839" s="828"/>
      <c r="I3839" s="828"/>
      <c r="J3839" s="828"/>
    </row>
    <row r="3840" spans="1:10" ht="15">
      <c r="A3840" s="809"/>
      <c r="B3840" s="808" t="s">
        <v>13481</v>
      </c>
      <c r="C3840" s="809" t="s">
        <v>13482</v>
      </c>
      <c r="D3840" s="809" t="s">
        <v>13483</v>
      </c>
      <c r="E3840" s="1019" t="s">
        <v>13484</v>
      </c>
      <c r="F3840" s="1019"/>
      <c r="G3840" s="810" t="s">
        <v>13485</v>
      </c>
      <c r="H3840" s="808" t="s">
        <v>13486</v>
      </c>
      <c r="I3840" s="808" t="s">
        <v>13487</v>
      </c>
      <c r="J3840" s="808" t="s">
        <v>4867</v>
      </c>
    </row>
    <row r="3841" spans="1:10" ht="25.5" customHeight="1">
      <c r="A3841" s="812" t="s">
        <v>13488</v>
      </c>
      <c r="B3841" s="811" t="s">
        <v>14541</v>
      </c>
      <c r="C3841" s="812" t="s">
        <v>6</v>
      </c>
      <c r="D3841" s="812" t="s">
        <v>2505</v>
      </c>
      <c r="E3841" s="1020" t="s">
        <v>13490</v>
      </c>
      <c r="F3841" s="1020"/>
      <c r="G3841" s="813" t="s">
        <v>19</v>
      </c>
      <c r="H3841" s="814">
        <v>1</v>
      </c>
      <c r="I3841" s="815">
        <v>0.13</v>
      </c>
      <c r="J3841" s="815">
        <v>0.13</v>
      </c>
    </row>
    <row r="3842" spans="1:10" ht="25.5" customHeight="1">
      <c r="A3842" s="822" t="s">
        <v>13493</v>
      </c>
      <c r="B3842" s="821" t="s">
        <v>14542</v>
      </c>
      <c r="C3842" s="822" t="s">
        <v>6</v>
      </c>
      <c r="D3842" s="822" t="s">
        <v>13447</v>
      </c>
      <c r="E3842" s="1017" t="s">
        <v>13495</v>
      </c>
      <c r="F3842" s="1017"/>
      <c r="G3842" s="823" t="s">
        <v>19</v>
      </c>
      <c r="H3842" s="824">
        <v>1.2E-2</v>
      </c>
      <c r="I3842" s="825">
        <v>11.05</v>
      </c>
      <c r="J3842" s="825">
        <v>0.13</v>
      </c>
    </row>
    <row r="3843" spans="1:10" ht="25.5" customHeight="1">
      <c r="A3843" s="827"/>
      <c r="B3843" s="827"/>
      <c r="C3843" s="827"/>
      <c r="D3843" s="827"/>
      <c r="E3843" s="827" t="s">
        <v>13503</v>
      </c>
      <c r="F3843" s="826">
        <v>0.13</v>
      </c>
      <c r="G3843" s="827" t="s">
        <v>13504</v>
      </c>
      <c r="H3843" s="826">
        <v>0</v>
      </c>
      <c r="I3843" s="827" t="s">
        <v>13505</v>
      </c>
      <c r="J3843" s="826">
        <v>0.13</v>
      </c>
    </row>
    <row r="3844" spans="1:10" ht="13.5" customHeight="1" thickBot="1">
      <c r="A3844" s="827"/>
      <c r="B3844" s="827"/>
      <c r="C3844" s="827"/>
      <c r="D3844" s="827"/>
      <c r="E3844" s="827" t="s">
        <v>13506</v>
      </c>
      <c r="F3844" s="826">
        <v>0.03</v>
      </c>
      <c r="G3844" s="827"/>
      <c r="H3844" s="1018" t="s">
        <v>13507</v>
      </c>
      <c r="I3844" s="1018"/>
      <c r="J3844" s="826">
        <v>0.16</v>
      </c>
    </row>
    <row r="3845" spans="1:10" ht="13.5" thickTop="1">
      <c r="A3845" s="828"/>
      <c r="B3845" s="828"/>
      <c r="C3845" s="828"/>
      <c r="D3845" s="828"/>
      <c r="E3845" s="828"/>
      <c r="F3845" s="828"/>
      <c r="G3845" s="828"/>
      <c r="H3845" s="828"/>
      <c r="I3845" s="828"/>
      <c r="J3845" s="828"/>
    </row>
    <row r="3846" spans="1:10" ht="13.5" customHeight="1">
      <c r="A3846" s="809"/>
      <c r="B3846" s="808" t="s">
        <v>13481</v>
      </c>
      <c r="C3846" s="809" t="s">
        <v>13482</v>
      </c>
      <c r="D3846" s="809" t="s">
        <v>13483</v>
      </c>
      <c r="E3846" s="1019" t="s">
        <v>13484</v>
      </c>
      <c r="F3846" s="1019"/>
      <c r="G3846" s="810" t="s">
        <v>13485</v>
      </c>
      <c r="H3846" s="808" t="s">
        <v>13486</v>
      </c>
      <c r="I3846" s="808" t="s">
        <v>13487</v>
      </c>
      <c r="J3846" s="808" t="s">
        <v>4867</v>
      </c>
    </row>
    <row r="3847" spans="1:10" ht="25.5" customHeight="1">
      <c r="A3847" s="812" t="s">
        <v>13488</v>
      </c>
      <c r="B3847" s="811" t="s">
        <v>14567</v>
      </c>
      <c r="C3847" s="812" t="s">
        <v>6</v>
      </c>
      <c r="D3847" s="812" t="s">
        <v>2509</v>
      </c>
      <c r="E3847" s="1020" t="s">
        <v>13490</v>
      </c>
      <c r="F3847" s="1020"/>
      <c r="G3847" s="813" t="s">
        <v>19</v>
      </c>
      <c r="H3847" s="814">
        <v>1</v>
      </c>
      <c r="I3847" s="815">
        <v>0.1</v>
      </c>
      <c r="J3847" s="815">
        <v>0.1</v>
      </c>
    </row>
    <row r="3848" spans="1:10">
      <c r="A3848" s="822" t="s">
        <v>13493</v>
      </c>
      <c r="B3848" s="821" t="s">
        <v>14568</v>
      </c>
      <c r="C3848" s="822" t="s">
        <v>6</v>
      </c>
      <c r="D3848" s="822" t="s">
        <v>4580</v>
      </c>
      <c r="E3848" s="1017" t="s">
        <v>13495</v>
      </c>
      <c r="F3848" s="1017"/>
      <c r="G3848" s="823" t="s">
        <v>19</v>
      </c>
      <c r="H3848" s="824">
        <v>9.4000000000000004E-3</v>
      </c>
      <c r="I3848" s="825">
        <v>11.05</v>
      </c>
      <c r="J3848" s="825">
        <v>0.1</v>
      </c>
    </row>
    <row r="3849" spans="1:10" ht="25.5" customHeight="1">
      <c r="A3849" s="827"/>
      <c r="B3849" s="827"/>
      <c r="C3849" s="827"/>
      <c r="D3849" s="827"/>
      <c r="E3849" s="827" t="s">
        <v>13503</v>
      </c>
      <c r="F3849" s="826">
        <v>0.1</v>
      </c>
      <c r="G3849" s="827" t="s">
        <v>13504</v>
      </c>
      <c r="H3849" s="826">
        <v>0</v>
      </c>
      <c r="I3849" s="827" t="s">
        <v>13505</v>
      </c>
      <c r="J3849" s="826">
        <v>0.1</v>
      </c>
    </row>
    <row r="3850" spans="1:10" ht="25.5" customHeight="1" thickBot="1">
      <c r="A3850" s="827"/>
      <c r="B3850" s="827"/>
      <c r="C3850" s="827"/>
      <c r="D3850" s="827"/>
      <c r="E3850" s="827" t="s">
        <v>13506</v>
      </c>
      <c r="F3850" s="826">
        <v>0.02</v>
      </c>
      <c r="G3850" s="827"/>
      <c r="H3850" s="1018" t="s">
        <v>13507</v>
      </c>
      <c r="I3850" s="1018"/>
      <c r="J3850" s="826">
        <v>0.12</v>
      </c>
    </row>
    <row r="3851" spans="1:10" ht="25.5" customHeight="1" thickTop="1">
      <c r="A3851" s="828"/>
      <c r="B3851" s="828"/>
      <c r="C3851" s="828"/>
      <c r="D3851" s="828"/>
      <c r="E3851" s="828"/>
      <c r="F3851" s="828"/>
      <c r="G3851" s="828"/>
      <c r="H3851" s="828"/>
      <c r="I3851" s="828"/>
      <c r="J3851" s="828"/>
    </row>
    <row r="3852" spans="1:10" ht="38.25" customHeight="1">
      <c r="A3852" s="809"/>
      <c r="B3852" s="808" t="s">
        <v>13481</v>
      </c>
      <c r="C3852" s="809" t="s">
        <v>13482</v>
      </c>
      <c r="D3852" s="809" t="s">
        <v>13483</v>
      </c>
      <c r="E3852" s="1019" t="s">
        <v>13484</v>
      </c>
      <c r="F3852" s="1019"/>
      <c r="G3852" s="810" t="s">
        <v>13485</v>
      </c>
      <c r="H3852" s="808" t="s">
        <v>13486</v>
      </c>
      <c r="I3852" s="808" t="s">
        <v>13487</v>
      </c>
      <c r="J3852" s="808" t="s">
        <v>4867</v>
      </c>
    </row>
    <row r="3853" spans="1:10" ht="25.5" customHeight="1">
      <c r="A3853" s="812" t="s">
        <v>13488</v>
      </c>
      <c r="B3853" s="811" t="s">
        <v>14552</v>
      </c>
      <c r="C3853" s="812" t="s">
        <v>6</v>
      </c>
      <c r="D3853" s="812" t="s">
        <v>533</v>
      </c>
      <c r="E3853" s="1020" t="s">
        <v>13490</v>
      </c>
      <c r="F3853" s="1020"/>
      <c r="G3853" s="813" t="s">
        <v>19</v>
      </c>
      <c r="H3853" s="814">
        <v>1</v>
      </c>
      <c r="I3853" s="815">
        <v>0.12</v>
      </c>
      <c r="J3853" s="815">
        <v>0.12</v>
      </c>
    </row>
    <row r="3854" spans="1:10">
      <c r="A3854" s="822" t="s">
        <v>13493</v>
      </c>
      <c r="B3854" s="821" t="s">
        <v>14553</v>
      </c>
      <c r="C3854" s="822" t="s">
        <v>6</v>
      </c>
      <c r="D3854" s="822" t="s">
        <v>8712</v>
      </c>
      <c r="E3854" s="1017" t="s">
        <v>13495</v>
      </c>
      <c r="F3854" s="1017"/>
      <c r="G3854" s="823" t="s">
        <v>19</v>
      </c>
      <c r="H3854" s="824">
        <v>9.4000000000000004E-3</v>
      </c>
      <c r="I3854" s="825">
        <v>13.73</v>
      </c>
      <c r="J3854" s="825">
        <v>0.12</v>
      </c>
    </row>
    <row r="3855" spans="1:10" ht="25.5">
      <c r="A3855" s="827"/>
      <c r="B3855" s="827"/>
      <c r="C3855" s="827"/>
      <c r="D3855" s="827"/>
      <c r="E3855" s="827" t="s">
        <v>13503</v>
      </c>
      <c r="F3855" s="826">
        <v>0.12</v>
      </c>
      <c r="G3855" s="827" t="s">
        <v>13504</v>
      </c>
      <c r="H3855" s="826">
        <v>0</v>
      </c>
      <c r="I3855" s="827" t="s">
        <v>13505</v>
      </c>
      <c r="J3855" s="826">
        <v>0.12</v>
      </c>
    </row>
    <row r="3856" spans="1:10" ht="13.5" customHeight="1" thickBot="1">
      <c r="A3856" s="827"/>
      <c r="B3856" s="827"/>
      <c r="C3856" s="827"/>
      <c r="D3856" s="827"/>
      <c r="E3856" s="827" t="s">
        <v>13506</v>
      </c>
      <c r="F3856" s="826">
        <v>0.03</v>
      </c>
      <c r="G3856" s="827"/>
      <c r="H3856" s="1018" t="s">
        <v>13507</v>
      </c>
      <c r="I3856" s="1018"/>
      <c r="J3856" s="826">
        <v>0.15</v>
      </c>
    </row>
    <row r="3857" spans="1:10" ht="13.5" thickTop="1">
      <c r="A3857" s="828"/>
      <c r="B3857" s="828"/>
      <c r="C3857" s="828"/>
      <c r="D3857" s="828"/>
      <c r="E3857" s="828"/>
      <c r="F3857" s="828"/>
      <c r="G3857" s="828"/>
      <c r="H3857" s="828"/>
      <c r="I3857" s="828"/>
      <c r="J3857" s="828"/>
    </row>
    <row r="3858" spans="1:10" ht="15">
      <c r="A3858" s="809"/>
      <c r="B3858" s="808" t="s">
        <v>13481</v>
      </c>
      <c r="C3858" s="809" t="s">
        <v>13482</v>
      </c>
      <c r="D3858" s="809" t="s">
        <v>13483</v>
      </c>
      <c r="E3858" s="1019" t="s">
        <v>13484</v>
      </c>
      <c r="F3858" s="1019"/>
      <c r="G3858" s="810" t="s">
        <v>13485</v>
      </c>
      <c r="H3858" s="808" t="s">
        <v>13486</v>
      </c>
      <c r="I3858" s="808" t="s">
        <v>13487</v>
      </c>
      <c r="J3858" s="808" t="s">
        <v>4867</v>
      </c>
    </row>
    <row r="3859" spans="1:10" ht="25.5" customHeight="1">
      <c r="A3859" s="812" t="s">
        <v>13488</v>
      </c>
      <c r="B3859" s="811" t="s">
        <v>14439</v>
      </c>
      <c r="C3859" s="812" t="s">
        <v>6</v>
      </c>
      <c r="D3859" s="812" t="s">
        <v>2511</v>
      </c>
      <c r="E3859" s="1020" t="s">
        <v>13490</v>
      </c>
      <c r="F3859" s="1020"/>
      <c r="G3859" s="813" t="s">
        <v>19</v>
      </c>
      <c r="H3859" s="814">
        <v>1</v>
      </c>
      <c r="I3859" s="815">
        <v>0.3</v>
      </c>
      <c r="J3859" s="815">
        <v>0.3</v>
      </c>
    </row>
    <row r="3860" spans="1:10">
      <c r="A3860" s="822" t="s">
        <v>13493</v>
      </c>
      <c r="B3860" s="821" t="s">
        <v>14440</v>
      </c>
      <c r="C3860" s="822" t="s">
        <v>6</v>
      </c>
      <c r="D3860" s="822" t="s">
        <v>4579</v>
      </c>
      <c r="E3860" s="1017" t="s">
        <v>13495</v>
      </c>
      <c r="F3860" s="1017"/>
      <c r="G3860" s="823" t="s">
        <v>19</v>
      </c>
      <c r="H3860" s="824">
        <v>3.0200000000000001E-2</v>
      </c>
      <c r="I3860" s="825">
        <v>9.9700000000000006</v>
      </c>
      <c r="J3860" s="825">
        <v>0.3</v>
      </c>
    </row>
    <row r="3861" spans="1:10" ht="25.5">
      <c r="A3861" s="827"/>
      <c r="B3861" s="827"/>
      <c r="C3861" s="827"/>
      <c r="D3861" s="827"/>
      <c r="E3861" s="827" t="s">
        <v>13503</v>
      </c>
      <c r="F3861" s="826">
        <v>0.3</v>
      </c>
      <c r="G3861" s="827" t="s">
        <v>13504</v>
      </c>
      <c r="H3861" s="826">
        <v>0</v>
      </c>
      <c r="I3861" s="827" t="s">
        <v>13505</v>
      </c>
      <c r="J3861" s="826">
        <v>0.3</v>
      </c>
    </row>
    <row r="3862" spans="1:10" ht="13.5" customHeight="1" thickBot="1">
      <c r="A3862" s="827"/>
      <c r="B3862" s="827"/>
      <c r="C3862" s="827"/>
      <c r="D3862" s="827"/>
      <c r="E3862" s="827" t="s">
        <v>13506</v>
      </c>
      <c r="F3862" s="826">
        <v>0.08</v>
      </c>
      <c r="G3862" s="827"/>
      <c r="H3862" s="1018" t="s">
        <v>13507</v>
      </c>
      <c r="I3862" s="1018"/>
      <c r="J3862" s="826">
        <v>0.38</v>
      </c>
    </row>
    <row r="3863" spans="1:10" ht="13.5" thickTop="1">
      <c r="A3863" s="828"/>
      <c r="B3863" s="828"/>
      <c r="C3863" s="828"/>
      <c r="D3863" s="828"/>
      <c r="E3863" s="828"/>
      <c r="F3863" s="828"/>
      <c r="G3863" s="828"/>
      <c r="H3863" s="828"/>
      <c r="I3863" s="828"/>
      <c r="J3863" s="828"/>
    </row>
    <row r="3864" spans="1:10" ht="15">
      <c r="A3864" s="809"/>
      <c r="B3864" s="808" t="s">
        <v>13481</v>
      </c>
      <c r="C3864" s="809" t="s">
        <v>13482</v>
      </c>
      <c r="D3864" s="809" t="s">
        <v>13483</v>
      </c>
      <c r="E3864" s="1019" t="s">
        <v>13484</v>
      </c>
      <c r="F3864" s="1019"/>
      <c r="G3864" s="810" t="s">
        <v>13485</v>
      </c>
      <c r="H3864" s="808" t="s">
        <v>13486</v>
      </c>
      <c r="I3864" s="808" t="s">
        <v>13487</v>
      </c>
      <c r="J3864" s="808" t="s">
        <v>4867</v>
      </c>
    </row>
    <row r="3865" spans="1:10" ht="25.5" customHeight="1">
      <c r="A3865" s="812" t="s">
        <v>13488</v>
      </c>
      <c r="B3865" s="811" t="s">
        <v>14415</v>
      </c>
      <c r="C3865" s="812" t="s">
        <v>6</v>
      </c>
      <c r="D3865" s="812" t="s">
        <v>2512</v>
      </c>
      <c r="E3865" s="1020" t="s">
        <v>13490</v>
      </c>
      <c r="F3865" s="1020"/>
      <c r="G3865" s="813" t="s">
        <v>19</v>
      </c>
      <c r="H3865" s="814">
        <v>1</v>
      </c>
      <c r="I3865" s="815">
        <v>0.16</v>
      </c>
      <c r="J3865" s="815">
        <v>0.16</v>
      </c>
    </row>
    <row r="3866" spans="1:10">
      <c r="A3866" s="822" t="s">
        <v>13493</v>
      </c>
      <c r="B3866" s="821" t="s">
        <v>14416</v>
      </c>
      <c r="C3866" s="822" t="s">
        <v>6</v>
      </c>
      <c r="D3866" s="822" t="s">
        <v>13446</v>
      </c>
      <c r="E3866" s="1017" t="s">
        <v>13495</v>
      </c>
      <c r="F3866" s="1017"/>
      <c r="G3866" s="823" t="s">
        <v>19</v>
      </c>
      <c r="H3866" s="824">
        <v>1.46E-2</v>
      </c>
      <c r="I3866" s="825">
        <v>11.05</v>
      </c>
      <c r="J3866" s="825">
        <v>0.16</v>
      </c>
    </row>
    <row r="3867" spans="1:10" ht="25.5">
      <c r="A3867" s="827"/>
      <c r="B3867" s="827"/>
      <c r="C3867" s="827"/>
      <c r="D3867" s="827"/>
      <c r="E3867" s="827" t="s">
        <v>13503</v>
      </c>
      <c r="F3867" s="826">
        <v>0.16</v>
      </c>
      <c r="G3867" s="827" t="s">
        <v>13504</v>
      </c>
      <c r="H3867" s="826">
        <v>0</v>
      </c>
      <c r="I3867" s="827" t="s">
        <v>13505</v>
      </c>
      <c r="J3867" s="826">
        <v>0.16</v>
      </c>
    </row>
    <row r="3868" spans="1:10" ht="13.5" customHeight="1" thickBot="1">
      <c r="A3868" s="827"/>
      <c r="B3868" s="827"/>
      <c r="C3868" s="827"/>
      <c r="D3868" s="827"/>
      <c r="E3868" s="827" t="s">
        <v>13506</v>
      </c>
      <c r="F3868" s="826">
        <v>0.04</v>
      </c>
      <c r="G3868" s="827"/>
      <c r="H3868" s="1018" t="s">
        <v>13507</v>
      </c>
      <c r="I3868" s="1018"/>
      <c r="J3868" s="826">
        <v>0.2</v>
      </c>
    </row>
    <row r="3869" spans="1:10" ht="13.5" thickTop="1">
      <c r="A3869" s="828"/>
      <c r="B3869" s="828"/>
      <c r="C3869" s="828"/>
      <c r="D3869" s="828"/>
      <c r="E3869" s="828"/>
      <c r="F3869" s="828"/>
      <c r="G3869" s="828"/>
      <c r="H3869" s="828"/>
      <c r="I3869" s="828"/>
      <c r="J3869" s="828"/>
    </row>
    <row r="3870" spans="1:10" ht="15">
      <c r="A3870" s="809"/>
      <c r="B3870" s="808" t="s">
        <v>13481</v>
      </c>
      <c r="C3870" s="809" t="s">
        <v>13482</v>
      </c>
      <c r="D3870" s="809" t="s">
        <v>13483</v>
      </c>
      <c r="E3870" s="1019" t="s">
        <v>13484</v>
      </c>
      <c r="F3870" s="1019"/>
      <c r="G3870" s="810" t="s">
        <v>13485</v>
      </c>
      <c r="H3870" s="808" t="s">
        <v>13486</v>
      </c>
      <c r="I3870" s="808" t="s">
        <v>13487</v>
      </c>
      <c r="J3870" s="808" t="s">
        <v>4867</v>
      </c>
    </row>
    <row r="3871" spans="1:10" ht="25.5" customHeight="1">
      <c r="A3871" s="812" t="s">
        <v>13488</v>
      </c>
      <c r="B3871" s="811" t="s">
        <v>14550</v>
      </c>
      <c r="C3871" s="812" t="s">
        <v>6</v>
      </c>
      <c r="D3871" s="812" t="s">
        <v>2515</v>
      </c>
      <c r="E3871" s="1020" t="s">
        <v>13490</v>
      </c>
      <c r="F3871" s="1020"/>
      <c r="G3871" s="813" t="s">
        <v>19</v>
      </c>
      <c r="H3871" s="814">
        <v>1</v>
      </c>
      <c r="I3871" s="815">
        <v>0.1</v>
      </c>
      <c r="J3871" s="815">
        <v>0.1</v>
      </c>
    </row>
    <row r="3872" spans="1:10">
      <c r="A3872" s="822" t="s">
        <v>13493</v>
      </c>
      <c r="B3872" s="821" t="s">
        <v>14551</v>
      </c>
      <c r="C3872" s="822" t="s">
        <v>6</v>
      </c>
      <c r="D3872" s="822" t="s">
        <v>8542</v>
      </c>
      <c r="E3872" s="1017" t="s">
        <v>13495</v>
      </c>
      <c r="F3872" s="1017"/>
      <c r="G3872" s="823" t="s">
        <v>19</v>
      </c>
      <c r="H3872" s="824">
        <v>9.4000000000000004E-3</v>
      </c>
      <c r="I3872" s="825">
        <v>11.05</v>
      </c>
      <c r="J3872" s="825">
        <v>0.1</v>
      </c>
    </row>
    <row r="3873" spans="1:10" ht="25.5">
      <c r="A3873" s="827"/>
      <c r="B3873" s="827"/>
      <c r="C3873" s="827"/>
      <c r="D3873" s="827"/>
      <c r="E3873" s="827" t="s">
        <v>13503</v>
      </c>
      <c r="F3873" s="826">
        <v>0.1</v>
      </c>
      <c r="G3873" s="827" t="s">
        <v>13504</v>
      </c>
      <c r="H3873" s="826">
        <v>0</v>
      </c>
      <c r="I3873" s="827" t="s">
        <v>13505</v>
      </c>
      <c r="J3873" s="826">
        <v>0.1</v>
      </c>
    </row>
    <row r="3874" spans="1:10" ht="13.5" customHeight="1" thickBot="1">
      <c r="A3874" s="827"/>
      <c r="B3874" s="827"/>
      <c r="C3874" s="827"/>
      <c r="D3874" s="827"/>
      <c r="E3874" s="827" t="s">
        <v>13506</v>
      </c>
      <c r="F3874" s="826">
        <v>0.02</v>
      </c>
      <c r="G3874" s="827"/>
      <c r="H3874" s="1018" t="s">
        <v>13507</v>
      </c>
      <c r="I3874" s="1018"/>
      <c r="J3874" s="826">
        <v>0.12</v>
      </c>
    </row>
    <row r="3875" spans="1:10" ht="13.5" thickTop="1">
      <c r="A3875" s="828"/>
      <c r="B3875" s="828"/>
      <c r="C3875" s="828"/>
      <c r="D3875" s="828"/>
      <c r="E3875" s="828"/>
      <c r="F3875" s="828"/>
      <c r="G3875" s="828"/>
      <c r="H3875" s="828"/>
      <c r="I3875" s="828"/>
      <c r="J3875" s="828"/>
    </row>
    <row r="3876" spans="1:10" ht="15">
      <c r="A3876" s="809"/>
      <c r="B3876" s="808" t="s">
        <v>13481</v>
      </c>
      <c r="C3876" s="809" t="s">
        <v>13482</v>
      </c>
      <c r="D3876" s="809" t="s">
        <v>13483</v>
      </c>
      <c r="E3876" s="1019" t="s">
        <v>13484</v>
      </c>
      <c r="F3876" s="1019"/>
      <c r="G3876" s="810" t="s">
        <v>13485</v>
      </c>
      <c r="H3876" s="808" t="s">
        <v>13486</v>
      </c>
      <c r="I3876" s="808" t="s">
        <v>13487</v>
      </c>
      <c r="J3876" s="808" t="s">
        <v>4867</v>
      </c>
    </row>
    <row r="3877" spans="1:10" ht="38.25" customHeight="1">
      <c r="A3877" s="812" t="s">
        <v>13488</v>
      </c>
      <c r="B3877" s="811" t="s">
        <v>14548</v>
      </c>
      <c r="C3877" s="812" t="s">
        <v>6</v>
      </c>
      <c r="D3877" s="812" t="s">
        <v>2519</v>
      </c>
      <c r="E3877" s="1020" t="s">
        <v>13490</v>
      </c>
      <c r="F3877" s="1020"/>
      <c r="G3877" s="813" t="s">
        <v>19</v>
      </c>
      <c r="H3877" s="814">
        <v>1</v>
      </c>
      <c r="I3877" s="815">
        <v>0.16</v>
      </c>
      <c r="J3877" s="815">
        <v>0.16</v>
      </c>
    </row>
    <row r="3878" spans="1:10">
      <c r="A3878" s="822" t="s">
        <v>13493</v>
      </c>
      <c r="B3878" s="821" t="s">
        <v>14549</v>
      </c>
      <c r="C3878" s="822" t="s">
        <v>6</v>
      </c>
      <c r="D3878" s="822" t="s">
        <v>8762</v>
      </c>
      <c r="E3878" s="1017" t="s">
        <v>13495</v>
      </c>
      <c r="F3878" s="1017"/>
      <c r="G3878" s="823" t="s">
        <v>19</v>
      </c>
      <c r="H3878" s="824">
        <v>1.2E-2</v>
      </c>
      <c r="I3878" s="825">
        <v>13.73</v>
      </c>
      <c r="J3878" s="825">
        <v>0.16</v>
      </c>
    </row>
    <row r="3879" spans="1:10" ht="25.5">
      <c r="A3879" s="827"/>
      <c r="B3879" s="827"/>
      <c r="C3879" s="827"/>
      <c r="D3879" s="827"/>
      <c r="E3879" s="827" t="s">
        <v>13503</v>
      </c>
      <c r="F3879" s="826">
        <v>0.16</v>
      </c>
      <c r="G3879" s="827" t="s">
        <v>13504</v>
      </c>
      <c r="H3879" s="826">
        <v>0</v>
      </c>
      <c r="I3879" s="827" t="s">
        <v>13505</v>
      </c>
      <c r="J3879" s="826">
        <v>0.16</v>
      </c>
    </row>
    <row r="3880" spans="1:10" ht="13.5" customHeight="1" thickBot="1">
      <c r="A3880" s="827"/>
      <c r="B3880" s="827"/>
      <c r="C3880" s="827"/>
      <c r="D3880" s="827"/>
      <c r="E3880" s="827" t="s">
        <v>13506</v>
      </c>
      <c r="F3880" s="826">
        <v>0.04</v>
      </c>
      <c r="G3880" s="827"/>
      <c r="H3880" s="1018" t="s">
        <v>13507</v>
      </c>
      <c r="I3880" s="1018"/>
      <c r="J3880" s="826">
        <v>0.2</v>
      </c>
    </row>
    <row r="3881" spans="1:10" ht="13.5" thickTop="1">
      <c r="A3881" s="828"/>
      <c r="B3881" s="828"/>
      <c r="C3881" s="828"/>
      <c r="D3881" s="828"/>
      <c r="E3881" s="828"/>
      <c r="F3881" s="828"/>
      <c r="G3881" s="828"/>
      <c r="H3881" s="828"/>
      <c r="I3881" s="828"/>
      <c r="J3881" s="828"/>
    </row>
    <row r="3882" spans="1:10" ht="15">
      <c r="A3882" s="809"/>
      <c r="B3882" s="808" t="s">
        <v>13481</v>
      </c>
      <c r="C3882" s="809" t="s">
        <v>13482</v>
      </c>
      <c r="D3882" s="809" t="s">
        <v>13483</v>
      </c>
      <c r="E3882" s="1019" t="s">
        <v>13484</v>
      </c>
      <c r="F3882" s="1019"/>
      <c r="G3882" s="810" t="s">
        <v>13485</v>
      </c>
      <c r="H3882" s="808" t="s">
        <v>13486</v>
      </c>
      <c r="I3882" s="808" t="s">
        <v>13487</v>
      </c>
      <c r="J3882" s="808" t="s">
        <v>4867</v>
      </c>
    </row>
    <row r="3883" spans="1:10" ht="38.25" customHeight="1">
      <c r="A3883" s="812" t="s">
        <v>13488</v>
      </c>
      <c r="B3883" s="811" t="s">
        <v>14590</v>
      </c>
      <c r="C3883" s="812" t="s">
        <v>6</v>
      </c>
      <c r="D3883" s="812" t="s">
        <v>2522</v>
      </c>
      <c r="E3883" s="1020" t="s">
        <v>13490</v>
      </c>
      <c r="F3883" s="1020"/>
      <c r="G3883" s="813" t="s">
        <v>19</v>
      </c>
      <c r="H3883" s="814">
        <v>1</v>
      </c>
      <c r="I3883" s="815">
        <v>0.11</v>
      </c>
      <c r="J3883" s="815">
        <v>0.11</v>
      </c>
    </row>
    <row r="3884" spans="1:10" ht="38.25" customHeight="1">
      <c r="A3884" s="822" t="s">
        <v>13493</v>
      </c>
      <c r="B3884" s="821" t="s">
        <v>14591</v>
      </c>
      <c r="C3884" s="822" t="s">
        <v>6</v>
      </c>
      <c r="D3884" s="822" t="s">
        <v>9314</v>
      </c>
      <c r="E3884" s="1017" t="s">
        <v>13495</v>
      </c>
      <c r="F3884" s="1017"/>
      <c r="G3884" s="823" t="s">
        <v>19</v>
      </c>
      <c r="H3884" s="824">
        <v>9.4000000000000004E-3</v>
      </c>
      <c r="I3884" s="825">
        <v>12.41</v>
      </c>
      <c r="J3884" s="825">
        <v>0.11</v>
      </c>
    </row>
    <row r="3885" spans="1:10" ht="38.25" customHeight="1">
      <c r="A3885" s="827"/>
      <c r="B3885" s="827"/>
      <c r="C3885" s="827"/>
      <c r="D3885" s="827"/>
      <c r="E3885" s="827" t="s">
        <v>13503</v>
      </c>
      <c r="F3885" s="826">
        <v>0.11</v>
      </c>
      <c r="G3885" s="827" t="s">
        <v>13504</v>
      </c>
      <c r="H3885" s="826">
        <v>0</v>
      </c>
      <c r="I3885" s="827" t="s">
        <v>13505</v>
      </c>
      <c r="J3885" s="826">
        <v>0.11</v>
      </c>
    </row>
    <row r="3886" spans="1:10" ht="13.5" customHeight="1" thickBot="1">
      <c r="A3886" s="827"/>
      <c r="B3886" s="827"/>
      <c r="C3886" s="827"/>
      <c r="D3886" s="827"/>
      <c r="E3886" s="827" t="s">
        <v>13506</v>
      </c>
      <c r="F3886" s="826">
        <v>0.03</v>
      </c>
      <c r="G3886" s="827"/>
      <c r="H3886" s="1018" t="s">
        <v>13507</v>
      </c>
      <c r="I3886" s="1018"/>
      <c r="J3886" s="826">
        <v>0.14000000000000001</v>
      </c>
    </row>
    <row r="3887" spans="1:10" ht="13.5" customHeight="1" thickTop="1">
      <c r="A3887" s="828"/>
      <c r="B3887" s="828"/>
      <c r="C3887" s="828"/>
      <c r="D3887" s="828"/>
      <c r="E3887" s="828"/>
      <c r="F3887" s="828"/>
      <c r="G3887" s="828"/>
      <c r="H3887" s="828"/>
      <c r="I3887" s="828"/>
      <c r="J3887" s="828"/>
    </row>
    <row r="3888" spans="1:10" ht="15">
      <c r="A3888" s="809"/>
      <c r="B3888" s="808" t="s">
        <v>13481</v>
      </c>
      <c r="C3888" s="809" t="s">
        <v>13482</v>
      </c>
      <c r="D3888" s="809" t="s">
        <v>13483</v>
      </c>
      <c r="E3888" s="1019" t="s">
        <v>13484</v>
      </c>
      <c r="F3888" s="1019"/>
      <c r="G3888" s="810" t="s">
        <v>13485</v>
      </c>
      <c r="H3888" s="808" t="s">
        <v>13486</v>
      </c>
      <c r="I3888" s="808" t="s">
        <v>13487</v>
      </c>
      <c r="J3888" s="808" t="s">
        <v>4867</v>
      </c>
    </row>
    <row r="3889" spans="1:10" ht="25.5" customHeight="1">
      <c r="A3889" s="812" t="s">
        <v>13488</v>
      </c>
      <c r="B3889" s="811" t="s">
        <v>14614</v>
      </c>
      <c r="C3889" s="812" t="s">
        <v>6</v>
      </c>
      <c r="D3889" s="812" t="s">
        <v>2523</v>
      </c>
      <c r="E3889" s="1020" t="s">
        <v>13490</v>
      </c>
      <c r="F3889" s="1020"/>
      <c r="G3889" s="813" t="s">
        <v>19</v>
      </c>
      <c r="H3889" s="814">
        <v>1</v>
      </c>
      <c r="I3889" s="815">
        <v>0.15</v>
      </c>
      <c r="J3889" s="815">
        <v>0.15</v>
      </c>
    </row>
    <row r="3890" spans="1:10" ht="38.25" customHeight="1">
      <c r="A3890" s="822" t="s">
        <v>13493</v>
      </c>
      <c r="B3890" s="821" t="s">
        <v>14615</v>
      </c>
      <c r="C3890" s="822" t="s">
        <v>6</v>
      </c>
      <c r="D3890" s="822" t="s">
        <v>13448</v>
      </c>
      <c r="E3890" s="1017" t="s">
        <v>13495</v>
      </c>
      <c r="F3890" s="1017"/>
      <c r="G3890" s="823" t="s">
        <v>19</v>
      </c>
      <c r="H3890" s="824">
        <v>1.2E-2</v>
      </c>
      <c r="I3890" s="825">
        <v>12.91</v>
      </c>
      <c r="J3890" s="825">
        <v>0.15</v>
      </c>
    </row>
    <row r="3891" spans="1:10" ht="38.25" customHeight="1">
      <c r="A3891" s="827"/>
      <c r="B3891" s="827"/>
      <c r="C3891" s="827"/>
      <c r="D3891" s="827"/>
      <c r="E3891" s="827" t="s">
        <v>13503</v>
      </c>
      <c r="F3891" s="826">
        <v>0.15</v>
      </c>
      <c r="G3891" s="827" t="s">
        <v>13504</v>
      </c>
      <c r="H3891" s="826">
        <v>0</v>
      </c>
      <c r="I3891" s="827" t="s">
        <v>13505</v>
      </c>
      <c r="J3891" s="826">
        <v>0.15</v>
      </c>
    </row>
    <row r="3892" spans="1:10" ht="38.25" customHeight="1" thickBot="1">
      <c r="A3892" s="827"/>
      <c r="B3892" s="827"/>
      <c r="C3892" s="827"/>
      <c r="D3892" s="827"/>
      <c r="E3892" s="827" t="s">
        <v>13506</v>
      </c>
      <c r="F3892" s="826">
        <v>0.04</v>
      </c>
      <c r="G3892" s="827"/>
      <c r="H3892" s="1018" t="s">
        <v>13507</v>
      </c>
      <c r="I3892" s="1018"/>
      <c r="J3892" s="826">
        <v>0.19</v>
      </c>
    </row>
    <row r="3893" spans="1:10" ht="38.25" customHeight="1" thickTop="1">
      <c r="A3893" s="828"/>
      <c r="B3893" s="828"/>
      <c r="C3893" s="828"/>
      <c r="D3893" s="828"/>
      <c r="E3893" s="828"/>
      <c r="F3893" s="828"/>
      <c r="G3893" s="828"/>
      <c r="H3893" s="828"/>
      <c r="I3893" s="828"/>
      <c r="J3893" s="828"/>
    </row>
    <row r="3894" spans="1:10" ht="38.25" customHeight="1">
      <c r="A3894" s="809"/>
      <c r="B3894" s="808" t="s">
        <v>13481</v>
      </c>
      <c r="C3894" s="809" t="s">
        <v>13482</v>
      </c>
      <c r="D3894" s="809" t="s">
        <v>13483</v>
      </c>
      <c r="E3894" s="1019" t="s">
        <v>13484</v>
      </c>
      <c r="F3894" s="1019"/>
      <c r="G3894" s="810" t="s">
        <v>13485</v>
      </c>
      <c r="H3894" s="808" t="s">
        <v>13486</v>
      </c>
      <c r="I3894" s="808" t="s">
        <v>13487</v>
      </c>
      <c r="J3894" s="808" t="s">
        <v>4867</v>
      </c>
    </row>
    <row r="3895" spans="1:10" ht="25.5" customHeight="1">
      <c r="A3895" s="812" t="s">
        <v>13488</v>
      </c>
      <c r="B3895" s="811" t="s">
        <v>14558</v>
      </c>
      <c r="C3895" s="812" t="s">
        <v>6</v>
      </c>
      <c r="D3895" s="812" t="s">
        <v>2524</v>
      </c>
      <c r="E3895" s="1020" t="s">
        <v>13490</v>
      </c>
      <c r="F3895" s="1020"/>
      <c r="G3895" s="813" t="s">
        <v>19</v>
      </c>
      <c r="H3895" s="814">
        <v>1</v>
      </c>
      <c r="I3895" s="815">
        <v>0.12</v>
      </c>
      <c r="J3895" s="815">
        <v>0.12</v>
      </c>
    </row>
    <row r="3896" spans="1:10" ht="13.5" customHeight="1">
      <c r="A3896" s="822" t="s">
        <v>13493</v>
      </c>
      <c r="B3896" s="821" t="s">
        <v>14559</v>
      </c>
      <c r="C3896" s="822" t="s">
        <v>6</v>
      </c>
      <c r="D3896" s="822" t="s">
        <v>13449</v>
      </c>
      <c r="E3896" s="1017" t="s">
        <v>13495</v>
      </c>
      <c r="F3896" s="1017"/>
      <c r="G3896" s="823" t="s">
        <v>19</v>
      </c>
      <c r="H3896" s="824">
        <v>9.4000000000000004E-3</v>
      </c>
      <c r="I3896" s="825">
        <v>13.73</v>
      </c>
      <c r="J3896" s="825">
        <v>0.12</v>
      </c>
    </row>
    <row r="3897" spans="1:10" ht="25.5">
      <c r="A3897" s="827"/>
      <c r="B3897" s="827"/>
      <c r="C3897" s="827"/>
      <c r="D3897" s="827"/>
      <c r="E3897" s="827" t="s">
        <v>13503</v>
      </c>
      <c r="F3897" s="826">
        <v>0.12</v>
      </c>
      <c r="G3897" s="827" t="s">
        <v>13504</v>
      </c>
      <c r="H3897" s="826">
        <v>0</v>
      </c>
      <c r="I3897" s="827" t="s">
        <v>13505</v>
      </c>
      <c r="J3897" s="826">
        <v>0.12</v>
      </c>
    </row>
    <row r="3898" spans="1:10" ht="13.5" customHeight="1" thickBot="1">
      <c r="A3898" s="827"/>
      <c r="B3898" s="827"/>
      <c r="C3898" s="827"/>
      <c r="D3898" s="827"/>
      <c r="E3898" s="827" t="s">
        <v>13506</v>
      </c>
      <c r="F3898" s="826">
        <v>0.03</v>
      </c>
      <c r="G3898" s="827"/>
      <c r="H3898" s="1018" t="s">
        <v>13507</v>
      </c>
      <c r="I3898" s="1018"/>
      <c r="J3898" s="826">
        <v>0.15</v>
      </c>
    </row>
    <row r="3899" spans="1:10" ht="38.25" customHeight="1" thickTop="1">
      <c r="A3899" s="828"/>
      <c r="B3899" s="828"/>
      <c r="C3899" s="828"/>
      <c r="D3899" s="828"/>
      <c r="E3899" s="828"/>
      <c r="F3899" s="828"/>
      <c r="G3899" s="828"/>
      <c r="H3899" s="828"/>
      <c r="I3899" s="828"/>
      <c r="J3899" s="828"/>
    </row>
    <row r="3900" spans="1:10" ht="15">
      <c r="A3900" s="809"/>
      <c r="B3900" s="808" t="s">
        <v>13481</v>
      </c>
      <c r="C3900" s="809" t="s">
        <v>13482</v>
      </c>
      <c r="D3900" s="809" t="s">
        <v>13483</v>
      </c>
      <c r="E3900" s="1019" t="s">
        <v>13484</v>
      </c>
      <c r="F3900" s="1019"/>
      <c r="G3900" s="810" t="s">
        <v>13485</v>
      </c>
      <c r="H3900" s="808" t="s">
        <v>13486</v>
      </c>
      <c r="I3900" s="808" t="s">
        <v>13487</v>
      </c>
      <c r="J3900" s="808" t="s">
        <v>4867</v>
      </c>
    </row>
    <row r="3901" spans="1:10" ht="25.5" customHeight="1">
      <c r="A3901" s="812" t="s">
        <v>13488</v>
      </c>
      <c r="B3901" s="811" t="s">
        <v>14433</v>
      </c>
      <c r="C3901" s="812" t="s">
        <v>6</v>
      </c>
      <c r="D3901" s="812" t="s">
        <v>2526</v>
      </c>
      <c r="E3901" s="1020" t="s">
        <v>13490</v>
      </c>
      <c r="F3901" s="1020"/>
      <c r="G3901" s="813" t="s">
        <v>19</v>
      </c>
      <c r="H3901" s="814">
        <v>1</v>
      </c>
      <c r="I3901" s="815">
        <v>0.42</v>
      </c>
      <c r="J3901" s="815">
        <v>0.42</v>
      </c>
    </row>
    <row r="3902" spans="1:10" ht="13.5" customHeight="1">
      <c r="A3902" s="822" t="s">
        <v>13493</v>
      </c>
      <c r="B3902" s="821" t="s">
        <v>14434</v>
      </c>
      <c r="C3902" s="822" t="s">
        <v>6</v>
      </c>
      <c r="D3902" s="822" t="s">
        <v>4640</v>
      </c>
      <c r="E3902" s="1017" t="s">
        <v>13495</v>
      </c>
      <c r="F3902" s="1017"/>
      <c r="G3902" s="823" t="s">
        <v>19</v>
      </c>
      <c r="H3902" s="824">
        <v>3.0200000000000001E-2</v>
      </c>
      <c r="I3902" s="825">
        <v>14.19</v>
      </c>
      <c r="J3902" s="825">
        <v>0.42</v>
      </c>
    </row>
    <row r="3903" spans="1:10" ht="25.5">
      <c r="A3903" s="827"/>
      <c r="B3903" s="827"/>
      <c r="C3903" s="827"/>
      <c r="D3903" s="827"/>
      <c r="E3903" s="827" t="s">
        <v>13503</v>
      </c>
      <c r="F3903" s="826">
        <v>0.42</v>
      </c>
      <c r="G3903" s="827" t="s">
        <v>13504</v>
      </c>
      <c r="H3903" s="826">
        <v>0</v>
      </c>
      <c r="I3903" s="827" t="s">
        <v>13505</v>
      </c>
      <c r="J3903" s="826">
        <v>0.42</v>
      </c>
    </row>
    <row r="3904" spans="1:10" ht="13.5" customHeight="1" thickBot="1">
      <c r="A3904" s="827"/>
      <c r="B3904" s="827"/>
      <c r="C3904" s="827"/>
      <c r="D3904" s="827"/>
      <c r="E3904" s="827" t="s">
        <v>13506</v>
      </c>
      <c r="F3904" s="826">
        <v>0.11</v>
      </c>
      <c r="G3904" s="827"/>
      <c r="H3904" s="1018" t="s">
        <v>13507</v>
      </c>
      <c r="I3904" s="1018"/>
      <c r="J3904" s="826">
        <v>0.53</v>
      </c>
    </row>
    <row r="3905" spans="1:10" ht="38.25" customHeight="1" thickTop="1">
      <c r="A3905" s="828"/>
      <c r="B3905" s="828"/>
      <c r="C3905" s="828"/>
      <c r="D3905" s="828"/>
      <c r="E3905" s="828"/>
      <c r="F3905" s="828"/>
      <c r="G3905" s="828"/>
      <c r="H3905" s="828"/>
      <c r="I3905" s="828"/>
      <c r="J3905" s="828"/>
    </row>
    <row r="3906" spans="1:10" ht="15">
      <c r="A3906" s="809"/>
      <c r="B3906" s="808" t="s">
        <v>13481</v>
      </c>
      <c r="C3906" s="809" t="s">
        <v>13482</v>
      </c>
      <c r="D3906" s="809" t="s">
        <v>13483</v>
      </c>
      <c r="E3906" s="1019" t="s">
        <v>13484</v>
      </c>
      <c r="F3906" s="1019"/>
      <c r="G3906" s="810" t="s">
        <v>13485</v>
      </c>
      <c r="H3906" s="808" t="s">
        <v>13486</v>
      </c>
      <c r="I3906" s="808" t="s">
        <v>13487</v>
      </c>
      <c r="J3906" s="808" t="s">
        <v>4867</v>
      </c>
    </row>
    <row r="3907" spans="1:10" ht="25.5" customHeight="1">
      <c r="A3907" s="812" t="s">
        <v>13488</v>
      </c>
      <c r="B3907" s="811" t="s">
        <v>14419</v>
      </c>
      <c r="C3907" s="812" t="s">
        <v>6</v>
      </c>
      <c r="D3907" s="812" t="s">
        <v>2529</v>
      </c>
      <c r="E3907" s="1020" t="s">
        <v>13490</v>
      </c>
      <c r="F3907" s="1020"/>
      <c r="G3907" s="813" t="s">
        <v>19</v>
      </c>
      <c r="H3907" s="814">
        <v>1</v>
      </c>
      <c r="I3907" s="815">
        <v>0.2</v>
      </c>
      <c r="J3907" s="815">
        <v>0.2</v>
      </c>
    </row>
    <row r="3908" spans="1:10" ht="13.5" customHeight="1">
      <c r="A3908" s="822" t="s">
        <v>13493</v>
      </c>
      <c r="B3908" s="821" t="s">
        <v>14420</v>
      </c>
      <c r="C3908" s="822" t="s">
        <v>6</v>
      </c>
      <c r="D3908" s="822" t="s">
        <v>13450</v>
      </c>
      <c r="E3908" s="1017" t="s">
        <v>13495</v>
      </c>
      <c r="F3908" s="1017"/>
      <c r="G3908" s="823" t="s">
        <v>19</v>
      </c>
      <c r="H3908" s="824">
        <v>1.46E-2</v>
      </c>
      <c r="I3908" s="825">
        <v>14.19</v>
      </c>
      <c r="J3908" s="825">
        <v>0.2</v>
      </c>
    </row>
    <row r="3909" spans="1:10" ht="25.5">
      <c r="A3909" s="827"/>
      <c r="B3909" s="827"/>
      <c r="C3909" s="827"/>
      <c r="D3909" s="827"/>
      <c r="E3909" s="827" t="s">
        <v>13503</v>
      </c>
      <c r="F3909" s="826">
        <v>0.2</v>
      </c>
      <c r="G3909" s="827" t="s">
        <v>13504</v>
      </c>
      <c r="H3909" s="826">
        <v>0</v>
      </c>
      <c r="I3909" s="827" t="s">
        <v>13505</v>
      </c>
      <c r="J3909" s="826">
        <v>0.2</v>
      </c>
    </row>
    <row r="3910" spans="1:10" ht="13.5" customHeight="1" thickBot="1">
      <c r="A3910" s="827"/>
      <c r="B3910" s="827"/>
      <c r="C3910" s="827"/>
      <c r="D3910" s="827"/>
      <c r="E3910" s="827" t="s">
        <v>13506</v>
      </c>
      <c r="F3910" s="826">
        <v>0.05</v>
      </c>
      <c r="G3910" s="827"/>
      <c r="H3910" s="1018" t="s">
        <v>13507</v>
      </c>
      <c r="I3910" s="1018"/>
      <c r="J3910" s="826">
        <v>0.25</v>
      </c>
    </row>
    <row r="3911" spans="1:10" ht="38.25" customHeight="1" thickTop="1">
      <c r="A3911" s="828"/>
      <c r="B3911" s="828"/>
      <c r="C3911" s="828"/>
      <c r="D3911" s="828"/>
      <c r="E3911" s="828"/>
      <c r="F3911" s="828"/>
      <c r="G3911" s="828"/>
      <c r="H3911" s="828"/>
      <c r="I3911" s="828"/>
      <c r="J3911" s="828"/>
    </row>
    <row r="3912" spans="1:10" ht="15">
      <c r="A3912" s="809"/>
      <c r="B3912" s="808" t="s">
        <v>13481</v>
      </c>
      <c r="C3912" s="809" t="s">
        <v>13482</v>
      </c>
      <c r="D3912" s="809" t="s">
        <v>13483</v>
      </c>
      <c r="E3912" s="1019" t="s">
        <v>13484</v>
      </c>
      <c r="F3912" s="1019"/>
      <c r="G3912" s="810" t="s">
        <v>13485</v>
      </c>
      <c r="H3912" s="808" t="s">
        <v>13486</v>
      </c>
      <c r="I3912" s="808" t="s">
        <v>13487</v>
      </c>
      <c r="J3912" s="808" t="s">
        <v>4867</v>
      </c>
    </row>
    <row r="3913" spans="1:10" ht="25.5" customHeight="1">
      <c r="A3913" s="812" t="s">
        <v>13488</v>
      </c>
      <c r="B3913" s="811" t="s">
        <v>13510</v>
      </c>
      <c r="C3913" s="812" t="s">
        <v>6</v>
      </c>
      <c r="D3913" s="812" t="s">
        <v>2607</v>
      </c>
      <c r="E3913" s="1020" t="s">
        <v>13490</v>
      </c>
      <c r="F3913" s="1020"/>
      <c r="G3913" s="813" t="s">
        <v>74</v>
      </c>
      <c r="H3913" s="814">
        <v>1</v>
      </c>
      <c r="I3913" s="815">
        <v>42.48</v>
      </c>
      <c r="J3913" s="815">
        <v>42.48</v>
      </c>
    </row>
    <row r="3914" spans="1:10" ht="13.5" customHeight="1">
      <c r="A3914" s="822" t="s">
        <v>13493</v>
      </c>
      <c r="B3914" s="821" t="s">
        <v>13511</v>
      </c>
      <c r="C3914" s="822" t="s">
        <v>6</v>
      </c>
      <c r="D3914" s="822" t="s">
        <v>10266</v>
      </c>
      <c r="E3914" s="1017" t="s">
        <v>13495</v>
      </c>
      <c r="F3914" s="1017"/>
      <c r="G3914" s="823" t="s">
        <v>74</v>
      </c>
      <c r="H3914" s="824">
        <v>1.3100000000000001E-2</v>
      </c>
      <c r="I3914" s="825">
        <v>3243.46</v>
      </c>
      <c r="J3914" s="825">
        <v>42.48</v>
      </c>
    </row>
    <row r="3915" spans="1:10" ht="25.5">
      <c r="A3915" s="827"/>
      <c r="B3915" s="827"/>
      <c r="C3915" s="827"/>
      <c r="D3915" s="827"/>
      <c r="E3915" s="827" t="s">
        <v>13503</v>
      </c>
      <c r="F3915" s="826">
        <v>42.48</v>
      </c>
      <c r="G3915" s="827" t="s">
        <v>13504</v>
      </c>
      <c r="H3915" s="826">
        <v>0</v>
      </c>
      <c r="I3915" s="827" t="s">
        <v>13505</v>
      </c>
      <c r="J3915" s="826">
        <v>42.48</v>
      </c>
    </row>
    <row r="3916" spans="1:10" ht="13.5" customHeight="1" thickBot="1">
      <c r="A3916" s="827"/>
      <c r="B3916" s="827"/>
      <c r="C3916" s="827"/>
      <c r="D3916" s="827"/>
      <c r="E3916" s="827" t="s">
        <v>13506</v>
      </c>
      <c r="F3916" s="826">
        <v>11.99</v>
      </c>
      <c r="G3916" s="827"/>
      <c r="H3916" s="1018" t="s">
        <v>13507</v>
      </c>
      <c r="I3916" s="1018"/>
      <c r="J3916" s="826">
        <v>54.47</v>
      </c>
    </row>
    <row r="3917" spans="1:10" ht="38.25" customHeight="1" thickTop="1">
      <c r="A3917" s="828"/>
      <c r="B3917" s="828"/>
      <c r="C3917" s="828"/>
      <c r="D3917" s="828"/>
      <c r="E3917" s="828"/>
      <c r="F3917" s="828"/>
      <c r="G3917" s="828"/>
      <c r="H3917" s="828"/>
      <c r="I3917" s="828"/>
      <c r="J3917" s="828"/>
    </row>
    <row r="3918" spans="1:10" ht="15">
      <c r="A3918" s="809"/>
      <c r="B3918" s="808" t="s">
        <v>13481</v>
      </c>
      <c r="C3918" s="809" t="s">
        <v>13482</v>
      </c>
      <c r="D3918" s="809" t="s">
        <v>13483</v>
      </c>
      <c r="E3918" s="1019" t="s">
        <v>13484</v>
      </c>
      <c r="F3918" s="1019"/>
      <c r="G3918" s="810" t="s">
        <v>13485</v>
      </c>
      <c r="H3918" s="808" t="s">
        <v>13486</v>
      </c>
      <c r="I3918" s="808" t="s">
        <v>13487</v>
      </c>
      <c r="J3918" s="808" t="s">
        <v>4867</v>
      </c>
    </row>
    <row r="3919" spans="1:10" ht="25.5" customHeight="1">
      <c r="A3919" s="812" t="s">
        <v>13488</v>
      </c>
      <c r="B3919" s="811" t="s">
        <v>13492</v>
      </c>
      <c r="C3919" s="812" t="s">
        <v>6</v>
      </c>
      <c r="D3919" s="812" t="s">
        <v>2587</v>
      </c>
      <c r="E3919" s="1020" t="s">
        <v>13490</v>
      </c>
      <c r="F3919" s="1020"/>
      <c r="G3919" s="813" t="s">
        <v>19</v>
      </c>
      <c r="H3919" s="814">
        <v>1</v>
      </c>
      <c r="I3919" s="815">
        <v>0.94</v>
      </c>
      <c r="J3919" s="815">
        <v>0.94</v>
      </c>
    </row>
    <row r="3920" spans="1:10" ht="13.5" customHeight="1">
      <c r="A3920" s="822" t="s">
        <v>13493</v>
      </c>
      <c r="B3920" s="821" t="s">
        <v>13494</v>
      </c>
      <c r="C3920" s="822" t="s">
        <v>6</v>
      </c>
      <c r="D3920" s="822" t="s">
        <v>4649</v>
      </c>
      <c r="E3920" s="1017" t="s">
        <v>13495</v>
      </c>
      <c r="F3920" s="1017"/>
      <c r="G3920" s="823" t="s">
        <v>19</v>
      </c>
      <c r="H3920" s="824">
        <v>1.2E-2</v>
      </c>
      <c r="I3920" s="825">
        <v>78.540000000000006</v>
      </c>
      <c r="J3920" s="825">
        <v>0.94</v>
      </c>
    </row>
    <row r="3921" spans="1:10" ht="25.5">
      <c r="A3921" s="827"/>
      <c r="B3921" s="827"/>
      <c r="C3921" s="827"/>
      <c r="D3921" s="827"/>
      <c r="E3921" s="827" t="s">
        <v>13503</v>
      </c>
      <c r="F3921" s="826">
        <v>0.94</v>
      </c>
      <c r="G3921" s="827" t="s">
        <v>13504</v>
      </c>
      <c r="H3921" s="826">
        <v>0</v>
      </c>
      <c r="I3921" s="827" t="s">
        <v>13505</v>
      </c>
      <c r="J3921" s="826">
        <v>0.94</v>
      </c>
    </row>
    <row r="3922" spans="1:10" ht="13.5" customHeight="1" thickBot="1">
      <c r="A3922" s="827"/>
      <c r="B3922" s="827"/>
      <c r="C3922" s="827"/>
      <c r="D3922" s="827"/>
      <c r="E3922" s="827" t="s">
        <v>13506</v>
      </c>
      <c r="F3922" s="826">
        <v>0.26</v>
      </c>
      <c r="G3922" s="827"/>
      <c r="H3922" s="1018" t="s">
        <v>13507</v>
      </c>
      <c r="I3922" s="1018"/>
      <c r="J3922" s="826">
        <v>1.2</v>
      </c>
    </row>
    <row r="3923" spans="1:10" ht="13.5" thickTop="1">
      <c r="A3923" s="828"/>
      <c r="B3923" s="828"/>
      <c r="C3923" s="828"/>
      <c r="D3923" s="828"/>
      <c r="E3923" s="828"/>
      <c r="F3923" s="828"/>
      <c r="G3923" s="828"/>
      <c r="H3923" s="828"/>
      <c r="I3923" s="828"/>
      <c r="J3923" s="828"/>
    </row>
    <row r="3924" spans="1:10" ht="15">
      <c r="A3924" s="809"/>
      <c r="B3924" s="808" t="s">
        <v>13481</v>
      </c>
      <c r="C3924" s="809" t="s">
        <v>13482</v>
      </c>
      <c r="D3924" s="809" t="s">
        <v>13483</v>
      </c>
      <c r="E3924" s="1019" t="s">
        <v>13484</v>
      </c>
      <c r="F3924" s="1019"/>
      <c r="G3924" s="810" t="s">
        <v>13485</v>
      </c>
      <c r="H3924" s="808" t="s">
        <v>13486</v>
      </c>
      <c r="I3924" s="808" t="s">
        <v>13487</v>
      </c>
      <c r="J3924" s="808" t="s">
        <v>4867</v>
      </c>
    </row>
    <row r="3925" spans="1:10" ht="25.5" customHeight="1">
      <c r="A3925" s="812" t="s">
        <v>13488</v>
      </c>
      <c r="B3925" s="811" t="s">
        <v>14637</v>
      </c>
      <c r="C3925" s="812" t="s">
        <v>6</v>
      </c>
      <c r="D3925" s="812" t="s">
        <v>534</v>
      </c>
      <c r="E3925" s="1020" t="s">
        <v>13490</v>
      </c>
      <c r="F3925" s="1020"/>
      <c r="G3925" s="813" t="s">
        <v>19</v>
      </c>
      <c r="H3925" s="814">
        <v>1</v>
      </c>
      <c r="I3925" s="815">
        <v>0.12</v>
      </c>
      <c r="J3925" s="815">
        <v>0.12</v>
      </c>
    </row>
    <row r="3926" spans="1:10">
      <c r="A3926" s="822" t="s">
        <v>13493</v>
      </c>
      <c r="B3926" s="821" t="s">
        <v>14638</v>
      </c>
      <c r="C3926" s="822" t="s">
        <v>6</v>
      </c>
      <c r="D3926" s="822" t="s">
        <v>10555</v>
      </c>
      <c r="E3926" s="1017" t="s">
        <v>13495</v>
      </c>
      <c r="F3926" s="1017"/>
      <c r="G3926" s="823" t="s">
        <v>19</v>
      </c>
      <c r="H3926" s="824">
        <v>9.4000000000000004E-3</v>
      </c>
      <c r="I3926" s="825">
        <v>13.12</v>
      </c>
      <c r="J3926" s="825">
        <v>0.12</v>
      </c>
    </row>
    <row r="3927" spans="1:10" ht="25.5">
      <c r="A3927" s="827"/>
      <c r="B3927" s="827"/>
      <c r="C3927" s="827"/>
      <c r="D3927" s="827"/>
      <c r="E3927" s="827" t="s">
        <v>13503</v>
      </c>
      <c r="F3927" s="826">
        <v>0.12</v>
      </c>
      <c r="G3927" s="827" t="s">
        <v>13504</v>
      </c>
      <c r="H3927" s="826">
        <v>0</v>
      </c>
      <c r="I3927" s="827" t="s">
        <v>13505</v>
      </c>
      <c r="J3927" s="826">
        <v>0.12</v>
      </c>
    </row>
    <row r="3928" spans="1:10" ht="13.5" customHeight="1" thickBot="1">
      <c r="A3928" s="827"/>
      <c r="B3928" s="827"/>
      <c r="C3928" s="827"/>
      <c r="D3928" s="827"/>
      <c r="E3928" s="827" t="s">
        <v>13506</v>
      </c>
      <c r="F3928" s="826">
        <v>0.03</v>
      </c>
      <c r="G3928" s="827"/>
      <c r="H3928" s="1018" t="s">
        <v>13507</v>
      </c>
      <c r="I3928" s="1018"/>
      <c r="J3928" s="826">
        <v>0.15</v>
      </c>
    </row>
    <row r="3929" spans="1:10" ht="13.5" thickTop="1">
      <c r="A3929" s="828"/>
      <c r="B3929" s="828"/>
      <c r="C3929" s="828"/>
      <c r="D3929" s="828"/>
      <c r="E3929" s="828"/>
      <c r="F3929" s="828"/>
      <c r="G3929" s="828"/>
      <c r="H3929" s="828"/>
      <c r="I3929" s="828"/>
      <c r="J3929" s="828"/>
    </row>
    <row r="3930" spans="1:10" ht="15">
      <c r="A3930" s="809"/>
      <c r="B3930" s="808" t="s">
        <v>13481</v>
      </c>
      <c r="C3930" s="809" t="s">
        <v>13482</v>
      </c>
      <c r="D3930" s="809" t="s">
        <v>13483</v>
      </c>
      <c r="E3930" s="1019" t="s">
        <v>13484</v>
      </c>
      <c r="F3930" s="1019"/>
      <c r="G3930" s="810" t="s">
        <v>13485</v>
      </c>
      <c r="H3930" s="808" t="s">
        <v>13486</v>
      </c>
      <c r="I3930" s="808" t="s">
        <v>13487</v>
      </c>
      <c r="J3930" s="808" t="s">
        <v>4867</v>
      </c>
    </row>
    <row r="3931" spans="1:10" ht="25.5" customHeight="1">
      <c r="A3931" s="812" t="s">
        <v>13488</v>
      </c>
      <c r="B3931" s="811" t="s">
        <v>14639</v>
      </c>
      <c r="C3931" s="812" t="s">
        <v>6</v>
      </c>
      <c r="D3931" s="812" t="s">
        <v>2530</v>
      </c>
      <c r="E3931" s="1020" t="s">
        <v>13490</v>
      </c>
      <c r="F3931" s="1020"/>
      <c r="G3931" s="813" t="s">
        <v>19</v>
      </c>
      <c r="H3931" s="814">
        <v>1</v>
      </c>
      <c r="I3931" s="815">
        <v>0.2</v>
      </c>
      <c r="J3931" s="815">
        <v>0.2</v>
      </c>
    </row>
    <row r="3932" spans="1:10">
      <c r="A3932" s="822" t="s">
        <v>13493</v>
      </c>
      <c r="B3932" s="821" t="s">
        <v>14640</v>
      </c>
      <c r="C3932" s="822" t="s">
        <v>6</v>
      </c>
      <c r="D3932" s="822" t="s">
        <v>10654</v>
      </c>
      <c r="E3932" s="1017" t="s">
        <v>13495</v>
      </c>
      <c r="F3932" s="1017"/>
      <c r="G3932" s="823" t="s">
        <v>19</v>
      </c>
      <c r="H3932" s="824">
        <v>1.72E-2</v>
      </c>
      <c r="I3932" s="825">
        <v>12.04</v>
      </c>
      <c r="J3932" s="825">
        <v>0.2</v>
      </c>
    </row>
    <row r="3933" spans="1:10" ht="13.5" customHeight="1">
      <c r="A3933" s="827"/>
      <c r="B3933" s="827"/>
      <c r="C3933" s="827"/>
      <c r="D3933" s="827"/>
      <c r="E3933" s="827" t="s">
        <v>13503</v>
      </c>
      <c r="F3933" s="826">
        <v>0.2</v>
      </c>
      <c r="G3933" s="827" t="s">
        <v>13504</v>
      </c>
      <c r="H3933" s="826">
        <v>0</v>
      </c>
      <c r="I3933" s="827" t="s">
        <v>13505</v>
      </c>
      <c r="J3933" s="826">
        <v>0.2</v>
      </c>
    </row>
    <row r="3934" spans="1:10" ht="13.5" customHeight="1" thickBot="1">
      <c r="A3934" s="827"/>
      <c r="B3934" s="827"/>
      <c r="C3934" s="827"/>
      <c r="D3934" s="827"/>
      <c r="E3934" s="827" t="s">
        <v>13506</v>
      </c>
      <c r="F3934" s="826">
        <v>0.05</v>
      </c>
      <c r="G3934" s="827"/>
      <c r="H3934" s="1018" t="s">
        <v>13507</v>
      </c>
      <c r="I3934" s="1018"/>
      <c r="J3934" s="826">
        <v>0.25</v>
      </c>
    </row>
    <row r="3935" spans="1:10" ht="13.5" thickTop="1">
      <c r="A3935" s="828"/>
      <c r="B3935" s="828"/>
      <c r="C3935" s="828"/>
      <c r="D3935" s="828"/>
      <c r="E3935" s="828"/>
      <c r="F3935" s="828"/>
      <c r="G3935" s="828"/>
      <c r="H3935" s="828"/>
      <c r="I3935" s="828"/>
      <c r="J3935" s="828"/>
    </row>
    <row r="3936" spans="1:10" ht="25.5" customHeight="1">
      <c r="A3936" s="809"/>
      <c r="B3936" s="808" t="s">
        <v>13481</v>
      </c>
      <c r="C3936" s="809" t="s">
        <v>13482</v>
      </c>
      <c r="D3936" s="809" t="s">
        <v>13483</v>
      </c>
      <c r="E3936" s="1019" t="s">
        <v>13484</v>
      </c>
      <c r="F3936" s="1019"/>
      <c r="G3936" s="810" t="s">
        <v>13485</v>
      </c>
      <c r="H3936" s="808" t="s">
        <v>13486</v>
      </c>
      <c r="I3936" s="808" t="s">
        <v>13487</v>
      </c>
      <c r="J3936" s="808" t="s">
        <v>4867</v>
      </c>
    </row>
    <row r="3937" spans="1:10" ht="25.5" customHeight="1">
      <c r="A3937" s="812" t="s">
        <v>13488</v>
      </c>
      <c r="B3937" s="811" t="s">
        <v>14641</v>
      </c>
      <c r="C3937" s="812" t="s">
        <v>6</v>
      </c>
      <c r="D3937" s="812" t="s">
        <v>2575</v>
      </c>
      <c r="E3937" s="1020" t="s">
        <v>13490</v>
      </c>
      <c r="F3937" s="1020"/>
      <c r="G3937" s="813" t="s">
        <v>19</v>
      </c>
      <c r="H3937" s="814">
        <v>1</v>
      </c>
      <c r="I3937" s="815">
        <v>0.04</v>
      </c>
      <c r="J3937" s="815">
        <v>0.04</v>
      </c>
    </row>
    <row r="3938" spans="1:10">
      <c r="A3938" s="822" t="s">
        <v>13493</v>
      </c>
      <c r="B3938" s="821" t="s">
        <v>14642</v>
      </c>
      <c r="C3938" s="822" t="s">
        <v>6</v>
      </c>
      <c r="D3938" s="822" t="s">
        <v>10710</v>
      </c>
      <c r="E3938" s="1017" t="s">
        <v>13495</v>
      </c>
      <c r="F3938" s="1017"/>
      <c r="G3938" s="823" t="s">
        <v>19</v>
      </c>
      <c r="H3938" s="824">
        <v>4.1000000000000003E-3</v>
      </c>
      <c r="I3938" s="825">
        <v>11.47</v>
      </c>
      <c r="J3938" s="825">
        <v>0.04</v>
      </c>
    </row>
    <row r="3939" spans="1:10" ht="25.5">
      <c r="A3939" s="827"/>
      <c r="B3939" s="827"/>
      <c r="C3939" s="827"/>
      <c r="D3939" s="827"/>
      <c r="E3939" s="827" t="s">
        <v>13503</v>
      </c>
      <c r="F3939" s="826">
        <v>0.04</v>
      </c>
      <c r="G3939" s="827" t="s">
        <v>13504</v>
      </c>
      <c r="H3939" s="826">
        <v>0</v>
      </c>
      <c r="I3939" s="827" t="s">
        <v>13505</v>
      </c>
      <c r="J3939" s="826">
        <v>0.04</v>
      </c>
    </row>
    <row r="3940" spans="1:10" ht="13.5" customHeight="1" thickBot="1">
      <c r="A3940" s="827"/>
      <c r="B3940" s="827"/>
      <c r="C3940" s="827"/>
      <c r="D3940" s="827"/>
      <c r="E3940" s="827" t="s">
        <v>13506</v>
      </c>
      <c r="F3940" s="826">
        <v>0.01</v>
      </c>
      <c r="G3940" s="827"/>
      <c r="H3940" s="1018" t="s">
        <v>13507</v>
      </c>
      <c r="I3940" s="1018"/>
      <c r="J3940" s="826">
        <v>0.05</v>
      </c>
    </row>
    <row r="3941" spans="1:10" ht="13.5" thickTop="1">
      <c r="A3941" s="828"/>
      <c r="B3941" s="828"/>
      <c r="C3941" s="828"/>
      <c r="D3941" s="828"/>
      <c r="E3941" s="828"/>
      <c r="F3941" s="828"/>
      <c r="G3941" s="828"/>
      <c r="H3941" s="828"/>
      <c r="I3941" s="828"/>
      <c r="J3941" s="828"/>
    </row>
    <row r="3942" spans="1:10" ht="13.5" customHeight="1">
      <c r="A3942" s="809"/>
      <c r="B3942" s="808" t="s">
        <v>13481</v>
      </c>
      <c r="C3942" s="809" t="s">
        <v>13482</v>
      </c>
      <c r="D3942" s="809" t="s">
        <v>13483</v>
      </c>
      <c r="E3942" s="1019" t="s">
        <v>13484</v>
      </c>
      <c r="F3942" s="1019"/>
      <c r="G3942" s="810" t="s">
        <v>13485</v>
      </c>
      <c r="H3942" s="808" t="s">
        <v>13486</v>
      </c>
      <c r="I3942" s="808" t="s">
        <v>13487</v>
      </c>
      <c r="J3942" s="808" t="s">
        <v>4867</v>
      </c>
    </row>
    <row r="3943" spans="1:10" ht="25.5" customHeight="1">
      <c r="A3943" s="812" t="s">
        <v>13488</v>
      </c>
      <c r="B3943" s="811" t="s">
        <v>14429</v>
      </c>
      <c r="C3943" s="812" t="s">
        <v>6</v>
      </c>
      <c r="D3943" s="812" t="s">
        <v>2533</v>
      </c>
      <c r="E3943" s="1020" t="s">
        <v>13490</v>
      </c>
      <c r="F3943" s="1020"/>
      <c r="G3943" s="813" t="s">
        <v>19</v>
      </c>
      <c r="H3943" s="814">
        <v>1</v>
      </c>
      <c r="I3943" s="815">
        <v>0.16</v>
      </c>
      <c r="J3943" s="815">
        <v>0.16</v>
      </c>
    </row>
    <row r="3944" spans="1:10">
      <c r="A3944" s="822" t="s">
        <v>13493</v>
      </c>
      <c r="B3944" s="821" t="s">
        <v>14432</v>
      </c>
      <c r="C3944" s="822" t="s">
        <v>6</v>
      </c>
      <c r="D3944" s="822" t="s">
        <v>11342</v>
      </c>
      <c r="E3944" s="1017" t="s">
        <v>13495</v>
      </c>
      <c r="F3944" s="1017"/>
      <c r="G3944" s="823" t="s">
        <v>19</v>
      </c>
      <c r="H3944" s="824">
        <v>1.2E-2</v>
      </c>
      <c r="I3944" s="825">
        <v>13.73</v>
      </c>
      <c r="J3944" s="825">
        <v>0.16</v>
      </c>
    </row>
    <row r="3945" spans="1:10" ht="38.25" customHeight="1">
      <c r="A3945" s="827"/>
      <c r="B3945" s="827"/>
      <c r="C3945" s="827"/>
      <c r="D3945" s="827"/>
      <c r="E3945" s="827" t="s">
        <v>13503</v>
      </c>
      <c r="F3945" s="826">
        <v>0.16</v>
      </c>
      <c r="G3945" s="827" t="s">
        <v>13504</v>
      </c>
      <c r="H3945" s="826">
        <v>0</v>
      </c>
      <c r="I3945" s="827" t="s">
        <v>13505</v>
      </c>
      <c r="J3945" s="826">
        <v>0.16</v>
      </c>
    </row>
    <row r="3946" spans="1:10" ht="38.25" customHeight="1" thickBot="1">
      <c r="A3946" s="827"/>
      <c r="B3946" s="827"/>
      <c r="C3946" s="827"/>
      <c r="D3946" s="827"/>
      <c r="E3946" s="827" t="s">
        <v>13506</v>
      </c>
      <c r="F3946" s="826">
        <v>0.04</v>
      </c>
      <c r="G3946" s="827"/>
      <c r="H3946" s="1018" t="s">
        <v>13507</v>
      </c>
      <c r="I3946" s="1018"/>
      <c r="J3946" s="826">
        <v>0.2</v>
      </c>
    </row>
    <row r="3947" spans="1:10" ht="38.25" customHeight="1" thickTop="1">
      <c r="A3947" s="828"/>
      <c r="B3947" s="828"/>
      <c r="C3947" s="828"/>
      <c r="D3947" s="828"/>
      <c r="E3947" s="828"/>
      <c r="F3947" s="828"/>
      <c r="G3947" s="828"/>
      <c r="H3947" s="828"/>
      <c r="I3947" s="828"/>
      <c r="J3947" s="828"/>
    </row>
    <row r="3948" spans="1:10" ht="15">
      <c r="A3948" s="809"/>
      <c r="B3948" s="808" t="s">
        <v>13481</v>
      </c>
      <c r="C3948" s="809" t="s">
        <v>13482</v>
      </c>
      <c r="D3948" s="809" t="s">
        <v>13483</v>
      </c>
      <c r="E3948" s="1019" t="s">
        <v>13484</v>
      </c>
      <c r="F3948" s="1019"/>
      <c r="G3948" s="810" t="s">
        <v>13485</v>
      </c>
      <c r="H3948" s="808" t="s">
        <v>13486</v>
      </c>
      <c r="I3948" s="808" t="s">
        <v>13487</v>
      </c>
      <c r="J3948" s="808" t="s">
        <v>4867</v>
      </c>
    </row>
    <row r="3949" spans="1:10" ht="25.5" customHeight="1">
      <c r="A3949" s="812" t="s">
        <v>13488</v>
      </c>
      <c r="B3949" s="811" t="s">
        <v>14560</v>
      </c>
      <c r="C3949" s="812" t="s">
        <v>6</v>
      </c>
      <c r="D3949" s="812" t="s">
        <v>2536</v>
      </c>
      <c r="E3949" s="1020" t="s">
        <v>13490</v>
      </c>
      <c r="F3949" s="1020"/>
      <c r="G3949" s="813" t="s">
        <v>19</v>
      </c>
      <c r="H3949" s="814">
        <v>1</v>
      </c>
      <c r="I3949" s="815">
        <v>0.09</v>
      </c>
      <c r="J3949" s="815">
        <v>0.09</v>
      </c>
    </row>
    <row r="3950" spans="1:10" ht="13.5" customHeight="1">
      <c r="A3950" s="822" t="s">
        <v>13493</v>
      </c>
      <c r="B3950" s="821" t="s">
        <v>14563</v>
      </c>
      <c r="C3950" s="822" t="s">
        <v>6</v>
      </c>
      <c r="D3950" s="822" t="s">
        <v>11447</v>
      </c>
      <c r="E3950" s="1017" t="s">
        <v>13495</v>
      </c>
      <c r="F3950" s="1017"/>
      <c r="G3950" s="823" t="s">
        <v>19</v>
      </c>
      <c r="H3950" s="824">
        <v>9.4000000000000004E-3</v>
      </c>
      <c r="I3950" s="825">
        <v>9.7200000000000006</v>
      </c>
      <c r="J3950" s="825">
        <v>0.09</v>
      </c>
    </row>
    <row r="3951" spans="1:10" ht="25.5">
      <c r="A3951" s="827"/>
      <c r="B3951" s="827"/>
      <c r="C3951" s="827"/>
      <c r="D3951" s="827"/>
      <c r="E3951" s="827" t="s">
        <v>13503</v>
      </c>
      <c r="F3951" s="826">
        <v>0.09</v>
      </c>
      <c r="G3951" s="827" t="s">
        <v>13504</v>
      </c>
      <c r="H3951" s="826">
        <v>0</v>
      </c>
      <c r="I3951" s="827" t="s">
        <v>13505</v>
      </c>
      <c r="J3951" s="826">
        <v>0.09</v>
      </c>
    </row>
    <row r="3952" spans="1:10" ht="13.5" customHeight="1" thickBot="1">
      <c r="A3952" s="827"/>
      <c r="B3952" s="827"/>
      <c r="C3952" s="827"/>
      <c r="D3952" s="827"/>
      <c r="E3952" s="827" t="s">
        <v>13506</v>
      </c>
      <c r="F3952" s="826">
        <v>0.02</v>
      </c>
      <c r="G3952" s="827"/>
      <c r="H3952" s="1018" t="s">
        <v>13507</v>
      </c>
      <c r="I3952" s="1018"/>
      <c r="J3952" s="826">
        <v>0.11</v>
      </c>
    </row>
    <row r="3953" spans="1:10" ht="38.25" customHeight="1" thickTop="1">
      <c r="A3953" s="828"/>
      <c r="B3953" s="828"/>
      <c r="C3953" s="828"/>
      <c r="D3953" s="828"/>
      <c r="E3953" s="828"/>
      <c r="F3953" s="828"/>
      <c r="G3953" s="828"/>
      <c r="H3953" s="828"/>
      <c r="I3953" s="828"/>
      <c r="J3953" s="828"/>
    </row>
    <row r="3954" spans="1:10" ht="38.25" customHeight="1">
      <c r="A3954" s="809"/>
      <c r="B3954" s="808" t="s">
        <v>13481</v>
      </c>
      <c r="C3954" s="809" t="s">
        <v>13482</v>
      </c>
      <c r="D3954" s="809" t="s">
        <v>13483</v>
      </c>
      <c r="E3954" s="1019" t="s">
        <v>13484</v>
      </c>
      <c r="F3954" s="1019"/>
      <c r="G3954" s="810" t="s">
        <v>13485</v>
      </c>
      <c r="H3954" s="808" t="s">
        <v>13486</v>
      </c>
      <c r="I3954" s="808" t="s">
        <v>13487</v>
      </c>
      <c r="J3954" s="808" t="s">
        <v>4867</v>
      </c>
    </row>
    <row r="3955" spans="1:10" ht="38.25" customHeight="1">
      <c r="A3955" s="812" t="s">
        <v>13488</v>
      </c>
      <c r="B3955" s="811" t="s">
        <v>14643</v>
      </c>
      <c r="C3955" s="812" t="s">
        <v>6</v>
      </c>
      <c r="D3955" s="812" t="s">
        <v>2538</v>
      </c>
      <c r="E3955" s="1020" t="s">
        <v>13490</v>
      </c>
      <c r="F3955" s="1020"/>
      <c r="G3955" s="813" t="s">
        <v>19</v>
      </c>
      <c r="H3955" s="814">
        <v>1</v>
      </c>
      <c r="I3955" s="815">
        <v>0.04</v>
      </c>
      <c r="J3955" s="815">
        <v>0.04</v>
      </c>
    </row>
    <row r="3956" spans="1:10" ht="38.25" customHeight="1">
      <c r="A3956" s="822" t="s">
        <v>13493</v>
      </c>
      <c r="B3956" s="821" t="s">
        <v>14644</v>
      </c>
      <c r="C3956" s="822" t="s">
        <v>6</v>
      </c>
      <c r="D3956" s="822" t="s">
        <v>4720</v>
      </c>
      <c r="E3956" s="1017" t="s">
        <v>13495</v>
      </c>
      <c r="F3956" s="1017"/>
      <c r="G3956" s="823" t="s">
        <v>19</v>
      </c>
      <c r="H3956" s="824">
        <v>4.1000000000000003E-3</v>
      </c>
      <c r="I3956" s="825">
        <v>10.64</v>
      </c>
      <c r="J3956" s="825">
        <v>0.04</v>
      </c>
    </row>
    <row r="3957" spans="1:10" ht="38.25" customHeight="1">
      <c r="A3957" s="827"/>
      <c r="B3957" s="827"/>
      <c r="C3957" s="827"/>
      <c r="D3957" s="827"/>
      <c r="E3957" s="827" t="s">
        <v>13503</v>
      </c>
      <c r="F3957" s="826">
        <v>0.04</v>
      </c>
      <c r="G3957" s="827" t="s">
        <v>13504</v>
      </c>
      <c r="H3957" s="826">
        <v>0</v>
      </c>
      <c r="I3957" s="827" t="s">
        <v>13505</v>
      </c>
      <c r="J3957" s="826">
        <v>0.04</v>
      </c>
    </row>
    <row r="3958" spans="1:10" ht="13.5" customHeight="1" thickBot="1">
      <c r="A3958" s="827"/>
      <c r="B3958" s="827"/>
      <c r="C3958" s="827"/>
      <c r="D3958" s="827"/>
      <c r="E3958" s="827" t="s">
        <v>13506</v>
      </c>
      <c r="F3958" s="826">
        <v>0.01</v>
      </c>
      <c r="G3958" s="827"/>
      <c r="H3958" s="1018" t="s">
        <v>13507</v>
      </c>
      <c r="I3958" s="1018"/>
      <c r="J3958" s="826">
        <v>0.05</v>
      </c>
    </row>
    <row r="3959" spans="1:10" ht="13.5" thickTop="1">
      <c r="A3959" s="828"/>
      <c r="B3959" s="828"/>
      <c r="C3959" s="828"/>
      <c r="D3959" s="828"/>
      <c r="E3959" s="828"/>
      <c r="F3959" s="828"/>
      <c r="G3959" s="828"/>
      <c r="H3959" s="828"/>
      <c r="I3959" s="828"/>
      <c r="J3959" s="828"/>
    </row>
    <row r="3960" spans="1:10" ht="13.5" customHeight="1">
      <c r="A3960" s="809"/>
      <c r="B3960" s="808" t="s">
        <v>13481</v>
      </c>
      <c r="C3960" s="809" t="s">
        <v>13482</v>
      </c>
      <c r="D3960" s="809" t="s">
        <v>13483</v>
      </c>
      <c r="E3960" s="1019" t="s">
        <v>13484</v>
      </c>
      <c r="F3960" s="1019"/>
      <c r="G3960" s="810" t="s">
        <v>13485</v>
      </c>
      <c r="H3960" s="808" t="s">
        <v>13486</v>
      </c>
      <c r="I3960" s="808" t="s">
        <v>13487</v>
      </c>
      <c r="J3960" s="808" t="s">
        <v>4867</v>
      </c>
    </row>
    <row r="3961" spans="1:10" ht="25.5" customHeight="1">
      <c r="A3961" s="812" t="s">
        <v>13488</v>
      </c>
      <c r="B3961" s="811" t="s">
        <v>14645</v>
      </c>
      <c r="C3961" s="812" t="s">
        <v>6</v>
      </c>
      <c r="D3961" s="812" t="s">
        <v>2539</v>
      </c>
      <c r="E3961" s="1020" t="s">
        <v>13490</v>
      </c>
      <c r="F3961" s="1020"/>
      <c r="G3961" s="813" t="s">
        <v>19</v>
      </c>
      <c r="H3961" s="814">
        <v>1</v>
      </c>
      <c r="I3961" s="815">
        <v>0.04</v>
      </c>
      <c r="J3961" s="815">
        <v>0.04</v>
      </c>
    </row>
    <row r="3962" spans="1:10">
      <c r="A3962" s="822" t="s">
        <v>13493</v>
      </c>
      <c r="B3962" s="821" t="s">
        <v>14646</v>
      </c>
      <c r="C3962" s="822" t="s">
        <v>6</v>
      </c>
      <c r="D3962" s="822" t="s">
        <v>4719</v>
      </c>
      <c r="E3962" s="1017" t="s">
        <v>13495</v>
      </c>
      <c r="F3962" s="1017"/>
      <c r="G3962" s="823" t="s">
        <v>19</v>
      </c>
      <c r="H3962" s="824">
        <v>4.1000000000000003E-3</v>
      </c>
      <c r="I3962" s="825">
        <v>11.29</v>
      </c>
      <c r="J3962" s="825">
        <v>0.04</v>
      </c>
    </row>
    <row r="3963" spans="1:10" ht="38.25" customHeight="1">
      <c r="A3963" s="827"/>
      <c r="B3963" s="827"/>
      <c r="C3963" s="827"/>
      <c r="D3963" s="827"/>
      <c r="E3963" s="827" t="s">
        <v>13503</v>
      </c>
      <c r="F3963" s="826">
        <v>0.04</v>
      </c>
      <c r="G3963" s="827" t="s">
        <v>13504</v>
      </c>
      <c r="H3963" s="826">
        <v>0</v>
      </c>
      <c r="I3963" s="827" t="s">
        <v>13505</v>
      </c>
      <c r="J3963" s="826">
        <v>0.04</v>
      </c>
    </row>
    <row r="3964" spans="1:10" ht="13.5" customHeight="1" thickBot="1">
      <c r="A3964" s="827"/>
      <c r="B3964" s="827"/>
      <c r="C3964" s="827"/>
      <c r="D3964" s="827"/>
      <c r="E3964" s="827" t="s">
        <v>13506</v>
      </c>
      <c r="F3964" s="826">
        <v>0.01</v>
      </c>
      <c r="G3964" s="827"/>
      <c r="H3964" s="1018" t="s">
        <v>13507</v>
      </c>
      <c r="I3964" s="1018"/>
      <c r="J3964" s="826">
        <v>0.05</v>
      </c>
    </row>
    <row r="3965" spans="1:10" ht="13.5" thickTop="1">
      <c r="A3965" s="828"/>
      <c r="B3965" s="828"/>
      <c r="C3965" s="828"/>
      <c r="D3965" s="828"/>
      <c r="E3965" s="828"/>
      <c r="F3965" s="828"/>
      <c r="G3965" s="828"/>
      <c r="H3965" s="828"/>
      <c r="I3965" s="828"/>
      <c r="J3965" s="828"/>
    </row>
    <row r="3966" spans="1:10" ht="13.5" customHeight="1">
      <c r="A3966" s="809"/>
      <c r="B3966" s="808" t="s">
        <v>13481</v>
      </c>
      <c r="C3966" s="809" t="s">
        <v>13482</v>
      </c>
      <c r="D3966" s="809" t="s">
        <v>13483</v>
      </c>
      <c r="E3966" s="1019" t="s">
        <v>13484</v>
      </c>
      <c r="F3966" s="1019"/>
      <c r="G3966" s="810" t="s">
        <v>13485</v>
      </c>
      <c r="H3966" s="808" t="s">
        <v>13486</v>
      </c>
      <c r="I3966" s="808" t="s">
        <v>13487</v>
      </c>
      <c r="J3966" s="808" t="s">
        <v>4867</v>
      </c>
    </row>
    <row r="3967" spans="1:10" ht="25.5" customHeight="1">
      <c r="A3967" s="812" t="s">
        <v>13488</v>
      </c>
      <c r="B3967" s="811" t="s">
        <v>14647</v>
      </c>
      <c r="C3967" s="812" t="s">
        <v>6</v>
      </c>
      <c r="D3967" s="812" t="s">
        <v>2543</v>
      </c>
      <c r="E3967" s="1020" t="s">
        <v>13490</v>
      </c>
      <c r="F3967" s="1020"/>
      <c r="G3967" s="813" t="s">
        <v>19</v>
      </c>
      <c r="H3967" s="814">
        <v>1</v>
      </c>
      <c r="I3967" s="815">
        <v>0.17</v>
      </c>
      <c r="J3967" s="815">
        <v>0.17</v>
      </c>
    </row>
    <row r="3968" spans="1:10">
      <c r="A3968" s="822" t="s">
        <v>13493</v>
      </c>
      <c r="B3968" s="821" t="s">
        <v>14648</v>
      </c>
      <c r="C3968" s="822" t="s">
        <v>6</v>
      </c>
      <c r="D3968" s="822" t="s">
        <v>4721</v>
      </c>
      <c r="E3968" s="1017" t="s">
        <v>13495</v>
      </c>
      <c r="F3968" s="1017"/>
      <c r="G3968" s="823" t="s">
        <v>19</v>
      </c>
      <c r="H3968" s="824">
        <v>1.3299999999999999E-2</v>
      </c>
      <c r="I3968" s="825">
        <v>13.21</v>
      </c>
      <c r="J3968" s="825">
        <v>0.17</v>
      </c>
    </row>
    <row r="3969" spans="1:10" ht="38.25" customHeight="1">
      <c r="A3969" s="827"/>
      <c r="B3969" s="827"/>
      <c r="C3969" s="827"/>
      <c r="D3969" s="827"/>
      <c r="E3969" s="827" t="s">
        <v>13503</v>
      </c>
      <c r="F3969" s="826">
        <v>0.17</v>
      </c>
      <c r="G3969" s="827" t="s">
        <v>13504</v>
      </c>
      <c r="H3969" s="826">
        <v>0</v>
      </c>
      <c r="I3969" s="827" t="s">
        <v>13505</v>
      </c>
      <c r="J3969" s="826">
        <v>0.17</v>
      </c>
    </row>
    <row r="3970" spans="1:10" ht="13.5" customHeight="1" thickBot="1">
      <c r="A3970" s="827"/>
      <c r="B3970" s="827"/>
      <c r="C3970" s="827"/>
      <c r="D3970" s="827"/>
      <c r="E3970" s="827" t="s">
        <v>13506</v>
      </c>
      <c r="F3970" s="826">
        <v>0.04</v>
      </c>
      <c r="G3970" s="827"/>
      <c r="H3970" s="1018" t="s">
        <v>13507</v>
      </c>
      <c r="I3970" s="1018"/>
      <c r="J3970" s="826">
        <v>0.21</v>
      </c>
    </row>
    <row r="3971" spans="1:10" ht="13.5" thickTop="1">
      <c r="A3971" s="828"/>
      <c r="B3971" s="828"/>
      <c r="C3971" s="828"/>
      <c r="D3971" s="828"/>
      <c r="E3971" s="828"/>
      <c r="F3971" s="828"/>
      <c r="G3971" s="828"/>
      <c r="H3971" s="828"/>
      <c r="I3971" s="828"/>
      <c r="J3971" s="828"/>
    </row>
    <row r="3972" spans="1:10" ht="13.5" customHeight="1">
      <c r="A3972" s="809"/>
      <c r="B3972" s="808" t="s">
        <v>13481</v>
      </c>
      <c r="C3972" s="809" t="s">
        <v>13482</v>
      </c>
      <c r="D3972" s="809" t="s">
        <v>13483</v>
      </c>
      <c r="E3972" s="1019" t="s">
        <v>13484</v>
      </c>
      <c r="F3972" s="1019"/>
      <c r="G3972" s="810" t="s">
        <v>13485</v>
      </c>
      <c r="H3972" s="808" t="s">
        <v>13486</v>
      </c>
      <c r="I3972" s="808" t="s">
        <v>13487</v>
      </c>
      <c r="J3972" s="808" t="s">
        <v>4867</v>
      </c>
    </row>
    <row r="3973" spans="1:10" ht="25.5" customHeight="1">
      <c r="A3973" s="812" t="s">
        <v>13488</v>
      </c>
      <c r="B3973" s="811" t="s">
        <v>14649</v>
      </c>
      <c r="C3973" s="812" t="s">
        <v>6</v>
      </c>
      <c r="D3973" s="812" t="s">
        <v>2574</v>
      </c>
      <c r="E3973" s="1020" t="s">
        <v>13490</v>
      </c>
      <c r="F3973" s="1020"/>
      <c r="G3973" s="813" t="s">
        <v>19</v>
      </c>
      <c r="H3973" s="814">
        <v>1</v>
      </c>
      <c r="I3973" s="815">
        <v>0.06</v>
      </c>
      <c r="J3973" s="815">
        <v>0.06</v>
      </c>
    </row>
    <row r="3974" spans="1:10">
      <c r="A3974" s="822" t="s">
        <v>13493</v>
      </c>
      <c r="B3974" s="821" t="s">
        <v>14650</v>
      </c>
      <c r="C3974" s="822" t="s">
        <v>6</v>
      </c>
      <c r="D3974" s="822" t="s">
        <v>4726</v>
      </c>
      <c r="E3974" s="1017" t="s">
        <v>13495</v>
      </c>
      <c r="F3974" s="1017"/>
      <c r="G3974" s="823" t="s">
        <v>19</v>
      </c>
      <c r="H3974" s="824">
        <v>6.7000000000000002E-3</v>
      </c>
      <c r="I3974" s="825">
        <v>9.81</v>
      </c>
      <c r="J3974" s="825">
        <v>0.06</v>
      </c>
    </row>
    <row r="3975" spans="1:10" ht="38.25" customHeight="1">
      <c r="A3975" s="827"/>
      <c r="B3975" s="827"/>
      <c r="C3975" s="827"/>
      <c r="D3975" s="827"/>
      <c r="E3975" s="827" t="s">
        <v>13503</v>
      </c>
      <c r="F3975" s="826">
        <v>0.06</v>
      </c>
      <c r="G3975" s="827" t="s">
        <v>13504</v>
      </c>
      <c r="H3975" s="826">
        <v>0</v>
      </c>
      <c r="I3975" s="827" t="s">
        <v>13505</v>
      </c>
      <c r="J3975" s="826">
        <v>0.06</v>
      </c>
    </row>
    <row r="3976" spans="1:10" ht="13.5" customHeight="1" thickBot="1">
      <c r="A3976" s="827"/>
      <c r="B3976" s="827"/>
      <c r="C3976" s="827"/>
      <c r="D3976" s="827"/>
      <c r="E3976" s="827" t="s">
        <v>13506</v>
      </c>
      <c r="F3976" s="826">
        <v>0.01</v>
      </c>
      <c r="G3976" s="827"/>
      <c r="H3976" s="1018" t="s">
        <v>13507</v>
      </c>
      <c r="I3976" s="1018"/>
      <c r="J3976" s="826">
        <v>7.0000000000000007E-2</v>
      </c>
    </row>
    <row r="3977" spans="1:10" ht="13.5" thickTop="1">
      <c r="A3977" s="828"/>
      <c r="B3977" s="828"/>
      <c r="C3977" s="828"/>
      <c r="D3977" s="828"/>
      <c r="E3977" s="828"/>
      <c r="F3977" s="828"/>
      <c r="G3977" s="828"/>
      <c r="H3977" s="828"/>
      <c r="I3977" s="828"/>
      <c r="J3977" s="828"/>
    </row>
    <row r="3978" spans="1:10" ht="13.5" customHeight="1">
      <c r="A3978" s="809"/>
      <c r="B3978" s="808" t="s">
        <v>13481</v>
      </c>
      <c r="C3978" s="809" t="s">
        <v>13482</v>
      </c>
      <c r="D3978" s="809" t="s">
        <v>13483</v>
      </c>
      <c r="E3978" s="1019" t="s">
        <v>13484</v>
      </c>
      <c r="F3978" s="1019"/>
      <c r="G3978" s="810" t="s">
        <v>13485</v>
      </c>
      <c r="H3978" s="808" t="s">
        <v>13486</v>
      </c>
      <c r="I3978" s="808" t="s">
        <v>13487</v>
      </c>
      <c r="J3978" s="808" t="s">
        <v>4867</v>
      </c>
    </row>
    <row r="3979" spans="1:10" ht="25.5" customHeight="1">
      <c r="A3979" s="812" t="s">
        <v>13488</v>
      </c>
      <c r="B3979" s="811" t="s">
        <v>14651</v>
      </c>
      <c r="C3979" s="812" t="s">
        <v>6</v>
      </c>
      <c r="D3979" s="812" t="s">
        <v>2548</v>
      </c>
      <c r="E3979" s="1020" t="s">
        <v>13490</v>
      </c>
      <c r="F3979" s="1020"/>
      <c r="G3979" s="813" t="s">
        <v>19</v>
      </c>
      <c r="H3979" s="814">
        <v>1</v>
      </c>
      <c r="I3979" s="815">
        <v>0.12</v>
      </c>
      <c r="J3979" s="815">
        <v>0.12</v>
      </c>
    </row>
    <row r="3980" spans="1:10">
      <c r="A3980" s="822" t="s">
        <v>13493</v>
      </c>
      <c r="B3980" s="821" t="s">
        <v>14652</v>
      </c>
      <c r="C3980" s="822" t="s">
        <v>6</v>
      </c>
      <c r="D3980" s="822" t="s">
        <v>4727</v>
      </c>
      <c r="E3980" s="1017" t="s">
        <v>13495</v>
      </c>
      <c r="F3980" s="1017"/>
      <c r="G3980" s="823" t="s">
        <v>19</v>
      </c>
      <c r="H3980" s="824">
        <v>9.4000000000000004E-3</v>
      </c>
      <c r="I3980" s="825">
        <v>13.73</v>
      </c>
      <c r="J3980" s="825">
        <v>0.12</v>
      </c>
    </row>
    <row r="3981" spans="1:10" ht="38.25" customHeight="1">
      <c r="A3981" s="827"/>
      <c r="B3981" s="827"/>
      <c r="C3981" s="827"/>
      <c r="D3981" s="827"/>
      <c r="E3981" s="827" t="s">
        <v>13503</v>
      </c>
      <c r="F3981" s="826">
        <v>0.12</v>
      </c>
      <c r="G3981" s="827" t="s">
        <v>13504</v>
      </c>
      <c r="H3981" s="826">
        <v>0</v>
      </c>
      <c r="I3981" s="827" t="s">
        <v>13505</v>
      </c>
      <c r="J3981" s="826">
        <v>0.12</v>
      </c>
    </row>
    <row r="3982" spans="1:10" ht="13.5" customHeight="1" thickBot="1">
      <c r="A3982" s="827"/>
      <c r="B3982" s="827"/>
      <c r="C3982" s="827"/>
      <c r="D3982" s="827"/>
      <c r="E3982" s="827" t="s">
        <v>13506</v>
      </c>
      <c r="F3982" s="826">
        <v>0.03</v>
      </c>
      <c r="G3982" s="827"/>
      <c r="H3982" s="1018" t="s">
        <v>13507</v>
      </c>
      <c r="I3982" s="1018"/>
      <c r="J3982" s="826">
        <v>0.15</v>
      </c>
    </row>
    <row r="3983" spans="1:10" ht="13.5" thickTop="1">
      <c r="A3983" s="828"/>
      <c r="B3983" s="828"/>
      <c r="C3983" s="828"/>
      <c r="D3983" s="828"/>
      <c r="E3983" s="828"/>
      <c r="F3983" s="828"/>
      <c r="G3983" s="828"/>
      <c r="H3983" s="828"/>
      <c r="I3983" s="828"/>
      <c r="J3983" s="828"/>
    </row>
    <row r="3984" spans="1:10" ht="13.5" customHeight="1">
      <c r="A3984" s="809"/>
      <c r="B3984" s="808" t="s">
        <v>13481</v>
      </c>
      <c r="C3984" s="809" t="s">
        <v>13482</v>
      </c>
      <c r="D3984" s="809" t="s">
        <v>13483</v>
      </c>
      <c r="E3984" s="1019" t="s">
        <v>13484</v>
      </c>
      <c r="F3984" s="1019"/>
      <c r="G3984" s="810" t="s">
        <v>13485</v>
      </c>
      <c r="H3984" s="808" t="s">
        <v>13486</v>
      </c>
      <c r="I3984" s="808" t="s">
        <v>13487</v>
      </c>
      <c r="J3984" s="808" t="s">
        <v>4867</v>
      </c>
    </row>
    <row r="3985" spans="1:10" ht="25.5" customHeight="1">
      <c r="A3985" s="812" t="s">
        <v>13488</v>
      </c>
      <c r="B3985" s="811" t="s">
        <v>14653</v>
      </c>
      <c r="C3985" s="812" t="s">
        <v>6</v>
      </c>
      <c r="D3985" s="812" t="s">
        <v>2549</v>
      </c>
      <c r="E3985" s="1020" t="s">
        <v>13490</v>
      </c>
      <c r="F3985" s="1020"/>
      <c r="G3985" s="813" t="s">
        <v>19</v>
      </c>
      <c r="H3985" s="814">
        <v>1</v>
      </c>
      <c r="I3985" s="815">
        <v>0.13</v>
      </c>
      <c r="J3985" s="815">
        <v>0.13</v>
      </c>
    </row>
    <row r="3986" spans="1:10">
      <c r="A3986" s="822" t="s">
        <v>13493</v>
      </c>
      <c r="B3986" s="821" t="s">
        <v>14654</v>
      </c>
      <c r="C3986" s="822" t="s">
        <v>6</v>
      </c>
      <c r="D3986" s="822" t="s">
        <v>4728</v>
      </c>
      <c r="E3986" s="1017" t="s">
        <v>13495</v>
      </c>
      <c r="F3986" s="1017"/>
      <c r="G3986" s="823" t="s">
        <v>19</v>
      </c>
      <c r="H3986" s="824">
        <v>1.3299999999999999E-2</v>
      </c>
      <c r="I3986" s="825">
        <v>9.86</v>
      </c>
      <c r="J3986" s="825">
        <v>0.13</v>
      </c>
    </row>
    <row r="3987" spans="1:10" ht="12.75" customHeight="1">
      <c r="A3987" s="827"/>
      <c r="B3987" s="827"/>
      <c r="C3987" s="827"/>
      <c r="D3987" s="827"/>
      <c r="E3987" s="827" t="s">
        <v>13503</v>
      </c>
      <c r="F3987" s="826">
        <v>0.13</v>
      </c>
      <c r="G3987" s="827" t="s">
        <v>13504</v>
      </c>
      <c r="H3987" s="826">
        <v>0</v>
      </c>
      <c r="I3987" s="827" t="s">
        <v>13505</v>
      </c>
      <c r="J3987" s="826">
        <v>0.13</v>
      </c>
    </row>
    <row r="3988" spans="1:10" ht="13.5" customHeight="1" thickBot="1">
      <c r="A3988" s="827"/>
      <c r="B3988" s="827"/>
      <c r="C3988" s="827"/>
      <c r="D3988" s="827"/>
      <c r="E3988" s="827" t="s">
        <v>13506</v>
      </c>
      <c r="F3988" s="826">
        <v>0.03</v>
      </c>
      <c r="G3988" s="827"/>
      <c r="H3988" s="1018" t="s">
        <v>13507</v>
      </c>
      <c r="I3988" s="1018"/>
      <c r="J3988" s="826">
        <v>0.16</v>
      </c>
    </row>
    <row r="3989" spans="1:10" ht="13.5" thickTop="1">
      <c r="A3989" s="828"/>
      <c r="B3989" s="828"/>
      <c r="C3989" s="828"/>
      <c r="D3989" s="828"/>
      <c r="E3989" s="828"/>
      <c r="F3989" s="828"/>
      <c r="G3989" s="828"/>
      <c r="H3989" s="828"/>
      <c r="I3989" s="828"/>
      <c r="J3989" s="828"/>
    </row>
    <row r="3990" spans="1:10" ht="15">
      <c r="A3990" s="809"/>
      <c r="B3990" s="808" t="s">
        <v>13481</v>
      </c>
      <c r="C3990" s="809" t="s">
        <v>13482</v>
      </c>
      <c r="D3990" s="809" t="s">
        <v>13483</v>
      </c>
      <c r="E3990" s="1019" t="s">
        <v>13484</v>
      </c>
      <c r="F3990" s="1019"/>
      <c r="G3990" s="810" t="s">
        <v>13485</v>
      </c>
      <c r="H3990" s="808" t="s">
        <v>13486</v>
      </c>
      <c r="I3990" s="808" t="s">
        <v>13487</v>
      </c>
      <c r="J3990" s="808" t="s">
        <v>4867</v>
      </c>
    </row>
    <row r="3991" spans="1:10" ht="25.5" customHeight="1">
      <c r="A3991" s="812" t="s">
        <v>13488</v>
      </c>
      <c r="B3991" s="811" t="s">
        <v>14655</v>
      </c>
      <c r="C3991" s="812" t="s">
        <v>6</v>
      </c>
      <c r="D3991" s="812" t="s">
        <v>2550</v>
      </c>
      <c r="E3991" s="1020" t="s">
        <v>13490</v>
      </c>
      <c r="F3991" s="1020"/>
      <c r="G3991" s="813" t="s">
        <v>19</v>
      </c>
      <c r="H3991" s="814">
        <v>1</v>
      </c>
      <c r="I3991" s="815">
        <v>0.13</v>
      </c>
      <c r="J3991" s="815">
        <v>0.13</v>
      </c>
    </row>
    <row r="3992" spans="1:10">
      <c r="A3992" s="822" t="s">
        <v>13493</v>
      </c>
      <c r="B3992" s="821" t="s">
        <v>14656</v>
      </c>
      <c r="C3992" s="822" t="s">
        <v>6</v>
      </c>
      <c r="D3992" s="822" t="s">
        <v>4729</v>
      </c>
      <c r="E3992" s="1017" t="s">
        <v>13495</v>
      </c>
      <c r="F3992" s="1017"/>
      <c r="G3992" s="823" t="s">
        <v>19</v>
      </c>
      <c r="H3992" s="824">
        <v>1.3299999999999999E-2</v>
      </c>
      <c r="I3992" s="825">
        <v>9.92</v>
      </c>
      <c r="J3992" s="825">
        <v>0.13</v>
      </c>
    </row>
    <row r="3993" spans="1:10" ht="25.5">
      <c r="A3993" s="827"/>
      <c r="B3993" s="827"/>
      <c r="C3993" s="827"/>
      <c r="D3993" s="827"/>
      <c r="E3993" s="827" t="s">
        <v>13503</v>
      </c>
      <c r="F3993" s="826">
        <v>0.13</v>
      </c>
      <c r="G3993" s="827" t="s">
        <v>13504</v>
      </c>
      <c r="H3993" s="826">
        <v>0</v>
      </c>
      <c r="I3993" s="827" t="s">
        <v>13505</v>
      </c>
      <c r="J3993" s="826">
        <v>0.13</v>
      </c>
    </row>
    <row r="3994" spans="1:10" ht="13.5" customHeight="1" thickBot="1">
      <c r="A3994" s="827"/>
      <c r="B3994" s="827"/>
      <c r="C3994" s="827"/>
      <c r="D3994" s="827"/>
      <c r="E3994" s="827" t="s">
        <v>13506</v>
      </c>
      <c r="F3994" s="826">
        <v>0.03</v>
      </c>
      <c r="G3994" s="827"/>
      <c r="H3994" s="1018" t="s">
        <v>13507</v>
      </c>
      <c r="I3994" s="1018"/>
      <c r="J3994" s="826">
        <v>0.16</v>
      </c>
    </row>
    <row r="3995" spans="1:10" ht="13.5" thickTop="1">
      <c r="A3995" s="828"/>
      <c r="B3995" s="828"/>
      <c r="C3995" s="828"/>
      <c r="D3995" s="828"/>
      <c r="E3995" s="828"/>
      <c r="F3995" s="828"/>
      <c r="G3995" s="828"/>
      <c r="H3995" s="828"/>
      <c r="I3995" s="828"/>
      <c r="J3995" s="828"/>
    </row>
    <row r="3996" spans="1:10" ht="15">
      <c r="A3996" s="809"/>
      <c r="B3996" s="808" t="s">
        <v>13481</v>
      </c>
      <c r="C3996" s="809" t="s">
        <v>13482</v>
      </c>
      <c r="D3996" s="809" t="s">
        <v>13483</v>
      </c>
      <c r="E3996" s="1019" t="s">
        <v>13484</v>
      </c>
      <c r="F3996" s="1019"/>
      <c r="G3996" s="810" t="s">
        <v>13485</v>
      </c>
      <c r="H3996" s="808" t="s">
        <v>13486</v>
      </c>
      <c r="I3996" s="808" t="s">
        <v>13487</v>
      </c>
      <c r="J3996" s="808" t="s">
        <v>4867</v>
      </c>
    </row>
    <row r="3997" spans="1:10" ht="13.5" customHeight="1">
      <c r="A3997" s="812" t="s">
        <v>13488</v>
      </c>
      <c r="B3997" s="811" t="s">
        <v>14657</v>
      </c>
      <c r="C3997" s="812" t="s">
        <v>6</v>
      </c>
      <c r="D3997" s="812" t="s">
        <v>2552</v>
      </c>
      <c r="E3997" s="1020" t="s">
        <v>13490</v>
      </c>
      <c r="F3997" s="1020"/>
      <c r="G3997" s="813" t="s">
        <v>19</v>
      </c>
      <c r="H3997" s="814">
        <v>1</v>
      </c>
      <c r="I3997" s="815">
        <v>0.05</v>
      </c>
      <c r="J3997" s="815">
        <v>0.05</v>
      </c>
    </row>
    <row r="3998" spans="1:10">
      <c r="A3998" s="822" t="s">
        <v>13493</v>
      </c>
      <c r="B3998" s="821" t="s">
        <v>14658</v>
      </c>
      <c r="C3998" s="822" t="s">
        <v>6</v>
      </c>
      <c r="D3998" s="822" t="s">
        <v>4731</v>
      </c>
      <c r="E3998" s="1017" t="s">
        <v>13495</v>
      </c>
      <c r="F3998" s="1017"/>
      <c r="G3998" s="823" t="s">
        <v>19</v>
      </c>
      <c r="H3998" s="824">
        <v>6.7000000000000002E-3</v>
      </c>
      <c r="I3998" s="825">
        <v>8.24</v>
      </c>
      <c r="J3998" s="825">
        <v>0.05</v>
      </c>
    </row>
    <row r="3999" spans="1:10" ht="25.5">
      <c r="A3999" s="827"/>
      <c r="B3999" s="827"/>
      <c r="C3999" s="827"/>
      <c r="D3999" s="827"/>
      <c r="E3999" s="827" t="s">
        <v>13503</v>
      </c>
      <c r="F3999" s="826">
        <v>0.05</v>
      </c>
      <c r="G3999" s="827" t="s">
        <v>13504</v>
      </c>
      <c r="H3999" s="826">
        <v>0</v>
      </c>
      <c r="I3999" s="827" t="s">
        <v>13505</v>
      </c>
      <c r="J3999" s="826">
        <v>0.05</v>
      </c>
    </row>
    <row r="4000" spans="1:10" ht="25.5" customHeight="1" thickBot="1">
      <c r="A4000" s="827"/>
      <c r="B4000" s="827"/>
      <c r="C4000" s="827"/>
      <c r="D4000" s="827"/>
      <c r="E4000" s="827" t="s">
        <v>13506</v>
      </c>
      <c r="F4000" s="826">
        <v>0.01</v>
      </c>
      <c r="G4000" s="827"/>
      <c r="H4000" s="1018" t="s">
        <v>13507</v>
      </c>
      <c r="I4000" s="1018"/>
      <c r="J4000" s="826">
        <v>0.06</v>
      </c>
    </row>
    <row r="4001" spans="1:10" ht="25.5" customHeight="1" thickTop="1">
      <c r="A4001" s="828"/>
      <c r="B4001" s="828"/>
      <c r="C4001" s="828"/>
      <c r="D4001" s="828"/>
      <c r="E4001" s="828"/>
      <c r="F4001" s="828"/>
      <c r="G4001" s="828"/>
      <c r="H4001" s="828"/>
      <c r="I4001" s="828"/>
      <c r="J4001" s="828"/>
    </row>
    <row r="4002" spans="1:10" ht="25.5" customHeight="1">
      <c r="A4002" s="809"/>
      <c r="B4002" s="808" t="s">
        <v>13481</v>
      </c>
      <c r="C4002" s="809" t="s">
        <v>13482</v>
      </c>
      <c r="D4002" s="809" t="s">
        <v>13483</v>
      </c>
      <c r="E4002" s="1019" t="s">
        <v>13484</v>
      </c>
      <c r="F4002" s="1019"/>
      <c r="G4002" s="810" t="s">
        <v>13485</v>
      </c>
      <c r="H4002" s="808" t="s">
        <v>13486</v>
      </c>
      <c r="I4002" s="808" t="s">
        <v>13487</v>
      </c>
      <c r="J4002" s="808" t="s">
        <v>4867</v>
      </c>
    </row>
    <row r="4003" spans="1:10" ht="25.5" customHeight="1">
      <c r="A4003" s="812" t="s">
        <v>13488</v>
      </c>
      <c r="B4003" s="811" t="s">
        <v>14659</v>
      </c>
      <c r="C4003" s="812" t="s">
        <v>6</v>
      </c>
      <c r="D4003" s="812" t="s">
        <v>2551</v>
      </c>
      <c r="E4003" s="1020" t="s">
        <v>13490</v>
      </c>
      <c r="F4003" s="1020"/>
      <c r="G4003" s="813" t="s">
        <v>19</v>
      </c>
      <c r="H4003" s="814">
        <v>1</v>
      </c>
      <c r="I4003" s="815">
        <v>0.09</v>
      </c>
      <c r="J4003" s="815">
        <v>0.09</v>
      </c>
    </row>
    <row r="4004" spans="1:10" ht="13.5" customHeight="1">
      <c r="A4004" s="822" t="s">
        <v>13493</v>
      </c>
      <c r="B4004" s="821" t="s">
        <v>14660</v>
      </c>
      <c r="C4004" s="822" t="s">
        <v>6</v>
      </c>
      <c r="D4004" s="822" t="s">
        <v>4730</v>
      </c>
      <c r="E4004" s="1017" t="s">
        <v>13495</v>
      </c>
      <c r="F4004" s="1017"/>
      <c r="G4004" s="823" t="s">
        <v>19</v>
      </c>
      <c r="H4004" s="824">
        <v>9.4000000000000004E-3</v>
      </c>
      <c r="I4004" s="825">
        <v>10.45</v>
      </c>
      <c r="J4004" s="825">
        <v>0.09</v>
      </c>
    </row>
    <row r="4005" spans="1:10" ht="25.5">
      <c r="A4005" s="827"/>
      <c r="B4005" s="827"/>
      <c r="C4005" s="827"/>
      <c r="D4005" s="827"/>
      <c r="E4005" s="827" t="s">
        <v>13503</v>
      </c>
      <c r="F4005" s="826">
        <v>0.09</v>
      </c>
      <c r="G4005" s="827" t="s">
        <v>13504</v>
      </c>
      <c r="H4005" s="826">
        <v>0</v>
      </c>
      <c r="I4005" s="827" t="s">
        <v>13505</v>
      </c>
      <c r="J4005" s="826">
        <v>0.09</v>
      </c>
    </row>
    <row r="4006" spans="1:10" ht="13.5" customHeight="1" thickBot="1">
      <c r="A4006" s="827"/>
      <c r="B4006" s="827"/>
      <c r="C4006" s="827"/>
      <c r="D4006" s="827"/>
      <c r="E4006" s="827" t="s">
        <v>13506</v>
      </c>
      <c r="F4006" s="826">
        <v>0.02</v>
      </c>
      <c r="G4006" s="827"/>
      <c r="H4006" s="1018" t="s">
        <v>13507</v>
      </c>
      <c r="I4006" s="1018"/>
      <c r="J4006" s="826">
        <v>0.11</v>
      </c>
    </row>
    <row r="4007" spans="1:10" ht="25.5" customHeight="1" thickTop="1">
      <c r="A4007" s="828"/>
      <c r="B4007" s="828"/>
      <c r="C4007" s="828"/>
      <c r="D4007" s="828"/>
      <c r="E4007" s="828"/>
      <c r="F4007" s="828"/>
      <c r="G4007" s="828"/>
      <c r="H4007" s="828"/>
      <c r="I4007" s="828"/>
      <c r="J4007" s="828"/>
    </row>
    <row r="4008" spans="1:10" ht="25.5" customHeight="1">
      <c r="A4008" s="809"/>
      <c r="B4008" s="808" t="s">
        <v>13481</v>
      </c>
      <c r="C4008" s="809" t="s">
        <v>13482</v>
      </c>
      <c r="D4008" s="809" t="s">
        <v>13483</v>
      </c>
      <c r="E4008" s="1019" t="s">
        <v>13484</v>
      </c>
      <c r="F4008" s="1019"/>
      <c r="G4008" s="810" t="s">
        <v>13485</v>
      </c>
      <c r="H4008" s="808" t="s">
        <v>13486</v>
      </c>
      <c r="I4008" s="808" t="s">
        <v>13487</v>
      </c>
      <c r="J4008" s="808" t="s">
        <v>4867</v>
      </c>
    </row>
    <row r="4009" spans="1:10" ht="25.5" customHeight="1">
      <c r="A4009" s="812" t="s">
        <v>13488</v>
      </c>
      <c r="B4009" s="811" t="s">
        <v>14661</v>
      </c>
      <c r="C4009" s="812" t="s">
        <v>6</v>
      </c>
      <c r="D4009" s="812" t="s">
        <v>2555</v>
      </c>
      <c r="E4009" s="1020" t="s">
        <v>13490</v>
      </c>
      <c r="F4009" s="1020"/>
      <c r="G4009" s="813" t="s">
        <v>19</v>
      </c>
      <c r="H4009" s="814">
        <v>1</v>
      </c>
      <c r="I4009" s="815">
        <v>7.0000000000000007E-2</v>
      </c>
      <c r="J4009" s="815">
        <v>7.0000000000000007E-2</v>
      </c>
    </row>
    <row r="4010" spans="1:10" ht="25.5" customHeight="1">
      <c r="A4010" s="822" t="s">
        <v>13493</v>
      </c>
      <c r="B4010" s="821" t="s">
        <v>14662</v>
      </c>
      <c r="C4010" s="822" t="s">
        <v>6</v>
      </c>
      <c r="D4010" s="822" t="s">
        <v>4733</v>
      </c>
      <c r="E4010" s="1017" t="s">
        <v>13495</v>
      </c>
      <c r="F4010" s="1017"/>
      <c r="G4010" s="823" t="s">
        <v>19</v>
      </c>
      <c r="H4010" s="824">
        <v>6.7000000000000002E-3</v>
      </c>
      <c r="I4010" s="825">
        <v>11.42</v>
      </c>
      <c r="J4010" s="825">
        <v>7.0000000000000007E-2</v>
      </c>
    </row>
    <row r="4011" spans="1:10" ht="38.25" customHeight="1">
      <c r="A4011" s="827"/>
      <c r="B4011" s="827"/>
      <c r="C4011" s="827"/>
      <c r="D4011" s="827"/>
      <c r="E4011" s="827" t="s">
        <v>13503</v>
      </c>
      <c r="F4011" s="826">
        <v>7.0000000000000007E-2</v>
      </c>
      <c r="G4011" s="827" t="s">
        <v>13504</v>
      </c>
      <c r="H4011" s="826">
        <v>0</v>
      </c>
      <c r="I4011" s="827" t="s">
        <v>13505</v>
      </c>
      <c r="J4011" s="826">
        <v>7.0000000000000007E-2</v>
      </c>
    </row>
    <row r="4012" spans="1:10" ht="13.5" customHeight="1" thickBot="1">
      <c r="A4012" s="827"/>
      <c r="B4012" s="827"/>
      <c r="C4012" s="827"/>
      <c r="D4012" s="827"/>
      <c r="E4012" s="827" t="s">
        <v>13506</v>
      </c>
      <c r="F4012" s="826">
        <v>0.01</v>
      </c>
      <c r="G4012" s="827"/>
      <c r="H4012" s="1018" t="s">
        <v>13507</v>
      </c>
      <c r="I4012" s="1018"/>
      <c r="J4012" s="826">
        <v>0.08</v>
      </c>
    </row>
    <row r="4013" spans="1:10" ht="13.5" customHeight="1" thickTop="1">
      <c r="A4013" s="828"/>
      <c r="B4013" s="828"/>
      <c r="C4013" s="828"/>
      <c r="D4013" s="828"/>
      <c r="E4013" s="828"/>
      <c r="F4013" s="828"/>
      <c r="G4013" s="828"/>
      <c r="H4013" s="828"/>
      <c r="I4013" s="828"/>
      <c r="J4013" s="828"/>
    </row>
    <row r="4014" spans="1:10" ht="15">
      <c r="A4014" s="809"/>
      <c r="B4014" s="808" t="s">
        <v>13481</v>
      </c>
      <c r="C4014" s="809" t="s">
        <v>13482</v>
      </c>
      <c r="D4014" s="809" t="s">
        <v>13483</v>
      </c>
      <c r="E4014" s="1019" t="s">
        <v>13484</v>
      </c>
      <c r="F4014" s="1019"/>
      <c r="G4014" s="810" t="s">
        <v>13485</v>
      </c>
      <c r="H4014" s="808" t="s">
        <v>13486</v>
      </c>
      <c r="I4014" s="808" t="s">
        <v>13487</v>
      </c>
      <c r="J4014" s="808" t="s">
        <v>4867</v>
      </c>
    </row>
    <row r="4015" spans="1:10" ht="25.5" customHeight="1">
      <c r="A4015" s="812" t="s">
        <v>13488</v>
      </c>
      <c r="B4015" s="811" t="s">
        <v>14437</v>
      </c>
      <c r="C4015" s="812" t="s">
        <v>6</v>
      </c>
      <c r="D4015" s="812" t="s">
        <v>535</v>
      </c>
      <c r="E4015" s="1020" t="s">
        <v>13490</v>
      </c>
      <c r="F4015" s="1020"/>
      <c r="G4015" s="813" t="s">
        <v>19</v>
      </c>
      <c r="H4015" s="814">
        <v>1</v>
      </c>
      <c r="I4015" s="815">
        <v>0.23</v>
      </c>
      <c r="J4015" s="815">
        <v>0.23</v>
      </c>
    </row>
    <row r="4016" spans="1:10" ht="25.5" customHeight="1">
      <c r="A4016" s="822" t="s">
        <v>13493</v>
      </c>
      <c r="B4016" s="821" t="s">
        <v>14438</v>
      </c>
      <c r="C4016" s="822" t="s">
        <v>6</v>
      </c>
      <c r="D4016" s="822" t="s">
        <v>11675</v>
      </c>
      <c r="E4016" s="1017" t="s">
        <v>13495</v>
      </c>
      <c r="F4016" s="1017"/>
      <c r="G4016" s="823" t="s">
        <v>19</v>
      </c>
      <c r="H4016" s="824">
        <v>1.72E-2</v>
      </c>
      <c r="I4016" s="825">
        <v>13.73</v>
      </c>
      <c r="J4016" s="825">
        <v>0.23</v>
      </c>
    </row>
    <row r="4017" spans="1:10" ht="25.5">
      <c r="A4017" s="827"/>
      <c r="B4017" s="827"/>
      <c r="C4017" s="827"/>
      <c r="D4017" s="827"/>
      <c r="E4017" s="827" t="s">
        <v>13503</v>
      </c>
      <c r="F4017" s="826">
        <v>0.23</v>
      </c>
      <c r="G4017" s="827" t="s">
        <v>13504</v>
      </c>
      <c r="H4017" s="826">
        <v>0</v>
      </c>
      <c r="I4017" s="827" t="s">
        <v>13505</v>
      </c>
      <c r="J4017" s="826">
        <v>0.23</v>
      </c>
    </row>
    <row r="4018" spans="1:10" ht="13.5" customHeight="1" thickBot="1">
      <c r="A4018" s="827"/>
      <c r="B4018" s="827"/>
      <c r="C4018" s="827"/>
      <c r="D4018" s="827"/>
      <c r="E4018" s="827" t="s">
        <v>13506</v>
      </c>
      <c r="F4018" s="826">
        <v>0.06</v>
      </c>
      <c r="G4018" s="827"/>
      <c r="H4018" s="1018" t="s">
        <v>13507</v>
      </c>
      <c r="I4018" s="1018"/>
      <c r="J4018" s="826">
        <v>0.28999999999999998</v>
      </c>
    </row>
    <row r="4019" spans="1:10" ht="13.5" customHeight="1" thickTop="1">
      <c r="A4019" s="828"/>
      <c r="B4019" s="828"/>
      <c r="C4019" s="828"/>
      <c r="D4019" s="828"/>
      <c r="E4019" s="828"/>
      <c r="F4019" s="828"/>
      <c r="G4019" s="828"/>
      <c r="H4019" s="828"/>
      <c r="I4019" s="828"/>
      <c r="J4019" s="828"/>
    </row>
    <row r="4020" spans="1:10" ht="15">
      <c r="A4020" s="809"/>
      <c r="B4020" s="808" t="s">
        <v>13481</v>
      </c>
      <c r="C4020" s="809" t="s">
        <v>13482</v>
      </c>
      <c r="D4020" s="809" t="s">
        <v>13483</v>
      </c>
      <c r="E4020" s="1019" t="s">
        <v>13484</v>
      </c>
      <c r="F4020" s="1019"/>
      <c r="G4020" s="810" t="s">
        <v>13485</v>
      </c>
      <c r="H4020" s="808" t="s">
        <v>13486</v>
      </c>
      <c r="I4020" s="808" t="s">
        <v>13487</v>
      </c>
      <c r="J4020" s="808" t="s">
        <v>4867</v>
      </c>
    </row>
    <row r="4021" spans="1:10" ht="25.5" customHeight="1">
      <c r="A4021" s="812" t="s">
        <v>13488</v>
      </c>
      <c r="B4021" s="811" t="s">
        <v>14441</v>
      </c>
      <c r="C4021" s="812" t="s">
        <v>6</v>
      </c>
      <c r="D4021" s="812" t="s">
        <v>536</v>
      </c>
      <c r="E4021" s="1020" t="s">
        <v>13490</v>
      </c>
      <c r="F4021" s="1020"/>
      <c r="G4021" s="813" t="s">
        <v>19</v>
      </c>
      <c r="H4021" s="814">
        <v>1</v>
      </c>
      <c r="I4021" s="815">
        <v>0.16</v>
      </c>
      <c r="J4021" s="815">
        <v>0.16</v>
      </c>
    </row>
    <row r="4022" spans="1:10" ht="25.5" customHeight="1">
      <c r="A4022" s="822" t="s">
        <v>13493</v>
      </c>
      <c r="B4022" s="821" t="s">
        <v>14444</v>
      </c>
      <c r="C4022" s="822" t="s">
        <v>6</v>
      </c>
      <c r="D4022" s="822" t="s">
        <v>13458</v>
      </c>
      <c r="E4022" s="1017" t="s">
        <v>13495</v>
      </c>
      <c r="F4022" s="1017"/>
      <c r="G4022" s="823" t="s">
        <v>19</v>
      </c>
      <c r="H4022" s="824">
        <v>1.2E-2</v>
      </c>
      <c r="I4022" s="825">
        <v>13.73</v>
      </c>
      <c r="J4022" s="825">
        <v>0.16</v>
      </c>
    </row>
    <row r="4023" spans="1:10" ht="25.5">
      <c r="A4023" s="827"/>
      <c r="B4023" s="827"/>
      <c r="C4023" s="827"/>
      <c r="D4023" s="827"/>
      <c r="E4023" s="827" t="s">
        <v>13503</v>
      </c>
      <c r="F4023" s="826">
        <v>0.16</v>
      </c>
      <c r="G4023" s="827" t="s">
        <v>13504</v>
      </c>
      <c r="H4023" s="826">
        <v>0</v>
      </c>
      <c r="I4023" s="827" t="s">
        <v>13505</v>
      </c>
      <c r="J4023" s="826">
        <v>0.16</v>
      </c>
    </row>
    <row r="4024" spans="1:10" ht="13.5" customHeight="1" thickBot="1">
      <c r="A4024" s="827"/>
      <c r="B4024" s="827"/>
      <c r="C4024" s="827"/>
      <c r="D4024" s="827"/>
      <c r="E4024" s="827" t="s">
        <v>13506</v>
      </c>
      <c r="F4024" s="826">
        <v>0.04</v>
      </c>
      <c r="G4024" s="827"/>
      <c r="H4024" s="1018" t="s">
        <v>13507</v>
      </c>
      <c r="I4024" s="1018"/>
      <c r="J4024" s="826">
        <v>0.2</v>
      </c>
    </row>
    <row r="4025" spans="1:10" ht="13.5" customHeight="1" thickTop="1">
      <c r="A4025" s="828"/>
      <c r="B4025" s="828"/>
      <c r="C4025" s="828"/>
      <c r="D4025" s="828"/>
      <c r="E4025" s="828"/>
      <c r="F4025" s="828"/>
      <c r="G4025" s="828"/>
      <c r="H4025" s="828"/>
      <c r="I4025" s="828"/>
      <c r="J4025" s="828"/>
    </row>
    <row r="4026" spans="1:10" ht="15">
      <c r="A4026" s="809"/>
      <c r="B4026" s="808" t="s">
        <v>13481</v>
      </c>
      <c r="C4026" s="809" t="s">
        <v>13482</v>
      </c>
      <c r="D4026" s="809" t="s">
        <v>13483</v>
      </c>
      <c r="E4026" s="1019" t="s">
        <v>13484</v>
      </c>
      <c r="F4026" s="1019"/>
      <c r="G4026" s="810" t="s">
        <v>13485</v>
      </c>
      <c r="H4026" s="808" t="s">
        <v>13486</v>
      </c>
      <c r="I4026" s="808" t="s">
        <v>13487</v>
      </c>
      <c r="J4026" s="808" t="s">
        <v>4867</v>
      </c>
    </row>
    <row r="4027" spans="1:10" ht="25.5" customHeight="1">
      <c r="A4027" s="812" t="s">
        <v>13488</v>
      </c>
      <c r="B4027" s="811" t="s">
        <v>14663</v>
      </c>
      <c r="C4027" s="812" t="s">
        <v>6</v>
      </c>
      <c r="D4027" s="812" t="s">
        <v>2563</v>
      </c>
      <c r="E4027" s="1020" t="s">
        <v>13490</v>
      </c>
      <c r="F4027" s="1020"/>
      <c r="G4027" s="813" t="s">
        <v>19</v>
      </c>
      <c r="H4027" s="814">
        <v>1</v>
      </c>
      <c r="I4027" s="815">
        <v>0.16</v>
      </c>
      <c r="J4027" s="815">
        <v>0.16</v>
      </c>
    </row>
    <row r="4028" spans="1:10" ht="25.5" customHeight="1">
      <c r="A4028" s="822" t="s">
        <v>13493</v>
      </c>
      <c r="B4028" s="821" t="s">
        <v>14664</v>
      </c>
      <c r="C4028" s="822" t="s">
        <v>6</v>
      </c>
      <c r="D4028" s="822" t="s">
        <v>13460</v>
      </c>
      <c r="E4028" s="1017" t="s">
        <v>13495</v>
      </c>
      <c r="F4028" s="1017"/>
      <c r="G4028" s="823" t="s">
        <v>19</v>
      </c>
      <c r="H4028" s="824">
        <v>1.2E-2</v>
      </c>
      <c r="I4028" s="825">
        <v>13.73</v>
      </c>
      <c r="J4028" s="825">
        <v>0.16</v>
      </c>
    </row>
    <row r="4029" spans="1:10" ht="25.5">
      <c r="A4029" s="827"/>
      <c r="B4029" s="827"/>
      <c r="C4029" s="827"/>
      <c r="D4029" s="827"/>
      <c r="E4029" s="827" t="s">
        <v>13503</v>
      </c>
      <c r="F4029" s="826">
        <v>0.16</v>
      </c>
      <c r="G4029" s="827" t="s">
        <v>13504</v>
      </c>
      <c r="H4029" s="826">
        <v>0</v>
      </c>
      <c r="I4029" s="827" t="s">
        <v>13505</v>
      </c>
      <c r="J4029" s="826">
        <v>0.16</v>
      </c>
    </row>
    <row r="4030" spans="1:10" ht="13.5" customHeight="1" thickBot="1">
      <c r="A4030" s="827"/>
      <c r="B4030" s="827"/>
      <c r="C4030" s="827"/>
      <c r="D4030" s="827"/>
      <c r="E4030" s="827" t="s">
        <v>13506</v>
      </c>
      <c r="F4030" s="826">
        <v>0.04</v>
      </c>
      <c r="G4030" s="827"/>
      <c r="H4030" s="1018" t="s">
        <v>13507</v>
      </c>
      <c r="I4030" s="1018"/>
      <c r="J4030" s="826">
        <v>0.2</v>
      </c>
    </row>
    <row r="4031" spans="1:10" ht="13.5" customHeight="1" thickTop="1">
      <c r="A4031" s="828"/>
      <c r="B4031" s="828"/>
      <c r="C4031" s="828"/>
      <c r="D4031" s="828"/>
      <c r="E4031" s="828"/>
      <c r="F4031" s="828"/>
      <c r="G4031" s="828"/>
      <c r="H4031" s="828"/>
      <c r="I4031" s="828"/>
      <c r="J4031" s="828"/>
    </row>
    <row r="4032" spans="1:10" ht="15">
      <c r="A4032" s="809"/>
      <c r="B4032" s="808" t="s">
        <v>13481</v>
      </c>
      <c r="C4032" s="809" t="s">
        <v>13482</v>
      </c>
      <c r="D4032" s="809" t="s">
        <v>13483</v>
      </c>
      <c r="E4032" s="1019" t="s">
        <v>13484</v>
      </c>
      <c r="F4032" s="1019"/>
      <c r="G4032" s="810" t="s">
        <v>13485</v>
      </c>
      <c r="H4032" s="808" t="s">
        <v>13486</v>
      </c>
      <c r="I4032" s="808" t="s">
        <v>13487</v>
      </c>
      <c r="J4032" s="808" t="s">
        <v>4867</v>
      </c>
    </row>
    <row r="4033" spans="1:10" ht="25.5" customHeight="1">
      <c r="A4033" s="812" t="s">
        <v>13488</v>
      </c>
      <c r="B4033" s="811" t="s">
        <v>14445</v>
      </c>
      <c r="C4033" s="812" t="s">
        <v>6</v>
      </c>
      <c r="D4033" s="812" t="s">
        <v>2565</v>
      </c>
      <c r="E4033" s="1020" t="s">
        <v>13490</v>
      </c>
      <c r="F4033" s="1020"/>
      <c r="G4033" s="813" t="s">
        <v>19</v>
      </c>
      <c r="H4033" s="814">
        <v>1</v>
      </c>
      <c r="I4033" s="815">
        <v>0.12</v>
      </c>
      <c r="J4033" s="815">
        <v>0.12</v>
      </c>
    </row>
    <row r="4034" spans="1:10" ht="38.25" customHeight="1">
      <c r="A4034" s="822" t="s">
        <v>13493</v>
      </c>
      <c r="B4034" s="821" t="s">
        <v>14446</v>
      </c>
      <c r="C4034" s="822" t="s">
        <v>6</v>
      </c>
      <c r="D4034" s="822" t="s">
        <v>12223</v>
      </c>
      <c r="E4034" s="1017" t="s">
        <v>13495</v>
      </c>
      <c r="F4034" s="1017"/>
      <c r="G4034" s="823" t="s">
        <v>19</v>
      </c>
      <c r="H4034" s="824">
        <v>9.4000000000000004E-3</v>
      </c>
      <c r="I4034" s="825">
        <v>13.73</v>
      </c>
      <c r="J4034" s="825">
        <v>0.12</v>
      </c>
    </row>
    <row r="4035" spans="1:10" ht="25.5">
      <c r="A4035" s="827"/>
      <c r="B4035" s="827"/>
      <c r="C4035" s="827"/>
      <c r="D4035" s="827"/>
      <c r="E4035" s="827" t="s">
        <v>13503</v>
      </c>
      <c r="F4035" s="826">
        <v>0.12</v>
      </c>
      <c r="G4035" s="827" t="s">
        <v>13504</v>
      </c>
      <c r="H4035" s="826">
        <v>0</v>
      </c>
      <c r="I4035" s="827" t="s">
        <v>13505</v>
      </c>
      <c r="J4035" s="826">
        <v>0.12</v>
      </c>
    </row>
    <row r="4036" spans="1:10" ht="13.5" customHeight="1" thickBot="1">
      <c r="A4036" s="827"/>
      <c r="B4036" s="827"/>
      <c r="C4036" s="827"/>
      <c r="D4036" s="827"/>
      <c r="E4036" s="827" t="s">
        <v>13506</v>
      </c>
      <c r="F4036" s="826">
        <v>0.03</v>
      </c>
      <c r="G4036" s="827"/>
      <c r="H4036" s="1018" t="s">
        <v>13507</v>
      </c>
      <c r="I4036" s="1018"/>
      <c r="J4036" s="826">
        <v>0.15</v>
      </c>
    </row>
    <row r="4037" spans="1:10" ht="13.5" customHeight="1" thickTop="1">
      <c r="A4037" s="828"/>
      <c r="B4037" s="828"/>
      <c r="C4037" s="828"/>
      <c r="D4037" s="828"/>
      <c r="E4037" s="828"/>
      <c r="F4037" s="828"/>
      <c r="G4037" s="828"/>
      <c r="H4037" s="828"/>
      <c r="I4037" s="828"/>
      <c r="J4037" s="828"/>
    </row>
    <row r="4038" spans="1:10" ht="15">
      <c r="A4038" s="809"/>
      <c r="B4038" s="808" t="s">
        <v>13481</v>
      </c>
      <c r="C4038" s="809" t="s">
        <v>13482</v>
      </c>
      <c r="D4038" s="809" t="s">
        <v>13483</v>
      </c>
      <c r="E4038" s="1019" t="s">
        <v>13484</v>
      </c>
      <c r="F4038" s="1019"/>
      <c r="G4038" s="810" t="s">
        <v>13485</v>
      </c>
      <c r="H4038" s="808" t="s">
        <v>13486</v>
      </c>
      <c r="I4038" s="808" t="s">
        <v>13487</v>
      </c>
      <c r="J4038" s="808" t="s">
        <v>4867</v>
      </c>
    </row>
    <row r="4039" spans="1:10" ht="25.5" customHeight="1">
      <c r="A4039" s="812" t="s">
        <v>13488</v>
      </c>
      <c r="B4039" s="811" t="s">
        <v>14421</v>
      </c>
      <c r="C4039" s="812" t="s">
        <v>6</v>
      </c>
      <c r="D4039" s="812" t="s">
        <v>538</v>
      </c>
      <c r="E4039" s="1020" t="s">
        <v>13490</v>
      </c>
      <c r="F4039" s="1020"/>
      <c r="G4039" s="813" t="s">
        <v>19</v>
      </c>
      <c r="H4039" s="814">
        <v>1</v>
      </c>
      <c r="I4039" s="815">
        <v>0.17</v>
      </c>
      <c r="J4039" s="815">
        <v>0.17</v>
      </c>
    </row>
    <row r="4040" spans="1:10">
      <c r="A4040" s="822" t="s">
        <v>13493</v>
      </c>
      <c r="B4040" s="821" t="s">
        <v>14422</v>
      </c>
      <c r="C4040" s="822" t="s">
        <v>6</v>
      </c>
      <c r="D4040" s="822" t="s">
        <v>4782</v>
      </c>
      <c r="E4040" s="1017" t="s">
        <v>13495</v>
      </c>
      <c r="F4040" s="1017"/>
      <c r="G4040" s="823" t="s">
        <v>19</v>
      </c>
      <c r="H4040" s="824">
        <v>1.72E-2</v>
      </c>
      <c r="I4040" s="825">
        <v>10.210000000000001</v>
      </c>
      <c r="J4040" s="825">
        <v>0.17</v>
      </c>
    </row>
    <row r="4041" spans="1:10" ht="25.5">
      <c r="A4041" s="827"/>
      <c r="B4041" s="827"/>
      <c r="C4041" s="827"/>
      <c r="D4041" s="827"/>
      <c r="E4041" s="827" t="s">
        <v>13503</v>
      </c>
      <c r="F4041" s="826">
        <v>0.17</v>
      </c>
      <c r="G4041" s="827" t="s">
        <v>13504</v>
      </c>
      <c r="H4041" s="826">
        <v>0</v>
      </c>
      <c r="I4041" s="827" t="s">
        <v>13505</v>
      </c>
      <c r="J4041" s="826">
        <v>0.17</v>
      </c>
    </row>
    <row r="4042" spans="1:10" ht="13.5" customHeight="1" thickBot="1">
      <c r="A4042" s="827"/>
      <c r="B4042" s="827"/>
      <c r="C4042" s="827"/>
      <c r="D4042" s="827"/>
      <c r="E4042" s="827" t="s">
        <v>13506</v>
      </c>
      <c r="F4042" s="826">
        <v>0.04</v>
      </c>
      <c r="G4042" s="827"/>
      <c r="H4042" s="1018" t="s">
        <v>13507</v>
      </c>
      <c r="I4042" s="1018"/>
      <c r="J4042" s="826">
        <v>0.21</v>
      </c>
    </row>
    <row r="4043" spans="1:10" ht="13.5" thickTop="1">
      <c r="A4043" s="828"/>
      <c r="B4043" s="828"/>
      <c r="C4043" s="828"/>
      <c r="D4043" s="828"/>
      <c r="E4043" s="828"/>
      <c r="F4043" s="828"/>
      <c r="G4043" s="828"/>
      <c r="H4043" s="828"/>
      <c r="I4043" s="828"/>
      <c r="J4043" s="828"/>
    </row>
    <row r="4044" spans="1:10" ht="15">
      <c r="A4044" s="809"/>
      <c r="B4044" s="808" t="s">
        <v>13481</v>
      </c>
      <c r="C4044" s="809" t="s">
        <v>13482</v>
      </c>
      <c r="D4044" s="809" t="s">
        <v>13483</v>
      </c>
      <c r="E4044" s="1019" t="s">
        <v>13484</v>
      </c>
      <c r="F4044" s="1019"/>
      <c r="G4044" s="810" t="s">
        <v>13485</v>
      </c>
      <c r="H4044" s="808" t="s">
        <v>13486</v>
      </c>
      <c r="I4044" s="808" t="s">
        <v>13487</v>
      </c>
      <c r="J4044" s="808" t="s">
        <v>4867</v>
      </c>
    </row>
    <row r="4045" spans="1:10" ht="25.5" customHeight="1">
      <c r="A4045" s="812" t="s">
        <v>13488</v>
      </c>
      <c r="B4045" s="811" t="s">
        <v>14554</v>
      </c>
      <c r="C4045" s="812" t="s">
        <v>6</v>
      </c>
      <c r="D4045" s="812" t="s">
        <v>539</v>
      </c>
      <c r="E4045" s="1020" t="s">
        <v>13490</v>
      </c>
      <c r="F4045" s="1020"/>
      <c r="G4045" s="813" t="s">
        <v>19</v>
      </c>
      <c r="H4045" s="814">
        <v>1</v>
      </c>
      <c r="I4045" s="815">
        <v>0.12</v>
      </c>
      <c r="J4045" s="815">
        <v>0.12</v>
      </c>
    </row>
    <row r="4046" spans="1:10">
      <c r="A4046" s="822" t="s">
        <v>13493</v>
      </c>
      <c r="B4046" s="821" t="s">
        <v>14557</v>
      </c>
      <c r="C4046" s="822" t="s">
        <v>6</v>
      </c>
      <c r="D4046" s="822" t="s">
        <v>4787</v>
      </c>
      <c r="E4046" s="1017" t="s">
        <v>13495</v>
      </c>
      <c r="F4046" s="1017"/>
      <c r="G4046" s="823" t="s">
        <v>19</v>
      </c>
      <c r="H4046" s="824">
        <v>9.4000000000000004E-3</v>
      </c>
      <c r="I4046" s="825">
        <v>13.73</v>
      </c>
      <c r="J4046" s="825">
        <v>0.12</v>
      </c>
    </row>
    <row r="4047" spans="1:10" ht="25.5">
      <c r="A4047" s="827"/>
      <c r="B4047" s="827"/>
      <c r="C4047" s="827"/>
      <c r="D4047" s="827"/>
      <c r="E4047" s="827" t="s">
        <v>13503</v>
      </c>
      <c r="F4047" s="826">
        <v>0.12</v>
      </c>
      <c r="G4047" s="827" t="s">
        <v>13504</v>
      </c>
      <c r="H4047" s="826">
        <v>0</v>
      </c>
      <c r="I4047" s="827" t="s">
        <v>13505</v>
      </c>
      <c r="J4047" s="826">
        <v>0.12</v>
      </c>
    </row>
    <row r="4048" spans="1:10" ht="13.5" customHeight="1" thickBot="1">
      <c r="A4048" s="827"/>
      <c r="B4048" s="827"/>
      <c r="C4048" s="827"/>
      <c r="D4048" s="827"/>
      <c r="E4048" s="827" t="s">
        <v>13506</v>
      </c>
      <c r="F4048" s="826">
        <v>0.03</v>
      </c>
      <c r="G4048" s="827"/>
      <c r="H4048" s="1018" t="s">
        <v>13507</v>
      </c>
      <c r="I4048" s="1018"/>
      <c r="J4048" s="826">
        <v>0.15</v>
      </c>
    </row>
    <row r="4049" spans="1:10" ht="13.5" thickTop="1">
      <c r="A4049" s="828"/>
      <c r="B4049" s="828"/>
      <c r="C4049" s="828"/>
      <c r="D4049" s="828"/>
      <c r="E4049" s="828"/>
      <c r="F4049" s="828"/>
      <c r="G4049" s="828"/>
      <c r="H4049" s="828"/>
      <c r="I4049" s="828"/>
      <c r="J4049" s="828"/>
    </row>
    <row r="4050" spans="1:10" ht="13.5" customHeight="1">
      <c r="A4050" s="809"/>
      <c r="B4050" s="808" t="s">
        <v>13481</v>
      </c>
      <c r="C4050" s="809" t="s">
        <v>13482</v>
      </c>
      <c r="D4050" s="809" t="s">
        <v>13483</v>
      </c>
      <c r="E4050" s="1019" t="s">
        <v>13484</v>
      </c>
      <c r="F4050" s="1019"/>
      <c r="G4050" s="810" t="s">
        <v>13485</v>
      </c>
      <c r="H4050" s="808" t="s">
        <v>13486</v>
      </c>
      <c r="I4050" s="808" t="s">
        <v>13487</v>
      </c>
      <c r="J4050" s="808" t="s">
        <v>4867</v>
      </c>
    </row>
    <row r="4051" spans="1:10" ht="25.5" customHeight="1">
      <c r="A4051" s="812" t="s">
        <v>13488</v>
      </c>
      <c r="B4051" s="811" t="s">
        <v>14665</v>
      </c>
      <c r="C4051" s="812" t="s">
        <v>6</v>
      </c>
      <c r="D4051" s="812" t="s">
        <v>2570</v>
      </c>
      <c r="E4051" s="1020" t="s">
        <v>13490</v>
      </c>
      <c r="F4051" s="1020"/>
      <c r="G4051" s="813" t="s">
        <v>19</v>
      </c>
      <c r="H4051" s="814">
        <v>1</v>
      </c>
      <c r="I4051" s="815">
        <v>0.12</v>
      </c>
      <c r="J4051" s="815">
        <v>0.12</v>
      </c>
    </row>
    <row r="4052" spans="1:10">
      <c r="A4052" s="822" t="s">
        <v>13493</v>
      </c>
      <c r="B4052" s="821" t="s">
        <v>14666</v>
      </c>
      <c r="C4052" s="822" t="s">
        <v>6</v>
      </c>
      <c r="D4052" s="822" t="s">
        <v>13472</v>
      </c>
      <c r="E4052" s="1017" t="s">
        <v>13495</v>
      </c>
      <c r="F4052" s="1017"/>
      <c r="G4052" s="823" t="s">
        <v>19</v>
      </c>
      <c r="H4052" s="824">
        <v>9.4000000000000004E-3</v>
      </c>
      <c r="I4052" s="825">
        <v>13.56</v>
      </c>
      <c r="J4052" s="825">
        <v>0.12</v>
      </c>
    </row>
    <row r="4053" spans="1:10" ht="12.75" customHeight="1">
      <c r="A4053" s="827"/>
      <c r="B4053" s="827"/>
      <c r="C4053" s="827"/>
      <c r="D4053" s="827"/>
      <c r="E4053" s="827" t="s">
        <v>13503</v>
      </c>
      <c r="F4053" s="826">
        <v>0.12</v>
      </c>
      <c r="G4053" s="827" t="s">
        <v>13504</v>
      </c>
      <c r="H4053" s="826">
        <v>0</v>
      </c>
      <c r="I4053" s="827" t="s">
        <v>13505</v>
      </c>
      <c r="J4053" s="826">
        <v>0.12</v>
      </c>
    </row>
    <row r="4054" spans="1:10" ht="13.5" customHeight="1" thickBot="1">
      <c r="A4054" s="827"/>
      <c r="B4054" s="827"/>
      <c r="C4054" s="827"/>
      <c r="D4054" s="827"/>
      <c r="E4054" s="827" t="s">
        <v>13506</v>
      </c>
      <c r="F4054" s="826">
        <v>0.03</v>
      </c>
      <c r="G4054" s="827"/>
      <c r="H4054" s="1018" t="s">
        <v>13507</v>
      </c>
      <c r="I4054" s="1018"/>
      <c r="J4054" s="826">
        <v>0.15</v>
      </c>
    </row>
    <row r="4055" spans="1:10" ht="13.5" thickTop="1">
      <c r="A4055" s="828"/>
      <c r="B4055" s="828"/>
      <c r="C4055" s="828"/>
      <c r="D4055" s="828"/>
      <c r="E4055" s="828"/>
      <c r="F4055" s="828"/>
      <c r="G4055" s="828"/>
      <c r="H4055" s="828"/>
      <c r="I4055" s="828"/>
      <c r="J4055" s="828"/>
    </row>
    <row r="4056" spans="1:10" ht="15">
      <c r="A4056" s="809"/>
      <c r="B4056" s="808" t="s">
        <v>13481</v>
      </c>
      <c r="C4056" s="809" t="s">
        <v>13482</v>
      </c>
      <c r="D4056" s="809" t="s">
        <v>13483</v>
      </c>
      <c r="E4056" s="1019" t="s">
        <v>13484</v>
      </c>
      <c r="F4056" s="1019"/>
      <c r="G4056" s="810" t="s">
        <v>13485</v>
      </c>
      <c r="H4056" s="808" t="s">
        <v>13486</v>
      </c>
      <c r="I4056" s="808" t="s">
        <v>13487</v>
      </c>
      <c r="J4056" s="808" t="s">
        <v>4867</v>
      </c>
    </row>
    <row r="4057" spans="1:10" ht="25.5" customHeight="1">
      <c r="A4057" s="812" t="s">
        <v>13488</v>
      </c>
      <c r="B4057" s="811" t="s">
        <v>14564</v>
      </c>
      <c r="C4057" s="812" t="s">
        <v>6</v>
      </c>
      <c r="D4057" s="812" t="s">
        <v>2572</v>
      </c>
      <c r="E4057" s="1020" t="s">
        <v>13490</v>
      </c>
      <c r="F4057" s="1020"/>
      <c r="G4057" s="813" t="s">
        <v>19</v>
      </c>
      <c r="H4057" s="814">
        <v>1</v>
      </c>
      <c r="I4057" s="815">
        <v>0.14000000000000001</v>
      </c>
      <c r="J4057" s="815">
        <v>0.14000000000000001</v>
      </c>
    </row>
    <row r="4058" spans="1:10">
      <c r="A4058" s="822" t="s">
        <v>13493</v>
      </c>
      <c r="B4058" s="821" t="s">
        <v>14565</v>
      </c>
      <c r="C4058" s="822" t="s">
        <v>6</v>
      </c>
      <c r="D4058" s="822" t="s">
        <v>13248</v>
      </c>
      <c r="E4058" s="1017" t="s">
        <v>13495</v>
      </c>
      <c r="F4058" s="1017"/>
      <c r="G4058" s="823" t="s">
        <v>19</v>
      </c>
      <c r="H4058" s="824">
        <v>1.2E-2</v>
      </c>
      <c r="I4058" s="825">
        <v>11.82</v>
      </c>
      <c r="J4058" s="825">
        <v>0.14000000000000001</v>
      </c>
    </row>
    <row r="4059" spans="1:10" ht="25.5">
      <c r="A4059" s="827"/>
      <c r="B4059" s="827"/>
      <c r="C4059" s="827"/>
      <c r="D4059" s="827"/>
      <c r="E4059" s="827" t="s">
        <v>13503</v>
      </c>
      <c r="F4059" s="826">
        <v>0.14000000000000001</v>
      </c>
      <c r="G4059" s="827" t="s">
        <v>13504</v>
      </c>
      <c r="H4059" s="826">
        <v>0</v>
      </c>
      <c r="I4059" s="827" t="s">
        <v>13505</v>
      </c>
      <c r="J4059" s="826">
        <v>0.14000000000000001</v>
      </c>
    </row>
    <row r="4060" spans="1:10" ht="13.5" customHeight="1" thickBot="1">
      <c r="A4060" s="827"/>
      <c r="B4060" s="827"/>
      <c r="C4060" s="827"/>
      <c r="D4060" s="827"/>
      <c r="E4060" s="827" t="s">
        <v>13506</v>
      </c>
      <c r="F4060" s="826">
        <v>0.03</v>
      </c>
      <c r="G4060" s="827"/>
      <c r="H4060" s="1018" t="s">
        <v>13507</v>
      </c>
      <c r="I4060" s="1018"/>
      <c r="J4060" s="826">
        <v>0.17</v>
      </c>
    </row>
    <row r="4061" spans="1:10" ht="13.5" thickTop="1">
      <c r="A4061" s="828"/>
      <c r="B4061" s="828"/>
      <c r="C4061" s="828"/>
      <c r="D4061" s="828"/>
      <c r="E4061" s="828"/>
      <c r="F4061" s="828"/>
      <c r="G4061" s="828"/>
      <c r="H4061" s="828"/>
      <c r="I4061" s="828"/>
      <c r="J4061" s="828"/>
    </row>
    <row r="4062" spans="1:10" ht="15">
      <c r="A4062" s="809"/>
      <c r="B4062" s="808" t="s">
        <v>13481</v>
      </c>
      <c r="C4062" s="809" t="s">
        <v>13482</v>
      </c>
      <c r="D4062" s="809" t="s">
        <v>13483</v>
      </c>
      <c r="E4062" s="1019" t="s">
        <v>13484</v>
      </c>
      <c r="F4062" s="1019"/>
      <c r="G4062" s="810" t="s">
        <v>13485</v>
      </c>
      <c r="H4062" s="808" t="s">
        <v>13486</v>
      </c>
      <c r="I4062" s="808" t="s">
        <v>13487</v>
      </c>
      <c r="J4062" s="808" t="s">
        <v>4867</v>
      </c>
    </row>
    <row r="4063" spans="1:10" ht="13.5" customHeight="1">
      <c r="A4063" s="812" t="s">
        <v>13488</v>
      </c>
      <c r="B4063" s="811" t="s">
        <v>13519</v>
      </c>
      <c r="C4063" s="812" t="s">
        <v>6</v>
      </c>
      <c r="D4063" s="812" t="s">
        <v>5121</v>
      </c>
      <c r="E4063" s="1020" t="s">
        <v>13490</v>
      </c>
      <c r="F4063" s="1020"/>
      <c r="G4063" s="813" t="s">
        <v>74</v>
      </c>
      <c r="H4063" s="814">
        <v>1</v>
      </c>
      <c r="I4063" s="815">
        <v>5.59</v>
      </c>
      <c r="J4063" s="815">
        <v>5.59</v>
      </c>
    </row>
    <row r="4064" spans="1:10">
      <c r="A4064" s="822" t="s">
        <v>13493</v>
      </c>
      <c r="B4064" s="821" t="s">
        <v>13524</v>
      </c>
      <c r="C4064" s="822" t="s">
        <v>6</v>
      </c>
      <c r="D4064" s="822" t="s">
        <v>13287</v>
      </c>
      <c r="E4064" s="1017" t="s">
        <v>13495</v>
      </c>
      <c r="F4064" s="1017"/>
      <c r="G4064" s="823" t="s">
        <v>74</v>
      </c>
      <c r="H4064" s="824">
        <v>3.0999999999999999E-3</v>
      </c>
      <c r="I4064" s="825">
        <v>1804.46</v>
      </c>
      <c r="J4064" s="825">
        <v>5.59</v>
      </c>
    </row>
    <row r="4065" spans="1:10" ht="25.5">
      <c r="A4065" s="827"/>
      <c r="B4065" s="827"/>
      <c r="C4065" s="827"/>
      <c r="D4065" s="827"/>
      <c r="E4065" s="827" t="s">
        <v>13503</v>
      </c>
      <c r="F4065" s="826">
        <v>5.59</v>
      </c>
      <c r="G4065" s="827" t="s">
        <v>13504</v>
      </c>
      <c r="H4065" s="826">
        <v>0</v>
      </c>
      <c r="I4065" s="827" t="s">
        <v>13505</v>
      </c>
      <c r="J4065" s="826">
        <v>5.59</v>
      </c>
    </row>
    <row r="4066" spans="1:10" ht="12.75" customHeight="1" thickBot="1">
      <c r="A4066" s="827"/>
      <c r="B4066" s="827"/>
      <c r="C4066" s="827"/>
      <c r="D4066" s="827"/>
      <c r="E4066" s="827" t="s">
        <v>13506</v>
      </c>
      <c r="F4066" s="826">
        <v>1.57</v>
      </c>
      <c r="G4066" s="827"/>
      <c r="H4066" s="1018" t="s">
        <v>13507</v>
      </c>
      <c r="I4066" s="1018"/>
      <c r="J4066" s="826">
        <v>7.16</v>
      </c>
    </row>
    <row r="4067" spans="1:10" ht="13.5" thickTop="1">
      <c r="A4067" s="828"/>
      <c r="B4067" s="828"/>
      <c r="C4067" s="828"/>
      <c r="D4067" s="828"/>
      <c r="E4067" s="828"/>
      <c r="F4067" s="828"/>
      <c r="G4067" s="828"/>
      <c r="H4067" s="828"/>
      <c r="I4067" s="828"/>
      <c r="J4067" s="828"/>
    </row>
    <row r="4068" spans="1:10" ht="15">
      <c r="A4068" s="809"/>
      <c r="B4068" s="808" t="s">
        <v>13481</v>
      </c>
      <c r="C4068" s="809" t="s">
        <v>13482</v>
      </c>
      <c r="D4068" s="809" t="s">
        <v>13483</v>
      </c>
      <c r="E4068" s="1019" t="s">
        <v>13484</v>
      </c>
      <c r="F4068" s="1019"/>
      <c r="G4068" s="810" t="s">
        <v>13485</v>
      </c>
      <c r="H4068" s="808" t="s">
        <v>13486</v>
      </c>
      <c r="I4068" s="808" t="s">
        <v>13487</v>
      </c>
      <c r="J4068" s="808" t="s">
        <v>4867</v>
      </c>
    </row>
    <row r="4069" spans="1:10" ht="25.5" customHeight="1">
      <c r="A4069" s="812" t="s">
        <v>13488</v>
      </c>
      <c r="B4069" s="811" t="s">
        <v>13527</v>
      </c>
      <c r="C4069" s="812" t="s">
        <v>6</v>
      </c>
      <c r="D4069" s="812" t="s">
        <v>2573</v>
      </c>
      <c r="E4069" s="1020" t="s">
        <v>13490</v>
      </c>
      <c r="F4069" s="1020"/>
      <c r="G4069" s="813" t="s">
        <v>19</v>
      </c>
      <c r="H4069" s="814">
        <v>1</v>
      </c>
      <c r="I4069" s="815">
        <v>0.05</v>
      </c>
      <c r="J4069" s="815">
        <v>0.05</v>
      </c>
    </row>
    <row r="4070" spans="1:10" ht="25.5">
      <c r="A4070" s="822" t="s">
        <v>13493</v>
      </c>
      <c r="B4070" s="821" t="s">
        <v>13533</v>
      </c>
      <c r="C4070" s="822" t="s">
        <v>6</v>
      </c>
      <c r="D4070" s="822" t="s">
        <v>4821</v>
      </c>
      <c r="E4070" s="1017" t="s">
        <v>13495</v>
      </c>
      <c r="F4070" s="1017"/>
      <c r="G4070" s="823" t="s">
        <v>19</v>
      </c>
      <c r="H4070" s="824">
        <v>4.1000000000000003E-3</v>
      </c>
      <c r="I4070" s="825">
        <v>14</v>
      </c>
      <c r="J4070" s="825">
        <v>0.05</v>
      </c>
    </row>
    <row r="4071" spans="1:10" ht="25.5">
      <c r="A4071" s="827"/>
      <c r="B4071" s="827"/>
      <c r="C4071" s="827"/>
      <c r="D4071" s="827"/>
      <c r="E4071" s="827" t="s">
        <v>13503</v>
      </c>
      <c r="F4071" s="826">
        <v>0.05</v>
      </c>
      <c r="G4071" s="827" t="s">
        <v>13504</v>
      </c>
      <c r="H4071" s="826">
        <v>0</v>
      </c>
      <c r="I4071" s="827" t="s">
        <v>13505</v>
      </c>
      <c r="J4071" s="826">
        <v>0.05</v>
      </c>
    </row>
    <row r="4072" spans="1:10" ht="13.5" customHeight="1" thickBot="1">
      <c r="A4072" s="827"/>
      <c r="B4072" s="827"/>
      <c r="C4072" s="827"/>
      <c r="D4072" s="827"/>
      <c r="E4072" s="827" t="s">
        <v>13506</v>
      </c>
      <c r="F4072" s="826">
        <v>0.01</v>
      </c>
      <c r="G4072" s="827"/>
      <c r="H4072" s="1018" t="s">
        <v>13507</v>
      </c>
      <c r="I4072" s="1018"/>
      <c r="J4072" s="826">
        <v>0.06</v>
      </c>
    </row>
    <row r="4073" spans="1:10" ht="13.5" thickTop="1">
      <c r="A4073" s="828"/>
      <c r="B4073" s="828"/>
      <c r="C4073" s="828"/>
      <c r="D4073" s="828"/>
      <c r="E4073" s="828"/>
      <c r="F4073" s="828"/>
      <c r="G4073" s="828"/>
      <c r="H4073" s="828"/>
      <c r="I4073" s="828"/>
      <c r="J4073" s="828"/>
    </row>
    <row r="4074" spans="1:10" ht="15">
      <c r="A4074" s="809"/>
      <c r="B4074" s="808" t="s">
        <v>13481</v>
      </c>
      <c r="C4074" s="809" t="s">
        <v>13482</v>
      </c>
      <c r="D4074" s="809" t="s">
        <v>13483</v>
      </c>
      <c r="E4074" s="1019" t="s">
        <v>13484</v>
      </c>
      <c r="F4074" s="1019"/>
      <c r="G4074" s="810" t="s">
        <v>13485</v>
      </c>
      <c r="H4074" s="808" t="s">
        <v>13486</v>
      </c>
      <c r="I4074" s="808" t="s">
        <v>13487</v>
      </c>
      <c r="J4074" s="808" t="s">
        <v>4867</v>
      </c>
    </row>
    <row r="4075" spans="1:10" ht="25.5" customHeight="1">
      <c r="A4075" s="812" t="s">
        <v>13488</v>
      </c>
      <c r="B4075" s="811" t="s">
        <v>13616</v>
      </c>
      <c r="C4075" s="812" t="s">
        <v>6</v>
      </c>
      <c r="D4075" s="812" t="s">
        <v>671</v>
      </c>
      <c r="E4075" s="1020" t="s">
        <v>13539</v>
      </c>
      <c r="F4075" s="1020"/>
      <c r="G4075" s="813" t="s">
        <v>42</v>
      </c>
      <c r="H4075" s="814">
        <v>1</v>
      </c>
      <c r="I4075" s="815">
        <v>68.569999999999993</v>
      </c>
      <c r="J4075" s="815">
        <v>68.569999999999993</v>
      </c>
    </row>
    <row r="4076" spans="1:10" ht="13.5" customHeight="1">
      <c r="A4076" s="817" t="s">
        <v>13491</v>
      </c>
      <c r="B4076" s="816" t="s">
        <v>14667</v>
      </c>
      <c r="C4076" s="817" t="s">
        <v>6</v>
      </c>
      <c r="D4076" s="817" t="s">
        <v>667</v>
      </c>
      <c r="E4076" s="1021" t="s">
        <v>13539</v>
      </c>
      <c r="F4076" s="1021"/>
      <c r="G4076" s="818" t="s">
        <v>19</v>
      </c>
      <c r="H4076" s="819">
        <v>1</v>
      </c>
      <c r="I4076" s="820">
        <v>6.08</v>
      </c>
      <c r="J4076" s="820">
        <v>6.08</v>
      </c>
    </row>
    <row r="4077" spans="1:10" ht="38.25" customHeight="1">
      <c r="A4077" s="817" t="s">
        <v>13491</v>
      </c>
      <c r="B4077" s="816" t="s">
        <v>14668</v>
      </c>
      <c r="C4077" s="817" t="s">
        <v>6</v>
      </c>
      <c r="D4077" s="817" t="s">
        <v>666</v>
      </c>
      <c r="E4077" s="1021" t="s">
        <v>13539</v>
      </c>
      <c r="F4077" s="1021"/>
      <c r="G4077" s="818" t="s">
        <v>19</v>
      </c>
      <c r="H4077" s="819">
        <v>1</v>
      </c>
      <c r="I4077" s="820">
        <v>44.8</v>
      </c>
      <c r="J4077" s="820">
        <v>44.8</v>
      </c>
    </row>
    <row r="4078" spans="1:10" ht="38.25" customHeight="1">
      <c r="A4078" s="817" t="s">
        <v>13491</v>
      </c>
      <c r="B4078" s="816" t="s">
        <v>14452</v>
      </c>
      <c r="C4078" s="817" t="s">
        <v>6</v>
      </c>
      <c r="D4078" s="817" t="s">
        <v>143</v>
      </c>
      <c r="E4078" s="1021" t="s">
        <v>13490</v>
      </c>
      <c r="F4078" s="1021"/>
      <c r="G4078" s="818" t="s">
        <v>19</v>
      </c>
      <c r="H4078" s="819">
        <v>1</v>
      </c>
      <c r="I4078" s="820">
        <v>17.690000000000001</v>
      </c>
      <c r="J4078" s="820">
        <v>17.690000000000001</v>
      </c>
    </row>
    <row r="4079" spans="1:10" ht="25.5">
      <c r="A4079" s="827"/>
      <c r="B4079" s="827"/>
      <c r="C4079" s="827"/>
      <c r="D4079" s="827"/>
      <c r="E4079" s="827" t="s">
        <v>13503</v>
      </c>
      <c r="F4079" s="826">
        <v>13.85</v>
      </c>
      <c r="G4079" s="827" t="s">
        <v>13504</v>
      </c>
      <c r="H4079" s="826">
        <v>0</v>
      </c>
      <c r="I4079" s="827" t="s">
        <v>13505</v>
      </c>
      <c r="J4079" s="826">
        <v>13.85</v>
      </c>
    </row>
    <row r="4080" spans="1:10" ht="13.5" customHeight="1" thickBot="1">
      <c r="A4080" s="827"/>
      <c r="B4080" s="827"/>
      <c r="C4080" s="827"/>
      <c r="D4080" s="827"/>
      <c r="E4080" s="827" t="s">
        <v>13506</v>
      </c>
      <c r="F4080" s="826">
        <v>19.36</v>
      </c>
      <c r="G4080" s="827"/>
      <c r="H4080" s="1018" t="s">
        <v>13507</v>
      </c>
      <c r="I4080" s="1018"/>
      <c r="J4080" s="826">
        <v>87.93</v>
      </c>
    </row>
    <row r="4081" spans="1:10" ht="13.5" thickTop="1">
      <c r="A4081" s="828"/>
      <c r="B4081" s="828"/>
      <c r="C4081" s="828"/>
      <c r="D4081" s="828"/>
      <c r="E4081" s="828"/>
      <c r="F4081" s="828"/>
      <c r="G4081" s="828"/>
      <c r="H4081" s="828"/>
      <c r="I4081" s="828"/>
      <c r="J4081" s="828"/>
    </row>
    <row r="4082" spans="1:10" ht="15">
      <c r="A4082" s="809"/>
      <c r="B4082" s="808" t="s">
        <v>13481</v>
      </c>
      <c r="C4082" s="809" t="s">
        <v>13482</v>
      </c>
      <c r="D4082" s="809" t="s">
        <v>13483</v>
      </c>
      <c r="E4082" s="1019" t="s">
        <v>13484</v>
      </c>
      <c r="F4082" s="1019"/>
      <c r="G4082" s="810" t="s">
        <v>13485</v>
      </c>
      <c r="H4082" s="808" t="s">
        <v>13486</v>
      </c>
      <c r="I4082" s="808" t="s">
        <v>13487</v>
      </c>
      <c r="J4082" s="808" t="s">
        <v>4867</v>
      </c>
    </row>
    <row r="4083" spans="1:10" ht="25.5" customHeight="1">
      <c r="A4083" s="812" t="s">
        <v>13488</v>
      </c>
      <c r="B4083" s="811" t="s">
        <v>13615</v>
      </c>
      <c r="C4083" s="812" t="s">
        <v>6</v>
      </c>
      <c r="D4083" s="812" t="s">
        <v>670</v>
      </c>
      <c r="E4083" s="1020" t="s">
        <v>13539</v>
      </c>
      <c r="F4083" s="1020"/>
      <c r="G4083" s="813" t="s">
        <v>28</v>
      </c>
      <c r="H4083" s="814">
        <v>1</v>
      </c>
      <c r="I4083" s="815">
        <v>188.22</v>
      </c>
      <c r="J4083" s="815">
        <v>188.22</v>
      </c>
    </row>
    <row r="4084" spans="1:10" ht="38.25" customHeight="1">
      <c r="A4084" s="817" t="s">
        <v>13491</v>
      </c>
      <c r="B4084" s="816" t="s">
        <v>14668</v>
      </c>
      <c r="C4084" s="817" t="s">
        <v>6</v>
      </c>
      <c r="D4084" s="817" t="s">
        <v>666</v>
      </c>
      <c r="E4084" s="1021" t="s">
        <v>13539</v>
      </c>
      <c r="F4084" s="1021"/>
      <c r="G4084" s="818" t="s">
        <v>19</v>
      </c>
      <c r="H4084" s="819">
        <v>1</v>
      </c>
      <c r="I4084" s="820">
        <v>44.8</v>
      </c>
      <c r="J4084" s="820">
        <v>44.8</v>
      </c>
    </row>
    <row r="4085" spans="1:10" ht="38.25" customHeight="1">
      <c r="A4085" s="817" t="s">
        <v>13491</v>
      </c>
      <c r="B4085" s="816" t="s">
        <v>14667</v>
      </c>
      <c r="C4085" s="817" t="s">
        <v>6</v>
      </c>
      <c r="D4085" s="817" t="s">
        <v>667</v>
      </c>
      <c r="E4085" s="1021" t="s">
        <v>13539</v>
      </c>
      <c r="F4085" s="1021"/>
      <c r="G4085" s="818" t="s">
        <v>19</v>
      </c>
      <c r="H4085" s="819">
        <v>1</v>
      </c>
      <c r="I4085" s="820">
        <v>6.08</v>
      </c>
      <c r="J4085" s="820">
        <v>6.08</v>
      </c>
    </row>
    <row r="4086" spans="1:10" ht="38.25" customHeight="1">
      <c r="A4086" s="817" t="s">
        <v>13491</v>
      </c>
      <c r="B4086" s="816" t="s">
        <v>14669</v>
      </c>
      <c r="C4086" s="817" t="s">
        <v>6</v>
      </c>
      <c r="D4086" s="817" t="s">
        <v>669</v>
      </c>
      <c r="E4086" s="1021" t="s">
        <v>13539</v>
      </c>
      <c r="F4086" s="1021"/>
      <c r="G4086" s="818" t="s">
        <v>19</v>
      </c>
      <c r="H4086" s="819">
        <v>1</v>
      </c>
      <c r="I4086" s="820">
        <v>63.65</v>
      </c>
      <c r="J4086" s="820">
        <v>63.65</v>
      </c>
    </row>
    <row r="4087" spans="1:10" ht="38.25" customHeight="1">
      <c r="A4087" s="817" t="s">
        <v>13491</v>
      </c>
      <c r="B4087" s="816" t="s">
        <v>14670</v>
      </c>
      <c r="C4087" s="817" t="s">
        <v>6</v>
      </c>
      <c r="D4087" s="817" t="s">
        <v>668</v>
      </c>
      <c r="E4087" s="1021" t="s">
        <v>13539</v>
      </c>
      <c r="F4087" s="1021"/>
      <c r="G4087" s="818" t="s">
        <v>19</v>
      </c>
      <c r="H4087" s="819">
        <v>1</v>
      </c>
      <c r="I4087" s="820">
        <v>56</v>
      </c>
      <c r="J4087" s="820">
        <v>56</v>
      </c>
    </row>
    <row r="4088" spans="1:10" ht="38.25" customHeight="1">
      <c r="A4088" s="817" t="s">
        <v>13491</v>
      </c>
      <c r="B4088" s="816" t="s">
        <v>14452</v>
      </c>
      <c r="C4088" s="817" t="s">
        <v>6</v>
      </c>
      <c r="D4088" s="817" t="s">
        <v>143</v>
      </c>
      <c r="E4088" s="1021" t="s">
        <v>13490</v>
      </c>
      <c r="F4088" s="1021"/>
      <c r="G4088" s="818" t="s">
        <v>19</v>
      </c>
      <c r="H4088" s="819">
        <v>1</v>
      </c>
      <c r="I4088" s="820">
        <v>17.690000000000001</v>
      </c>
      <c r="J4088" s="820">
        <v>17.690000000000001</v>
      </c>
    </row>
    <row r="4089" spans="1:10" ht="13.5" customHeight="1">
      <c r="A4089" s="827"/>
      <c r="B4089" s="827"/>
      <c r="C4089" s="827"/>
      <c r="D4089" s="827"/>
      <c r="E4089" s="827" t="s">
        <v>13503</v>
      </c>
      <c r="F4089" s="826">
        <v>13.85</v>
      </c>
      <c r="G4089" s="827" t="s">
        <v>13504</v>
      </c>
      <c r="H4089" s="826">
        <v>0</v>
      </c>
      <c r="I4089" s="827" t="s">
        <v>13505</v>
      </c>
      <c r="J4089" s="826">
        <v>13.85</v>
      </c>
    </row>
    <row r="4090" spans="1:10" ht="13.5" customHeight="1" thickBot="1">
      <c r="A4090" s="827"/>
      <c r="B4090" s="827"/>
      <c r="C4090" s="827"/>
      <c r="D4090" s="827"/>
      <c r="E4090" s="827" t="s">
        <v>13506</v>
      </c>
      <c r="F4090" s="826">
        <v>53.15</v>
      </c>
      <c r="G4090" s="827"/>
      <c r="H4090" s="1018" t="s">
        <v>13507</v>
      </c>
      <c r="I4090" s="1018"/>
      <c r="J4090" s="826">
        <v>241.37</v>
      </c>
    </row>
    <row r="4091" spans="1:10" ht="13.5" thickTop="1">
      <c r="A4091" s="828"/>
      <c r="B4091" s="828"/>
      <c r="C4091" s="828"/>
      <c r="D4091" s="828"/>
      <c r="E4091" s="828"/>
      <c r="F4091" s="828"/>
      <c r="G4091" s="828"/>
      <c r="H4091" s="828"/>
      <c r="I4091" s="828"/>
      <c r="J4091" s="828"/>
    </row>
    <row r="4092" spans="1:10" ht="15">
      <c r="A4092" s="809"/>
      <c r="B4092" s="808" t="s">
        <v>13481</v>
      </c>
      <c r="C4092" s="809" t="s">
        <v>13482</v>
      </c>
      <c r="D4092" s="809" t="s">
        <v>13483</v>
      </c>
      <c r="E4092" s="1019" t="s">
        <v>13484</v>
      </c>
      <c r="F4092" s="1019"/>
      <c r="G4092" s="810" t="s">
        <v>13485</v>
      </c>
      <c r="H4092" s="808" t="s">
        <v>13486</v>
      </c>
      <c r="I4092" s="808" t="s">
        <v>13487</v>
      </c>
      <c r="J4092" s="808" t="s">
        <v>4867</v>
      </c>
    </row>
    <row r="4093" spans="1:10" ht="25.5" customHeight="1">
      <c r="A4093" s="812" t="s">
        <v>13488</v>
      </c>
      <c r="B4093" s="811" t="s">
        <v>14668</v>
      </c>
      <c r="C4093" s="812" t="s">
        <v>6</v>
      </c>
      <c r="D4093" s="812" t="s">
        <v>666</v>
      </c>
      <c r="E4093" s="1020" t="s">
        <v>13539</v>
      </c>
      <c r="F4093" s="1020"/>
      <c r="G4093" s="813" t="s">
        <v>19</v>
      </c>
      <c r="H4093" s="814">
        <v>1</v>
      </c>
      <c r="I4093" s="815">
        <v>44.8</v>
      </c>
      <c r="J4093" s="815">
        <v>44.8</v>
      </c>
    </row>
    <row r="4094" spans="1:10" ht="25.5">
      <c r="A4094" s="822" t="s">
        <v>13493</v>
      </c>
      <c r="B4094" s="821" t="s">
        <v>14671</v>
      </c>
      <c r="C4094" s="822" t="s">
        <v>6</v>
      </c>
      <c r="D4094" s="822" t="s">
        <v>4662</v>
      </c>
      <c r="E4094" s="1017" t="s">
        <v>13497</v>
      </c>
      <c r="F4094" s="1017"/>
      <c r="G4094" s="823" t="s">
        <v>24</v>
      </c>
      <c r="H4094" s="824">
        <v>5.5999999999999999E-5</v>
      </c>
      <c r="I4094" s="825">
        <v>800000</v>
      </c>
      <c r="J4094" s="825">
        <v>44.8</v>
      </c>
    </row>
    <row r="4095" spans="1:10" ht="25.5">
      <c r="A4095" s="827"/>
      <c r="B4095" s="827"/>
      <c r="C4095" s="827"/>
      <c r="D4095" s="827"/>
      <c r="E4095" s="827" t="s">
        <v>13503</v>
      </c>
      <c r="F4095" s="826">
        <v>0</v>
      </c>
      <c r="G4095" s="827" t="s">
        <v>13504</v>
      </c>
      <c r="H4095" s="826">
        <v>0</v>
      </c>
      <c r="I4095" s="827" t="s">
        <v>13505</v>
      </c>
      <c r="J4095" s="826">
        <v>0</v>
      </c>
    </row>
    <row r="4096" spans="1:10" ht="13.5" customHeight="1" thickBot="1">
      <c r="A4096" s="827"/>
      <c r="B4096" s="827"/>
      <c r="C4096" s="827"/>
      <c r="D4096" s="827"/>
      <c r="E4096" s="827" t="s">
        <v>13506</v>
      </c>
      <c r="F4096" s="826">
        <v>12.65</v>
      </c>
      <c r="G4096" s="827"/>
      <c r="H4096" s="1018" t="s">
        <v>13507</v>
      </c>
      <c r="I4096" s="1018"/>
      <c r="J4096" s="826">
        <v>57.45</v>
      </c>
    </row>
    <row r="4097" spans="1:10" ht="13.5" thickTop="1">
      <c r="A4097" s="828"/>
      <c r="B4097" s="828"/>
      <c r="C4097" s="828"/>
      <c r="D4097" s="828"/>
      <c r="E4097" s="828"/>
      <c r="F4097" s="828"/>
      <c r="G4097" s="828"/>
      <c r="H4097" s="828"/>
      <c r="I4097" s="828"/>
      <c r="J4097" s="828"/>
    </row>
    <row r="4098" spans="1:10" ht="15">
      <c r="A4098" s="809"/>
      <c r="B4098" s="808" t="s">
        <v>13481</v>
      </c>
      <c r="C4098" s="809" t="s">
        <v>13482</v>
      </c>
      <c r="D4098" s="809" t="s">
        <v>13483</v>
      </c>
      <c r="E4098" s="1019" t="s">
        <v>13484</v>
      </c>
      <c r="F4098" s="1019"/>
      <c r="G4098" s="810" t="s">
        <v>13485</v>
      </c>
      <c r="H4098" s="808" t="s">
        <v>13486</v>
      </c>
      <c r="I4098" s="808" t="s">
        <v>13487</v>
      </c>
      <c r="J4098" s="808" t="s">
        <v>4867</v>
      </c>
    </row>
    <row r="4099" spans="1:10" ht="25.5" customHeight="1">
      <c r="A4099" s="812" t="s">
        <v>13488</v>
      </c>
      <c r="B4099" s="811" t="s">
        <v>14667</v>
      </c>
      <c r="C4099" s="812" t="s">
        <v>6</v>
      </c>
      <c r="D4099" s="812" t="s">
        <v>667</v>
      </c>
      <c r="E4099" s="1020" t="s">
        <v>13539</v>
      </c>
      <c r="F4099" s="1020"/>
      <c r="G4099" s="813" t="s">
        <v>19</v>
      </c>
      <c r="H4099" s="814">
        <v>1</v>
      </c>
      <c r="I4099" s="815">
        <v>6.08</v>
      </c>
      <c r="J4099" s="815">
        <v>6.08</v>
      </c>
    </row>
    <row r="4100" spans="1:10" ht="25.5">
      <c r="A4100" s="822" t="s">
        <v>13493</v>
      </c>
      <c r="B4100" s="821" t="s">
        <v>14671</v>
      </c>
      <c r="C4100" s="822" t="s">
        <v>6</v>
      </c>
      <c r="D4100" s="822" t="s">
        <v>4662</v>
      </c>
      <c r="E4100" s="1017" t="s">
        <v>13497</v>
      </c>
      <c r="F4100" s="1017"/>
      <c r="G4100" s="823" t="s">
        <v>24</v>
      </c>
      <c r="H4100" s="824">
        <v>7.6000000000000001E-6</v>
      </c>
      <c r="I4100" s="825">
        <v>800000</v>
      </c>
      <c r="J4100" s="825">
        <v>6.08</v>
      </c>
    </row>
    <row r="4101" spans="1:10" ht="25.5">
      <c r="A4101" s="827"/>
      <c r="B4101" s="827"/>
      <c r="C4101" s="827"/>
      <c r="D4101" s="827"/>
      <c r="E4101" s="827" t="s">
        <v>13503</v>
      </c>
      <c r="F4101" s="826">
        <v>0</v>
      </c>
      <c r="G4101" s="827" t="s">
        <v>13504</v>
      </c>
      <c r="H4101" s="826">
        <v>0</v>
      </c>
      <c r="I4101" s="827" t="s">
        <v>13505</v>
      </c>
      <c r="J4101" s="826">
        <v>0</v>
      </c>
    </row>
    <row r="4102" spans="1:10" ht="13.5" customHeight="1" thickBot="1">
      <c r="A4102" s="827"/>
      <c r="B4102" s="827"/>
      <c r="C4102" s="827"/>
      <c r="D4102" s="827"/>
      <c r="E4102" s="827" t="s">
        <v>13506</v>
      </c>
      <c r="F4102" s="826">
        <v>1.71</v>
      </c>
      <c r="G4102" s="827"/>
      <c r="H4102" s="1018" t="s">
        <v>13507</v>
      </c>
      <c r="I4102" s="1018"/>
      <c r="J4102" s="826">
        <v>7.79</v>
      </c>
    </row>
    <row r="4103" spans="1:10" ht="13.5" thickTop="1">
      <c r="A4103" s="828"/>
      <c r="B4103" s="828"/>
      <c r="C4103" s="828"/>
      <c r="D4103" s="828"/>
      <c r="E4103" s="828"/>
      <c r="F4103" s="828"/>
      <c r="G4103" s="828"/>
      <c r="H4103" s="828"/>
      <c r="I4103" s="828"/>
      <c r="J4103" s="828"/>
    </row>
    <row r="4104" spans="1:10" ht="15">
      <c r="A4104" s="809"/>
      <c r="B4104" s="808" t="s">
        <v>13481</v>
      </c>
      <c r="C4104" s="809" t="s">
        <v>13482</v>
      </c>
      <c r="D4104" s="809" t="s">
        <v>13483</v>
      </c>
      <c r="E4104" s="1019" t="s">
        <v>13484</v>
      </c>
      <c r="F4104" s="1019"/>
      <c r="G4104" s="810" t="s">
        <v>13485</v>
      </c>
      <c r="H4104" s="808" t="s">
        <v>13486</v>
      </c>
      <c r="I4104" s="808" t="s">
        <v>13487</v>
      </c>
      <c r="J4104" s="808" t="s">
        <v>4867</v>
      </c>
    </row>
    <row r="4105" spans="1:10" ht="25.5" customHeight="1">
      <c r="A4105" s="812" t="s">
        <v>13488</v>
      </c>
      <c r="B4105" s="811" t="s">
        <v>14670</v>
      </c>
      <c r="C4105" s="812" t="s">
        <v>6</v>
      </c>
      <c r="D4105" s="812" t="s">
        <v>668</v>
      </c>
      <c r="E4105" s="1020" t="s">
        <v>13539</v>
      </c>
      <c r="F4105" s="1020"/>
      <c r="G4105" s="813" t="s">
        <v>19</v>
      </c>
      <c r="H4105" s="814">
        <v>1</v>
      </c>
      <c r="I4105" s="815">
        <v>56</v>
      </c>
      <c r="J4105" s="815">
        <v>56</v>
      </c>
    </row>
    <row r="4106" spans="1:10" ht="25.5">
      <c r="A4106" s="822" t="s">
        <v>13493</v>
      </c>
      <c r="B4106" s="821" t="s">
        <v>14671</v>
      </c>
      <c r="C4106" s="822" t="s">
        <v>6</v>
      </c>
      <c r="D4106" s="822" t="s">
        <v>4662</v>
      </c>
      <c r="E4106" s="1017" t="s">
        <v>13497</v>
      </c>
      <c r="F4106" s="1017"/>
      <c r="G4106" s="823" t="s">
        <v>24</v>
      </c>
      <c r="H4106" s="824">
        <v>6.9999999999999994E-5</v>
      </c>
      <c r="I4106" s="825">
        <v>800000</v>
      </c>
      <c r="J4106" s="825">
        <v>56</v>
      </c>
    </row>
    <row r="4107" spans="1:10" ht="25.5">
      <c r="A4107" s="827"/>
      <c r="B4107" s="827"/>
      <c r="C4107" s="827"/>
      <c r="D4107" s="827"/>
      <c r="E4107" s="827" t="s">
        <v>13503</v>
      </c>
      <c r="F4107" s="826">
        <v>0</v>
      </c>
      <c r="G4107" s="827" t="s">
        <v>13504</v>
      </c>
      <c r="H4107" s="826">
        <v>0</v>
      </c>
      <c r="I4107" s="827" t="s">
        <v>13505</v>
      </c>
      <c r="J4107" s="826">
        <v>0</v>
      </c>
    </row>
    <row r="4108" spans="1:10" ht="13.5" customHeight="1" thickBot="1">
      <c r="A4108" s="827"/>
      <c r="B4108" s="827"/>
      <c r="C4108" s="827"/>
      <c r="D4108" s="827"/>
      <c r="E4108" s="827" t="s">
        <v>13506</v>
      </c>
      <c r="F4108" s="826">
        <v>15.81</v>
      </c>
      <c r="G4108" s="827"/>
      <c r="H4108" s="1018" t="s">
        <v>13507</v>
      </c>
      <c r="I4108" s="1018"/>
      <c r="J4108" s="826">
        <v>71.81</v>
      </c>
    </row>
    <row r="4109" spans="1:10" ht="13.5" thickTop="1">
      <c r="A4109" s="828"/>
      <c r="B4109" s="828"/>
      <c r="C4109" s="828"/>
      <c r="D4109" s="828"/>
      <c r="E4109" s="828"/>
      <c r="F4109" s="828"/>
      <c r="G4109" s="828"/>
      <c r="H4109" s="828"/>
      <c r="I4109" s="828"/>
      <c r="J4109" s="828"/>
    </row>
    <row r="4110" spans="1:10" ht="15">
      <c r="A4110" s="809"/>
      <c r="B4110" s="808" t="s">
        <v>13481</v>
      </c>
      <c r="C4110" s="809" t="s">
        <v>13482</v>
      </c>
      <c r="D4110" s="809" t="s">
        <v>13483</v>
      </c>
      <c r="E4110" s="1019" t="s">
        <v>13484</v>
      </c>
      <c r="F4110" s="1019"/>
      <c r="G4110" s="810" t="s">
        <v>13485</v>
      </c>
      <c r="H4110" s="808" t="s">
        <v>13486</v>
      </c>
      <c r="I4110" s="808" t="s">
        <v>13487</v>
      </c>
      <c r="J4110" s="808" t="s">
        <v>4867</v>
      </c>
    </row>
    <row r="4111" spans="1:10" ht="25.5" customHeight="1">
      <c r="A4111" s="812" t="s">
        <v>13488</v>
      </c>
      <c r="B4111" s="811" t="s">
        <v>14669</v>
      </c>
      <c r="C4111" s="812" t="s">
        <v>6</v>
      </c>
      <c r="D4111" s="812" t="s">
        <v>669</v>
      </c>
      <c r="E4111" s="1020" t="s">
        <v>13539</v>
      </c>
      <c r="F4111" s="1020"/>
      <c r="G4111" s="813" t="s">
        <v>19</v>
      </c>
      <c r="H4111" s="814">
        <v>1</v>
      </c>
      <c r="I4111" s="815">
        <v>63.65</v>
      </c>
      <c r="J4111" s="815">
        <v>63.65</v>
      </c>
    </row>
    <row r="4112" spans="1:10">
      <c r="A4112" s="822" t="s">
        <v>13493</v>
      </c>
      <c r="B4112" s="821" t="s">
        <v>14463</v>
      </c>
      <c r="C4112" s="822" t="s">
        <v>6</v>
      </c>
      <c r="D4112" s="822" t="s">
        <v>4725</v>
      </c>
      <c r="E4112" s="1017" t="s">
        <v>13514</v>
      </c>
      <c r="F4112" s="1017"/>
      <c r="G4112" s="823" t="s">
        <v>39</v>
      </c>
      <c r="H4112" s="824">
        <v>10.77</v>
      </c>
      <c r="I4112" s="825">
        <v>5.91</v>
      </c>
      <c r="J4112" s="825">
        <v>63.65</v>
      </c>
    </row>
    <row r="4113" spans="1:10" ht="25.5">
      <c r="A4113" s="827"/>
      <c r="B4113" s="827"/>
      <c r="C4113" s="827"/>
      <c r="D4113" s="827"/>
      <c r="E4113" s="827" t="s">
        <v>13503</v>
      </c>
      <c r="F4113" s="826">
        <v>0</v>
      </c>
      <c r="G4113" s="827" t="s">
        <v>13504</v>
      </c>
      <c r="H4113" s="826">
        <v>0</v>
      </c>
      <c r="I4113" s="827" t="s">
        <v>13505</v>
      </c>
      <c r="J4113" s="826">
        <v>0</v>
      </c>
    </row>
    <row r="4114" spans="1:10" ht="13.5" customHeight="1" thickBot="1">
      <c r="A4114" s="827"/>
      <c r="B4114" s="827"/>
      <c r="C4114" s="827"/>
      <c r="D4114" s="827"/>
      <c r="E4114" s="827" t="s">
        <v>13506</v>
      </c>
      <c r="F4114" s="826">
        <v>17.97</v>
      </c>
      <c r="G4114" s="827"/>
      <c r="H4114" s="1018" t="s">
        <v>13507</v>
      </c>
      <c r="I4114" s="1018"/>
      <c r="J4114" s="826">
        <v>81.62</v>
      </c>
    </row>
    <row r="4115" spans="1:10" ht="13.5" customHeight="1" thickTop="1">
      <c r="A4115" s="828"/>
      <c r="B4115" s="828"/>
      <c r="C4115" s="828"/>
      <c r="D4115" s="828"/>
      <c r="E4115" s="828"/>
      <c r="F4115" s="828"/>
      <c r="G4115" s="828"/>
      <c r="H4115" s="828"/>
      <c r="I4115" s="828"/>
      <c r="J4115" s="828"/>
    </row>
    <row r="4116" spans="1:10" ht="15">
      <c r="A4116" s="809"/>
      <c r="B4116" s="808" t="s">
        <v>13481</v>
      </c>
      <c r="C4116" s="809" t="s">
        <v>13482</v>
      </c>
      <c r="D4116" s="809" t="s">
        <v>13483</v>
      </c>
      <c r="E4116" s="1019" t="s">
        <v>13484</v>
      </c>
      <c r="F4116" s="1019"/>
      <c r="G4116" s="810" t="s">
        <v>13485</v>
      </c>
      <c r="H4116" s="808" t="s">
        <v>13486</v>
      </c>
      <c r="I4116" s="808" t="s">
        <v>13487</v>
      </c>
      <c r="J4116" s="808" t="s">
        <v>4867</v>
      </c>
    </row>
    <row r="4117" spans="1:10" ht="25.5" customHeight="1">
      <c r="A4117" s="812" t="s">
        <v>13488</v>
      </c>
      <c r="B4117" s="811" t="s">
        <v>13698</v>
      </c>
      <c r="C4117" s="812" t="s">
        <v>6</v>
      </c>
      <c r="D4117" s="812" t="s">
        <v>5567</v>
      </c>
      <c r="E4117" s="1020" t="s">
        <v>13542</v>
      </c>
      <c r="F4117" s="1020"/>
      <c r="G4117" s="813" t="s">
        <v>13537</v>
      </c>
      <c r="H4117" s="814">
        <v>1</v>
      </c>
      <c r="I4117" s="815">
        <v>172.32</v>
      </c>
      <c r="J4117" s="815">
        <v>172.32</v>
      </c>
    </row>
    <row r="4118" spans="1:10" ht="38.25" customHeight="1">
      <c r="A4118" s="817" t="s">
        <v>13491</v>
      </c>
      <c r="B4118" s="816" t="s">
        <v>13538</v>
      </c>
      <c r="C4118" s="817" t="s">
        <v>6</v>
      </c>
      <c r="D4118" s="817" t="s">
        <v>1793</v>
      </c>
      <c r="E4118" s="1021" t="s">
        <v>13539</v>
      </c>
      <c r="F4118" s="1021"/>
      <c r="G4118" s="818" t="s">
        <v>28</v>
      </c>
      <c r="H4118" s="819">
        <v>6.3E-2</v>
      </c>
      <c r="I4118" s="820">
        <v>15.82</v>
      </c>
      <c r="J4118" s="820">
        <v>0.99</v>
      </c>
    </row>
    <row r="4119" spans="1:10" ht="38.25" customHeight="1">
      <c r="A4119" s="817" t="s">
        <v>13491</v>
      </c>
      <c r="B4119" s="816" t="s">
        <v>13540</v>
      </c>
      <c r="C4119" s="817" t="s">
        <v>6</v>
      </c>
      <c r="D4119" s="817" t="s">
        <v>1794</v>
      </c>
      <c r="E4119" s="1021" t="s">
        <v>13539</v>
      </c>
      <c r="F4119" s="1021"/>
      <c r="G4119" s="818" t="s">
        <v>42</v>
      </c>
      <c r="H4119" s="819">
        <v>0.186</v>
      </c>
      <c r="I4119" s="820">
        <v>14.51</v>
      </c>
      <c r="J4119" s="820">
        <v>2.69</v>
      </c>
    </row>
    <row r="4120" spans="1:10" ht="38.25" customHeight="1">
      <c r="A4120" s="817" t="s">
        <v>13491</v>
      </c>
      <c r="B4120" s="816" t="s">
        <v>13544</v>
      </c>
      <c r="C4120" s="817" t="s">
        <v>6</v>
      </c>
      <c r="D4120" s="817" t="s">
        <v>29</v>
      </c>
      <c r="E4120" s="1021" t="s">
        <v>13490</v>
      </c>
      <c r="F4120" s="1021"/>
      <c r="G4120" s="818" t="s">
        <v>19</v>
      </c>
      <c r="H4120" s="819">
        <v>0.25</v>
      </c>
      <c r="I4120" s="820">
        <v>15.96</v>
      </c>
      <c r="J4120" s="820">
        <v>3.99</v>
      </c>
    </row>
    <row r="4121" spans="1:10" ht="38.25" customHeight="1">
      <c r="A4121" s="817" t="s">
        <v>13491</v>
      </c>
      <c r="B4121" s="816" t="s">
        <v>13545</v>
      </c>
      <c r="C4121" s="817" t="s">
        <v>6</v>
      </c>
      <c r="D4121" s="817" t="s">
        <v>30</v>
      </c>
      <c r="E4121" s="1021" t="s">
        <v>13490</v>
      </c>
      <c r="F4121" s="1021"/>
      <c r="G4121" s="818" t="s">
        <v>19</v>
      </c>
      <c r="H4121" s="819">
        <v>1.248</v>
      </c>
      <c r="I4121" s="820">
        <v>18.63</v>
      </c>
      <c r="J4121" s="820">
        <v>23.25</v>
      </c>
    </row>
    <row r="4122" spans="1:10" ht="38.25">
      <c r="A4122" s="822" t="s">
        <v>13493</v>
      </c>
      <c r="B4122" s="821" t="s">
        <v>14672</v>
      </c>
      <c r="C4122" s="822" t="s">
        <v>6</v>
      </c>
      <c r="D4122" s="822" t="s">
        <v>9524</v>
      </c>
      <c r="E4122" s="1017" t="s">
        <v>13514</v>
      </c>
      <c r="F4122" s="1017"/>
      <c r="G4122" s="823" t="s">
        <v>13537</v>
      </c>
      <c r="H4122" s="824">
        <v>1.3360000000000001</v>
      </c>
      <c r="I4122" s="825">
        <v>64.930000000000007</v>
      </c>
      <c r="J4122" s="825">
        <v>86.74</v>
      </c>
    </row>
    <row r="4123" spans="1:10" ht="25.5">
      <c r="A4123" s="822" t="s">
        <v>13493</v>
      </c>
      <c r="B4123" s="821" t="s">
        <v>13686</v>
      </c>
      <c r="C4123" s="822" t="s">
        <v>6</v>
      </c>
      <c r="D4123" s="822" t="s">
        <v>6138</v>
      </c>
      <c r="E4123" s="1017" t="s">
        <v>13514</v>
      </c>
      <c r="F4123" s="1017"/>
      <c r="G4123" s="823" t="s">
        <v>14</v>
      </c>
      <c r="H4123" s="824">
        <v>2.3079999999999998</v>
      </c>
      <c r="I4123" s="825">
        <v>8.98</v>
      </c>
      <c r="J4123" s="825">
        <v>20.72</v>
      </c>
    </row>
    <row r="4124" spans="1:10">
      <c r="A4124" s="822" t="s">
        <v>13493</v>
      </c>
      <c r="B4124" s="821" t="s">
        <v>14465</v>
      </c>
      <c r="C4124" s="822" t="s">
        <v>6</v>
      </c>
      <c r="D4124" s="822" t="s">
        <v>4762</v>
      </c>
      <c r="E4124" s="1017" t="s">
        <v>13514</v>
      </c>
      <c r="F4124" s="1017"/>
      <c r="G4124" s="823" t="s">
        <v>16</v>
      </c>
      <c r="H4124" s="824">
        <v>0.20799999999999999</v>
      </c>
      <c r="I4124" s="825">
        <v>23.76</v>
      </c>
      <c r="J4124" s="825">
        <v>4.9400000000000004</v>
      </c>
    </row>
    <row r="4125" spans="1:10" ht="25.5">
      <c r="A4125" s="822" t="s">
        <v>13493</v>
      </c>
      <c r="B4125" s="821" t="s">
        <v>13650</v>
      </c>
      <c r="C4125" s="822" t="s">
        <v>6</v>
      </c>
      <c r="D4125" s="822" t="s">
        <v>6139</v>
      </c>
      <c r="E4125" s="1017" t="s">
        <v>13514</v>
      </c>
      <c r="F4125" s="1017"/>
      <c r="G4125" s="823" t="s">
        <v>14</v>
      </c>
      <c r="H4125" s="824">
        <v>9.2370000000000001</v>
      </c>
      <c r="I4125" s="825">
        <v>3.14</v>
      </c>
      <c r="J4125" s="825">
        <v>29</v>
      </c>
    </row>
    <row r="4126" spans="1:10" ht="25.5">
      <c r="A4126" s="827"/>
      <c r="B4126" s="827"/>
      <c r="C4126" s="827"/>
      <c r="D4126" s="827"/>
      <c r="E4126" s="827" t="s">
        <v>13503</v>
      </c>
      <c r="F4126" s="826">
        <v>22.69</v>
      </c>
      <c r="G4126" s="827" t="s">
        <v>13504</v>
      </c>
      <c r="H4126" s="826">
        <v>0</v>
      </c>
      <c r="I4126" s="827" t="s">
        <v>13505</v>
      </c>
      <c r="J4126" s="826">
        <v>22.69</v>
      </c>
    </row>
    <row r="4127" spans="1:10" ht="13.5" customHeight="1" thickBot="1">
      <c r="A4127" s="827"/>
      <c r="B4127" s="827"/>
      <c r="C4127" s="827"/>
      <c r="D4127" s="827"/>
      <c r="E4127" s="827" t="s">
        <v>13506</v>
      </c>
      <c r="F4127" s="826">
        <v>48.66</v>
      </c>
      <c r="G4127" s="827"/>
      <c r="H4127" s="1018" t="s">
        <v>13507</v>
      </c>
      <c r="I4127" s="1018"/>
      <c r="J4127" s="826">
        <v>220.98</v>
      </c>
    </row>
    <row r="4128" spans="1:10" ht="13.5" customHeight="1" thickTop="1">
      <c r="A4128" s="828"/>
      <c r="B4128" s="828"/>
      <c r="C4128" s="828"/>
      <c r="D4128" s="828"/>
      <c r="E4128" s="828"/>
      <c r="F4128" s="828"/>
      <c r="G4128" s="828"/>
      <c r="H4128" s="828"/>
      <c r="I4128" s="828"/>
      <c r="J4128" s="828"/>
    </row>
    <row r="4129" spans="1:10" ht="15">
      <c r="A4129" s="809"/>
      <c r="B4129" s="808" t="s">
        <v>13481</v>
      </c>
      <c r="C4129" s="809" t="s">
        <v>13482</v>
      </c>
      <c r="D4129" s="809" t="s">
        <v>13483</v>
      </c>
      <c r="E4129" s="1019" t="s">
        <v>13484</v>
      </c>
      <c r="F4129" s="1019"/>
      <c r="G4129" s="810" t="s">
        <v>13485</v>
      </c>
      <c r="H4129" s="808" t="s">
        <v>13486</v>
      </c>
      <c r="I4129" s="808" t="s">
        <v>13487</v>
      </c>
      <c r="J4129" s="808" t="s">
        <v>4867</v>
      </c>
    </row>
    <row r="4130" spans="1:10" ht="25.5" customHeight="1">
      <c r="A4130" s="812" t="s">
        <v>13488</v>
      </c>
      <c r="B4130" s="811" t="s">
        <v>13695</v>
      </c>
      <c r="C4130" s="812" t="s">
        <v>6</v>
      </c>
      <c r="D4130" s="812" t="s">
        <v>5573</v>
      </c>
      <c r="E4130" s="1020" t="s">
        <v>13542</v>
      </c>
      <c r="F4130" s="1020"/>
      <c r="G4130" s="813" t="s">
        <v>13537</v>
      </c>
      <c r="H4130" s="814">
        <v>1</v>
      </c>
      <c r="I4130" s="815">
        <v>173.74</v>
      </c>
      <c r="J4130" s="815">
        <v>173.74</v>
      </c>
    </row>
    <row r="4131" spans="1:10" ht="38.25" customHeight="1">
      <c r="A4131" s="817" t="s">
        <v>13491</v>
      </c>
      <c r="B4131" s="816" t="s">
        <v>13538</v>
      </c>
      <c r="C4131" s="817" t="s">
        <v>6</v>
      </c>
      <c r="D4131" s="817" t="s">
        <v>1793</v>
      </c>
      <c r="E4131" s="1021" t="s">
        <v>13539</v>
      </c>
      <c r="F4131" s="1021"/>
      <c r="G4131" s="818" t="s">
        <v>28</v>
      </c>
      <c r="H4131" s="819">
        <v>0.05</v>
      </c>
      <c r="I4131" s="820">
        <v>15.82</v>
      </c>
      <c r="J4131" s="820">
        <v>0.79</v>
      </c>
    </row>
    <row r="4132" spans="1:10" ht="38.25" customHeight="1">
      <c r="A4132" s="817" t="s">
        <v>13491</v>
      </c>
      <c r="B4132" s="816" t="s">
        <v>13540</v>
      </c>
      <c r="C4132" s="817" t="s">
        <v>6</v>
      </c>
      <c r="D4132" s="817" t="s">
        <v>1794</v>
      </c>
      <c r="E4132" s="1021" t="s">
        <v>13539</v>
      </c>
      <c r="F4132" s="1021"/>
      <c r="G4132" s="818" t="s">
        <v>42</v>
      </c>
      <c r="H4132" s="819">
        <v>9.2999999999999999E-2</v>
      </c>
      <c r="I4132" s="820">
        <v>14.51</v>
      </c>
      <c r="J4132" s="820">
        <v>1.34</v>
      </c>
    </row>
    <row r="4133" spans="1:10" ht="38.25" customHeight="1">
      <c r="A4133" s="817" t="s">
        <v>13491</v>
      </c>
      <c r="B4133" s="816" t="s">
        <v>13544</v>
      </c>
      <c r="C4133" s="817" t="s">
        <v>6</v>
      </c>
      <c r="D4133" s="817" t="s">
        <v>29</v>
      </c>
      <c r="E4133" s="1021" t="s">
        <v>13490</v>
      </c>
      <c r="F4133" s="1021"/>
      <c r="G4133" s="818" t="s">
        <v>19</v>
      </c>
      <c r="H4133" s="819">
        <v>0.14299999999999999</v>
      </c>
      <c r="I4133" s="820">
        <v>15.96</v>
      </c>
      <c r="J4133" s="820">
        <v>2.2799999999999998</v>
      </c>
    </row>
    <row r="4134" spans="1:10" ht="38.25" customHeight="1">
      <c r="A4134" s="817" t="s">
        <v>13491</v>
      </c>
      <c r="B4134" s="816" t="s">
        <v>13545</v>
      </c>
      <c r="C4134" s="817" t="s">
        <v>6</v>
      </c>
      <c r="D4134" s="817" t="s">
        <v>30</v>
      </c>
      <c r="E4134" s="1021" t="s">
        <v>13490</v>
      </c>
      <c r="F4134" s="1021"/>
      <c r="G4134" s="818" t="s">
        <v>19</v>
      </c>
      <c r="H4134" s="819">
        <v>0.71499999999999997</v>
      </c>
      <c r="I4134" s="820">
        <v>18.63</v>
      </c>
      <c r="J4134" s="820">
        <v>13.32</v>
      </c>
    </row>
    <row r="4135" spans="1:10">
      <c r="A4135" s="822" t="s">
        <v>13493</v>
      </c>
      <c r="B4135" s="821" t="s">
        <v>14465</v>
      </c>
      <c r="C4135" s="822" t="s">
        <v>6</v>
      </c>
      <c r="D4135" s="822" t="s">
        <v>4762</v>
      </c>
      <c r="E4135" s="1017" t="s">
        <v>13514</v>
      </c>
      <c r="F4135" s="1017"/>
      <c r="G4135" s="823" t="s">
        <v>16</v>
      </c>
      <c r="H4135" s="824">
        <v>8.5999999999999993E-2</v>
      </c>
      <c r="I4135" s="825">
        <v>23.76</v>
      </c>
      <c r="J4135" s="825">
        <v>2.04</v>
      </c>
    </row>
    <row r="4136" spans="1:10" ht="25.5">
      <c r="A4136" s="822" t="s">
        <v>13493</v>
      </c>
      <c r="B4136" s="821" t="s">
        <v>13650</v>
      </c>
      <c r="C4136" s="822" t="s">
        <v>6</v>
      </c>
      <c r="D4136" s="822" t="s">
        <v>6139</v>
      </c>
      <c r="E4136" s="1017" t="s">
        <v>13514</v>
      </c>
      <c r="F4136" s="1017"/>
      <c r="G4136" s="823" t="s">
        <v>14</v>
      </c>
      <c r="H4136" s="824">
        <v>4.4320000000000004</v>
      </c>
      <c r="I4136" s="825">
        <v>3.14</v>
      </c>
      <c r="J4136" s="825">
        <v>13.91</v>
      </c>
    </row>
    <row r="4137" spans="1:10" ht="13.5" customHeight="1">
      <c r="A4137" s="822" t="s">
        <v>13493</v>
      </c>
      <c r="B4137" s="821" t="s">
        <v>13651</v>
      </c>
      <c r="C4137" s="822" t="s">
        <v>6</v>
      </c>
      <c r="D4137" s="822" t="s">
        <v>12285</v>
      </c>
      <c r="E4137" s="1017" t="s">
        <v>13514</v>
      </c>
      <c r="F4137" s="1017"/>
      <c r="G4137" s="823" t="s">
        <v>14</v>
      </c>
      <c r="H4137" s="824">
        <v>6.53</v>
      </c>
      <c r="I4137" s="825">
        <v>21.45</v>
      </c>
      <c r="J4137" s="825">
        <v>140.06</v>
      </c>
    </row>
    <row r="4138" spans="1:10" ht="25.5">
      <c r="A4138" s="827"/>
      <c r="B4138" s="827"/>
      <c r="C4138" s="827"/>
      <c r="D4138" s="827"/>
      <c r="E4138" s="827" t="s">
        <v>13503</v>
      </c>
      <c r="F4138" s="826">
        <v>12.99</v>
      </c>
      <c r="G4138" s="827" t="s">
        <v>13504</v>
      </c>
      <c r="H4138" s="826">
        <v>0</v>
      </c>
      <c r="I4138" s="827" t="s">
        <v>13505</v>
      </c>
      <c r="J4138" s="826">
        <v>12.99</v>
      </c>
    </row>
    <row r="4139" spans="1:10" ht="13.5" customHeight="1" thickBot="1">
      <c r="A4139" s="827"/>
      <c r="B4139" s="827"/>
      <c r="C4139" s="827"/>
      <c r="D4139" s="827"/>
      <c r="E4139" s="827" t="s">
        <v>13506</v>
      </c>
      <c r="F4139" s="826">
        <v>49.06</v>
      </c>
      <c r="G4139" s="827"/>
      <c r="H4139" s="1018" t="s">
        <v>13507</v>
      </c>
      <c r="I4139" s="1018"/>
      <c r="J4139" s="826">
        <v>222.8</v>
      </c>
    </row>
    <row r="4140" spans="1:10" ht="13.5" thickTop="1">
      <c r="A4140" s="828"/>
      <c r="B4140" s="828"/>
      <c r="C4140" s="828"/>
      <c r="D4140" s="828"/>
      <c r="E4140" s="828"/>
      <c r="F4140" s="828"/>
      <c r="G4140" s="828"/>
      <c r="H4140" s="828"/>
      <c r="I4140" s="828"/>
      <c r="J4140" s="828"/>
    </row>
    <row r="4141" spans="1:10" ht="15">
      <c r="A4141" s="809"/>
      <c r="B4141" s="808" t="s">
        <v>13481</v>
      </c>
      <c r="C4141" s="809" t="s">
        <v>13482</v>
      </c>
      <c r="D4141" s="809" t="s">
        <v>13483</v>
      </c>
      <c r="E4141" s="1019" t="s">
        <v>13484</v>
      </c>
      <c r="F4141" s="1019"/>
      <c r="G4141" s="810" t="s">
        <v>13485</v>
      </c>
      <c r="H4141" s="808" t="s">
        <v>13486</v>
      </c>
      <c r="I4141" s="808" t="s">
        <v>13487</v>
      </c>
      <c r="J4141" s="808" t="s">
        <v>4867</v>
      </c>
    </row>
    <row r="4142" spans="1:10" ht="25.5" customHeight="1">
      <c r="A4142" s="812" t="s">
        <v>13488</v>
      </c>
      <c r="B4142" s="811" t="s">
        <v>13706</v>
      </c>
      <c r="C4142" s="812" t="s">
        <v>6</v>
      </c>
      <c r="D4142" s="812" t="s">
        <v>5574</v>
      </c>
      <c r="E4142" s="1020" t="s">
        <v>13542</v>
      </c>
      <c r="F4142" s="1020"/>
      <c r="G4142" s="813" t="s">
        <v>13537</v>
      </c>
      <c r="H4142" s="814">
        <v>1</v>
      </c>
      <c r="I4142" s="815">
        <v>133.85</v>
      </c>
      <c r="J4142" s="815">
        <v>133.85</v>
      </c>
    </row>
    <row r="4143" spans="1:10" ht="38.25" customHeight="1">
      <c r="A4143" s="817" t="s">
        <v>13491</v>
      </c>
      <c r="B4143" s="816" t="s">
        <v>13538</v>
      </c>
      <c r="C4143" s="817" t="s">
        <v>6</v>
      </c>
      <c r="D4143" s="817" t="s">
        <v>1793</v>
      </c>
      <c r="E4143" s="1021" t="s">
        <v>13539</v>
      </c>
      <c r="F4143" s="1021"/>
      <c r="G4143" s="818" t="s">
        <v>28</v>
      </c>
      <c r="H4143" s="819">
        <v>5.6000000000000001E-2</v>
      </c>
      <c r="I4143" s="820">
        <v>15.82</v>
      </c>
      <c r="J4143" s="820">
        <v>0.88</v>
      </c>
    </row>
    <row r="4144" spans="1:10" ht="38.25" customHeight="1">
      <c r="A4144" s="817" t="s">
        <v>13491</v>
      </c>
      <c r="B4144" s="816" t="s">
        <v>13540</v>
      </c>
      <c r="C4144" s="817" t="s">
        <v>6</v>
      </c>
      <c r="D4144" s="817" t="s">
        <v>1794</v>
      </c>
      <c r="E4144" s="1021" t="s">
        <v>13539</v>
      </c>
      <c r="F4144" s="1021"/>
      <c r="G4144" s="818" t="s">
        <v>42</v>
      </c>
      <c r="H4144" s="819">
        <v>0.123</v>
      </c>
      <c r="I4144" s="820">
        <v>14.51</v>
      </c>
      <c r="J4144" s="820">
        <v>1.78</v>
      </c>
    </row>
    <row r="4145" spans="1:10" ht="38.25" customHeight="1">
      <c r="A4145" s="817" t="s">
        <v>13491</v>
      </c>
      <c r="B4145" s="816" t="s">
        <v>13544</v>
      </c>
      <c r="C4145" s="817" t="s">
        <v>6</v>
      </c>
      <c r="D4145" s="817" t="s">
        <v>29</v>
      </c>
      <c r="E4145" s="1021" t="s">
        <v>13490</v>
      </c>
      <c r="F4145" s="1021"/>
      <c r="G4145" s="818" t="s">
        <v>19</v>
      </c>
      <c r="H4145" s="819">
        <v>0.17899999999999999</v>
      </c>
      <c r="I4145" s="820">
        <v>15.96</v>
      </c>
      <c r="J4145" s="820">
        <v>2.85</v>
      </c>
    </row>
    <row r="4146" spans="1:10" ht="38.25" customHeight="1">
      <c r="A4146" s="817" t="s">
        <v>13491</v>
      </c>
      <c r="B4146" s="816" t="s">
        <v>13545</v>
      </c>
      <c r="C4146" s="817" t="s">
        <v>6</v>
      </c>
      <c r="D4146" s="817" t="s">
        <v>30</v>
      </c>
      <c r="E4146" s="1021" t="s">
        <v>13490</v>
      </c>
      <c r="F4146" s="1021"/>
      <c r="G4146" s="818" t="s">
        <v>19</v>
      </c>
      <c r="H4146" s="819">
        <v>0.89300000000000002</v>
      </c>
      <c r="I4146" s="820">
        <v>18.63</v>
      </c>
      <c r="J4146" s="820">
        <v>16.63</v>
      </c>
    </row>
    <row r="4147" spans="1:10">
      <c r="A4147" s="822" t="s">
        <v>13493</v>
      </c>
      <c r="B4147" s="821" t="s">
        <v>14465</v>
      </c>
      <c r="C4147" s="822" t="s">
        <v>6</v>
      </c>
      <c r="D4147" s="822" t="s">
        <v>4762</v>
      </c>
      <c r="E4147" s="1017" t="s">
        <v>13514</v>
      </c>
      <c r="F4147" s="1017"/>
      <c r="G4147" s="823" t="s">
        <v>16</v>
      </c>
      <c r="H4147" s="824">
        <v>0.128</v>
      </c>
      <c r="I4147" s="825">
        <v>23.76</v>
      </c>
      <c r="J4147" s="825">
        <v>3.04</v>
      </c>
    </row>
    <row r="4148" spans="1:10" ht="13.5" customHeight="1">
      <c r="A4148" s="822" t="s">
        <v>13493</v>
      </c>
      <c r="B4148" s="821" t="s">
        <v>13650</v>
      </c>
      <c r="C4148" s="822" t="s">
        <v>6</v>
      </c>
      <c r="D4148" s="822" t="s">
        <v>6139</v>
      </c>
      <c r="E4148" s="1017" t="s">
        <v>13514</v>
      </c>
      <c r="F4148" s="1017"/>
      <c r="G4148" s="823" t="s">
        <v>14</v>
      </c>
      <c r="H4148" s="824">
        <v>4.2279999999999998</v>
      </c>
      <c r="I4148" s="825">
        <v>3.14</v>
      </c>
      <c r="J4148" s="825">
        <v>13.27</v>
      </c>
    </row>
    <row r="4149" spans="1:10" ht="25.5">
      <c r="A4149" s="822" t="s">
        <v>13493</v>
      </c>
      <c r="B4149" s="821" t="s">
        <v>13651</v>
      </c>
      <c r="C4149" s="822" t="s">
        <v>6</v>
      </c>
      <c r="D4149" s="822" t="s">
        <v>12285</v>
      </c>
      <c r="E4149" s="1017" t="s">
        <v>13514</v>
      </c>
      <c r="F4149" s="1017"/>
      <c r="G4149" s="823" t="s">
        <v>14</v>
      </c>
      <c r="H4149" s="824">
        <v>4.4480000000000004</v>
      </c>
      <c r="I4149" s="825">
        <v>21.45</v>
      </c>
      <c r="J4149" s="825">
        <v>95.4</v>
      </c>
    </row>
    <row r="4150" spans="1:10" ht="25.5">
      <c r="A4150" s="827"/>
      <c r="B4150" s="827"/>
      <c r="C4150" s="827"/>
      <c r="D4150" s="827"/>
      <c r="E4150" s="827" t="s">
        <v>13503</v>
      </c>
      <c r="F4150" s="826">
        <v>16.239999999999998</v>
      </c>
      <c r="G4150" s="827" t="s">
        <v>13504</v>
      </c>
      <c r="H4150" s="826">
        <v>0</v>
      </c>
      <c r="I4150" s="827" t="s">
        <v>13505</v>
      </c>
      <c r="J4150" s="826">
        <v>16.239999999999998</v>
      </c>
    </row>
    <row r="4151" spans="1:10" ht="13.5" customHeight="1" thickBot="1">
      <c r="A4151" s="827"/>
      <c r="B4151" s="827"/>
      <c r="C4151" s="827"/>
      <c r="D4151" s="827"/>
      <c r="E4151" s="827" t="s">
        <v>13506</v>
      </c>
      <c r="F4151" s="826">
        <v>37.79</v>
      </c>
      <c r="G4151" s="827"/>
      <c r="H4151" s="1018" t="s">
        <v>13507</v>
      </c>
      <c r="I4151" s="1018"/>
      <c r="J4151" s="826">
        <v>171.64</v>
      </c>
    </row>
    <row r="4152" spans="1:10" ht="13.5" thickTop="1">
      <c r="A4152" s="828"/>
      <c r="B4152" s="828"/>
      <c r="C4152" s="828"/>
      <c r="D4152" s="828"/>
      <c r="E4152" s="828"/>
      <c r="F4152" s="828"/>
      <c r="G4152" s="828"/>
      <c r="H4152" s="828"/>
      <c r="I4152" s="828"/>
      <c r="J4152" s="828"/>
    </row>
    <row r="4153" spans="1:10" ht="15">
      <c r="A4153" s="809"/>
      <c r="B4153" s="808" t="s">
        <v>13481</v>
      </c>
      <c r="C4153" s="809" t="s">
        <v>13482</v>
      </c>
      <c r="D4153" s="809" t="s">
        <v>13483</v>
      </c>
      <c r="E4153" s="1019" t="s">
        <v>13484</v>
      </c>
      <c r="F4153" s="1019"/>
      <c r="G4153" s="810" t="s">
        <v>13485</v>
      </c>
      <c r="H4153" s="808" t="s">
        <v>13486</v>
      </c>
      <c r="I4153" s="808" t="s">
        <v>13487</v>
      </c>
      <c r="J4153" s="808" t="s">
        <v>4867</v>
      </c>
    </row>
    <row r="4154" spans="1:10" ht="38.25" customHeight="1">
      <c r="A4154" s="812" t="s">
        <v>13488</v>
      </c>
      <c r="B4154" s="811" t="s">
        <v>14300</v>
      </c>
      <c r="C4154" s="812" t="s">
        <v>6</v>
      </c>
      <c r="D4154" s="812" t="s">
        <v>1701</v>
      </c>
      <c r="E4154" s="1020" t="s">
        <v>13898</v>
      </c>
      <c r="F4154" s="1020"/>
      <c r="G4154" s="813" t="s">
        <v>14</v>
      </c>
      <c r="H4154" s="814">
        <v>1</v>
      </c>
      <c r="I4154" s="815">
        <v>2.81</v>
      </c>
      <c r="J4154" s="815">
        <v>2.81</v>
      </c>
    </row>
    <row r="4155" spans="1:10" ht="13.5" customHeight="1">
      <c r="A4155" s="817" t="s">
        <v>13491</v>
      </c>
      <c r="B4155" s="816" t="s">
        <v>13909</v>
      </c>
      <c r="C4155" s="817" t="s">
        <v>6</v>
      </c>
      <c r="D4155" s="817" t="s">
        <v>986</v>
      </c>
      <c r="E4155" s="1021" t="s">
        <v>13490</v>
      </c>
      <c r="F4155" s="1021"/>
      <c r="G4155" s="818" t="s">
        <v>19</v>
      </c>
      <c r="H4155" s="819">
        <v>0.01</v>
      </c>
      <c r="I4155" s="820">
        <v>15.54</v>
      </c>
      <c r="J4155" s="820">
        <v>0.15</v>
      </c>
    </row>
    <row r="4156" spans="1:10" ht="38.25" customHeight="1">
      <c r="A4156" s="817" t="s">
        <v>13491</v>
      </c>
      <c r="B4156" s="816" t="s">
        <v>13574</v>
      </c>
      <c r="C4156" s="817" t="s">
        <v>6</v>
      </c>
      <c r="D4156" s="817" t="s">
        <v>34</v>
      </c>
      <c r="E4156" s="1021" t="s">
        <v>13490</v>
      </c>
      <c r="F4156" s="1021"/>
      <c r="G4156" s="818" t="s">
        <v>19</v>
      </c>
      <c r="H4156" s="819">
        <v>6.9000000000000006E-2</v>
      </c>
      <c r="I4156" s="820">
        <v>18.72</v>
      </c>
      <c r="J4156" s="820">
        <v>1.29</v>
      </c>
    </row>
    <row r="4157" spans="1:10" ht="25.5">
      <c r="A4157" s="822" t="s">
        <v>13493</v>
      </c>
      <c r="B4157" s="821" t="s">
        <v>14673</v>
      </c>
      <c r="C4157" s="822" t="s">
        <v>6</v>
      </c>
      <c r="D4157" s="822" t="s">
        <v>4566</v>
      </c>
      <c r="E4157" s="1017" t="s">
        <v>13514</v>
      </c>
      <c r="F4157" s="1017"/>
      <c r="G4157" s="823" t="s">
        <v>24</v>
      </c>
      <c r="H4157" s="824">
        <v>0.65</v>
      </c>
      <c r="I4157" s="825">
        <v>2.11</v>
      </c>
      <c r="J4157" s="825">
        <v>1.37</v>
      </c>
    </row>
    <row r="4158" spans="1:10" ht="25.5">
      <c r="A4158" s="827"/>
      <c r="B4158" s="827"/>
      <c r="C4158" s="827"/>
      <c r="D4158" s="827"/>
      <c r="E4158" s="827" t="s">
        <v>13503</v>
      </c>
      <c r="F4158" s="826">
        <v>1.1000000000000001</v>
      </c>
      <c r="G4158" s="827" t="s">
        <v>13504</v>
      </c>
      <c r="H4158" s="826">
        <v>0</v>
      </c>
      <c r="I4158" s="827" t="s">
        <v>13505</v>
      </c>
      <c r="J4158" s="826">
        <v>1.1000000000000001</v>
      </c>
    </row>
    <row r="4159" spans="1:10" ht="13.5" customHeight="1" thickBot="1">
      <c r="A4159" s="827"/>
      <c r="B4159" s="827"/>
      <c r="C4159" s="827"/>
      <c r="D4159" s="827"/>
      <c r="E4159" s="827" t="s">
        <v>13506</v>
      </c>
      <c r="F4159" s="826">
        <v>0.79</v>
      </c>
      <c r="G4159" s="827"/>
      <c r="H4159" s="1018" t="s">
        <v>13507</v>
      </c>
      <c r="I4159" s="1018"/>
      <c r="J4159" s="826">
        <v>3.6</v>
      </c>
    </row>
    <row r="4160" spans="1:10" ht="13.5" thickTop="1">
      <c r="A4160" s="828"/>
      <c r="B4160" s="828"/>
      <c r="C4160" s="828"/>
      <c r="D4160" s="828"/>
      <c r="E4160" s="828"/>
      <c r="F4160" s="828"/>
      <c r="G4160" s="828"/>
      <c r="H4160" s="828"/>
      <c r="I4160" s="828"/>
      <c r="J4160" s="828"/>
    </row>
    <row r="4161" spans="1:10" ht="15">
      <c r="A4161" s="809"/>
      <c r="B4161" s="808" t="s">
        <v>13481</v>
      </c>
      <c r="C4161" s="809" t="s">
        <v>13482</v>
      </c>
      <c r="D4161" s="809" t="s">
        <v>13483</v>
      </c>
      <c r="E4161" s="1019" t="s">
        <v>13484</v>
      </c>
      <c r="F4161" s="1019"/>
      <c r="G4161" s="810" t="s">
        <v>13485</v>
      </c>
      <c r="H4161" s="808" t="s">
        <v>13486</v>
      </c>
      <c r="I4161" s="808" t="s">
        <v>13487</v>
      </c>
      <c r="J4161" s="808" t="s">
        <v>4867</v>
      </c>
    </row>
    <row r="4162" spans="1:10" ht="13.5" customHeight="1">
      <c r="A4162" s="812" t="s">
        <v>13488</v>
      </c>
      <c r="B4162" s="811" t="s">
        <v>14347</v>
      </c>
      <c r="C4162" s="812" t="s">
        <v>6</v>
      </c>
      <c r="D4162" s="812" t="s">
        <v>1704</v>
      </c>
      <c r="E4162" s="1020" t="s">
        <v>13898</v>
      </c>
      <c r="F4162" s="1020"/>
      <c r="G4162" s="813" t="s">
        <v>14</v>
      </c>
      <c r="H4162" s="814">
        <v>1</v>
      </c>
      <c r="I4162" s="815">
        <v>1.42</v>
      </c>
      <c r="J4162" s="815">
        <v>1.42</v>
      </c>
    </row>
    <row r="4163" spans="1:10" ht="38.25" customHeight="1">
      <c r="A4163" s="817" t="s">
        <v>13491</v>
      </c>
      <c r="B4163" s="816" t="s">
        <v>13909</v>
      </c>
      <c r="C4163" s="817" t="s">
        <v>6</v>
      </c>
      <c r="D4163" s="817" t="s">
        <v>986</v>
      </c>
      <c r="E4163" s="1021" t="s">
        <v>13490</v>
      </c>
      <c r="F4163" s="1021"/>
      <c r="G4163" s="818" t="s">
        <v>19</v>
      </c>
      <c r="H4163" s="819">
        <v>5.0000000000000001E-3</v>
      </c>
      <c r="I4163" s="820">
        <v>15.54</v>
      </c>
      <c r="J4163" s="820">
        <v>7.0000000000000007E-2</v>
      </c>
    </row>
    <row r="4164" spans="1:10" ht="38.25" customHeight="1">
      <c r="A4164" s="817" t="s">
        <v>13491</v>
      </c>
      <c r="B4164" s="816" t="s">
        <v>13574</v>
      </c>
      <c r="C4164" s="817" t="s">
        <v>6</v>
      </c>
      <c r="D4164" s="817" t="s">
        <v>34</v>
      </c>
      <c r="E4164" s="1021" t="s">
        <v>13490</v>
      </c>
      <c r="F4164" s="1021"/>
      <c r="G4164" s="818" t="s">
        <v>19</v>
      </c>
      <c r="H4164" s="819">
        <v>3.5000000000000003E-2</v>
      </c>
      <c r="I4164" s="820">
        <v>18.72</v>
      </c>
      <c r="J4164" s="820">
        <v>0.65</v>
      </c>
    </row>
    <row r="4165" spans="1:10" ht="25.5">
      <c r="A4165" s="822" t="s">
        <v>13493</v>
      </c>
      <c r="B4165" s="821" t="s">
        <v>14673</v>
      </c>
      <c r="C4165" s="822" t="s">
        <v>6</v>
      </c>
      <c r="D4165" s="822" t="s">
        <v>4566</v>
      </c>
      <c r="E4165" s="1017" t="s">
        <v>13514</v>
      </c>
      <c r="F4165" s="1017"/>
      <c r="G4165" s="823" t="s">
        <v>24</v>
      </c>
      <c r="H4165" s="824">
        <v>0.33300000000000002</v>
      </c>
      <c r="I4165" s="825">
        <v>2.11</v>
      </c>
      <c r="J4165" s="825">
        <v>0.7</v>
      </c>
    </row>
    <row r="4166" spans="1:10" ht="25.5">
      <c r="A4166" s="827"/>
      <c r="B4166" s="827"/>
      <c r="C4166" s="827"/>
      <c r="D4166" s="827"/>
      <c r="E4166" s="827" t="s">
        <v>13503</v>
      </c>
      <c r="F4166" s="826">
        <v>0.55000000000000004</v>
      </c>
      <c r="G4166" s="827" t="s">
        <v>13504</v>
      </c>
      <c r="H4166" s="826">
        <v>0</v>
      </c>
      <c r="I4166" s="827" t="s">
        <v>13505</v>
      </c>
      <c r="J4166" s="826">
        <v>0.55000000000000004</v>
      </c>
    </row>
    <row r="4167" spans="1:10" ht="13.5" customHeight="1" thickBot="1">
      <c r="A4167" s="827"/>
      <c r="B4167" s="827"/>
      <c r="C4167" s="827"/>
      <c r="D4167" s="827"/>
      <c r="E4167" s="827" t="s">
        <v>13506</v>
      </c>
      <c r="F4167" s="826">
        <v>0.4</v>
      </c>
      <c r="G4167" s="827"/>
      <c r="H4167" s="1018" t="s">
        <v>13507</v>
      </c>
      <c r="I4167" s="1018"/>
      <c r="J4167" s="826">
        <v>1.82</v>
      </c>
    </row>
    <row r="4168" spans="1:10" ht="13.5" thickTop="1">
      <c r="A4168" s="828"/>
      <c r="B4168" s="828"/>
      <c r="C4168" s="828"/>
      <c r="D4168" s="828"/>
      <c r="E4168" s="828"/>
      <c r="F4168" s="828"/>
      <c r="G4168" s="828"/>
      <c r="H4168" s="828"/>
      <c r="I4168" s="828"/>
      <c r="J4168" s="828"/>
    </row>
    <row r="4169" spans="1:10" ht="13.5" customHeight="1">
      <c r="A4169" s="809"/>
      <c r="B4169" s="808" t="s">
        <v>13481</v>
      </c>
      <c r="C4169" s="809" t="s">
        <v>13482</v>
      </c>
      <c r="D4169" s="809" t="s">
        <v>13483</v>
      </c>
      <c r="E4169" s="1019" t="s">
        <v>13484</v>
      </c>
      <c r="F4169" s="1019"/>
      <c r="G4169" s="810" t="s">
        <v>13485</v>
      </c>
      <c r="H4169" s="808" t="s">
        <v>13486</v>
      </c>
      <c r="I4169" s="808" t="s">
        <v>13487</v>
      </c>
      <c r="J4169" s="808" t="s">
        <v>4867</v>
      </c>
    </row>
    <row r="4170" spans="1:10" ht="25.5" customHeight="1">
      <c r="A4170" s="812" t="s">
        <v>13488</v>
      </c>
      <c r="B4170" s="811" t="s">
        <v>13564</v>
      </c>
      <c r="C4170" s="812" t="s">
        <v>6</v>
      </c>
      <c r="D4170" s="812" t="s">
        <v>124</v>
      </c>
      <c r="E4170" s="1020" t="s">
        <v>13490</v>
      </c>
      <c r="F4170" s="1020"/>
      <c r="G4170" s="813" t="s">
        <v>19</v>
      </c>
      <c r="H4170" s="814">
        <v>1</v>
      </c>
      <c r="I4170" s="815">
        <v>18.14</v>
      </c>
      <c r="J4170" s="815">
        <v>18.14</v>
      </c>
    </row>
    <row r="4171" spans="1:10" ht="38.25" customHeight="1">
      <c r="A4171" s="817" t="s">
        <v>13491</v>
      </c>
      <c r="B4171" s="816" t="s">
        <v>14637</v>
      </c>
      <c r="C4171" s="817" t="s">
        <v>6</v>
      </c>
      <c r="D4171" s="817" t="s">
        <v>534</v>
      </c>
      <c r="E4171" s="1021" t="s">
        <v>13490</v>
      </c>
      <c r="F4171" s="1021"/>
      <c r="G4171" s="818" t="s">
        <v>19</v>
      </c>
      <c r="H4171" s="819">
        <v>1</v>
      </c>
      <c r="I4171" s="820">
        <v>0.12</v>
      </c>
      <c r="J4171" s="820">
        <v>0.12</v>
      </c>
    </row>
    <row r="4172" spans="1:10">
      <c r="A4172" s="822" t="s">
        <v>13493</v>
      </c>
      <c r="B4172" s="821" t="s">
        <v>13528</v>
      </c>
      <c r="C4172" s="822" t="s">
        <v>6</v>
      </c>
      <c r="D4172" s="822" t="s">
        <v>4581</v>
      </c>
      <c r="E4172" s="1017" t="s">
        <v>13499</v>
      </c>
      <c r="F4172" s="1017"/>
      <c r="G4172" s="823" t="s">
        <v>19</v>
      </c>
      <c r="H4172" s="824">
        <v>1</v>
      </c>
      <c r="I4172" s="825">
        <v>1.52</v>
      </c>
      <c r="J4172" s="825">
        <v>1.52</v>
      </c>
    </row>
    <row r="4173" spans="1:10" ht="25.5">
      <c r="A4173" s="822" t="s">
        <v>13493</v>
      </c>
      <c r="B4173" s="821" t="s">
        <v>14430</v>
      </c>
      <c r="C4173" s="822" t="s">
        <v>6</v>
      </c>
      <c r="D4173" s="822" t="s">
        <v>4657</v>
      </c>
      <c r="E4173" s="1017" t="s">
        <v>13497</v>
      </c>
      <c r="F4173" s="1017"/>
      <c r="G4173" s="823" t="s">
        <v>19</v>
      </c>
      <c r="H4173" s="824">
        <v>1</v>
      </c>
      <c r="I4173" s="825">
        <v>1.0900000000000001</v>
      </c>
      <c r="J4173" s="825">
        <v>1.0900000000000001</v>
      </c>
    </row>
    <row r="4174" spans="1:10">
      <c r="A4174" s="822" t="s">
        <v>13493</v>
      </c>
      <c r="B4174" s="821" t="s">
        <v>13498</v>
      </c>
      <c r="C4174" s="822" t="s">
        <v>6</v>
      </c>
      <c r="D4174" s="822" t="s">
        <v>4665</v>
      </c>
      <c r="E4174" s="1017" t="s">
        <v>13499</v>
      </c>
      <c r="F4174" s="1017"/>
      <c r="G4174" s="823" t="s">
        <v>19</v>
      </c>
      <c r="H4174" s="824">
        <v>1</v>
      </c>
      <c r="I4174" s="825">
        <v>0.81</v>
      </c>
      <c r="J4174" s="825">
        <v>0.81</v>
      </c>
    </row>
    <row r="4175" spans="1:10" ht="25.5">
      <c r="A4175" s="822" t="s">
        <v>13493</v>
      </c>
      <c r="B4175" s="821" t="s">
        <v>14431</v>
      </c>
      <c r="C4175" s="822" t="s">
        <v>6</v>
      </c>
      <c r="D4175" s="822" t="s">
        <v>4673</v>
      </c>
      <c r="E4175" s="1017" t="s">
        <v>13497</v>
      </c>
      <c r="F4175" s="1017"/>
      <c r="G4175" s="823" t="s">
        <v>19</v>
      </c>
      <c r="H4175" s="824">
        <v>1</v>
      </c>
      <c r="I4175" s="825">
        <v>0.74</v>
      </c>
      <c r="J4175" s="825">
        <v>0.74</v>
      </c>
    </row>
    <row r="4176" spans="1:10" ht="13.5" customHeight="1">
      <c r="A4176" s="822" t="s">
        <v>13493</v>
      </c>
      <c r="B4176" s="821" t="s">
        <v>14638</v>
      </c>
      <c r="C4176" s="822" t="s">
        <v>6</v>
      </c>
      <c r="D4176" s="822" t="s">
        <v>10555</v>
      </c>
      <c r="E4176" s="1017" t="s">
        <v>13495</v>
      </c>
      <c r="F4176" s="1017"/>
      <c r="G4176" s="823" t="s">
        <v>19</v>
      </c>
      <c r="H4176" s="824">
        <v>1</v>
      </c>
      <c r="I4176" s="825">
        <v>13.12</v>
      </c>
      <c r="J4176" s="825">
        <v>13.12</v>
      </c>
    </row>
    <row r="4177" spans="1:10">
      <c r="A4177" s="822" t="s">
        <v>13493</v>
      </c>
      <c r="B4177" s="821" t="s">
        <v>13501</v>
      </c>
      <c r="C4177" s="822" t="s">
        <v>6</v>
      </c>
      <c r="D4177" s="822" t="s">
        <v>4779</v>
      </c>
      <c r="E4177" s="1017" t="s">
        <v>13502</v>
      </c>
      <c r="F4177" s="1017"/>
      <c r="G4177" s="823" t="s">
        <v>19</v>
      </c>
      <c r="H4177" s="824">
        <v>1</v>
      </c>
      <c r="I4177" s="825">
        <v>0.06</v>
      </c>
      <c r="J4177" s="825">
        <v>0.06</v>
      </c>
    </row>
    <row r="4178" spans="1:10">
      <c r="A4178" s="822" t="s">
        <v>13493</v>
      </c>
      <c r="B4178" s="821" t="s">
        <v>13531</v>
      </c>
      <c r="C4178" s="822" t="s">
        <v>6</v>
      </c>
      <c r="D4178" s="822" t="s">
        <v>4808</v>
      </c>
      <c r="E4178" s="1017" t="s">
        <v>13532</v>
      </c>
      <c r="F4178" s="1017"/>
      <c r="G4178" s="823" t="s">
        <v>19</v>
      </c>
      <c r="H4178" s="824">
        <v>1</v>
      </c>
      <c r="I4178" s="825">
        <v>0.68</v>
      </c>
      <c r="J4178" s="825">
        <v>0.68</v>
      </c>
    </row>
    <row r="4179" spans="1:10" ht="25.5">
      <c r="A4179" s="827"/>
      <c r="B4179" s="827"/>
      <c r="C4179" s="827"/>
      <c r="D4179" s="827"/>
      <c r="E4179" s="827" t="s">
        <v>13503</v>
      </c>
      <c r="F4179" s="826">
        <v>13.24</v>
      </c>
      <c r="G4179" s="827" t="s">
        <v>13504</v>
      </c>
      <c r="H4179" s="826">
        <v>0</v>
      </c>
      <c r="I4179" s="827" t="s">
        <v>13505</v>
      </c>
      <c r="J4179" s="826">
        <v>13.24</v>
      </c>
    </row>
    <row r="4180" spans="1:10" ht="13.5" customHeight="1" thickBot="1">
      <c r="A4180" s="827"/>
      <c r="B4180" s="827"/>
      <c r="C4180" s="827"/>
      <c r="D4180" s="827"/>
      <c r="E4180" s="827" t="s">
        <v>13506</v>
      </c>
      <c r="F4180" s="826">
        <v>5.12</v>
      </c>
      <c r="G4180" s="827"/>
      <c r="H4180" s="1018" t="s">
        <v>13507</v>
      </c>
      <c r="I4180" s="1018"/>
      <c r="J4180" s="826">
        <v>23.26</v>
      </c>
    </row>
    <row r="4181" spans="1:10" ht="13.5" thickTop="1">
      <c r="A4181" s="828"/>
      <c r="B4181" s="828"/>
      <c r="C4181" s="828"/>
      <c r="D4181" s="828"/>
      <c r="E4181" s="828"/>
      <c r="F4181" s="828"/>
      <c r="G4181" s="828"/>
      <c r="H4181" s="828"/>
      <c r="I4181" s="828"/>
      <c r="J4181" s="828"/>
    </row>
    <row r="4182" spans="1:10" ht="13.5" customHeight="1">
      <c r="A4182" s="809"/>
      <c r="B4182" s="808" t="s">
        <v>13481</v>
      </c>
      <c r="C4182" s="809" t="s">
        <v>13482</v>
      </c>
      <c r="D4182" s="809" t="s">
        <v>13483</v>
      </c>
      <c r="E4182" s="1019" t="s">
        <v>13484</v>
      </c>
      <c r="F4182" s="1019"/>
      <c r="G4182" s="810" t="s">
        <v>13485</v>
      </c>
      <c r="H4182" s="808" t="s">
        <v>13486</v>
      </c>
      <c r="I4182" s="808" t="s">
        <v>13487</v>
      </c>
      <c r="J4182" s="808" t="s">
        <v>4867</v>
      </c>
    </row>
    <row r="4183" spans="1:10" ht="25.5" customHeight="1">
      <c r="A4183" s="812" t="s">
        <v>13488</v>
      </c>
      <c r="B4183" s="811" t="s">
        <v>13710</v>
      </c>
      <c r="C4183" s="812" t="s">
        <v>6</v>
      </c>
      <c r="D4183" s="812" t="s">
        <v>7562</v>
      </c>
      <c r="E4183" s="1020" t="s">
        <v>13542</v>
      </c>
      <c r="F4183" s="1020"/>
      <c r="G4183" s="813" t="s">
        <v>13543</v>
      </c>
      <c r="H4183" s="814">
        <v>1</v>
      </c>
      <c r="I4183" s="815">
        <v>488.89</v>
      </c>
      <c r="J4183" s="815">
        <v>488.89</v>
      </c>
    </row>
    <row r="4184" spans="1:10" ht="38.25" customHeight="1">
      <c r="A4184" s="817" t="s">
        <v>13491</v>
      </c>
      <c r="B4184" s="816" t="s">
        <v>14476</v>
      </c>
      <c r="C4184" s="817" t="s">
        <v>6</v>
      </c>
      <c r="D4184" s="817" t="s">
        <v>1041</v>
      </c>
      <c r="E4184" s="1021" t="s">
        <v>13539</v>
      </c>
      <c r="F4184" s="1021"/>
      <c r="G4184" s="818" t="s">
        <v>28</v>
      </c>
      <c r="H4184" s="819">
        <v>1.1137999999999999</v>
      </c>
      <c r="I4184" s="820">
        <v>1.87</v>
      </c>
      <c r="J4184" s="820">
        <v>2.08</v>
      </c>
    </row>
    <row r="4185" spans="1:10" ht="38.25" customHeight="1">
      <c r="A4185" s="817" t="s">
        <v>13491</v>
      </c>
      <c r="B4185" s="816" t="s">
        <v>14475</v>
      </c>
      <c r="C4185" s="817" t="s">
        <v>6</v>
      </c>
      <c r="D4185" s="817" t="s">
        <v>1042</v>
      </c>
      <c r="E4185" s="1021" t="s">
        <v>13539</v>
      </c>
      <c r="F4185" s="1021"/>
      <c r="G4185" s="818" t="s">
        <v>42</v>
      </c>
      <c r="H4185" s="819">
        <v>0.49309999999999998</v>
      </c>
      <c r="I4185" s="820">
        <v>0.37</v>
      </c>
      <c r="J4185" s="820">
        <v>0.18</v>
      </c>
    </row>
    <row r="4186" spans="1:10" ht="25.5" customHeight="1">
      <c r="A4186" s="817" t="s">
        <v>13491</v>
      </c>
      <c r="B4186" s="816" t="s">
        <v>13553</v>
      </c>
      <c r="C4186" s="817" t="s">
        <v>6</v>
      </c>
      <c r="D4186" s="817" t="s">
        <v>21</v>
      </c>
      <c r="E4186" s="1021" t="s">
        <v>13490</v>
      </c>
      <c r="F4186" s="1021"/>
      <c r="G4186" s="818" t="s">
        <v>19</v>
      </c>
      <c r="H4186" s="819">
        <v>2.5491999999999999</v>
      </c>
      <c r="I4186" s="820">
        <v>15.16</v>
      </c>
      <c r="J4186" s="820">
        <v>38.64</v>
      </c>
    </row>
    <row r="4187" spans="1:10" ht="25.5" customHeight="1">
      <c r="A4187" s="817" t="s">
        <v>13491</v>
      </c>
      <c r="B4187" s="816" t="s">
        <v>13656</v>
      </c>
      <c r="C4187" s="817" t="s">
        <v>6</v>
      </c>
      <c r="D4187" s="817" t="s">
        <v>990</v>
      </c>
      <c r="E4187" s="1021" t="s">
        <v>13490</v>
      </c>
      <c r="F4187" s="1021"/>
      <c r="G4187" s="818" t="s">
        <v>19</v>
      </c>
      <c r="H4187" s="819">
        <v>1.6069</v>
      </c>
      <c r="I4187" s="820">
        <v>13.71</v>
      </c>
      <c r="J4187" s="820">
        <v>22.03</v>
      </c>
    </row>
    <row r="4188" spans="1:10" ht="25.5" customHeight="1">
      <c r="A4188" s="822" t="s">
        <v>13493</v>
      </c>
      <c r="B4188" s="821" t="s">
        <v>14572</v>
      </c>
      <c r="C4188" s="822" t="s">
        <v>6</v>
      </c>
      <c r="D4188" s="822" t="s">
        <v>4587</v>
      </c>
      <c r="E4188" s="1017" t="s">
        <v>13514</v>
      </c>
      <c r="F4188" s="1017"/>
      <c r="G4188" s="823" t="s">
        <v>13543</v>
      </c>
      <c r="H4188" s="824">
        <v>0.63019999999999998</v>
      </c>
      <c r="I4188" s="825">
        <v>84.59</v>
      </c>
      <c r="J4188" s="825">
        <v>53.3</v>
      </c>
    </row>
    <row r="4189" spans="1:10" ht="25.5" customHeight="1">
      <c r="A4189" s="822" t="s">
        <v>13493</v>
      </c>
      <c r="B4189" s="821" t="s">
        <v>14536</v>
      </c>
      <c r="C4189" s="822" t="s">
        <v>6</v>
      </c>
      <c r="D4189" s="822" t="s">
        <v>4613</v>
      </c>
      <c r="E4189" s="1017" t="s">
        <v>13514</v>
      </c>
      <c r="F4189" s="1017"/>
      <c r="G4189" s="823" t="s">
        <v>16</v>
      </c>
      <c r="H4189" s="824">
        <v>15.125500000000001</v>
      </c>
      <c r="I4189" s="825">
        <v>0.85</v>
      </c>
      <c r="J4189" s="825">
        <v>12.85</v>
      </c>
    </row>
    <row r="4190" spans="1:10" ht="25.5" customHeight="1">
      <c r="A4190" s="822" t="s">
        <v>13493</v>
      </c>
      <c r="B4190" s="821" t="s">
        <v>13658</v>
      </c>
      <c r="C4190" s="822" t="s">
        <v>6</v>
      </c>
      <c r="D4190" s="822" t="s">
        <v>4622</v>
      </c>
      <c r="E4190" s="1017" t="s">
        <v>13514</v>
      </c>
      <c r="F4190" s="1017"/>
      <c r="G4190" s="823" t="s">
        <v>16</v>
      </c>
      <c r="H4190" s="824">
        <v>420.15269999999998</v>
      </c>
      <c r="I4190" s="825">
        <v>0.72</v>
      </c>
      <c r="J4190" s="825">
        <v>302.5</v>
      </c>
    </row>
    <row r="4191" spans="1:10" ht="25.5">
      <c r="A4191" s="822" t="s">
        <v>13493</v>
      </c>
      <c r="B4191" s="821" t="s">
        <v>13981</v>
      </c>
      <c r="C4191" s="822" t="s">
        <v>6</v>
      </c>
      <c r="D4191" s="822" t="s">
        <v>4748</v>
      </c>
      <c r="E4191" s="1017" t="s">
        <v>13514</v>
      </c>
      <c r="F4191" s="1017"/>
      <c r="G4191" s="823" t="s">
        <v>13543</v>
      </c>
      <c r="H4191" s="824">
        <v>0.58819999999999995</v>
      </c>
      <c r="I4191" s="825">
        <v>97.44</v>
      </c>
      <c r="J4191" s="825">
        <v>57.31</v>
      </c>
    </row>
    <row r="4192" spans="1:10" ht="25.5">
      <c r="A4192" s="827"/>
      <c r="B4192" s="827"/>
      <c r="C4192" s="827"/>
      <c r="D4192" s="827"/>
      <c r="E4192" s="827" t="s">
        <v>13503</v>
      </c>
      <c r="F4192" s="826">
        <v>42.32</v>
      </c>
      <c r="G4192" s="827" t="s">
        <v>13504</v>
      </c>
      <c r="H4192" s="826">
        <v>0</v>
      </c>
      <c r="I4192" s="827" t="s">
        <v>13505</v>
      </c>
      <c r="J4192" s="826">
        <v>42.32</v>
      </c>
    </row>
    <row r="4193" spans="1:10" ht="13.5" customHeight="1" thickBot="1">
      <c r="A4193" s="827"/>
      <c r="B4193" s="827"/>
      <c r="C4193" s="827"/>
      <c r="D4193" s="827"/>
      <c r="E4193" s="827" t="s">
        <v>13506</v>
      </c>
      <c r="F4193" s="826">
        <v>138.06</v>
      </c>
      <c r="G4193" s="827"/>
      <c r="H4193" s="1018" t="s">
        <v>13507</v>
      </c>
      <c r="I4193" s="1018"/>
      <c r="J4193" s="826">
        <v>626.95000000000005</v>
      </c>
    </row>
    <row r="4194" spans="1:10" ht="13.5" thickTop="1">
      <c r="A4194" s="828"/>
      <c r="B4194" s="828"/>
      <c r="C4194" s="828"/>
      <c r="D4194" s="828"/>
      <c r="E4194" s="828"/>
      <c r="F4194" s="828"/>
      <c r="G4194" s="828"/>
      <c r="H4194" s="828"/>
      <c r="I4194" s="828"/>
      <c r="J4194" s="828"/>
    </row>
    <row r="4195" spans="1:10" ht="15">
      <c r="A4195" s="809"/>
      <c r="B4195" s="808" t="s">
        <v>13481</v>
      </c>
      <c r="C4195" s="809" t="s">
        <v>13482</v>
      </c>
      <c r="D4195" s="809" t="s">
        <v>13483</v>
      </c>
      <c r="E4195" s="1019" t="s">
        <v>13484</v>
      </c>
      <c r="F4195" s="1019"/>
      <c r="G4195" s="810" t="s">
        <v>13485</v>
      </c>
      <c r="H4195" s="808" t="s">
        <v>13486</v>
      </c>
      <c r="I4195" s="808" t="s">
        <v>13487</v>
      </c>
      <c r="J4195" s="808" t="s">
        <v>4867</v>
      </c>
    </row>
    <row r="4196" spans="1:10" ht="25.5" customHeight="1">
      <c r="A4196" s="812" t="s">
        <v>13488</v>
      </c>
      <c r="B4196" s="811" t="s">
        <v>13827</v>
      </c>
      <c r="C4196" s="812" t="s">
        <v>6</v>
      </c>
      <c r="D4196" s="812" t="s">
        <v>2198</v>
      </c>
      <c r="E4196" s="1020" t="s">
        <v>13539</v>
      </c>
      <c r="F4196" s="1020"/>
      <c r="G4196" s="813" t="s">
        <v>42</v>
      </c>
      <c r="H4196" s="814">
        <v>1</v>
      </c>
      <c r="I4196" s="815">
        <v>14.19</v>
      </c>
      <c r="J4196" s="815">
        <v>14.19</v>
      </c>
    </row>
    <row r="4197" spans="1:10" ht="38.25" customHeight="1">
      <c r="A4197" s="817" t="s">
        <v>13491</v>
      </c>
      <c r="B4197" s="816" t="s">
        <v>14674</v>
      </c>
      <c r="C4197" s="817" t="s">
        <v>6</v>
      </c>
      <c r="D4197" s="817" t="s">
        <v>2193</v>
      </c>
      <c r="E4197" s="1021" t="s">
        <v>13539</v>
      </c>
      <c r="F4197" s="1021"/>
      <c r="G4197" s="818" t="s">
        <v>19</v>
      </c>
      <c r="H4197" s="819">
        <v>1</v>
      </c>
      <c r="I4197" s="820">
        <v>0.33</v>
      </c>
      <c r="J4197" s="820">
        <v>0.33</v>
      </c>
    </row>
    <row r="4198" spans="1:10" ht="38.25" customHeight="1">
      <c r="A4198" s="817" t="s">
        <v>13491</v>
      </c>
      <c r="B4198" s="816" t="s">
        <v>14675</v>
      </c>
      <c r="C4198" s="817" t="s">
        <v>6</v>
      </c>
      <c r="D4198" s="817" t="s">
        <v>2194</v>
      </c>
      <c r="E4198" s="1021" t="s">
        <v>13539</v>
      </c>
      <c r="F4198" s="1021"/>
      <c r="G4198" s="818" t="s">
        <v>19</v>
      </c>
      <c r="H4198" s="819">
        <v>1</v>
      </c>
      <c r="I4198" s="820">
        <v>0.03</v>
      </c>
      <c r="J4198" s="820">
        <v>0.03</v>
      </c>
    </row>
    <row r="4199" spans="1:10" ht="38.25" customHeight="1">
      <c r="A4199" s="817" t="s">
        <v>13491</v>
      </c>
      <c r="B4199" s="816" t="s">
        <v>14676</v>
      </c>
      <c r="C4199" s="817" t="s">
        <v>6</v>
      </c>
      <c r="D4199" s="817" t="s">
        <v>144</v>
      </c>
      <c r="E4199" s="1021" t="s">
        <v>13490</v>
      </c>
      <c r="F4199" s="1021"/>
      <c r="G4199" s="818" t="s">
        <v>19</v>
      </c>
      <c r="H4199" s="819">
        <v>1</v>
      </c>
      <c r="I4199" s="820">
        <v>13.83</v>
      </c>
      <c r="J4199" s="820">
        <v>13.83</v>
      </c>
    </row>
    <row r="4200" spans="1:10" ht="25.5">
      <c r="A4200" s="827"/>
      <c r="B4200" s="827"/>
      <c r="C4200" s="827"/>
      <c r="D4200" s="827"/>
      <c r="E4200" s="827" t="s">
        <v>13503</v>
      </c>
      <c r="F4200" s="826">
        <v>9.99</v>
      </c>
      <c r="G4200" s="827" t="s">
        <v>13504</v>
      </c>
      <c r="H4200" s="826">
        <v>0</v>
      </c>
      <c r="I4200" s="827" t="s">
        <v>13505</v>
      </c>
      <c r="J4200" s="826">
        <v>9.99</v>
      </c>
    </row>
    <row r="4201" spans="1:10" ht="13.5" customHeight="1" thickBot="1">
      <c r="A4201" s="827"/>
      <c r="B4201" s="827"/>
      <c r="C4201" s="827"/>
      <c r="D4201" s="827"/>
      <c r="E4201" s="827" t="s">
        <v>13506</v>
      </c>
      <c r="F4201" s="826">
        <v>4</v>
      </c>
      <c r="G4201" s="827"/>
      <c r="H4201" s="1018" t="s">
        <v>13507</v>
      </c>
      <c r="I4201" s="1018"/>
      <c r="J4201" s="826">
        <v>18.190000000000001</v>
      </c>
    </row>
    <row r="4202" spans="1:10" ht="13.5" thickTop="1">
      <c r="A4202" s="828"/>
      <c r="B4202" s="828"/>
      <c r="C4202" s="828"/>
      <c r="D4202" s="828"/>
      <c r="E4202" s="828"/>
      <c r="F4202" s="828"/>
      <c r="G4202" s="828"/>
      <c r="H4202" s="828"/>
      <c r="I4202" s="828"/>
      <c r="J4202" s="828"/>
    </row>
    <row r="4203" spans="1:10" ht="15">
      <c r="A4203" s="809"/>
      <c r="B4203" s="808" t="s">
        <v>13481</v>
      </c>
      <c r="C4203" s="809" t="s">
        <v>13482</v>
      </c>
      <c r="D4203" s="809" t="s">
        <v>13483</v>
      </c>
      <c r="E4203" s="1019" t="s">
        <v>13484</v>
      </c>
      <c r="F4203" s="1019"/>
      <c r="G4203" s="810" t="s">
        <v>13485</v>
      </c>
      <c r="H4203" s="808" t="s">
        <v>13486</v>
      </c>
      <c r="I4203" s="808" t="s">
        <v>13487</v>
      </c>
      <c r="J4203" s="808" t="s">
        <v>4867</v>
      </c>
    </row>
    <row r="4204" spans="1:10" ht="25.5" customHeight="1">
      <c r="A4204" s="812" t="s">
        <v>13488</v>
      </c>
      <c r="B4204" s="811" t="s">
        <v>13828</v>
      </c>
      <c r="C4204" s="812" t="s">
        <v>6</v>
      </c>
      <c r="D4204" s="812" t="s">
        <v>2197</v>
      </c>
      <c r="E4204" s="1020" t="s">
        <v>13539</v>
      </c>
      <c r="F4204" s="1020"/>
      <c r="G4204" s="813" t="s">
        <v>28</v>
      </c>
      <c r="H4204" s="814">
        <v>1</v>
      </c>
      <c r="I4204" s="815">
        <v>15.2</v>
      </c>
      <c r="J4204" s="815">
        <v>15.2</v>
      </c>
    </row>
    <row r="4205" spans="1:10" ht="25.5" customHeight="1">
      <c r="A4205" s="817" t="s">
        <v>13491</v>
      </c>
      <c r="B4205" s="816" t="s">
        <v>14675</v>
      </c>
      <c r="C4205" s="817" t="s">
        <v>6</v>
      </c>
      <c r="D4205" s="817" t="s">
        <v>2194</v>
      </c>
      <c r="E4205" s="1021" t="s">
        <v>13539</v>
      </c>
      <c r="F4205" s="1021"/>
      <c r="G4205" s="818" t="s">
        <v>19</v>
      </c>
      <c r="H4205" s="819">
        <v>1</v>
      </c>
      <c r="I4205" s="820">
        <v>0.03</v>
      </c>
      <c r="J4205" s="820">
        <v>0.03</v>
      </c>
    </row>
    <row r="4206" spans="1:10" ht="25.5" customHeight="1">
      <c r="A4206" s="817" t="s">
        <v>13491</v>
      </c>
      <c r="B4206" s="816" t="s">
        <v>14674</v>
      </c>
      <c r="C4206" s="817" t="s">
        <v>6</v>
      </c>
      <c r="D4206" s="817" t="s">
        <v>2193</v>
      </c>
      <c r="E4206" s="1021" t="s">
        <v>13539</v>
      </c>
      <c r="F4206" s="1021"/>
      <c r="G4206" s="818" t="s">
        <v>19</v>
      </c>
      <c r="H4206" s="819">
        <v>1</v>
      </c>
      <c r="I4206" s="820">
        <v>0.33</v>
      </c>
      <c r="J4206" s="820">
        <v>0.33</v>
      </c>
    </row>
    <row r="4207" spans="1:10" ht="25.5" customHeight="1">
      <c r="A4207" s="817" t="s">
        <v>13491</v>
      </c>
      <c r="B4207" s="816" t="s">
        <v>14677</v>
      </c>
      <c r="C4207" s="817" t="s">
        <v>6</v>
      </c>
      <c r="D4207" s="817" t="s">
        <v>2195</v>
      </c>
      <c r="E4207" s="1021" t="s">
        <v>13539</v>
      </c>
      <c r="F4207" s="1021"/>
      <c r="G4207" s="818" t="s">
        <v>19</v>
      </c>
      <c r="H4207" s="819">
        <v>1</v>
      </c>
      <c r="I4207" s="820">
        <v>0.31</v>
      </c>
      <c r="J4207" s="820">
        <v>0.31</v>
      </c>
    </row>
    <row r="4208" spans="1:10" ht="25.5" customHeight="1">
      <c r="A4208" s="817" t="s">
        <v>13491</v>
      </c>
      <c r="B4208" s="816" t="s">
        <v>14678</v>
      </c>
      <c r="C4208" s="817" t="s">
        <v>6</v>
      </c>
      <c r="D4208" s="817" t="s">
        <v>2196</v>
      </c>
      <c r="E4208" s="1021" t="s">
        <v>13539</v>
      </c>
      <c r="F4208" s="1021"/>
      <c r="G4208" s="818" t="s">
        <v>19</v>
      </c>
      <c r="H4208" s="819">
        <v>1</v>
      </c>
      <c r="I4208" s="820">
        <v>0.7</v>
      </c>
      <c r="J4208" s="820">
        <v>0.7</v>
      </c>
    </row>
    <row r="4209" spans="1:10" ht="38.25" customHeight="1">
      <c r="A4209" s="817" t="s">
        <v>13491</v>
      </c>
      <c r="B4209" s="816" t="s">
        <v>14676</v>
      </c>
      <c r="C4209" s="817" t="s">
        <v>6</v>
      </c>
      <c r="D4209" s="817" t="s">
        <v>144</v>
      </c>
      <c r="E4209" s="1021" t="s">
        <v>13490</v>
      </c>
      <c r="F4209" s="1021"/>
      <c r="G4209" s="818" t="s">
        <v>19</v>
      </c>
      <c r="H4209" s="819">
        <v>1</v>
      </c>
      <c r="I4209" s="820">
        <v>13.83</v>
      </c>
      <c r="J4209" s="820">
        <v>13.83</v>
      </c>
    </row>
    <row r="4210" spans="1:10" ht="25.5" customHeight="1">
      <c r="A4210" s="827"/>
      <c r="B4210" s="827"/>
      <c r="C4210" s="827"/>
      <c r="D4210" s="827"/>
      <c r="E4210" s="827" t="s">
        <v>13503</v>
      </c>
      <c r="F4210" s="826">
        <v>9.99</v>
      </c>
      <c r="G4210" s="827" t="s">
        <v>13504</v>
      </c>
      <c r="H4210" s="826">
        <v>0</v>
      </c>
      <c r="I4210" s="827" t="s">
        <v>13505</v>
      </c>
      <c r="J4210" s="826">
        <v>9.99</v>
      </c>
    </row>
    <row r="4211" spans="1:10" ht="13.5" customHeight="1" thickBot="1">
      <c r="A4211" s="827"/>
      <c r="B4211" s="827"/>
      <c r="C4211" s="827"/>
      <c r="D4211" s="827"/>
      <c r="E4211" s="827" t="s">
        <v>13506</v>
      </c>
      <c r="F4211" s="826">
        <v>4.29</v>
      </c>
      <c r="G4211" s="827"/>
      <c r="H4211" s="1018" t="s">
        <v>13507</v>
      </c>
      <c r="I4211" s="1018"/>
      <c r="J4211" s="826">
        <v>19.489999999999998</v>
      </c>
    </row>
    <row r="4212" spans="1:10" ht="13.5" thickTop="1">
      <c r="A4212" s="828"/>
      <c r="B4212" s="828"/>
      <c r="C4212" s="828"/>
      <c r="D4212" s="828"/>
      <c r="E4212" s="828"/>
      <c r="F4212" s="828"/>
      <c r="G4212" s="828"/>
      <c r="H4212" s="828"/>
      <c r="I4212" s="828"/>
      <c r="J4212" s="828"/>
    </row>
    <row r="4213" spans="1:10" ht="15">
      <c r="A4213" s="809"/>
      <c r="B4213" s="808" t="s">
        <v>13481</v>
      </c>
      <c r="C4213" s="809" t="s">
        <v>13482</v>
      </c>
      <c r="D4213" s="809" t="s">
        <v>13483</v>
      </c>
      <c r="E4213" s="1019" t="s">
        <v>13484</v>
      </c>
      <c r="F4213" s="1019"/>
      <c r="G4213" s="810" t="s">
        <v>13485</v>
      </c>
      <c r="H4213" s="808" t="s">
        <v>13486</v>
      </c>
      <c r="I4213" s="808" t="s">
        <v>13487</v>
      </c>
      <c r="J4213" s="808" t="s">
        <v>4867</v>
      </c>
    </row>
    <row r="4214" spans="1:10" ht="25.5" customHeight="1">
      <c r="A4214" s="812" t="s">
        <v>13488</v>
      </c>
      <c r="B4214" s="811" t="s">
        <v>14674</v>
      </c>
      <c r="C4214" s="812" t="s">
        <v>6</v>
      </c>
      <c r="D4214" s="812" t="s">
        <v>2193</v>
      </c>
      <c r="E4214" s="1020" t="s">
        <v>13539</v>
      </c>
      <c r="F4214" s="1020"/>
      <c r="G4214" s="813" t="s">
        <v>19</v>
      </c>
      <c r="H4214" s="814">
        <v>1</v>
      </c>
      <c r="I4214" s="815">
        <v>0.33</v>
      </c>
      <c r="J4214" s="815">
        <v>0.33</v>
      </c>
    </row>
    <row r="4215" spans="1:10" ht="25.5">
      <c r="A4215" s="822" t="s">
        <v>13493</v>
      </c>
      <c r="B4215" s="821" t="s">
        <v>14679</v>
      </c>
      <c r="C4215" s="822" t="s">
        <v>6</v>
      </c>
      <c r="D4215" s="822" t="s">
        <v>4687</v>
      </c>
      <c r="E4215" s="1017" t="s">
        <v>13497</v>
      </c>
      <c r="F4215" s="1017"/>
      <c r="G4215" s="823" t="s">
        <v>24</v>
      </c>
      <c r="H4215" s="824">
        <v>6.3999999999999997E-5</v>
      </c>
      <c r="I4215" s="825">
        <v>5244.27</v>
      </c>
      <c r="J4215" s="825">
        <v>0.33</v>
      </c>
    </row>
    <row r="4216" spans="1:10" ht="25.5">
      <c r="A4216" s="827"/>
      <c r="B4216" s="827"/>
      <c r="C4216" s="827"/>
      <c r="D4216" s="827"/>
      <c r="E4216" s="827" t="s">
        <v>13503</v>
      </c>
      <c r="F4216" s="826">
        <v>0</v>
      </c>
      <c r="G4216" s="827" t="s">
        <v>13504</v>
      </c>
      <c r="H4216" s="826">
        <v>0</v>
      </c>
      <c r="I4216" s="827" t="s">
        <v>13505</v>
      </c>
      <c r="J4216" s="826">
        <v>0</v>
      </c>
    </row>
    <row r="4217" spans="1:10" ht="13.5" customHeight="1" thickBot="1">
      <c r="A4217" s="827"/>
      <c r="B4217" s="827"/>
      <c r="C4217" s="827"/>
      <c r="D4217" s="827"/>
      <c r="E4217" s="827" t="s">
        <v>13506</v>
      </c>
      <c r="F4217" s="826">
        <v>0.09</v>
      </c>
      <c r="G4217" s="827"/>
      <c r="H4217" s="1018" t="s">
        <v>13507</v>
      </c>
      <c r="I4217" s="1018"/>
      <c r="J4217" s="826">
        <v>0.42</v>
      </c>
    </row>
    <row r="4218" spans="1:10" ht="13.5" thickTop="1">
      <c r="A4218" s="828"/>
      <c r="B4218" s="828"/>
      <c r="C4218" s="828"/>
      <c r="D4218" s="828"/>
      <c r="E4218" s="828"/>
      <c r="F4218" s="828"/>
      <c r="G4218" s="828"/>
      <c r="H4218" s="828"/>
      <c r="I4218" s="828"/>
      <c r="J4218" s="828"/>
    </row>
    <row r="4219" spans="1:10" ht="15">
      <c r="A4219" s="809"/>
      <c r="B4219" s="808" t="s">
        <v>13481</v>
      </c>
      <c r="C4219" s="809" t="s">
        <v>13482</v>
      </c>
      <c r="D4219" s="809" t="s">
        <v>13483</v>
      </c>
      <c r="E4219" s="1019" t="s">
        <v>13484</v>
      </c>
      <c r="F4219" s="1019"/>
      <c r="G4219" s="810" t="s">
        <v>13485</v>
      </c>
      <c r="H4219" s="808" t="s">
        <v>13486</v>
      </c>
      <c r="I4219" s="808" t="s">
        <v>13487</v>
      </c>
      <c r="J4219" s="808" t="s">
        <v>4867</v>
      </c>
    </row>
    <row r="4220" spans="1:10" ht="13.5" customHeight="1">
      <c r="A4220" s="812" t="s">
        <v>13488</v>
      </c>
      <c r="B4220" s="811" t="s">
        <v>14675</v>
      </c>
      <c r="C4220" s="812" t="s">
        <v>6</v>
      </c>
      <c r="D4220" s="812" t="s">
        <v>2194</v>
      </c>
      <c r="E4220" s="1020" t="s">
        <v>13539</v>
      </c>
      <c r="F4220" s="1020"/>
      <c r="G4220" s="813" t="s">
        <v>19</v>
      </c>
      <c r="H4220" s="814">
        <v>1</v>
      </c>
      <c r="I4220" s="815">
        <v>0.03</v>
      </c>
      <c r="J4220" s="815">
        <v>0.03</v>
      </c>
    </row>
    <row r="4221" spans="1:10" ht="25.5">
      <c r="A4221" s="822" t="s">
        <v>13493</v>
      </c>
      <c r="B4221" s="821" t="s">
        <v>14679</v>
      </c>
      <c r="C4221" s="822" t="s">
        <v>6</v>
      </c>
      <c r="D4221" s="822" t="s">
        <v>4687</v>
      </c>
      <c r="E4221" s="1017" t="s">
        <v>13497</v>
      </c>
      <c r="F4221" s="1017"/>
      <c r="G4221" s="823" t="s">
        <v>24</v>
      </c>
      <c r="H4221" s="824">
        <v>7.6000000000000001E-6</v>
      </c>
      <c r="I4221" s="825">
        <v>5244.27</v>
      </c>
      <c r="J4221" s="825">
        <v>0.03</v>
      </c>
    </row>
    <row r="4222" spans="1:10" ht="25.5">
      <c r="A4222" s="827"/>
      <c r="B4222" s="827"/>
      <c r="C4222" s="827"/>
      <c r="D4222" s="827"/>
      <c r="E4222" s="827" t="s">
        <v>13503</v>
      </c>
      <c r="F4222" s="826">
        <v>0</v>
      </c>
      <c r="G4222" s="827" t="s">
        <v>13504</v>
      </c>
      <c r="H4222" s="826">
        <v>0</v>
      </c>
      <c r="I4222" s="827" t="s">
        <v>13505</v>
      </c>
      <c r="J4222" s="826">
        <v>0</v>
      </c>
    </row>
    <row r="4223" spans="1:10" ht="25.5" customHeight="1" thickBot="1">
      <c r="A4223" s="827"/>
      <c r="B4223" s="827"/>
      <c r="C4223" s="827"/>
      <c r="D4223" s="827"/>
      <c r="E4223" s="827" t="s">
        <v>13506</v>
      </c>
      <c r="F4223" s="826">
        <v>0</v>
      </c>
      <c r="G4223" s="827"/>
      <c r="H4223" s="1018" t="s">
        <v>13507</v>
      </c>
      <c r="I4223" s="1018"/>
      <c r="J4223" s="826">
        <v>0.03</v>
      </c>
    </row>
    <row r="4224" spans="1:10" ht="25.5" customHeight="1" thickTop="1">
      <c r="A4224" s="828"/>
      <c r="B4224" s="828"/>
      <c r="C4224" s="828"/>
      <c r="D4224" s="828"/>
      <c r="E4224" s="828"/>
      <c r="F4224" s="828"/>
      <c r="G4224" s="828"/>
      <c r="H4224" s="828"/>
      <c r="I4224" s="828"/>
      <c r="J4224" s="828"/>
    </row>
    <row r="4225" spans="1:10" ht="25.5" customHeight="1">
      <c r="A4225" s="809"/>
      <c r="B4225" s="808" t="s">
        <v>13481</v>
      </c>
      <c r="C4225" s="809" t="s">
        <v>13482</v>
      </c>
      <c r="D4225" s="809" t="s">
        <v>13483</v>
      </c>
      <c r="E4225" s="1019" t="s">
        <v>13484</v>
      </c>
      <c r="F4225" s="1019"/>
      <c r="G4225" s="810" t="s">
        <v>13485</v>
      </c>
      <c r="H4225" s="808" t="s">
        <v>13486</v>
      </c>
      <c r="I4225" s="808" t="s">
        <v>13487</v>
      </c>
      <c r="J4225" s="808" t="s">
        <v>4867</v>
      </c>
    </row>
    <row r="4226" spans="1:10" ht="25.5" customHeight="1">
      <c r="A4226" s="812" t="s">
        <v>13488</v>
      </c>
      <c r="B4226" s="811" t="s">
        <v>14677</v>
      </c>
      <c r="C4226" s="812" t="s">
        <v>6</v>
      </c>
      <c r="D4226" s="812" t="s">
        <v>2195</v>
      </c>
      <c r="E4226" s="1020" t="s">
        <v>13539</v>
      </c>
      <c r="F4226" s="1020"/>
      <c r="G4226" s="813" t="s">
        <v>19</v>
      </c>
      <c r="H4226" s="814">
        <v>1</v>
      </c>
      <c r="I4226" s="815">
        <v>0.31</v>
      </c>
      <c r="J4226" s="815">
        <v>0.31</v>
      </c>
    </row>
    <row r="4227" spans="1:10" ht="25.5" customHeight="1">
      <c r="A4227" s="822" t="s">
        <v>13493</v>
      </c>
      <c r="B4227" s="821" t="s">
        <v>14679</v>
      </c>
      <c r="C4227" s="822" t="s">
        <v>6</v>
      </c>
      <c r="D4227" s="822" t="s">
        <v>4687</v>
      </c>
      <c r="E4227" s="1017" t="s">
        <v>13497</v>
      </c>
      <c r="F4227" s="1017"/>
      <c r="G4227" s="823" t="s">
        <v>24</v>
      </c>
      <c r="H4227" s="824">
        <v>6.0000000000000002E-5</v>
      </c>
      <c r="I4227" s="825">
        <v>5244.27</v>
      </c>
      <c r="J4227" s="825">
        <v>0.31</v>
      </c>
    </row>
    <row r="4228" spans="1:10" ht="25.5" customHeight="1">
      <c r="A4228" s="827"/>
      <c r="B4228" s="827"/>
      <c r="C4228" s="827"/>
      <c r="D4228" s="827"/>
      <c r="E4228" s="827" t="s">
        <v>13503</v>
      </c>
      <c r="F4228" s="826">
        <v>0</v>
      </c>
      <c r="G4228" s="827" t="s">
        <v>13504</v>
      </c>
      <c r="H4228" s="826">
        <v>0</v>
      </c>
      <c r="I4228" s="827" t="s">
        <v>13505</v>
      </c>
      <c r="J4228" s="826">
        <v>0</v>
      </c>
    </row>
    <row r="4229" spans="1:10" ht="13.5" customHeight="1" thickBot="1">
      <c r="A4229" s="827"/>
      <c r="B4229" s="827"/>
      <c r="C4229" s="827"/>
      <c r="D4229" s="827"/>
      <c r="E4229" s="827" t="s">
        <v>13506</v>
      </c>
      <c r="F4229" s="826">
        <v>0.08</v>
      </c>
      <c r="G4229" s="827"/>
      <c r="H4229" s="1018" t="s">
        <v>13507</v>
      </c>
      <c r="I4229" s="1018"/>
      <c r="J4229" s="826">
        <v>0.39</v>
      </c>
    </row>
    <row r="4230" spans="1:10" ht="13.5" thickTop="1">
      <c r="A4230" s="828"/>
      <c r="B4230" s="828"/>
      <c r="C4230" s="828"/>
      <c r="D4230" s="828"/>
      <c r="E4230" s="828"/>
      <c r="F4230" s="828"/>
      <c r="G4230" s="828"/>
      <c r="H4230" s="828"/>
      <c r="I4230" s="828"/>
      <c r="J4230" s="828"/>
    </row>
    <row r="4231" spans="1:10" ht="15">
      <c r="A4231" s="809"/>
      <c r="B4231" s="808" t="s">
        <v>13481</v>
      </c>
      <c r="C4231" s="809" t="s">
        <v>13482</v>
      </c>
      <c r="D4231" s="809" t="s">
        <v>13483</v>
      </c>
      <c r="E4231" s="1019" t="s">
        <v>13484</v>
      </c>
      <c r="F4231" s="1019"/>
      <c r="G4231" s="810" t="s">
        <v>13485</v>
      </c>
      <c r="H4231" s="808" t="s">
        <v>13486</v>
      </c>
      <c r="I4231" s="808" t="s">
        <v>13487</v>
      </c>
      <c r="J4231" s="808" t="s">
        <v>4867</v>
      </c>
    </row>
    <row r="4232" spans="1:10" ht="25.5" customHeight="1">
      <c r="A4232" s="812" t="s">
        <v>13488</v>
      </c>
      <c r="B4232" s="811" t="s">
        <v>14678</v>
      </c>
      <c r="C4232" s="812" t="s">
        <v>6</v>
      </c>
      <c r="D4232" s="812" t="s">
        <v>2196</v>
      </c>
      <c r="E4232" s="1020" t="s">
        <v>13539</v>
      </c>
      <c r="F4232" s="1020"/>
      <c r="G4232" s="813" t="s">
        <v>19</v>
      </c>
      <c r="H4232" s="814">
        <v>1</v>
      </c>
      <c r="I4232" s="815">
        <v>0.7</v>
      </c>
      <c r="J4232" s="815">
        <v>0.7</v>
      </c>
    </row>
    <row r="4233" spans="1:10">
      <c r="A4233" s="822" t="s">
        <v>13493</v>
      </c>
      <c r="B4233" s="821" t="s">
        <v>14583</v>
      </c>
      <c r="C4233" s="822" t="s">
        <v>6</v>
      </c>
      <c r="D4233" s="822" t="s">
        <v>4647</v>
      </c>
      <c r="E4233" s="1017" t="s">
        <v>13514</v>
      </c>
      <c r="F4233" s="1017"/>
      <c r="G4233" s="823" t="s">
        <v>14584</v>
      </c>
      <c r="H4233" s="824">
        <v>0.78</v>
      </c>
      <c r="I4233" s="825">
        <v>0.91</v>
      </c>
      <c r="J4233" s="825">
        <v>0.7</v>
      </c>
    </row>
    <row r="4234" spans="1:10" ht="25.5">
      <c r="A4234" s="827"/>
      <c r="B4234" s="827"/>
      <c r="C4234" s="827"/>
      <c r="D4234" s="827"/>
      <c r="E4234" s="827" t="s">
        <v>13503</v>
      </c>
      <c r="F4234" s="826">
        <v>0</v>
      </c>
      <c r="G4234" s="827" t="s">
        <v>13504</v>
      </c>
      <c r="H4234" s="826">
        <v>0</v>
      </c>
      <c r="I4234" s="827" t="s">
        <v>13505</v>
      </c>
      <c r="J4234" s="826">
        <v>0</v>
      </c>
    </row>
    <row r="4235" spans="1:10" ht="13.5" customHeight="1" thickBot="1">
      <c r="A4235" s="827"/>
      <c r="B4235" s="827"/>
      <c r="C4235" s="827"/>
      <c r="D4235" s="827"/>
      <c r="E4235" s="827" t="s">
        <v>13506</v>
      </c>
      <c r="F4235" s="826">
        <v>0.19</v>
      </c>
      <c r="G4235" s="827"/>
      <c r="H4235" s="1018" t="s">
        <v>13507</v>
      </c>
      <c r="I4235" s="1018"/>
      <c r="J4235" s="826">
        <v>0.89</v>
      </c>
    </row>
    <row r="4236" spans="1:10" ht="13.5" thickTop="1">
      <c r="A4236" s="828"/>
      <c r="B4236" s="828"/>
      <c r="C4236" s="828"/>
      <c r="D4236" s="828"/>
      <c r="E4236" s="828"/>
      <c r="F4236" s="828"/>
      <c r="G4236" s="828"/>
      <c r="H4236" s="828"/>
      <c r="I4236" s="828"/>
      <c r="J4236" s="828"/>
    </row>
    <row r="4237" spans="1:10" ht="15">
      <c r="A4237" s="809"/>
      <c r="B4237" s="808" t="s">
        <v>13481</v>
      </c>
      <c r="C4237" s="809" t="s">
        <v>13482</v>
      </c>
      <c r="D4237" s="809" t="s">
        <v>13483</v>
      </c>
      <c r="E4237" s="1019" t="s">
        <v>13484</v>
      </c>
      <c r="F4237" s="1019"/>
      <c r="G4237" s="810" t="s">
        <v>13485</v>
      </c>
      <c r="H4237" s="808" t="s">
        <v>13486</v>
      </c>
      <c r="I4237" s="808" t="s">
        <v>13487</v>
      </c>
      <c r="J4237" s="808" t="s">
        <v>4867</v>
      </c>
    </row>
    <row r="4238" spans="1:10" ht="13.5" customHeight="1">
      <c r="A4238" s="812" t="s">
        <v>13488</v>
      </c>
      <c r="B4238" s="811" t="s">
        <v>13606</v>
      </c>
      <c r="C4238" s="812" t="s">
        <v>6</v>
      </c>
      <c r="D4238" s="812" t="s">
        <v>1134</v>
      </c>
      <c r="E4238" s="1020" t="s">
        <v>13539</v>
      </c>
      <c r="F4238" s="1020"/>
      <c r="G4238" s="813" t="s">
        <v>42</v>
      </c>
      <c r="H4238" s="814">
        <v>1</v>
      </c>
      <c r="I4238" s="815">
        <v>74.17</v>
      </c>
      <c r="J4238" s="815">
        <v>74.17</v>
      </c>
    </row>
    <row r="4239" spans="1:10" ht="38.25" customHeight="1">
      <c r="A4239" s="817" t="s">
        <v>13491</v>
      </c>
      <c r="B4239" s="816" t="s">
        <v>14397</v>
      </c>
      <c r="C4239" s="817" t="s">
        <v>6</v>
      </c>
      <c r="D4239" s="817" t="s">
        <v>1128</v>
      </c>
      <c r="E4239" s="1021" t="s">
        <v>13539</v>
      </c>
      <c r="F4239" s="1021"/>
      <c r="G4239" s="818" t="s">
        <v>19</v>
      </c>
      <c r="H4239" s="819">
        <v>1</v>
      </c>
      <c r="I4239" s="820">
        <v>45.59</v>
      </c>
      <c r="J4239" s="820">
        <v>45.59</v>
      </c>
    </row>
    <row r="4240" spans="1:10" ht="38.25" customHeight="1">
      <c r="A4240" s="817" t="s">
        <v>13491</v>
      </c>
      <c r="B4240" s="816" t="s">
        <v>14398</v>
      </c>
      <c r="C4240" s="817" t="s">
        <v>6</v>
      </c>
      <c r="D4240" s="817" t="s">
        <v>1129</v>
      </c>
      <c r="E4240" s="1021" t="s">
        <v>13539</v>
      </c>
      <c r="F4240" s="1021"/>
      <c r="G4240" s="818" t="s">
        <v>19</v>
      </c>
      <c r="H4240" s="819">
        <v>1</v>
      </c>
      <c r="I4240" s="820">
        <v>8.1999999999999993</v>
      </c>
      <c r="J4240" s="820">
        <v>8.1999999999999993</v>
      </c>
    </row>
    <row r="4241" spans="1:10" ht="38.25" customHeight="1">
      <c r="A4241" s="817" t="s">
        <v>13491</v>
      </c>
      <c r="B4241" s="816" t="s">
        <v>14400</v>
      </c>
      <c r="C4241" s="817" t="s">
        <v>6</v>
      </c>
      <c r="D4241" s="817" t="s">
        <v>1130</v>
      </c>
      <c r="E4241" s="1021" t="s">
        <v>13539</v>
      </c>
      <c r="F4241" s="1021"/>
      <c r="G4241" s="818" t="s">
        <v>19</v>
      </c>
      <c r="H4241" s="819">
        <v>1</v>
      </c>
      <c r="I4241" s="820">
        <v>6.49</v>
      </c>
      <c r="J4241" s="820">
        <v>6.49</v>
      </c>
    </row>
    <row r="4242" spans="1:10" ht="38.25" customHeight="1">
      <c r="A4242" s="817" t="s">
        <v>13491</v>
      </c>
      <c r="B4242" s="816" t="s">
        <v>14402</v>
      </c>
      <c r="C4242" s="817" t="s">
        <v>6</v>
      </c>
      <c r="D4242" s="817" t="s">
        <v>145</v>
      </c>
      <c r="E4242" s="1021" t="s">
        <v>13490</v>
      </c>
      <c r="F4242" s="1021"/>
      <c r="G4242" s="818" t="s">
        <v>19</v>
      </c>
      <c r="H4242" s="819">
        <v>1</v>
      </c>
      <c r="I4242" s="820">
        <v>13.89</v>
      </c>
      <c r="J4242" s="820">
        <v>13.89</v>
      </c>
    </row>
    <row r="4243" spans="1:10" ht="38.25" customHeight="1">
      <c r="A4243" s="827"/>
      <c r="B4243" s="827"/>
      <c r="C4243" s="827"/>
      <c r="D4243" s="827"/>
      <c r="E4243" s="827" t="s">
        <v>13503</v>
      </c>
      <c r="F4243" s="826">
        <v>10.050000000000001</v>
      </c>
      <c r="G4243" s="827" t="s">
        <v>13504</v>
      </c>
      <c r="H4243" s="826">
        <v>0</v>
      </c>
      <c r="I4243" s="827" t="s">
        <v>13505</v>
      </c>
      <c r="J4243" s="826">
        <v>10.050000000000001</v>
      </c>
    </row>
    <row r="4244" spans="1:10" ht="13.5" customHeight="1" thickBot="1">
      <c r="A4244" s="827"/>
      <c r="B4244" s="827"/>
      <c r="C4244" s="827"/>
      <c r="D4244" s="827"/>
      <c r="E4244" s="827" t="s">
        <v>13506</v>
      </c>
      <c r="F4244" s="826">
        <v>20.94</v>
      </c>
      <c r="G4244" s="827"/>
      <c r="H4244" s="1018" t="s">
        <v>13507</v>
      </c>
      <c r="I4244" s="1018"/>
      <c r="J4244" s="826">
        <v>95.11</v>
      </c>
    </row>
    <row r="4245" spans="1:10" ht="13.5" customHeight="1" thickTop="1">
      <c r="A4245" s="828"/>
      <c r="B4245" s="828"/>
      <c r="C4245" s="828"/>
      <c r="D4245" s="828"/>
      <c r="E4245" s="828"/>
      <c r="F4245" s="828"/>
      <c r="G4245" s="828"/>
      <c r="H4245" s="828"/>
      <c r="I4245" s="828"/>
      <c r="J4245" s="828"/>
    </row>
    <row r="4246" spans="1:10" ht="15">
      <c r="A4246" s="809"/>
      <c r="B4246" s="808" t="s">
        <v>13481</v>
      </c>
      <c r="C4246" s="809" t="s">
        <v>13482</v>
      </c>
      <c r="D4246" s="809" t="s">
        <v>13483</v>
      </c>
      <c r="E4246" s="1019" t="s">
        <v>13484</v>
      </c>
      <c r="F4246" s="1019"/>
      <c r="G4246" s="810" t="s">
        <v>13485</v>
      </c>
      <c r="H4246" s="808" t="s">
        <v>13486</v>
      </c>
      <c r="I4246" s="808" t="s">
        <v>13487</v>
      </c>
      <c r="J4246" s="808" t="s">
        <v>4867</v>
      </c>
    </row>
    <row r="4247" spans="1:10" ht="25.5" customHeight="1">
      <c r="A4247" s="812" t="s">
        <v>13488</v>
      </c>
      <c r="B4247" s="811" t="s">
        <v>14397</v>
      </c>
      <c r="C4247" s="812" t="s">
        <v>6</v>
      </c>
      <c r="D4247" s="812" t="s">
        <v>1128</v>
      </c>
      <c r="E4247" s="1020" t="s">
        <v>13539</v>
      </c>
      <c r="F4247" s="1020"/>
      <c r="G4247" s="813" t="s">
        <v>19</v>
      </c>
      <c r="H4247" s="814">
        <v>1</v>
      </c>
      <c r="I4247" s="815">
        <v>45.59</v>
      </c>
      <c r="J4247" s="815">
        <v>45.59</v>
      </c>
    </row>
    <row r="4248" spans="1:10" ht="38.25" customHeight="1">
      <c r="A4248" s="822" t="s">
        <v>13493</v>
      </c>
      <c r="B4248" s="821" t="s">
        <v>14680</v>
      </c>
      <c r="C4248" s="822" t="s">
        <v>6</v>
      </c>
      <c r="D4248" s="822" t="s">
        <v>10618</v>
      </c>
      <c r="E4248" s="1017" t="s">
        <v>13497</v>
      </c>
      <c r="F4248" s="1017"/>
      <c r="G4248" s="823" t="s">
        <v>24</v>
      </c>
      <c r="H4248" s="824">
        <v>4.0000000000000003E-5</v>
      </c>
      <c r="I4248" s="825">
        <v>1139895.45</v>
      </c>
      <c r="J4248" s="825">
        <v>45.59</v>
      </c>
    </row>
    <row r="4249" spans="1:10" ht="38.25" customHeight="1">
      <c r="A4249" s="827"/>
      <c r="B4249" s="827"/>
      <c r="C4249" s="827"/>
      <c r="D4249" s="827"/>
      <c r="E4249" s="827" t="s">
        <v>13503</v>
      </c>
      <c r="F4249" s="826">
        <v>0</v>
      </c>
      <c r="G4249" s="827" t="s">
        <v>13504</v>
      </c>
      <c r="H4249" s="826">
        <v>0</v>
      </c>
      <c r="I4249" s="827" t="s">
        <v>13505</v>
      </c>
      <c r="J4249" s="826">
        <v>0</v>
      </c>
    </row>
    <row r="4250" spans="1:10" ht="38.25" customHeight="1" thickBot="1">
      <c r="A4250" s="827"/>
      <c r="B4250" s="827"/>
      <c r="C4250" s="827"/>
      <c r="D4250" s="827"/>
      <c r="E4250" s="827" t="s">
        <v>13506</v>
      </c>
      <c r="F4250" s="826">
        <v>12.87</v>
      </c>
      <c r="G4250" s="827"/>
      <c r="H4250" s="1018" t="s">
        <v>13507</v>
      </c>
      <c r="I4250" s="1018"/>
      <c r="J4250" s="826">
        <v>58.46</v>
      </c>
    </row>
    <row r="4251" spans="1:10" ht="38.25" customHeight="1" thickTop="1">
      <c r="A4251" s="828"/>
      <c r="B4251" s="828"/>
      <c r="C4251" s="828"/>
      <c r="D4251" s="828"/>
      <c r="E4251" s="828"/>
      <c r="F4251" s="828"/>
      <c r="G4251" s="828"/>
      <c r="H4251" s="828"/>
      <c r="I4251" s="828"/>
      <c r="J4251" s="828"/>
    </row>
    <row r="4252" spans="1:10" ht="38.25" customHeight="1">
      <c r="A4252" s="809"/>
      <c r="B4252" s="808" t="s">
        <v>13481</v>
      </c>
      <c r="C4252" s="809" t="s">
        <v>13482</v>
      </c>
      <c r="D4252" s="809" t="s">
        <v>13483</v>
      </c>
      <c r="E4252" s="1019" t="s">
        <v>13484</v>
      </c>
      <c r="F4252" s="1019"/>
      <c r="G4252" s="810" t="s">
        <v>13485</v>
      </c>
      <c r="H4252" s="808" t="s">
        <v>13486</v>
      </c>
      <c r="I4252" s="808" t="s">
        <v>13487</v>
      </c>
      <c r="J4252" s="808" t="s">
        <v>4867</v>
      </c>
    </row>
    <row r="4253" spans="1:10" ht="25.5" customHeight="1">
      <c r="A4253" s="812" t="s">
        <v>13488</v>
      </c>
      <c r="B4253" s="811" t="s">
        <v>14400</v>
      </c>
      <c r="C4253" s="812" t="s">
        <v>6</v>
      </c>
      <c r="D4253" s="812" t="s">
        <v>1130</v>
      </c>
      <c r="E4253" s="1020" t="s">
        <v>13539</v>
      </c>
      <c r="F4253" s="1020"/>
      <c r="G4253" s="813" t="s">
        <v>19</v>
      </c>
      <c r="H4253" s="814">
        <v>1</v>
      </c>
      <c r="I4253" s="815">
        <v>6.49</v>
      </c>
      <c r="J4253" s="815">
        <v>6.49</v>
      </c>
    </row>
    <row r="4254" spans="1:10" ht="13.5" customHeight="1">
      <c r="A4254" s="822" t="s">
        <v>13493</v>
      </c>
      <c r="B4254" s="821" t="s">
        <v>14680</v>
      </c>
      <c r="C4254" s="822" t="s">
        <v>6</v>
      </c>
      <c r="D4254" s="822" t="s">
        <v>10618</v>
      </c>
      <c r="E4254" s="1017" t="s">
        <v>13497</v>
      </c>
      <c r="F4254" s="1017"/>
      <c r="G4254" s="823" t="s">
        <v>24</v>
      </c>
      <c r="H4254" s="824">
        <v>5.6999999999999996E-6</v>
      </c>
      <c r="I4254" s="825">
        <v>1139895.45</v>
      </c>
      <c r="J4254" s="825">
        <v>6.49</v>
      </c>
    </row>
    <row r="4255" spans="1:10" ht="25.5">
      <c r="A4255" s="827"/>
      <c r="B4255" s="827"/>
      <c r="C4255" s="827"/>
      <c r="D4255" s="827"/>
      <c r="E4255" s="827" t="s">
        <v>13503</v>
      </c>
      <c r="F4255" s="826">
        <v>0</v>
      </c>
      <c r="G4255" s="827" t="s">
        <v>13504</v>
      </c>
      <c r="H4255" s="826">
        <v>0</v>
      </c>
      <c r="I4255" s="827" t="s">
        <v>13505</v>
      </c>
      <c r="J4255" s="826">
        <v>0</v>
      </c>
    </row>
    <row r="4256" spans="1:10" ht="13.5" customHeight="1" thickBot="1">
      <c r="A4256" s="827"/>
      <c r="B4256" s="827"/>
      <c r="C4256" s="827"/>
      <c r="D4256" s="827"/>
      <c r="E4256" s="827" t="s">
        <v>13506</v>
      </c>
      <c r="F4256" s="826">
        <v>1.83</v>
      </c>
      <c r="G4256" s="827"/>
      <c r="H4256" s="1018" t="s">
        <v>13507</v>
      </c>
      <c r="I4256" s="1018"/>
      <c r="J4256" s="826">
        <v>8.32</v>
      </c>
    </row>
    <row r="4257" spans="1:10" ht="38.25" customHeight="1" thickTop="1">
      <c r="A4257" s="828"/>
      <c r="B4257" s="828"/>
      <c r="C4257" s="828"/>
      <c r="D4257" s="828"/>
      <c r="E4257" s="828"/>
      <c r="F4257" s="828"/>
      <c r="G4257" s="828"/>
      <c r="H4257" s="828"/>
      <c r="I4257" s="828"/>
      <c r="J4257" s="828"/>
    </row>
    <row r="4258" spans="1:10" ht="15">
      <c r="A4258" s="809"/>
      <c r="B4258" s="808" t="s">
        <v>13481</v>
      </c>
      <c r="C4258" s="809" t="s">
        <v>13482</v>
      </c>
      <c r="D4258" s="809" t="s">
        <v>13483</v>
      </c>
      <c r="E4258" s="1019" t="s">
        <v>13484</v>
      </c>
      <c r="F4258" s="1019"/>
      <c r="G4258" s="810" t="s">
        <v>13485</v>
      </c>
      <c r="H4258" s="808" t="s">
        <v>13486</v>
      </c>
      <c r="I4258" s="808" t="s">
        <v>13487</v>
      </c>
      <c r="J4258" s="808" t="s">
        <v>4867</v>
      </c>
    </row>
    <row r="4259" spans="1:10" ht="25.5" customHeight="1">
      <c r="A4259" s="812" t="s">
        <v>13488</v>
      </c>
      <c r="B4259" s="811" t="s">
        <v>14398</v>
      </c>
      <c r="C4259" s="812" t="s">
        <v>6</v>
      </c>
      <c r="D4259" s="812" t="s">
        <v>1129</v>
      </c>
      <c r="E4259" s="1020" t="s">
        <v>13539</v>
      </c>
      <c r="F4259" s="1020"/>
      <c r="G4259" s="813" t="s">
        <v>19</v>
      </c>
      <c r="H4259" s="814">
        <v>1</v>
      </c>
      <c r="I4259" s="815">
        <v>8.1999999999999993</v>
      </c>
      <c r="J4259" s="815">
        <v>8.1999999999999993</v>
      </c>
    </row>
    <row r="4260" spans="1:10" ht="13.5" customHeight="1">
      <c r="A4260" s="822" t="s">
        <v>13493</v>
      </c>
      <c r="B4260" s="821" t="s">
        <v>14680</v>
      </c>
      <c r="C4260" s="822" t="s">
        <v>6</v>
      </c>
      <c r="D4260" s="822" t="s">
        <v>10618</v>
      </c>
      <c r="E4260" s="1017" t="s">
        <v>13497</v>
      </c>
      <c r="F4260" s="1017"/>
      <c r="G4260" s="823" t="s">
        <v>24</v>
      </c>
      <c r="H4260" s="824">
        <v>7.1999999999999997E-6</v>
      </c>
      <c r="I4260" s="825">
        <v>1139895.45</v>
      </c>
      <c r="J4260" s="825">
        <v>8.1999999999999993</v>
      </c>
    </row>
    <row r="4261" spans="1:10" ht="25.5">
      <c r="A4261" s="827"/>
      <c r="B4261" s="827"/>
      <c r="C4261" s="827"/>
      <c r="D4261" s="827"/>
      <c r="E4261" s="827" t="s">
        <v>13503</v>
      </c>
      <c r="F4261" s="826">
        <v>0</v>
      </c>
      <c r="G4261" s="827" t="s">
        <v>13504</v>
      </c>
      <c r="H4261" s="826">
        <v>0</v>
      </c>
      <c r="I4261" s="827" t="s">
        <v>13505</v>
      </c>
      <c r="J4261" s="826">
        <v>0</v>
      </c>
    </row>
    <row r="4262" spans="1:10" ht="13.5" customHeight="1" thickBot="1">
      <c r="A4262" s="827"/>
      <c r="B4262" s="827"/>
      <c r="C4262" s="827"/>
      <c r="D4262" s="827"/>
      <c r="E4262" s="827" t="s">
        <v>13506</v>
      </c>
      <c r="F4262" s="826">
        <v>2.31</v>
      </c>
      <c r="G4262" s="827"/>
      <c r="H4262" s="1018" t="s">
        <v>13507</v>
      </c>
      <c r="I4262" s="1018"/>
      <c r="J4262" s="826">
        <v>10.51</v>
      </c>
    </row>
    <row r="4263" spans="1:10" ht="38.25" customHeight="1" thickTop="1">
      <c r="A4263" s="828"/>
      <c r="B4263" s="828"/>
      <c r="C4263" s="828"/>
      <c r="D4263" s="828"/>
      <c r="E4263" s="828"/>
      <c r="F4263" s="828"/>
      <c r="G4263" s="828"/>
      <c r="H4263" s="828"/>
      <c r="I4263" s="828"/>
      <c r="J4263" s="828"/>
    </row>
    <row r="4264" spans="1:10" ht="15">
      <c r="A4264" s="809"/>
      <c r="B4264" s="808" t="s">
        <v>13481</v>
      </c>
      <c r="C4264" s="809" t="s">
        <v>13482</v>
      </c>
      <c r="D4264" s="809" t="s">
        <v>13483</v>
      </c>
      <c r="E4264" s="1019" t="s">
        <v>13484</v>
      </c>
      <c r="F4264" s="1019"/>
      <c r="G4264" s="810" t="s">
        <v>13485</v>
      </c>
      <c r="H4264" s="808" t="s">
        <v>13486</v>
      </c>
      <c r="I4264" s="808" t="s">
        <v>13487</v>
      </c>
      <c r="J4264" s="808" t="s">
        <v>4867</v>
      </c>
    </row>
    <row r="4265" spans="1:10" ht="25.5" customHeight="1">
      <c r="A4265" s="812" t="s">
        <v>13488</v>
      </c>
      <c r="B4265" s="811" t="s">
        <v>14399</v>
      </c>
      <c r="C4265" s="812" t="s">
        <v>6</v>
      </c>
      <c r="D4265" s="812" t="s">
        <v>1131</v>
      </c>
      <c r="E4265" s="1020" t="s">
        <v>13539</v>
      </c>
      <c r="F4265" s="1020"/>
      <c r="G4265" s="813" t="s">
        <v>19</v>
      </c>
      <c r="H4265" s="814">
        <v>1</v>
      </c>
      <c r="I4265" s="815">
        <v>73.290000000000006</v>
      </c>
      <c r="J4265" s="815">
        <v>73.290000000000006</v>
      </c>
    </row>
    <row r="4266" spans="1:10" ht="13.5" customHeight="1">
      <c r="A4266" s="822" t="s">
        <v>13493</v>
      </c>
      <c r="B4266" s="821" t="s">
        <v>14680</v>
      </c>
      <c r="C4266" s="822" t="s">
        <v>6</v>
      </c>
      <c r="D4266" s="822" t="s">
        <v>10618</v>
      </c>
      <c r="E4266" s="1017" t="s">
        <v>13497</v>
      </c>
      <c r="F4266" s="1017"/>
      <c r="G4266" s="823" t="s">
        <v>24</v>
      </c>
      <c r="H4266" s="824">
        <v>6.4300000000000004E-5</v>
      </c>
      <c r="I4266" s="825">
        <v>1139895.45</v>
      </c>
      <c r="J4266" s="825">
        <v>73.290000000000006</v>
      </c>
    </row>
    <row r="4267" spans="1:10" ht="25.5">
      <c r="A4267" s="827"/>
      <c r="B4267" s="827"/>
      <c r="C4267" s="827"/>
      <c r="D4267" s="827"/>
      <c r="E4267" s="827" t="s">
        <v>13503</v>
      </c>
      <c r="F4267" s="826">
        <v>0</v>
      </c>
      <c r="G4267" s="827" t="s">
        <v>13504</v>
      </c>
      <c r="H4267" s="826">
        <v>0</v>
      </c>
      <c r="I4267" s="827" t="s">
        <v>13505</v>
      </c>
      <c r="J4267" s="826">
        <v>0</v>
      </c>
    </row>
    <row r="4268" spans="1:10" ht="13.5" customHeight="1" thickBot="1">
      <c r="A4268" s="827"/>
      <c r="B4268" s="827"/>
      <c r="C4268" s="827"/>
      <c r="D4268" s="827"/>
      <c r="E4268" s="827" t="s">
        <v>13506</v>
      </c>
      <c r="F4268" s="826">
        <v>20.69</v>
      </c>
      <c r="G4268" s="827"/>
      <c r="H4268" s="1018" t="s">
        <v>13507</v>
      </c>
      <c r="I4268" s="1018"/>
      <c r="J4268" s="826">
        <v>93.98</v>
      </c>
    </row>
    <row r="4269" spans="1:10" ht="38.25" customHeight="1" thickTop="1">
      <c r="A4269" s="828"/>
      <c r="B4269" s="828"/>
      <c r="C4269" s="828"/>
      <c r="D4269" s="828"/>
      <c r="E4269" s="828"/>
      <c r="F4269" s="828"/>
      <c r="G4269" s="828"/>
      <c r="H4269" s="828"/>
      <c r="I4269" s="828"/>
      <c r="J4269" s="828"/>
    </row>
    <row r="4270" spans="1:10" ht="15">
      <c r="A4270" s="809"/>
      <c r="B4270" s="808" t="s">
        <v>13481</v>
      </c>
      <c r="C4270" s="809" t="s">
        <v>13482</v>
      </c>
      <c r="D4270" s="809" t="s">
        <v>13483</v>
      </c>
      <c r="E4270" s="1019" t="s">
        <v>13484</v>
      </c>
      <c r="F4270" s="1019"/>
      <c r="G4270" s="810" t="s">
        <v>13485</v>
      </c>
      <c r="H4270" s="808" t="s">
        <v>13486</v>
      </c>
      <c r="I4270" s="808" t="s">
        <v>13487</v>
      </c>
      <c r="J4270" s="808" t="s">
        <v>4867</v>
      </c>
    </row>
    <row r="4271" spans="1:10" ht="25.5" customHeight="1">
      <c r="A4271" s="812" t="s">
        <v>13488</v>
      </c>
      <c r="B4271" s="811" t="s">
        <v>14401</v>
      </c>
      <c r="C4271" s="812" t="s">
        <v>6</v>
      </c>
      <c r="D4271" s="812" t="s">
        <v>1132</v>
      </c>
      <c r="E4271" s="1020" t="s">
        <v>13539</v>
      </c>
      <c r="F4271" s="1020"/>
      <c r="G4271" s="813" t="s">
        <v>19</v>
      </c>
      <c r="H4271" s="814">
        <v>1</v>
      </c>
      <c r="I4271" s="815">
        <v>28.66</v>
      </c>
      <c r="J4271" s="815">
        <v>28.66</v>
      </c>
    </row>
    <row r="4272" spans="1:10" ht="13.5" customHeight="1">
      <c r="A4272" s="822" t="s">
        <v>13493</v>
      </c>
      <c r="B4272" s="821" t="s">
        <v>14463</v>
      </c>
      <c r="C4272" s="822" t="s">
        <v>6</v>
      </c>
      <c r="D4272" s="822" t="s">
        <v>4725</v>
      </c>
      <c r="E4272" s="1017" t="s">
        <v>13514</v>
      </c>
      <c r="F4272" s="1017"/>
      <c r="G4272" s="823" t="s">
        <v>39</v>
      </c>
      <c r="H4272" s="824">
        <v>4.8499999999999996</v>
      </c>
      <c r="I4272" s="825">
        <v>5.91</v>
      </c>
      <c r="J4272" s="825">
        <v>28.66</v>
      </c>
    </row>
    <row r="4273" spans="1:10" ht="25.5">
      <c r="A4273" s="827"/>
      <c r="B4273" s="827"/>
      <c r="C4273" s="827"/>
      <c r="D4273" s="827"/>
      <c r="E4273" s="827" t="s">
        <v>13503</v>
      </c>
      <c r="F4273" s="826">
        <v>0</v>
      </c>
      <c r="G4273" s="827" t="s">
        <v>13504</v>
      </c>
      <c r="H4273" s="826">
        <v>0</v>
      </c>
      <c r="I4273" s="827" t="s">
        <v>13505</v>
      </c>
      <c r="J4273" s="826">
        <v>0</v>
      </c>
    </row>
    <row r="4274" spans="1:10" ht="13.5" customHeight="1" thickBot="1">
      <c r="A4274" s="827"/>
      <c r="B4274" s="827"/>
      <c r="C4274" s="827"/>
      <c r="D4274" s="827"/>
      <c r="E4274" s="827" t="s">
        <v>13506</v>
      </c>
      <c r="F4274" s="826">
        <v>8.09</v>
      </c>
      <c r="G4274" s="827"/>
      <c r="H4274" s="1018" t="s">
        <v>13507</v>
      </c>
      <c r="I4274" s="1018"/>
      <c r="J4274" s="826">
        <v>36.75</v>
      </c>
    </row>
    <row r="4275" spans="1:10" ht="38.25" customHeight="1" thickTop="1">
      <c r="A4275" s="828"/>
      <c r="B4275" s="828"/>
      <c r="C4275" s="828"/>
      <c r="D4275" s="828"/>
      <c r="E4275" s="828"/>
      <c r="F4275" s="828"/>
      <c r="G4275" s="828"/>
      <c r="H4275" s="828"/>
      <c r="I4275" s="828"/>
      <c r="J4275" s="828"/>
    </row>
    <row r="4276" spans="1:10" ht="15">
      <c r="A4276" s="809"/>
      <c r="B4276" s="808" t="s">
        <v>13481</v>
      </c>
      <c r="C4276" s="809" t="s">
        <v>13482</v>
      </c>
      <c r="D4276" s="809" t="s">
        <v>13483</v>
      </c>
      <c r="E4276" s="1019" t="s">
        <v>13484</v>
      </c>
      <c r="F4276" s="1019"/>
      <c r="G4276" s="810" t="s">
        <v>13485</v>
      </c>
      <c r="H4276" s="808" t="s">
        <v>13486</v>
      </c>
      <c r="I4276" s="808" t="s">
        <v>13487</v>
      </c>
      <c r="J4276" s="808" t="s">
        <v>4867</v>
      </c>
    </row>
    <row r="4277" spans="1:10" ht="25.5" customHeight="1">
      <c r="A4277" s="812" t="s">
        <v>13488</v>
      </c>
      <c r="B4277" s="811" t="s">
        <v>14116</v>
      </c>
      <c r="C4277" s="812" t="s">
        <v>6</v>
      </c>
      <c r="D4277" s="812" t="s">
        <v>2204</v>
      </c>
      <c r="E4277" s="1020" t="s">
        <v>13539</v>
      </c>
      <c r="F4277" s="1020"/>
      <c r="G4277" s="813" t="s">
        <v>42</v>
      </c>
      <c r="H4277" s="814">
        <v>1</v>
      </c>
      <c r="I4277" s="815">
        <v>129.84</v>
      </c>
      <c r="J4277" s="815">
        <v>129.84</v>
      </c>
    </row>
    <row r="4278" spans="1:10" ht="13.5" customHeight="1">
      <c r="A4278" s="817" t="s">
        <v>13491</v>
      </c>
      <c r="B4278" s="816" t="s">
        <v>14682</v>
      </c>
      <c r="C4278" s="817" t="s">
        <v>6</v>
      </c>
      <c r="D4278" s="817" t="s">
        <v>2199</v>
      </c>
      <c r="E4278" s="1021" t="s">
        <v>13539</v>
      </c>
      <c r="F4278" s="1021"/>
      <c r="G4278" s="818" t="s">
        <v>19</v>
      </c>
      <c r="H4278" s="819">
        <v>1</v>
      </c>
      <c r="I4278" s="820">
        <v>87.68</v>
      </c>
      <c r="J4278" s="820">
        <v>87.68</v>
      </c>
    </row>
    <row r="4279" spans="1:10" ht="38.25" customHeight="1">
      <c r="A4279" s="817" t="s">
        <v>13491</v>
      </c>
      <c r="B4279" s="816" t="s">
        <v>14683</v>
      </c>
      <c r="C4279" s="817" t="s">
        <v>6</v>
      </c>
      <c r="D4279" s="817" t="s">
        <v>2200</v>
      </c>
      <c r="E4279" s="1021" t="s">
        <v>13539</v>
      </c>
      <c r="F4279" s="1021"/>
      <c r="G4279" s="818" t="s">
        <v>19</v>
      </c>
      <c r="H4279" s="819">
        <v>1</v>
      </c>
      <c r="I4279" s="820">
        <v>15.78</v>
      </c>
      <c r="J4279" s="820">
        <v>15.78</v>
      </c>
    </row>
    <row r="4280" spans="1:10" ht="38.25" customHeight="1">
      <c r="A4280" s="817" t="s">
        <v>13491</v>
      </c>
      <c r="B4280" s="816" t="s">
        <v>14681</v>
      </c>
      <c r="C4280" s="817" t="s">
        <v>6</v>
      </c>
      <c r="D4280" s="817" t="s">
        <v>2205</v>
      </c>
      <c r="E4280" s="1021" t="s">
        <v>13539</v>
      </c>
      <c r="F4280" s="1021"/>
      <c r="G4280" s="818" t="s">
        <v>19</v>
      </c>
      <c r="H4280" s="819">
        <v>1</v>
      </c>
      <c r="I4280" s="820">
        <v>12.49</v>
      </c>
      <c r="J4280" s="820">
        <v>12.49</v>
      </c>
    </row>
    <row r="4281" spans="1:10" ht="38.25" customHeight="1">
      <c r="A4281" s="817" t="s">
        <v>13491</v>
      </c>
      <c r="B4281" s="816" t="s">
        <v>14402</v>
      </c>
      <c r="C4281" s="817" t="s">
        <v>6</v>
      </c>
      <c r="D4281" s="817" t="s">
        <v>145</v>
      </c>
      <c r="E4281" s="1021" t="s">
        <v>13490</v>
      </c>
      <c r="F4281" s="1021"/>
      <c r="G4281" s="818" t="s">
        <v>19</v>
      </c>
      <c r="H4281" s="819">
        <v>1</v>
      </c>
      <c r="I4281" s="820">
        <v>13.89</v>
      </c>
      <c r="J4281" s="820">
        <v>13.89</v>
      </c>
    </row>
    <row r="4282" spans="1:10" ht="38.25" customHeight="1">
      <c r="A4282" s="827"/>
      <c r="B4282" s="827"/>
      <c r="C4282" s="827"/>
      <c r="D4282" s="827"/>
      <c r="E4282" s="827" t="s">
        <v>13503</v>
      </c>
      <c r="F4282" s="826">
        <v>10.050000000000001</v>
      </c>
      <c r="G4282" s="827" t="s">
        <v>13504</v>
      </c>
      <c r="H4282" s="826">
        <v>0</v>
      </c>
      <c r="I4282" s="827" t="s">
        <v>13505</v>
      </c>
      <c r="J4282" s="826">
        <v>10.050000000000001</v>
      </c>
    </row>
    <row r="4283" spans="1:10" ht="38.25" customHeight="1" thickBot="1">
      <c r="A4283" s="827"/>
      <c r="B4283" s="827"/>
      <c r="C4283" s="827"/>
      <c r="D4283" s="827"/>
      <c r="E4283" s="827" t="s">
        <v>13506</v>
      </c>
      <c r="F4283" s="826">
        <v>36.659999999999997</v>
      </c>
      <c r="G4283" s="827"/>
      <c r="H4283" s="1018" t="s">
        <v>13507</v>
      </c>
      <c r="I4283" s="1018"/>
      <c r="J4283" s="826">
        <v>166.5</v>
      </c>
    </row>
    <row r="4284" spans="1:10" ht="13.5" thickTop="1">
      <c r="A4284" s="828"/>
      <c r="B4284" s="828"/>
      <c r="C4284" s="828"/>
      <c r="D4284" s="828"/>
      <c r="E4284" s="828"/>
      <c r="F4284" s="828"/>
      <c r="G4284" s="828"/>
      <c r="H4284" s="828"/>
      <c r="I4284" s="828"/>
      <c r="J4284" s="828"/>
    </row>
    <row r="4285" spans="1:10" ht="13.5" customHeight="1">
      <c r="A4285" s="809"/>
      <c r="B4285" s="808" t="s">
        <v>13481</v>
      </c>
      <c r="C4285" s="809" t="s">
        <v>13482</v>
      </c>
      <c r="D4285" s="809" t="s">
        <v>13483</v>
      </c>
      <c r="E4285" s="1019" t="s">
        <v>13484</v>
      </c>
      <c r="F4285" s="1019"/>
      <c r="G4285" s="810" t="s">
        <v>13485</v>
      </c>
      <c r="H4285" s="808" t="s">
        <v>13486</v>
      </c>
      <c r="I4285" s="808" t="s">
        <v>13487</v>
      </c>
      <c r="J4285" s="808" t="s">
        <v>4867</v>
      </c>
    </row>
    <row r="4286" spans="1:10" ht="25.5" customHeight="1">
      <c r="A4286" s="812" t="s">
        <v>13488</v>
      </c>
      <c r="B4286" s="811" t="s">
        <v>14117</v>
      </c>
      <c r="C4286" s="812" t="s">
        <v>6</v>
      </c>
      <c r="D4286" s="812" t="s">
        <v>2203</v>
      </c>
      <c r="E4286" s="1020" t="s">
        <v>13539</v>
      </c>
      <c r="F4286" s="1020"/>
      <c r="G4286" s="813" t="s">
        <v>28</v>
      </c>
      <c r="H4286" s="814">
        <v>1</v>
      </c>
      <c r="I4286" s="815">
        <v>282.62</v>
      </c>
      <c r="J4286" s="815">
        <v>282.62</v>
      </c>
    </row>
    <row r="4287" spans="1:10" ht="38.25" customHeight="1">
      <c r="A4287" s="817" t="s">
        <v>13491</v>
      </c>
      <c r="B4287" s="816" t="s">
        <v>14681</v>
      </c>
      <c r="C4287" s="817" t="s">
        <v>6</v>
      </c>
      <c r="D4287" s="817" t="s">
        <v>2205</v>
      </c>
      <c r="E4287" s="1021" t="s">
        <v>13539</v>
      </c>
      <c r="F4287" s="1021"/>
      <c r="G4287" s="818" t="s">
        <v>19</v>
      </c>
      <c r="H4287" s="819">
        <v>1</v>
      </c>
      <c r="I4287" s="820">
        <v>12.49</v>
      </c>
      <c r="J4287" s="820">
        <v>12.49</v>
      </c>
    </row>
    <row r="4288" spans="1:10" ht="38.25" customHeight="1">
      <c r="A4288" s="817" t="s">
        <v>13491</v>
      </c>
      <c r="B4288" s="816" t="s">
        <v>14682</v>
      </c>
      <c r="C4288" s="817" t="s">
        <v>6</v>
      </c>
      <c r="D4288" s="817" t="s">
        <v>2199</v>
      </c>
      <c r="E4288" s="1021" t="s">
        <v>13539</v>
      </c>
      <c r="F4288" s="1021"/>
      <c r="G4288" s="818" t="s">
        <v>19</v>
      </c>
      <c r="H4288" s="819">
        <v>1</v>
      </c>
      <c r="I4288" s="820">
        <v>87.68</v>
      </c>
      <c r="J4288" s="820">
        <v>87.68</v>
      </c>
    </row>
    <row r="4289" spans="1:10" ht="38.25" customHeight="1">
      <c r="A4289" s="817" t="s">
        <v>13491</v>
      </c>
      <c r="B4289" s="816" t="s">
        <v>14684</v>
      </c>
      <c r="C4289" s="817" t="s">
        <v>6</v>
      </c>
      <c r="D4289" s="817" t="s">
        <v>2201</v>
      </c>
      <c r="E4289" s="1021" t="s">
        <v>13539</v>
      </c>
      <c r="F4289" s="1021"/>
      <c r="G4289" s="818" t="s">
        <v>19</v>
      </c>
      <c r="H4289" s="819">
        <v>1</v>
      </c>
      <c r="I4289" s="820">
        <v>140.94999999999999</v>
      </c>
      <c r="J4289" s="820">
        <v>140.94999999999999</v>
      </c>
    </row>
    <row r="4290" spans="1:10" ht="38.25" customHeight="1">
      <c r="A4290" s="817" t="s">
        <v>13491</v>
      </c>
      <c r="B4290" s="816" t="s">
        <v>14685</v>
      </c>
      <c r="C4290" s="817" t="s">
        <v>6</v>
      </c>
      <c r="D4290" s="817" t="s">
        <v>2202</v>
      </c>
      <c r="E4290" s="1021" t="s">
        <v>13539</v>
      </c>
      <c r="F4290" s="1021"/>
      <c r="G4290" s="818" t="s">
        <v>19</v>
      </c>
      <c r="H4290" s="819">
        <v>1</v>
      </c>
      <c r="I4290" s="820">
        <v>11.83</v>
      </c>
      <c r="J4290" s="820">
        <v>11.83</v>
      </c>
    </row>
    <row r="4291" spans="1:10" ht="38.25" customHeight="1">
      <c r="A4291" s="817" t="s">
        <v>13491</v>
      </c>
      <c r="B4291" s="816" t="s">
        <v>14683</v>
      </c>
      <c r="C4291" s="817" t="s">
        <v>6</v>
      </c>
      <c r="D4291" s="817" t="s">
        <v>2200</v>
      </c>
      <c r="E4291" s="1021" t="s">
        <v>13539</v>
      </c>
      <c r="F4291" s="1021"/>
      <c r="G4291" s="818" t="s">
        <v>19</v>
      </c>
      <c r="H4291" s="819">
        <v>1</v>
      </c>
      <c r="I4291" s="820">
        <v>15.78</v>
      </c>
      <c r="J4291" s="820">
        <v>15.78</v>
      </c>
    </row>
    <row r="4292" spans="1:10" ht="38.25" customHeight="1">
      <c r="A4292" s="817" t="s">
        <v>13491</v>
      </c>
      <c r="B4292" s="816" t="s">
        <v>14402</v>
      </c>
      <c r="C4292" s="817" t="s">
        <v>6</v>
      </c>
      <c r="D4292" s="817" t="s">
        <v>145</v>
      </c>
      <c r="E4292" s="1021" t="s">
        <v>13490</v>
      </c>
      <c r="F4292" s="1021"/>
      <c r="G4292" s="818" t="s">
        <v>19</v>
      </c>
      <c r="H4292" s="819">
        <v>1</v>
      </c>
      <c r="I4292" s="820">
        <v>13.89</v>
      </c>
      <c r="J4292" s="820">
        <v>13.89</v>
      </c>
    </row>
    <row r="4293" spans="1:10" ht="25.5">
      <c r="A4293" s="827"/>
      <c r="B4293" s="827"/>
      <c r="C4293" s="827"/>
      <c r="D4293" s="827"/>
      <c r="E4293" s="827" t="s">
        <v>13503</v>
      </c>
      <c r="F4293" s="826">
        <v>10.050000000000001</v>
      </c>
      <c r="G4293" s="827" t="s">
        <v>13504</v>
      </c>
      <c r="H4293" s="826">
        <v>0</v>
      </c>
      <c r="I4293" s="827" t="s">
        <v>13505</v>
      </c>
      <c r="J4293" s="826">
        <v>10.050000000000001</v>
      </c>
    </row>
    <row r="4294" spans="1:10" ht="13.5" customHeight="1" thickBot="1">
      <c r="A4294" s="827"/>
      <c r="B4294" s="827"/>
      <c r="C4294" s="827"/>
      <c r="D4294" s="827"/>
      <c r="E4294" s="827" t="s">
        <v>13506</v>
      </c>
      <c r="F4294" s="826">
        <v>79.81</v>
      </c>
      <c r="G4294" s="827"/>
      <c r="H4294" s="1018" t="s">
        <v>13507</v>
      </c>
      <c r="I4294" s="1018"/>
      <c r="J4294" s="826">
        <v>362.43</v>
      </c>
    </row>
    <row r="4295" spans="1:10" ht="13.5" thickTop="1">
      <c r="A4295" s="828"/>
      <c r="B4295" s="828"/>
      <c r="C4295" s="828"/>
      <c r="D4295" s="828"/>
      <c r="E4295" s="828"/>
      <c r="F4295" s="828"/>
      <c r="G4295" s="828"/>
      <c r="H4295" s="828"/>
      <c r="I4295" s="828"/>
      <c r="J4295" s="828"/>
    </row>
    <row r="4296" spans="1:10" ht="15">
      <c r="A4296" s="809"/>
      <c r="B4296" s="808" t="s">
        <v>13481</v>
      </c>
      <c r="C4296" s="809" t="s">
        <v>13482</v>
      </c>
      <c r="D4296" s="809" t="s">
        <v>13483</v>
      </c>
      <c r="E4296" s="1019" t="s">
        <v>13484</v>
      </c>
      <c r="F4296" s="1019"/>
      <c r="G4296" s="810" t="s">
        <v>13485</v>
      </c>
      <c r="H4296" s="808" t="s">
        <v>13486</v>
      </c>
      <c r="I4296" s="808" t="s">
        <v>13487</v>
      </c>
      <c r="J4296" s="808" t="s">
        <v>4867</v>
      </c>
    </row>
    <row r="4297" spans="1:10" ht="38.25" customHeight="1">
      <c r="A4297" s="812" t="s">
        <v>13488</v>
      </c>
      <c r="B4297" s="811" t="s">
        <v>14682</v>
      </c>
      <c r="C4297" s="812" t="s">
        <v>6</v>
      </c>
      <c r="D4297" s="812" t="s">
        <v>2199</v>
      </c>
      <c r="E4297" s="1020" t="s">
        <v>13539</v>
      </c>
      <c r="F4297" s="1020"/>
      <c r="G4297" s="813" t="s">
        <v>19</v>
      </c>
      <c r="H4297" s="814">
        <v>1</v>
      </c>
      <c r="I4297" s="815">
        <v>87.68</v>
      </c>
      <c r="J4297" s="815">
        <v>87.68</v>
      </c>
    </row>
    <row r="4298" spans="1:10" ht="25.5">
      <c r="A4298" s="822" t="s">
        <v>13493</v>
      </c>
      <c r="B4298" s="821" t="s">
        <v>14686</v>
      </c>
      <c r="C4298" s="822" t="s">
        <v>6</v>
      </c>
      <c r="D4298" s="822" t="s">
        <v>10619</v>
      </c>
      <c r="E4298" s="1017" t="s">
        <v>13497</v>
      </c>
      <c r="F4298" s="1017"/>
      <c r="G4298" s="823" t="s">
        <v>24</v>
      </c>
      <c r="H4298" s="824">
        <v>4.0000000000000003E-5</v>
      </c>
      <c r="I4298" s="825">
        <v>2192106.64</v>
      </c>
      <c r="J4298" s="825">
        <v>87.68</v>
      </c>
    </row>
    <row r="4299" spans="1:10" ht="25.5">
      <c r="A4299" s="827"/>
      <c r="B4299" s="827"/>
      <c r="C4299" s="827"/>
      <c r="D4299" s="827"/>
      <c r="E4299" s="827" t="s">
        <v>13503</v>
      </c>
      <c r="F4299" s="826">
        <v>0</v>
      </c>
      <c r="G4299" s="827" t="s">
        <v>13504</v>
      </c>
      <c r="H4299" s="826">
        <v>0</v>
      </c>
      <c r="I4299" s="827" t="s">
        <v>13505</v>
      </c>
      <c r="J4299" s="826">
        <v>0</v>
      </c>
    </row>
    <row r="4300" spans="1:10" ht="13.5" customHeight="1" thickBot="1">
      <c r="A4300" s="827"/>
      <c r="B4300" s="827"/>
      <c r="C4300" s="827"/>
      <c r="D4300" s="827"/>
      <c r="E4300" s="827" t="s">
        <v>13506</v>
      </c>
      <c r="F4300" s="826">
        <v>24.76</v>
      </c>
      <c r="G4300" s="827"/>
      <c r="H4300" s="1018" t="s">
        <v>13507</v>
      </c>
      <c r="I4300" s="1018"/>
      <c r="J4300" s="826">
        <v>112.44</v>
      </c>
    </row>
    <row r="4301" spans="1:10" ht="13.5" thickTop="1">
      <c r="A4301" s="828"/>
      <c r="B4301" s="828"/>
      <c r="C4301" s="828"/>
      <c r="D4301" s="828"/>
      <c r="E4301" s="828"/>
      <c r="F4301" s="828"/>
      <c r="G4301" s="828"/>
      <c r="H4301" s="828"/>
      <c r="I4301" s="828"/>
      <c r="J4301" s="828"/>
    </row>
    <row r="4302" spans="1:10" ht="15">
      <c r="A4302" s="809"/>
      <c r="B4302" s="808" t="s">
        <v>13481</v>
      </c>
      <c r="C4302" s="809" t="s">
        <v>13482</v>
      </c>
      <c r="D4302" s="809" t="s">
        <v>13483</v>
      </c>
      <c r="E4302" s="1019" t="s">
        <v>13484</v>
      </c>
      <c r="F4302" s="1019"/>
      <c r="G4302" s="810" t="s">
        <v>13485</v>
      </c>
      <c r="H4302" s="808" t="s">
        <v>13486</v>
      </c>
      <c r="I4302" s="808" t="s">
        <v>13487</v>
      </c>
      <c r="J4302" s="808" t="s">
        <v>4867</v>
      </c>
    </row>
    <row r="4303" spans="1:10" ht="38.25" customHeight="1">
      <c r="A4303" s="812" t="s">
        <v>13488</v>
      </c>
      <c r="B4303" s="811" t="s">
        <v>14681</v>
      </c>
      <c r="C4303" s="812" t="s">
        <v>6</v>
      </c>
      <c r="D4303" s="812" t="s">
        <v>2205</v>
      </c>
      <c r="E4303" s="1020" t="s">
        <v>13539</v>
      </c>
      <c r="F4303" s="1020"/>
      <c r="G4303" s="813" t="s">
        <v>19</v>
      </c>
      <c r="H4303" s="814">
        <v>1</v>
      </c>
      <c r="I4303" s="815">
        <v>12.49</v>
      </c>
      <c r="J4303" s="815">
        <v>12.49</v>
      </c>
    </row>
    <row r="4304" spans="1:10" ht="25.5">
      <c r="A4304" s="822" t="s">
        <v>13493</v>
      </c>
      <c r="B4304" s="821" t="s">
        <v>14686</v>
      </c>
      <c r="C4304" s="822" t="s">
        <v>6</v>
      </c>
      <c r="D4304" s="822" t="s">
        <v>10619</v>
      </c>
      <c r="E4304" s="1017" t="s">
        <v>13497</v>
      </c>
      <c r="F4304" s="1017"/>
      <c r="G4304" s="823" t="s">
        <v>24</v>
      </c>
      <c r="H4304" s="824">
        <v>5.6999999999999996E-6</v>
      </c>
      <c r="I4304" s="825">
        <v>2192106.64</v>
      </c>
      <c r="J4304" s="825">
        <v>12.49</v>
      </c>
    </row>
    <row r="4305" spans="1:10" ht="25.5">
      <c r="A4305" s="827"/>
      <c r="B4305" s="827"/>
      <c r="C4305" s="827"/>
      <c r="D4305" s="827"/>
      <c r="E4305" s="827" t="s">
        <v>13503</v>
      </c>
      <c r="F4305" s="826">
        <v>0</v>
      </c>
      <c r="G4305" s="827" t="s">
        <v>13504</v>
      </c>
      <c r="H4305" s="826">
        <v>0</v>
      </c>
      <c r="I4305" s="827" t="s">
        <v>13505</v>
      </c>
      <c r="J4305" s="826">
        <v>0</v>
      </c>
    </row>
    <row r="4306" spans="1:10" ht="13.5" customHeight="1" thickBot="1">
      <c r="A4306" s="827"/>
      <c r="B4306" s="827"/>
      <c r="C4306" s="827"/>
      <c r="D4306" s="827"/>
      <c r="E4306" s="827" t="s">
        <v>13506</v>
      </c>
      <c r="F4306" s="826">
        <v>3.52</v>
      </c>
      <c r="G4306" s="827"/>
      <c r="H4306" s="1018" t="s">
        <v>13507</v>
      </c>
      <c r="I4306" s="1018"/>
      <c r="J4306" s="826">
        <v>16.010000000000002</v>
      </c>
    </row>
    <row r="4307" spans="1:10" ht="13.5" thickTop="1">
      <c r="A4307" s="828"/>
      <c r="B4307" s="828"/>
      <c r="C4307" s="828"/>
      <c r="D4307" s="828"/>
      <c r="E4307" s="828"/>
      <c r="F4307" s="828"/>
      <c r="G4307" s="828"/>
      <c r="H4307" s="828"/>
      <c r="I4307" s="828"/>
      <c r="J4307" s="828"/>
    </row>
    <row r="4308" spans="1:10" ht="15">
      <c r="A4308" s="809"/>
      <c r="B4308" s="808" t="s">
        <v>13481</v>
      </c>
      <c r="C4308" s="809" t="s">
        <v>13482</v>
      </c>
      <c r="D4308" s="809" t="s">
        <v>13483</v>
      </c>
      <c r="E4308" s="1019" t="s">
        <v>13484</v>
      </c>
      <c r="F4308" s="1019"/>
      <c r="G4308" s="810" t="s">
        <v>13485</v>
      </c>
      <c r="H4308" s="808" t="s">
        <v>13486</v>
      </c>
      <c r="I4308" s="808" t="s">
        <v>13487</v>
      </c>
      <c r="J4308" s="808" t="s">
        <v>4867</v>
      </c>
    </row>
    <row r="4309" spans="1:10" ht="38.25" customHeight="1">
      <c r="A4309" s="812" t="s">
        <v>13488</v>
      </c>
      <c r="B4309" s="811" t="s">
        <v>14683</v>
      </c>
      <c r="C4309" s="812" t="s">
        <v>6</v>
      </c>
      <c r="D4309" s="812" t="s">
        <v>2200</v>
      </c>
      <c r="E4309" s="1020" t="s">
        <v>13539</v>
      </c>
      <c r="F4309" s="1020"/>
      <c r="G4309" s="813" t="s">
        <v>19</v>
      </c>
      <c r="H4309" s="814">
        <v>1</v>
      </c>
      <c r="I4309" s="815">
        <v>15.78</v>
      </c>
      <c r="J4309" s="815">
        <v>15.78</v>
      </c>
    </row>
    <row r="4310" spans="1:10" ht="25.5">
      <c r="A4310" s="822" t="s">
        <v>13493</v>
      </c>
      <c r="B4310" s="821" t="s">
        <v>14686</v>
      </c>
      <c r="C4310" s="822" t="s">
        <v>6</v>
      </c>
      <c r="D4310" s="822" t="s">
        <v>10619</v>
      </c>
      <c r="E4310" s="1017" t="s">
        <v>13497</v>
      </c>
      <c r="F4310" s="1017"/>
      <c r="G4310" s="823" t="s">
        <v>24</v>
      </c>
      <c r="H4310" s="824">
        <v>7.1999999999999997E-6</v>
      </c>
      <c r="I4310" s="825">
        <v>2192106.64</v>
      </c>
      <c r="J4310" s="825">
        <v>15.78</v>
      </c>
    </row>
    <row r="4311" spans="1:10" ht="25.5">
      <c r="A4311" s="827"/>
      <c r="B4311" s="827"/>
      <c r="C4311" s="827"/>
      <c r="D4311" s="827"/>
      <c r="E4311" s="827" t="s">
        <v>13503</v>
      </c>
      <c r="F4311" s="826">
        <v>0</v>
      </c>
      <c r="G4311" s="827" t="s">
        <v>13504</v>
      </c>
      <c r="H4311" s="826">
        <v>0</v>
      </c>
      <c r="I4311" s="827" t="s">
        <v>13505</v>
      </c>
      <c r="J4311" s="826">
        <v>0</v>
      </c>
    </row>
    <row r="4312" spans="1:10" ht="13.5" customHeight="1" thickBot="1">
      <c r="A4312" s="827"/>
      <c r="B4312" s="827"/>
      <c r="C4312" s="827"/>
      <c r="D4312" s="827"/>
      <c r="E4312" s="827" t="s">
        <v>13506</v>
      </c>
      <c r="F4312" s="826">
        <v>4.45</v>
      </c>
      <c r="G4312" s="827"/>
      <c r="H4312" s="1018" t="s">
        <v>13507</v>
      </c>
      <c r="I4312" s="1018"/>
      <c r="J4312" s="826">
        <v>20.23</v>
      </c>
    </row>
    <row r="4313" spans="1:10" ht="13.5" thickTop="1">
      <c r="A4313" s="828"/>
      <c r="B4313" s="828"/>
      <c r="C4313" s="828"/>
      <c r="D4313" s="828"/>
      <c r="E4313" s="828"/>
      <c r="F4313" s="828"/>
      <c r="G4313" s="828"/>
      <c r="H4313" s="828"/>
      <c r="I4313" s="828"/>
      <c r="J4313" s="828"/>
    </row>
    <row r="4314" spans="1:10" ht="15">
      <c r="A4314" s="809"/>
      <c r="B4314" s="808" t="s">
        <v>13481</v>
      </c>
      <c r="C4314" s="809" t="s">
        <v>13482</v>
      </c>
      <c r="D4314" s="809" t="s">
        <v>13483</v>
      </c>
      <c r="E4314" s="1019" t="s">
        <v>13484</v>
      </c>
      <c r="F4314" s="1019"/>
      <c r="G4314" s="810" t="s">
        <v>13485</v>
      </c>
      <c r="H4314" s="808" t="s">
        <v>13486</v>
      </c>
      <c r="I4314" s="808" t="s">
        <v>13487</v>
      </c>
      <c r="J4314" s="808" t="s">
        <v>4867</v>
      </c>
    </row>
    <row r="4315" spans="1:10" ht="38.25" customHeight="1">
      <c r="A4315" s="812" t="s">
        <v>13488</v>
      </c>
      <c r="B4315" s="811" t="s">
        <v>14684</v>
      </c>
      <c r="C4315" s="812" t="s">
        <v>6</v>
      </c>
      <c r="D4315" s="812" t="s">
        <v>2201</v>
      </c>
      <c r="E4315" s="1020" t="s">
        <v>13539</v>
      </c>
      <c r="F4315" s="1020"/>
      <c r="G4315" s="813" t="s">
        <v>19</v>
      </c>
      <c r="H4315" s="814">
        <v>1</v>
      </c>
      <c r="I4315" s="815">
        <v>140.94999999999999</v>
      </c>
      <c r="J4315" s="815">
        <v>140.94999999999999</v>
      </c>
    </row>
    <row r="4316" spans="1:10" ht="25.5">
      <c r="A4316" s="822" t="s">
        <v>13493</v>
      </c>
      <c r="B4316" s="821" t="s">
        <v>14686</v>
      </c>
      <c r="C4316" s="822" t="s">
        <v>6</v>
      </c>
      <c r="D4316" s="822" t="s">
        <v>10619</v>
      </c>
      <c r="E4316" s="1017" t="s">
        <v>13497</v>
      </c>
      <c r="F4316" s="1017"/>
      <c r="G4316" s="823" t="s">
        <v>24</v>
      </c>
      <c r="H4316" s="824">
        <v>6.4300000000000004E-5</v>
      </c>
      <c r="I4316" s="825">
        <v>2192106.64</v>
      </c>
      <c r="J4316" s="825">
        <v>140.94999999999999</v>
      </c>
    </row>
    <row r="4317" spans="1:10" ht="25.5">
      <c r="A4317" s="827"/>
      <c r="B4317" s="827"/>
      <c r="C4317" s="827"/>
      <c r="D4317" s="827"/>
      <c r="E4317" s="827" t="s">
        <v>13503</v>
      </c>
      <c r="F4317" s="826">
        <v>0</v>
      </c>
      <c r="G4317" s="827" t="s">
        <v>13504</v>
      </c>
      <c r="H4317" s="826">
        <v>0</v>
      </c>
      <c r="I4317" s="827" t="s">
        <v>13505</v>
      </c>
      <c r="J4317" s="826">
        <v>0</v>
      </c>
    </row>
    <row r="4318" spans="1:10" ht="13.5" customHeight="1" thickBot="1">
      <c r="A4318" s="827"/>
      <c r="B4318" s="827"/>
      <c r="C4318" s="827"/>
      <c r="D4318" s="827"/>
      <c r="E4318" s="827" t="s">
        <v>13506</v>
      </c>
      <c r="F4318" s="826">
        <v>39.799999999999997</v>
      </c>
      <c r="G4318" s="827"/>
      <c r="H4318" s="1018" t="s">
        <v>13507</v>
      </c>
      <c r="I4318" s="1018"/>
      <c r="J4318" s="826">
        <v>180.75</v>
      </c>
    </row>
    <row r="4319" spans="1:10" ht="13.5" thickTop="1">
      <c r="A4319" s="828"/>
      <c r="B4319" s="828"/>
      <c r="C4319" s="828"/>
      <c r="D4319" s="828"/>
      <c r="E4319" s="828"/>
      <c r="F4319" s="828"/>
      <c r="G4319" s="828"/>
      <c r="H4319" s="828"/>
      <c r="I4319" s="828"/>
      <c r="J4319" s="828"/>
    </row>
    <row r="4320" spans="1:10" ht="15">
      <c r="A4320" s="809"/>
      <c r="B4320" s="808" t="s">
        <v>13481</v>
      </c>
      <c r="C4320" s="809" t="s">
        <v>13482</v>
      </c>
      <c r="D4320" s="809" t="s">
        <v>13483</v>
      </c>
      <c r="E4320" s="1019" t="s">
        <v>13484</v>
      </c>
      <c r="F4320" s="1019"/>
      <c r="G4320" s="810" t="s">
        <v>13485</v>
      </c>
      <c r="H4320" s="808" t="s">
        <v>13486</v>
      </c>
      <c r="I4320" s="808" t="s">
        <v>13487</v>
      </c>
      <c r="J4320" s="808" t="s">
        <v>4867</v>
      </c>
    </row>
    <row r="4321" spans="1:10" ht="25.5" customHeight="1">
      <c r="A4321" s="812" t="s">
        <v>13488</v>
      </c>
      <c r="B4321" s="811" t="s">
        <v>14685</v>
      </c>
      <c r="C4321" s="812" t="s">
        <v>6</v>
      </c>
      <c r="D4321" s="812" t="s">
        <v>2202</v>
      </c>
      <c r="E4321" s="1020" t="s">
        <v>13539</v>
      </c>
      <c r="F4321" s="1020"/>
      <c r="G4321" s="813" t="s">
        <v>19</v>
      </c>
      <c r="H4321" s="814">
        <v>1</v>
      </c>
      <c r="I4321" s="815">
        <v>11.83</v>
      </c>
      <c r="J4321" s="815">
        <v>11.83</v>
      </c>
    </row>
    <row r="4322" spans="1:10" ht="25.5" customHeight="1">
      <c r="A4322" s="822" t="s">
        <v>13493</v>
      </c>
      <c r="B4322" s="821" t="s">
        <v>14583</v>
      </c>
      <c r="C4322" s="822" t="s">
        <v>6</v>
      </c>
      <c r="D4322" s="822" t="s">
        <v>4647</v>
      </c>
      <c r="E4322" s="1017" t="s">
        <v>13514</v>
      </c>
      <c r="F4322" s="1017"/>
      <c r="G4322" s="823" t="s">
        <v>14584</v>
      </c>
      <c r="H4322" s="824">
        <v>13</v>
      </c>
      <c r="I4322" s="825">
        <v>0.91</v>
      </c>
      <c r="J4322" s="825">
        <v>11.83</v>
      </c>
    </row>
    <row r="4323" spans="1:10" ht="25.5" customHeight="1">
      <c r="A4323" s="827"/>
      <c r="B4323" s="827"/>
      <c r="C4323" s="827"/>
      <c r="D4323" s="827"/>
      <c r="E4323" s="827" t="s">
        <v>13503</v>
      </c>
      <c r="F4323" s="826">
        <v>0</v>
      </c>
      <c r="G4323" s="827" t="s">
        <v>13504</v>
      </c>
      <c r="H4323" s="826">
        <v>0</v>
      </c>
      <c r="I4323" s="827" t="s">
        <v>13505</v>
      </c>
      <c r="J4323" s="826">
        <v>0</v>
      </c>
    </row>
    <row r="4324" spans="1:10" ht="13.5" customHeight="1" thickBot="1">
      <c r="A4324" s="827"/>
      <c r="B4324" s="827"/>
      <c r="C4324" s="827"/>
      <c r="D4324" s="827"/>
      <c r="E4324" s="827" t="s">
        <v>13506</v>
      </c>
      <c r="F4324" s="826">
        <v>3.34</v>
      </c>
      <c r="G4324" s="827"/>
      <c r="H4324" s="1018" t="s">
        <v>13507</v>
      </c>
      <c r="I4324" s="1018"/>
      <c r="J4324" s="826">
        <v>15.17</v>
      </c>
    </row>
    <row r="4325" spans="1:10" ht="13.5" thickTop="1">
      <c r="A4325" s="828"/>
      <c r="B4325" s="828"/>
      <c r="C4325" s="828"/>
      <c r="D4325" s="828"/>
      <c r="E4325" s="828"/>
      <c r="F4325" s="828"/>
      <c r="G4325" s="828"/>
      <c r="H4325" s="828"/>
      <c r="I4325" s="828"/>
      <c r="J4325" s="828"/>
    </row>
    <row r="4326" spans="1:10" ht="13.5" customHeight="1">
      <c r="A4326" s="809"/>
      <c r="B4326" s="808" t="s">
        <v>13481</v>
      </c>
      <c r="C4326" s="809" t="s">
        <v>13482</v>
      </c>
      <c r="D4326" s="809" t="s">
        <v>13483</v>
      </c>
      <c r="E4326" s="1019" t="s">
        <v>13484</v>
      </c>
      <c r="F4326" s="1019"/>
      <c r="G4326" s="810" t="s">
        <v>13485</v>
      </c>
      <c r="H4326" s="808" t="s">
        <v>13486</v>
      </c>
      <c r="I4326" s="808" t="s">
        <v>13487</v>
      </c>
      <c r="J4326" s="808" t="s">
        <v>4867</v>
      </c>
    </row>
    <row r="4327" spans="1:10" ht="38.25" customHeight="1">
      <c r="A4327" s="812" t="s">
        <v>13488</v>
      </c>
      <c r="B4327" s="811" t="s">
        <v>13602</v>
      </c>
      <c r="C4327" s="812" t="s">
        <v>6</v>
      </c>
      <c r="D4327" s="812" t="s">
        <v>737</v>
      </c>
      <c r="E4327" s="1020" t="s">
        <v>13539</v>
      </c>
      <c r="F4327" s="1020"/>
      <c r="G4327" s="813" t="s">
        <v>42</v>
      </c>
      <c r="H4327" s="814">
        <v>1</v>
      </c>
      <c r="I4327" s="815">
        <v>42.37</v>
      </c>
      <c r="J4327" s="815">
        <v>42.37</v>
      </c>
    </row>
    <row r="4328" spans="1:10" ht="38.25" customHeight="1">
      <c r="A4328" s="817" t="s">
        <v>13491</v>
      </c>
      <c r="B4328" s="816" t="s">
        <v>14688</v>
      </c>
      <c r="C4328" s="817" t="s">
        <v>6</v>
      </c>
      <c r="D4328" s="817" t="s">
        <v>1122</v>
      </c>
      <c r="E4328" s="1021" t="s">
        <v>13539</v>
      </c>
      <c r="F4328" s="1021"/>
      <c r="G4328" s="818" t="s">
        <v>19</v>
      </c>
      <c r="H4328" s="819">
        <v>1</v>
      </c>
      <c r="I4328" s="820">
        <v>18.989999999999998</v>
      </c>
      <c r="J4328" s="820">
        <v>18.989999999999998</v>
      </c>
    </row>
    <row r="4329" spans="1:10" ht="25.5" customHeight="1">
      <c r="A4329" s="817" t="s">
        <v>13491</v>
      </c>
      <c r="B4329" s="816" t="s">
        <v>14689</v>
      </c>
      <c r="C4329" s="817" t="s">
        <v>6</v>
      </c>
      <c r="D4329" s="817" t="s">
        <v>1123</v>
      </c>
      <c r="E4329" s="1021" t="s">
        <v>13539</v>
      </c>
      <c r="F4329" s="1021"/>
      <c r="G4329" s="818" t="s">
        <v>19</v>
      </c>
      <c r="H4329" s="819">
        <v>1</v>
      </c>
      <c r="I4329" s="820">
        <v>3.44</v>
      </c>
      <c r="J4329" s="820">
        <v>3.44</v>
      </c>
    </row>
    <row r="4330" spans="1:10" ht="25.5" customHeight="1">
      <c r="A4330" s="817" t="s">
        <v>13491</v>
      </c>
      <c r="B4330" s="816" t="s">
        <v>14687</v>
      </c>
      <c r="C4330" s="817" t="s">
        <v>6</v>
      </c>
      <c r="D4330" s="817" t="s">
        <v>1756</v>
      </c>
      <c r="E4330" s="1021" t="s">
        <v>13539</v>
      </c>
      <c r="F4330" s="1021"/>
      <c r="G4330" s="818" t="s">
        <v>19</v>
      </c>
      <c r="H4330" s="819">
        <v>1</v>
      </c>
      <c r="I4330" s="820">
        <v>2.72</v>
      </c>
      <c r="J4330" s="820">
        <v>2.72</v>
      </c>
    </row>
    <row r="4331" spans="1:10" ht="25.5" customHeight="1">
      <c r="A4331" s="817" t="s">
        <v>13491</v>
      </c>
      <c r="B4331" s="816" t="s">
        <v>14690</v>
      </c>
      <c r="C4331" s="817" t="s">
        <v>6</v>
      </c>
      <c r="D4331" s="817" t="s">
        <v>138</v>
      </c>
      <c r="E4331" s="1021" t="s">
        <v>13490</v>
      </c>
      <c r="F4331" s="1021"/>
      <c r="G4331" s="818" t="s">
        <v>19</v>
      </c>
      <c r="H4331" s="819">
        <v>1</v>
      </c>
      <c r="I4331" s="820">
        <v>17.22</v>
      </c>
      <c r="J4331" s="820">
        <v>17.22</v>
      </c>
    </row>
    <row r="4332" spans="1:10" ht="25.5" customHeight="1">
      <c r="A4332" s="827"/>
      <c r="B4332" s="827"/>
      <c r="C4332" s="827"/>
      <c r="D4332" s="827"/>
      <c r="E4332" s="827" t="s">
        <v>13503</v>
      </c>
      <c r="F4332" s="826">
        <v>13.38</v>
      </c>
      <c r="G4332" s="827" t="s">
        <v>13504</v>
      </c>
      <c r="H4332" s="826">
        <v>0</v>
      </c>
      <c r="I4332" s="827" t="s">
        <v>13505</v>
      </c>
      <c r="J4332" s="826">
        <v>13.38</v>
      </c>
    </row>
    <row r="4333" spans="1:10" ht="25.5" customHeight="1" thickBot="1">
      <c r="A4333" s="827"/>
      <c r="B4333" s="827"/>
      <c r="C4333" s="827"/>
      <c r="D4333" s="827"/>
      <c r="E4333" s="827" t="s">
        <v>13506</v>
      </c>
      <c r="F4333" s="826">
        <v>11.96</v>
      </c>
      <c r="G4333" s="827"/>
      <c r="H4333" s="1018" t="s">
        <v>13507</v>
      </c>
      <c r="I4333" s="1018"/>
      <c r="J4333" s="826">
        <v>54.33</v>
      </c>
    </row>
    <row r="4334" spans="1:10" ht="13.5" thickTop="1">
      <c r="A4334" s="828"/>
      <c r="B4334" s="828"/>
      <c r="C4334" s="828"/>
      <c r="D4334" s="828"/>
      <c r="E4334" s="828"/>
      <c r="F4334" s="828"/>
      <c r="G4334" s="828"/>
      <c r="H4334" s="828"/>
      <c r="I4334" s="828"/>
      <c r="J4334" s="828"/>
    </row>
    <row r="4335" spans="1:10" ht="15">
      <c r="A4335" s="809"/>
      <c r="B4335" s="808" t="s">
        <v>13481</v>
      </c>
      <c r="C4335" s="809" t="s">
        <v>13482</v>
      </c>
      <c r="D4335" s="809" t="s">
        <v>13483</v>
      </c>
      <c r="E4335" s="1019" t="s">
        <v>13484</v>
      </c>
      <c r="F4335" s="1019"/>
      <c r="G4335" s="810" t="s">
        <v>13485</v>
      </c>
      <c r="H4335" s="808" t="s">
        <v>13486</v>
      </c>
      <c r="I4335" s="808" t="s">
        <v>13487</v>
      </c>
      <c r="J4335" s="808" t="s">
        <v>4867</v>
      </c>
    </row>
    <row r="4336" spans="1:10" ht="13.5" customHeight="1">
      <c r="A4336" s="812" t="s">
        <v>13488</v>
      </c>
      <c r="B4336" s="811" t="s">
        <v>13601</v>
      </c>
      <c r="C4336" s="812" t="s">
        <v>6</v>
      </c>
      <c r="D4336" s="812" t="s">
        <v>736</v>
      </c>
      <c r="E4336" s="1020" t="s">
        <v>13539</v>
      </c>
      <c r="F4336" s="1020"/>
      <c r="G4336" s="813" t="s">
        <v>28</v>
      </c>
      <c r="H4336" s="814">
        <v>1</v>
      </c>
      <c r="I4336" s="815">
        <v>229.82</v>
      </c>
      <c r="J4336" s="815">
        <v>229.82</v>
      </c>
    </row>
    <row r="4337" spans="1:10" ht="38.25" customHeight="1">
      <c r="A4337" s="817" t="s">
        <v>13491</v>
      </c>
      <c r="B4337" s="816" t="s">
        <v>14691</v>
      </c>
      <c r="C4337" s="817" t="s">
        <v>6</v>
      </c>
      <c r="D4337" s="817" t="s">
        <v>1757</v>
      </c>
      <c r="E4337" s="1021" t="s">
        <v>13539</v>
      </c>
      <c r="F4337" s="1021"/>
      <c r="G4337" s="818" t="s">
        <v>19</v>
      </c>
      <c r="H4337" s="819">
        <v>1</v>
      </c>
      <c r="I4337" s="820">
        <v>156.19999999999999</v>
      </c>
      <c r="J4337" s="820">
        <v>156.19999999999999</v>
      </c>
    </row>
    <row r="4338" spans="1:10" ht="38.25" customHeight="1">
      <c r="A4338" s="817" t="s">
        <v>13491</v>
      </c>
      <c r="B4338" s="816" t="s">
        <v>14687</v>
      </c>
      <c r="C4338" s="817" t="s">
        <v>6</v>
      </c>
      <c r="D4338" s="817" t="s">
        <v>1756</v>
      </c>
      <c r="E4338" s="1021" t="s">
        <v>13539</v>
      </c>
      <c r="F4338" s="1021"/>
      <c r="G4338" s="818" t="s">
        <v>19</v>
      </c>
      <c r="H4338" s="819">
        <v>1</v>
      </c>
      <c r="I4338" s="820">
        <v>2.72</v>
      </c>
      <c r="J4338" s="820">
        <v>2.72</v>
      </c>
    </row>
    <row r="4339" spans="1:10" ht="25.5" customHeight="1">
      <c r="A4339" s="817" t="s">
        <v>13491</v>
      </c>
      <c r="B4339" s="816" t="s">
        <v>14688</v>
      </c>
      <c r="C4339" s="817" t="s">
        <v>6</v>
      </c>
      <c r="D4339" s="817" t="s">
        <v>1122</v>
      </c>
      <c r="E4339" s="1021" t="s">
        <v>13539</v>
      </c>
      <c r="F4339" s="1021"/>
      <c r="G4339" s="818" t="s">
        <v>19</v>
      </c>
      <c r="H4339" s="819">
        <v>1</v>
      </c>
      <c r="I4339" s="820">
        <v>18.989999999999998</v>
      </c>
      <c r="J4339" s="820">
        <v>18.989999999999998</v>
      </c>
    </row>
    <row r="4340" spans="1:10" ht="38.25" customHeight="1">
      <c r="A4340" s="817" t="s">
        <v>13491</v>
      </c>
      <c r="B4340" s="816" t="s">
        <v>14689</v>
      </c>
      <c r="C4340" s="817" t="s">
        <v>6</v>
      </c>
      <c r="D4340" s="817" t="s">
        <v>1123</v>
      </c>
      <c r="E4340" s="1021" t="s">
        <v>13539</v>
      </c>
      <c r="F4340" s="1021"/>
      <c r="G4340" s="818" t="s">
        <v>19</v>
      </c>
      <c r="H4340" s="819">
        <v>1</v>
      </c>
      <c r="I4340" s="820">
        <v>3.44</v>
      </c>
      <c r="J4340" s="820">
        <v>3.44</v>
      </c>
    </row>
    <row r="4341" spans="1:10" ht="38.25" customHeight="1">
      <c r="A4341" s="817" t="s">
        <v>13491</v>
      </c>
      <c r="B4341" s="816" t="s">
        <v>14692</v>
      </c>
      <c r="C4341" s="817" t="s">
        <v>6</v>
      </c>
      <c r="D4341" s="817" t="s">
        <v>1124</v>
      </c>
      <c r="E4341" s="1021" t="s">
        <v>13539</v>
      </c>
      <c r="F4341" s="1021"/>
      <c r="G4341" s="818" t="s">
        <v>19</v>
      </c>
      <c r="H4341" s="819">
        <v>1</v>
      </c>
      <c r="I4341" s="820">
        <v>31.25</v>
      </c>
      <c r="J4341" s="820">
        <v>31.25</v>
      </c>
    </row>
    <row r="4342" spans="1:10" ht="13.5" customHeight="1">
      <c r="A4342" s="817" t="s">
        <v>13491</v>
      </c>
      <c r="B4342" s="816" t="s">
        <v>14690</v>
      </c>
      <c r="C4342" s="817" t="s">
        <v>6</v>
      </c>
      <c r="D4342" s="817" t="s">
        <v>138</v>
      </c>
      <c r="E4342" s="1021" t="s">
        <v>13490</v>
      </c>
      <c r="F4342" s="1021"/>
      <c r="G4342" s="818" t="s">
        <v>19</v>
      </c>
      <c r="H4342" s="819">
        <v>1</v>
      </c>
      <c r="I4342" s="820">
        <v>17.22</v>
      </c>
      <c r="J4342" s="820">
        <v>17.22</v>
      </c>
    </row>
    <row r="4343" spans="1:10" ht="25.5">
      <c r="A4343" s="827"/>
      <c r="B4343" s="827"/>
      <c r="C4343" s="827"/>
      <c r="D4343" s="827"/>
      <c r="E4343" s="827" t="s">
        <v>13503</v>
      </c>
      <c r="F4343" s="826">
        <v>13.38</v>
      </c>
      <c r="G4343" s="827" t="s">
        <v>13504</v>
      </c>
      <c r="H4343" s="826">
        <v>0</v>
      </c>
      <c r="I4343" s="827" t="s">
        <v>13505</v>
      </c>
      <c r="J4343" s="826">
        <v>13.38</v>
      </c>
    </row>
    <row r="4344" spans="1:10" ht="13.5" customHeight="1" thickBot="1">
      <c r="A4344" s="827"/>
      <c r="B4344" s="827"/>
      <c r="C4344" s="827"/>
      <c r="D4344" s="827"/>
      <c r="E4344" s="827" t="s">
        <v>13506</v>
      </c>
      <c r="F4344" s="826">
        <v>64.900000000000006</v>
      </c>
      <c r="G4344" s="827"/>
      <c r="H4344" s="1018" t="s">
        <v>13507</v>
      </c>
      <c r="I4344" s="1018"/>
      <c r="J4344" s="826">
        <v>294.72000000000003</v>
      </c>
    </row>
    <row r="4345" spans="1:10" ht="25.5" customHeight="1" thickTop="1">
      <c r="A4345" s="828"/>
      <c r="B4345" s="828"/>
      <c r="C4345" s="828"/>
      <c r="D4345" s="828"/>
      <c r="E4345" s="828"/>
      <c r="F4345" s="828"/>
      <c r="G4345" s="828"/>
      <c r="H4345" s="828"/>
      <c r="I4345" s="828"/>
      <c r="J4345" s="828"/>
    </row>
    <row r="4346" spans="1:10" ht="15">
      <c r="A4346" s="809"/>
      <c r="B4346" s="808" t="s">
        <v>13481</v>
      </c>
      <c r="C4346" s="809" t="s">
        <v>13482</v>
      </c>
      <c r="D4346" s="809" t="s">
        <v>13483</v>
      </c>
      <c r="E4346" s="1019" t="s">
        <v>13484</v>
      </c>
      <c r="F4346" s="1019"/>
      <c r="G4346" s="810" t="s">
        <v>13485</v>
      </c>
      <c r="H4346" s="808" t="s">
        <v>13486</v>
      </c>
      <c r="I4346" s="808" t="s">
        <v>13487</v>
      </c>
      <c r="J4346" s="808" t="s">
        <v>4867</v>
      </c>
    </row>
    <row r="4347" spans="1:10" ht="38.25" customHeight="1">
      <c r="A4347" s="812" t="s">
        <v>13488</v>
      </c>
      <c r="B4347" s="811" t="s">
        <v>14688</v>
      </c>
      <c r="C4347" s="812" t="s">
        <v>6</v>
      </c>
      <c r="D4347" s="812" t="s">
        <v>1122</v>
      </c>
      <c r="E4347" s="1020" t="s">
        <v>13539</v>
      </c>
      <c r="F4347" s="1020"/>
      <c r="G4347" s="813" t="s">
        <v>19</v>
      </c>
      <c r="H4347" s="814">
        <v>1</v>
      </c>
      <c r="I4347" s="815">
        <v>18.989999999999998</v>
      </c>
      <c r="J4347" s="815">
        <v>18.989999999999998</v>
      </c>
    </row>
    <row r="4348" spans="1:10" ht="13.5" customHeight="1">
      <c r="A4348" s="822" t="s">
        <v>13493</v>
      </c>
      <c r="B4348" s="821" t="s">
        <v>14693</v>
      </c>
      <c r="C4348" s="822" t="s">
        <v>6</v>
      </c>
      <c r="D4348" s="822" t="s">
        <v>9333</v>
      </c>
      <c r="E4348" s="1017" t="s">
        <v>13497</v>
      </c>
      <c r="F4348" s="1017"/>
      <c r="G4348" s="823" t="s">
        <v>24</v>
      </c>
      <c r="H4348" s="824">
        <v>3.43E-5</v>
      </c>
      <c r="I4348" s="825">
        <v>350558.86</v>
      </c>
      <c r="J4348" s="825">
        <v>12.02</v>
      </c>
    </row>
    <row r="4349" spans="1:10" ht="51">
      <c r="A4349" s="822" t="s">
        <v>13493</v>
      </c>
      <c r="B4349" s="821" t="s">
        <v>14694</v>
      </c>
      <c r="C4349" s="822" t="s">
        <v>6</v>
      </c>
      <c r="D4349" s="822" t="s">
        <v>10625</v>
      </c>
      <c r="E4349" s="1017" t="s">
        <v>13497</v>
      </c>
      <c r="F4349" s="1017"/>
      <c r="G4349" s="823" t="s">
        <v>24</v>
      </c>
      <c r="H4349" s="824">
        <v>5.5099999999999998E-5</v>
      </c>
      <c r="I4349" s="825">
        <v>126500</v>
      </c>
      <c r="J4349" s="825">
        <v>6.97</v>
      </c>
    </row>
    <row r="4350" spans="1:10" ht="25.5">
      <c r="A4350" s="827"/>
      <c r="B4350" s="827"/>
      <c r="C4350" s="827"/>
      <c r="D4350" s="827"/>
      <c r="E4350" s="827" t="s">
        <v>13503</v>
      </c>
      <c r="F4350" s="826">
        <v>0</v>
      </c>
      <c r="G4350" s="827" t="s">
        <v>13504</v>
      </c>
      <c r="H4350" s="826">
        <v>0</v>
      </c>
      <c r="I4350" s="827" t="s">
        <v>13505</v>
      </c>
      <c r="J4350" s="826">
        <v>0</v>
      </c>
    </row>
    <row r="4351" spans="1:10" ht="25.5" customHeight="1" thickBot="1">
      <c r="A4351" s="827"/>
      <c r="B4351" s="827"/>
      <c r="C4351" s="827"/>
      <c r="D4351" s="827"/>
      <c r="E4351" s="827" t="s">
        <v>13506</v>
      </c>
      <c r="F4351" s="826">
        <v>5.36</v>
      </c>
      <c r="G4351" s="827"/>
      <c r="H4351" s="1018" t="s">
        <v>13507</v>
      </c>
      <c r="I4351" s="1018"/>
      <c r="J4351" s="826">
        <v>24.35</v>
      </c>
    </row>
    <row r="4352" spans="1:10" ht="13.5" thickTop="1">
      <c r="A4352" s="828"/>
      <c r="B4352" s="828"/>
      <c r="C4352" s="828"/>
      <c r="D4352" s="828"/>
      <c r="E4352" s="828"/>
      <c r="F4352" s="828"/>
      <c r="G4352" s="828"/>
      <c r="H4352" s="828"/>
      <c r="I4352" s="828"/>
      <c r="J4352" s="828"/>
    </row>
    <row r="4353" spans="1:10" ht="15">
      <c r="A4353" s="809"/>
      <c r="B4353" s="808" t="s">
        <v>13481</v>
      </c>
      <c r="C4353" s="809" t="s">
        <v>13482</v>
      </c>
      <c r="D4353" s="809" t="s">
        <v>13483</v>
      </c>
      <c r="E4353" s="1019" t="s">
        <v>13484</v>
      </c>
      <c r="F4353" s="1019"/>
      <c r="G4353" s="810" t="s">
        <v>13485</v>
      </c>
      <c r="H4353" s="808" t="s">
        <v>13486</v>
      </c>
      <c r="I4353" s="808" t="s">
        <v>13487</v>
      </c>
      <c r="J4353" s="808" t="s">
        <v>4867</v>
      </c>
    </row>
    <row r="4354" spans="1:10" ht="13.5" customHeight="1">
      <c r="A4354" s="812" t="s">
        <v>13488</v>
      </c>
      <c r="B4354" s="811" t="s">
        <v>14687</v>
      </c>
      <c r="C4354" s="812" t="s">
        <v>6</v>
      </c>
      <c r="D4354" s="812" t="s">
        <v>1756</v>
      </c>
      <c r="E4354" s="1020" t="s">
        <v>13539</v>
      </c>
      <c r="F4354" s="1020"/>
      <c r="G4354" s="813" t="s">
        <v>19</v>
      </c>
      <c r="H4354" s="814">
        <v>1</v>
      </c>
      <c r="I4354" s="815">
        <v>2.72</v>
      </c>
      <c r="J4354" s="815">
        <v>2.72</v>
      </c>
    </row>
    <row r="4355" spans="1:10" ht="38.25">
      <c r="A4355" s="822" t="s">
        <v>13493</v>
      </c>
      <c r="B4355" s="821" t="s">
        <v>14693</v>
      </c>
      <c r="C4355" s="822" t="s">
        <v>6</v>
      </c>
      <c r="D4355" s="822" t="s">
        <v>9333</v>
      </c>
      <c r="E4355" s="1017" t="s">
        <v>13497</v>
      </c>
      <c r="F4355" s="1017"/>
      <c r="G4355" s="823" t="s">
        <v>24</v>
      </c>
      <c r="H4355" s="824">
        <v>5.6999999999999996E-6</v>
      </c>
      <c r="I4355" s="825">
        <v>350558.86</v>
      </c>
      <c r="J4355" s="825">
        <v>1.99</v>
      </c>
    </row>
    <row r="4356" spans="1:10" ht="51">
      <c r="A4356" s="822" t="s">
        <v>13493</v>
      </c>
      <c r="B4356" s="821" t="s">
        <v>14694</v>
      </c>
      <c r="C4356" s="822" t="s">
        <v>6</v>
      </c>
      <c r="D4356" s="822" t="s">
        <v>10625</v>
      </c>
      <c r="E4356" s="1017" t="s">
        <v>13497</v>
      </c>
      <c r="F4356" s="1017"/>
      <c r="G4356" s="823" t="s">
        <v>24</v>
      </c>
      <c r="H4356" s="824">
        <v>5.8000000000000004E-6</v>
      </c>
      <c r="I4356" s="825">
        <v>126500</v>
      </c>
      <c r="J4356" s="825">
        <v>0.73</v>
      </c>
    </row>
    <row r="4357" spans="1:10" ht="25.5" customHeight="1">
      <c r="A4357" s="827"/>
      <c r="B4357" s="827"/>
      <c r="C4357" s="827"/>
      <c r="D4357" s="827"/>
      <c r="E4357" s="827" t="s">
        <v>13503</v>
      </c>
      <c r="F4357" s="826">
        <v>0</v>
      </c>
      <c r="G4357" s="827" t="s">
        <v>13504</v>
      </c>
      <c r="H4357" s="826">
        <v>0</v>
      </c>
      <c r="I4357" s="827" t="s">
        <v>13505</v>
      </c>
      <c r="J4357" s="826">
        <v>0</v>
      </c>
    </row>
    <row r="4358" spans="1:10" ht="13.5" customHeight="1" thickBot="1">
      <c r="A4358" s="827"/>
      <c r="B4358" s="827"/>
      <c r="C4358" s="827"/>
      <c r="D4358" s="827"/>
      <c r="E4358" s="827" t="s">
        <v>13506</v>
      </c>
      <c r="F4358" s="826">
        <v>0.76</v>
      </c>
      <c r="G4358" s="827"/>
      <c r="H4358" s="1018" t="s">
        <v>13507</v>
      </c>
      <c r="I4358" s="1018"/>
      <c r="J4358" s="826">
        <v>3.48</v>
      </c>
    </row>
    <row r="4359" spans="1:10" ht="13.5" thickTop="1">
      <c r="A4359" s="828"/>
      <c r="B4359" s="828"/>
      <c r="C4359" s="828"/>
      <c r="D4359" s="828"/>
      <c r="E4359" s="828"/>
      <c r="F4359" s="828"/>
      <c r="G4359" s="828"/>
      <c r="H4359" s="828"/>
      <c r="I4359" s="828"/>
      <c r="J4359" s="828"/>
    </row>
    <row r="4360" spans="1:10" ht="13.5" customHeight="1">
      <c r="A4360" s="809"/>
      <c r="B4360" s="808" t="s">
        <v>13481</v>
      </c>
      <c r="C4360" s="809" t="s">
        <v>13482</v>
      </c>
      <c r="D4360" s="809" t="s">
        <v>13483</v>
      </c>
      <c r="E4360" s="1019" t="s">
        <v>13484</v>
      </c>
      <c r="F4360" s="1019"/>
      <c r="G4360" s="810" t="s">
        <v>13485</v>
      </c>
      <c r="H4360" s="808" t="s">
        <v>13486</v>
      </c>
      <c r="I4360" s="808" t="s">
        <v>13487</v>
      </c>
      <c r="J4360" s="808" t="s">
        <v>4867</v>
      </c>
    </row>
    <row r="4361" spans="1:10" ht="38.25" customHeight="1">
      <c r="A4361" s="812" t="s">
        <v>13488</v>
      </c>
      <c r="B4361" s="811" t="s">
        <v>14689</v>
      </c>
      <c r="C4361" s="812" t="s">
        <v>6</v>
      </c>
      <c r="D4361" s="812" t="s">
        <v>1123</v>
      </c>
      <c r="E4361" s="1020" t="s">
        <v>13539</v>
      </c>
      <c r="F4361" s="1020"/>
      <c r="G4361" s="813" t="s">
        <v>19</v>
      </c>
      <c r="H4361" s="814">
        <v>1</v>
      </c>
      <c r="I4361" s="815">
        <v>3.44</v>
      </c>
      <c r="J4361" s="815">
        <v>3.44</v>
      </c>
    </row>
    <row r="4362" spans="1:10" ht="38.25">
      <c r="A4362" s="822" t="s">
        <v>13493</v>
      </c>
      <c r="B4362" s="821" t="s">
        <v>14693</v>
      </c>
      <c r="C4362" s="822" t="s">
        <v>6</v>
      </c>
      <c r="D4362" s="822" t="s">
        <v>9333</v>
      </c>
      <c r="E4362" s="1017" t="s">
        <v>13497</v>
      </c>
      <c r="F4362" s="1017"/>
      <c r="G4362" s="823" t="s">
        <v>24</v>
      </c>
      <c r="H4362" s="824">
        <v>7.1999999999999997E-6</v>
      </c>
      <c r="I4362" s="825">
        <v>350558.86</v>
      </c>
      <c r="J4362" s="825">
        <v>2.52</v>
      </c>
    </row>
    <row r="4363" spans="1:10" ht="38.25" customHeight="1">
      <c r="A4363" s="822" t="s">
        <v>13493</v>
      </c>
      <c r="B4363" s="821" t="s">
        <v>14694</v>
      </c>
      <c r="C4363" s="822" t="s">
        <v>6</v>
      </c>
      <c r="D4363" s="822" t="s">
        <v>10625</v>
      </c>
      <c r="E4363" s="1017" t="s">
        <v>13497</v>
      </c>
      <c r="F4363" s="1017"/>
      <c r="G4363" s="823" t="s">
        <v>24</v>
      </c>
      <c r="H4363" s="824">
        <v>7.3000000000000004E-6</v>
      </c>
      <c r="I4363" s="825">
        <v>126500</v>
      </c>
      <c r="J4363" s="825">
        <v>0.92</v>
      </c>
    </row>
    <row r="4364" spans="1:10" ht="38.25" customHeight="1">
      <c r="A4364" s="827"/>
      <c r="B4364" s="827"/>
      <c r="C4364" s="827"/>
      <c r="D4364" s="827"/>
      <c r="E4364" s="827" t="s">
        <v>13503</v>
      </c>
      <c r="F4364" s="826">
        <v>0</v>
      </c>
      <c r="G4364" s="827" t="s">
        <v>13504</v>
      </c>
      <c r="H4364" s="826">
        <v>0</v>
      </c>
      <c r="I4364" s="827" t="s">
        <v>13505</v>
      </c>
      <c r="J4364" s="826">
        <v>0</v>
      </c>
    </row>
    <row r="4365" spans="1:10" ht="38.25" customHeight="1" thickBot="1">
      <c r="A4365" s="827"/>
      <c r="B4365" s="827"/>
      <c r="C4365" s="827"/>
      <c r="D4365" s="827"/>
      <c r="E4365" s="827" t="s">
        <v>13506</v>
      </c>
      <c r="F4365" s="826">
        <v>0.97</v>
      </c>
      <c r="G4365" s="827"/>
      <c r="H4365" s="1018" t="s">
        <v>13507</v>
      </c>
      <c r="I4365" s="1018"/>
      <c r="J4365" s="826">
        <v>4.41</v>
      </c>
    </row>
    <row r="4366" spans="1:10" ht="13.5" thickTop="1">
      <c r="A4366" s="828"/>
      <c r="B4366" s="828"/>
      <c r="C4366" s="828"/>
      <c r="D4366" s="828"/>
      <c r="E4366" s="828"/>
      <c r="F4366" s="828"/>
      <c r="G4366" s="828"/>
      <c r="H4366" s="828"/>
      <c r="I4366" s="828"/>
      <c r="J4366" s="828"/>
    </row>
    <row r="4367" spans="1:10" ht="15">
      <c r="A4367" s="809"/>
      <c r="B4367" s="808" t="s">
        <v>13481</v>
      </c>
      <c r="C4367" s="809" t="s">
        <v>13482</v>
      </c>
      <c r="D4367" s="809" t="s">
        <v>13483</v>
      </c>
      <c r="E4367" s="1019" t="s">
        <v>13484</v>
      </c>
      <c r="F4367" s="1019"/>
      <c r="G4367" s="810" t="s">
        <v>13485</v>
      </c>
      <c r="H4367" s="808" t="s">
        <v>13486</v>
      </c>
      <c r="I4367" s="808" t="s">
        <v>13487</v>
      </c>
      <c r="J4367" s="808" t="s">
        <v>4867</v>
      </c>
    </row>
    <row r="4368" spans="1:10" ht="13.5" customHeight="1">
      <c r="A4368" s="812" t="s">
        <v>13488</v>
      </c>
      <c r="B4368" s="811" t="s">
        <v>14692</v>
      </c>
      <c r="C4368" s="812" t="s">
        <v>6</v>
      </c>
      <c r="D4368" s="812" t="s">
        <v>1124</v>
      </c>
      <c r="E4368" s="1020" t="s">
        <v>13539</v>
      </c>
      <c r="F4368" s="1020"/>
      <c r="G4368" s="813" t="s">
        <v>19</v>
      </c>
      <c r="H4368" s="814">
        <v>1</v>
      </c>
      <c r="I4368" s="815">
        <v>31.25</v>
      </c>
      <c r="J4368" s="815">
        <v>31.25</v>
      </c>
    </row>
    <row r="4369" spans="1:10" ht="38.25">
      <c r="A4369" s="822" t="s">
        <v>13493</v>
      </c>
      <c r="B4369" s="821" t="s">
        <v>14693</v>
      </c>
      <c r="C4369" s="822" t="s">
        <v>6</v>
      </c>
      <c r="D4369" s="822" t="s">
        <v>9333</v>
      </c>
      <c r="E4369" s="1017" t="s">
        <v>13497</v>
      </c>
      <c r="F4369" s="1017"/>
      <c r="G4369" s="823" t="s">
        <v>24</v>
      </c>
      <c r="H4369" s="824">
        <v>6.4300000000000004E-5</v>
      </c>
      <c r="I4369" s="825">
        <v>350558.86</v>
      </c>
      <c r="J4369" s="825">
        <v>22.54</v>
      </c>
    </row>
    <row r="4370" spans="1:10" ht="51">
      <c r="A4370" s="822" t="s">
        <v>13493</v>
      </c>
      <c r="B4370" s="821" t="s">
        <v>14694</v>
      </c>
      <c r="C4370" s="822" t="s">
        <v>6</v>
      </c>
      <c r="D4370" s="822" t="s">
        <v>10625</v>
      </c>
      <c r="E4370" s="1017" t="s">
        <v>13497</v>
      </c>
      <c r="F4370" s="1017"/>
      <c r="G4370" s="823" t="s">
        <v>24</v>
      </c>
      <c r="H4370" s="824">
        <v>6.8899999999999994E-5</v>
      </c>
      <c r="I4370" s="825">
        <v>126500</v>
      </c>
      <c r="J4370" s="825">
        <v>8.7100000000000009</v>
      </c>
    </row>
    <row r="4371" spans="1:10" ht="38.25" customHeight="1">
      <c r="A4371" s="827"/>
      <c r="B4371" s="827"/>
      <c r="C4371" s="827"/>
      <c r="D4371" s="827"/>
      <c r="E4371" s="827" t="s">
        <v>13503</v>
      </c>
      <c r="F4371" s="826">
        <v>0</v>
      </c>
      <c r="G4371" s="827" t="s">
        <v>13504</v>
      </c>
      <c r="H4371" s="826">
        <v>0</v>
      </c>
      <c r="I4371" s="827" t="s">
        <v>13505</v>
      </c>
      <c r="J4371" s="826">
        <v>0</v>
      </c>
    </row>
    <row r="4372" spans="1:10" ht="38.25" customHeight="1" thickBot="1">
      <c r="A4372" s="827"/>
      <c r="B4372" s="827"/>
      <c r="C4372" s="827"/>
      <c r="D4372" s="827"/>
      <c r="E4372" s="827" t="s">
        <v>13506</v>
      </c>
      <c r="F4372" s="826">
        <v>8.82</v>
      </c>
      <c r="G4372" s="827"/>
      <c r="H4372" s="1018" t="s">
        <v>13507</v>
      </c>
      <c r="I4372" s="1018"/>
      <c r="J4372" s="826">
        <v>40.07</v>
      </c>
    </row>
    <row r="4373" spans="1:10" ht="38.25" customHeight="1" thickTop="1">
      <c r="A4373" s="828"/>
      <c r="B4373" s="828"/>
      <c r="C4373" s="828"/>
      <c r="D4373" s="828"/>
      <c r="E4373" s="828"/>
      <c r="F4373" s="828"/>
      <c r="G4373" s="828"/>
      <c r="H4373" s="828"/>
      <c r="I4373" s="828"/>
      <c r="J4373" s="828"/>
    </row>
    <row r="4374" spans="1:10" ht="38.25" customHeight="1">
      <c r="A4374" s="809"/>
      <c r="B4374" s="808" t="s">
        <v>13481</v>
      </c>
      <c r="C4374" s="809" t="s">
        <v>13482</v>
      </c>
      <c r="D4374" s="809" t="s">
        <v>13483</v>
      </c>
      <c r="E4374" s="1019" t="s">
        <v>13484</v>
      </c>
      <c r="F4374" s="1019"/>
      <c r="G4374" s="810" t="s">
        <v>13485</v>
      </c>
      <c r="H4374" s="808" t="s">
        <v>13486</v>
      </c>
      <c r="I4374" s="808" t="s">
        <v>13487</v>
      </c>
      <c r="J4374" s="808" t="s">
        <v>4867</v>
      </c>
    </row>
    <row r="4375" spans="1:10" ht="38.25" customHeight="1">
      <c r="A4375" s="812" t="s">
        <v>13488</v>
      </c>
      <c r="B4375" s="811" t="s">
        <v>14691</v>
      </c>
      <c r="C4375" s="812" t="s">
        <v>6</v>
      </c>
      <c r="D4375" s="812" t="s">
        <v>1757</v>
      </c>
      <c r="E4375" s="1020" t="s">
        <v>13539</v>
      </c>
      <c r="F4375" s="1020"/>
      <c r="G4375" s="813" t="s">
        <v>19</v>
      </c>
      <c r="H4375" s="814">
        <v>1</v>
      </c>
      <c r="I4375" s="815">
        <v>156.19999999999999</v>
      </c>
      <c r="J4375" s="815">
        <v>156.19999999999999</v>
      </c>
    </row>
    <row r="4376" spans="1:10">
      <c r="A4376" s="822" t="s">
        <v>13493</v>
      </c>
      <c r="B4376" s="821" t="s">
        <v>14463</v>
      </c>
      <c r="C4376" s="822" t="s">
        <v>6</v>
      </c>
      <c r="D4376" s="822" t="s">
        <v>4725</v>
      </c>
      <c r="E4376" s="1017" t="s">
        <v>13514</v>
      </c>
      <c r="F4376" s="1017"/>
      <c r="G4376" s="823" t="s">
        <v>39</v>
      </c>
      <c r="H4376" s="824">
        <v>26.43</v>
      </c>
      <c r="I4376" s="825">
        <v>5.91</v>
      </c>
      <c r="J4376" s="825">
        <v>156.19999999999999</v>
      </c>
    </row>
    <row r="4377" spans="1:10" ht="25.5">
      <c r="A4377" s="827"/>
      <c r="B4377" s="827"/>
      <c r="C4377" s="827"/>
      <c r="D4377" s="827"/>
      <c r="E4377" s="827" t="s">
        <v>13503</v>
      </c>
      <c r="F4377" s="826">
        <v>0</v>
      </c>
      <c r="G4377" s="827" t="s">
        <v>13504</v>
      </c>
      <c r="H4377" s="826">
        <v>0</v>
      </c>
      <c r="I4377" s="827" t="s">
        <v>13505</v>
      </c>
      <c r="J4377" s="826">
        <v>0</v>
      </c>
    </row>
    <row r="4378" spans="1:10" ht="13.5" customHeight="1" thickBot="1">
      <c r="A4378" s="827"/>
      <c r="B4378" s="827"/>
      <c r="C4378" s="827"/>
      <c r="D4378" s="827"/>
      <c r="E4378" s="827" t="s">
        <v>13506</v>
      </c>
      <c r="F4378" s="826">
        <v>44.11</v>
      </c>
      <c r="G4378" s="827"/>
      <c r="H4378" s="1018" t="s">
        <v>13507</v>
      </c>
      <c r="I4378" s="1018"/>
      <c r="J4378" s="826">
        <v>200.31</v>
      </c>
    </row>
    <row r="4379" spans="1:10" ht="13.5" thickTop="1">
      <c r="A4379" s="828"/>
      <c r="B4379" s="828"/>
      <c r="C4379" s="828"/>
      <c r="D4379" s="828"/>
      <c r="E4379" s="828"/>
      <c r="F4379" s="828"/>
      <c r="G4379" s="828"/>
      <c r="H4379" s="828"/>
      <c r="I4379" s="828"/>
      <c r="J4379" s="828"/>
    </row>
    <row r="4380" spans="1:10" ht="15">
      <c r="A4380" s="809"/>
      <c r="B4380" s="808" t="s">
        <v>13481</v>
      </c>
      <c r="C4380" s="809" t="s">
        <v>13482</v>
      </c>
      <c r="D4380" s="809" t="s">
        <v>13483</v>
      </c>
      <c r="E4380" s="1019" t="s">
        <v>13484</v>
      </c>
      <c r="F4380" s="1019"/>
      <c r="G4380" s="810" t="s">
        <v>13485</v>
      </c>
      <c r="H4380" s="808" t="s">
        <v>13486</v>
      </c>
      <c r="I4380" s="808" t="s">
        <v>13487</v>
      </c>
      <c r="J4380" s="808" t="s">
        <v>4867</v>
      </c>
    </row>
    <row r="4381" spans="1:10" ht="38.25" customHeight="1">
      <c r="A4381" s="812" t="s">
        <v>13488</v>
      </c>
      <c r="B4381" s="811" t="s">
        <v>13668</v>
      </c>
      <c r="C4381" s="812" t="s">
        <v>6</v>
      </c>
      <c r="D4381" s="812" t="s">
        <v>125</v>
      </c>
      <c r="E4381" s="1020" t="s">
        <v>13490</v>
      </c>
      <c r="F4381" s="1020"/>
      <c r="G4381" s="813" t="s">
        <v>19</v>
      </c>
      <c r="H4381" s="814">
        <v>1</v>
      </c>
      <c r="I4381" s="815">
        <v>17.14</v>
      </c>
      <c r="J4381" s="815">
        <v>17.14</v>
      </c>
    </row>
    <row r="4382" spans="1:10" ht="38.25" customHeight="1">
      <c r="A4382" s="817" t="s">
        <v>13491</v>
      </c>
      <c r="B4382" s="816" t="s">
        <v>14639</v>
      </c>
      <c r="C4382" s="817" t="s">
        <v>6</v>
      </c>
      <c r="D4382" s="817" t="s">
        <v>2530</v>
      </c>
      <c r="E4382" s="1021" t="s">
        <v>13490</v>
      </c>
      <c r="F4382" s="1021"/>
      <c r="G4382" s="818" t="s">
        <v>19</v>
      </c>
      <c r="H4382" s="819">
        <v>1</v>
      </c>
      <c r="I4382" s="820">
        <v>0.2</v>
      </c>
      <c r="J4382" s="820">
        <v>0.2</v>
      </c>
    </row>
    <row r="4383" spans="1:10">
      <c r="A4383" s="822" t="s">
        <v>13493</v>
      </c>
      <c r="B4383" s="821" t="s">
        <v>13528</v>
      </c>
      <c r="C4383" s="822" t="s">
        <v>6</v>
      </c>
      <c r="D4383" s="822" t="s">
        <v>4581</v>
      </c>
      <c r="E4383" s="1017" t="s">
        <v>13499</v>
      </c>
      <c r="F4383" s="1017"/>
      <c r="G4383" s="823" t="s">
        <v>19</v>
      </c>
      <c r="H4383" s="824">
        <v>1</v>
      </c>
      <c r="I4383" s="825">
        <v>1.52</v>
      </c>
      <c r="J4383" s="825">
        <v>1.52</v>
      </c>
    </row>
    <row r="4384" spans="1:10" ht="13.5" customHeight="1">
      <c r="A4384" s="822" t="s">
        <v>13493</v>
      </c>
      <c r="B4384" s="821" t="s">
        <v>14430</v>
      </c>
      <c r="C4384" s="822" t="s">
        <v>6</v>
      </c>
      <c r="D4384" s="822" t="s">
        <v>4657</v>
      </c>
      <c r="E4384" s="1017" t="s">
        <v>13497</v>
      </c>
      <c r="F4384" s="1017"/>
      <c r="G4384" s="823" t="s">
        <v>19</v>
      </c>
      <c r="H4384" s="824">
        <v>1</v>
      </c>
      <c r="I4384" s="825">
        <v>1.0900000000000001</v>
      </c>
      <c r="J4384" s="825">
        <v>1.0900000000000001</v>
      </c>
    </row>
    <row r="4385" spans="1:10">
      <c r="A4385" s="822" t="s">
        <v>13493</v>
      </c>
      <c r="B4385" s="821" t="s">
        <v>13498</v>
      </c>
      <c r="C4385" s="822" t="s">
        <v>6</v>
      </c>
      <c r="D4385" s="822" t="s">
        <v>4665</v>
      </c>
      <c r="E4385" s="1017" t="s">
        <v>13499</v>
      </c>
      <c r="F4385" s="1017"/>
      <c r="G4385" s="823" t="s">
        <v>19</v>
      </c>
      <c r="H4385" s="824">
        <v>1</v>
      </c>
      <c r="I4385" s="825">
        <v>0.81</v>
      </c>
      <c r="J4385" s="825">
        <v>0.81</v>
      </c>
    </row>
    <row r="4386" spans="1:10" ht="25.5">
      <c r="A4386" s="822" t="s">
        <v>13493</v>
      </c>
      <c r="B4386" s="821" t="s">
        <v>14431</v>
      </c>
      <c r="C4386" s="822" t="s">
        <v>6</v>
      </c>
      <c r="D4386" s="822" t="s">
        <v>4673</v>
      </c>
      <c r="E4386" s="1017" t="s">
        <v>13497</v>
      </c>
      <c r="F4386" s="1017"/>
      <c r="G4386" s="823" t="s">
        <v>19</v>
      </c>
      <c r="H4386" s="824">
        <v>1</v>
      </c>
      <c r="I4386" s="825">
        <v>0.74</v>
      </c>
      <c r="J4386" s="825">
        <v>0.74</v>
      </c>
    </row>
    <row r="4387" spans="1:10" ht="38.25" customHeight="1">
      <c r="A4387" s="822" t="s">
        <v>13493</v>
      </c>
      <c r="B4387" s="821" t="s">
        <v>14640</v>
      </c>
      <c r="C4387" s="822" t="s">
        <v>6</v>
      </c>
      <c r="D4387" s="822" t="s">
        <v>10654</v>
      </c>
      <c r="E4387" s="1017" t="s">
        <v>13495</v>
      </c>
      <c r="F4387" s="1017"/>
      <c r="G4387" s="823" t="s">
        <v>19</v>
      </c>
      <c r="H4387" s="824">
        <v>1</v>
      </c>
      <c r="I4387" s="825">
        <v>12.04</v>
      </c>
      <c r="J4387" s="825">
        <v>12.04</v>
      </c>
    </row>
    <row r="4388" spans="1:10">
      <c r="A4388" s="822" t="s">
        <v>13493</v>
      </c>
      <c r="B4388" s="821" t="s">
        <v>13501</v>
      </c>
      <c r="C4388" s="822" t="s">
        <v>6</v>
      </c>
      <c r="D4388" s="822" t="s">
        <v>4779</v>
      </c>
      <c r="E4388" s="1017" t="s">
        <v>13502</v>
      </c>
      <c r="F4388" s="1017"/>
      <c r="G4388" s="823" t="s">
        <v>19</v>
      </c>
      <c r="H4388" s="824">
        <v>1</v>
      </c>
      <c r="I4388" s="825">
        <v>0.06</v>
      </c>
      <c r="J4388" s="825">
        <v>0.06</v>
      </c>
    </row>
    <row r="4389" spans="1:10">
      <c r="A4389" s="822" t="s">
        <v>13493</v>
      </c>
      <c r="B4389" s="821" t="s">
        <v>13531</v>
      </c>
      <c r="C4389" s="822" t="s">
        <v>6</v>
      </c>
      <c r="D4389" s="822" t="s">
        <v>4808</v>
      </c>
      <c r="E4389" s="1017" t="s">
        <v>13532</v>
      </c>
      <c r="F4389" s="1017"/>
      <c r="G4389" s="823" t="s">
        <v>19</v>
      </c>
      <c r="H4389" s="824">
        <v>1</v>
      </c>
      <c r="I4389" s="825">
        <v>0.68</v>
      </c>
      <c r="J4389" s="825">
        <v>0.68</v>
      </c>
    </row>
    <row r="4390" spans="1:10" ht="13.5" customHeight="1">
      <c r="A4390" s="827"/>
      <c r="B4390" s="827"/>
      <c r="C4390" s="827"/>
      <c r="D4390" s="827"/>
      <c r="E4390" s="827" t="s">
        <v>13503</v>
      </c>
      <c r="F4390" s="826">
        <v>12.24</v>
      </c>
      <c r="G4390" s="827" t="s">
        <v>13504</v>
      </c>
      <c r="H4390" s="826">
        <v>0</v>
      </c>
      <c r="I4390" s="827" t="s">
        <v>13505</v>
      </c>
      <c r="J4390" s="826">
        <v>12.24</v>
      </c>
    </row>
    <row r="4391" spans="1:10" ht="13.5" customHeight="1" thickBot="1">
      <c r="A4391" s="827"/>
      <c r="B4391" s="827"/>
      <c r="C4391" s="827"/>
      <c r="D4391" s="827"/>
      <c r="E4391" s="827" t="s">
        <v>13506</v>
      </c>
      <c r="F4391" s="826">
        <v>4.84</v>
      </c>
      <c r="G4391" s="827"/>
      <c r="H4391" s="1018" t="s">
        <v>13507</v>
      </c>
      <c r="I4391" s="1018"/>
      <c r="J4391" s="826">
        <v>21.98</v>
      </c>
    </row>
    <row r="4392" spans="1:10" ht="13.5" thickTop="1">
      <c r="A4392" s="828"/>
      <c r="B4392" s="828"/>
      <c r="C4392" s="828"/>
      <c r="D4392" s="828"/>
      <c r="E4392" s="828"/>
      <c r="F4392" s="828"/>
      <c r="G4392" s="828"/>
      <c r="H4392" s="828"/>
      <c r="I4392" s="828"/>
      <c r="J4392" s="828"/>
    </row>
    <row r="4393" spans="1:10" ht="38.25" customHeight="1">
      <c r="A4393" s="809"/>
      <c r="B4393" s="808" t="s">
        <v>13481</v>
      </c>
      <c r="C4393" s="809" t="s">
        <v>13482</v>
      </c>
      <c r="D4393" s="809" t="s">
        <v>13483</v>
      </c>
      <c r="E4393" s="1019" t="s">
        <v>13484</v>
      </c>
      <c r="F4393" s="1019"/>
      <c r="G4393" s="810" t="s">
        <v>13485</v>
      </c>
      <c r="H4393" s="808" t="s">
        <v>13486</v>
      </c>
      <c r="I4393" s="808" t="s">
        <v>13487</v>
      </c>
      <c r="J4393" s="808" t="s">
        <v>4867</v>
      </c>
    </row>
    <row r="4394" spans="1:10" ht="25.5" customHeight="1">
      <c r="A4394" s="812" t="s">
        <v>13488</v>
      </c>
      <c r="B4394" s="811" t="s">
        <v>13844</v>
      </c>
      <c r="C4394" s="812" t="s">
        <v>6</v>
      </c>
      <c r="D4394" s="812" t="s">
        <v>3682</v>
      </c>
      <c r="E4394" s="1020" t="s">
        <v>13826</v>
      </c>
      <c r="F4394" s="1020"/>
      <c r="G4394" s="813" t="s">
        <v>24</v>
      </c>
      <c r="H4394" s="814">
        <v>1</v>
      </c>
      <c r="I4394" s="815">
        <v>233.48</v>
      </c>
      <c r="J4394" s="815">
        <v>233.48</v>
      </c>
    </row>
    <row r="4395" spans="1:10" ht="38.25" customHeight="1">
      <c r="A4395" s="817" t="s">
        <v>13491</v>
      </c>
      <c r="B4395" s="816" t="s">
        <v>14116</v>
      </c>
      <c r="C4395" s="817" t="s">
        <v>6</v>
      </c>
      <c r="D4395" s="817" t="s">
        <v>2204</v>
      </c>
      <c r="E4395" s="1021" t="s">
        <v>13539</v>
      </c>
      <c r="F4395" s="1021"/>
      <c r="G4395" s="818" t="s">
        <v>42</v>
      </c>
      <c r="H4395" s="819">
        <v>0.157</v>
      </c>
      <c r="I4395" s="820">
        <v>129.84</v>
      </c>
      <c r="J4395" s="820">
        <v>20.38</v>
      </c>
    </row>
    <row r="4396" spans="1:10" ht="13.5" customHeight="1">
      <c r="A4396" s="817" t="s">
        <v>13491</v>
      </c>
      <c r="B4396" s="816" t="s">
        <v>14117</v>
      </c>
      <c r="C4396" s="817" t="s">
        <v>6</v>
      </c>
      <c r="D4396" s="817" t="s">
        <v>2203</v>
      </c>
      <c r="E4396" s="1021" t="s">
        <v>13539</v>
      </c>
      <c r="F4396" s="1021"/>
      <c r="G4396" s="818" t="s">
        <v>28</v>
      </c>
      <c r="H4396" s="819">
        <v>0.1133</v>
      </c>
      <c r="I4396" s="820">
        <v>282.62</v>
      </c>
      <c r="J4396" s="820">
        <v>32.020000000000003</v>
      </c>
    </row>
    <row r="4397" spans="1:10" ht="38.25" customHeight="1">
      <c r="A4397" s="817" t="s">
        <v>13491</v>
      </c>
      <c r="B4397" s="816" t="s">
        <v>13553</v>
      </c>
      <c r="C4397" s="817" t="s">
        <v>6</v>
      </c>
      <c r="D4397" s="817" t="s">
        <v>21</v>
      </c>
      <c r="E4397" s="1021" t="s">
        <v>13490</v>
      </c>
      <c r="F4397" s="1021"/>
      <c r="G4397" s="818" t="s">
        <v>19</v>
      </c>
      <c r="H4397" s="819">
        <v>2.6429999999999998</v>
      </c>
      <c r="I4397" s="820">
        <v>15.16</v>
      </c>
      <c r="J4397" s="820">
        <v>40.06</v>
      </c>
    </row>
    <row r="4398" spans="1:10" ht="38.25" customHeight="1">
      <c r="A4398" s="817" t="s">
        <v>13491</v>
      </c>
      <c r="B4398" s="816" t="s">
        <v>13561</v>
      </c>
      <c r="C4398" s="817" t="s">
        <v>6</v>
      </c>
      <c r="D4398" s="817" t="s">
        <v>131</v>
      </c>
      <c r="E4398" s="1021" t="s">
        <v>13490</v>
      </c>
      <c r="F4398" s="1021"/>
      <c r="G4398" s="818" t="s">
        <v>19</v>
      </c>
      <c r="H4398" s="819">
        <v>7.94</v>
      </c>
      <c r="I4398" s="820">
        <v>13.65</v>
      </c>
      <c r="J4398" s="820">
        <v>108.38</v>
      </c>
    </row>
    <row r="4399" spans="1:10" ht="38.25" customHeight="1">
      <c r="A4399" s="822" t="s">
        <v>13493</v>
      </c>
      <c r="B4399" s="821" t="s">
        <v>14695</v>
      </c>
      <c r="C4399" s="822" t="s">
        <v>6</v>
      </c>
      <c r="D4399" s="822" t="s">
        <v>4739</v>
      </c>
      <c r="E4399" s="1017" t="s">
        <v>13514</v>
      </c>
      <c r="F4399" s="1017"/>
      <c r="G4399" s="823" t="s">
        <v>24</v>
      </c>
      <c r="H4399" s="824">
        <v>12</v>
      </c>
      <c r="I4399" s="825">
        <v>2.72</v>
      </c>
      <c r="J4399" s="825">
        <v>32.64</v>
      </c>
    </row>
    <row r="4400" spans="1:10" ht="25.5">
      <c r="A4400" s="827"/>
      <c r="B4400" s="827"/>
      <c r="C4400" s="827"/>
      <c r="D4400" s="827"/>
      <c r="E4400" s="827" t="s">
        <v>13503</v>
      </c>
      <c r="F4400" s="826">
        <v>108.02</v>
      </c>
      <c r="G4400" s="827" t="s">
        <v>13504</v>
      </c>
      <c r="H4400" s="826">
        <v>0</v>
      </c>
      <c r="I4400" s="827" t="s">
        <v>13505</v>
      </c>
      <c r="J4400" s="826">
        <v>108.02</v>
      </c>
    </row>
    <row r="4401" spans="1:10" ht="13.5" customHeight="1" thickBot="1">
      <c r="A4401" s="827"/>
      <c r="B4401" s="827"/>
      <c r="C4401" s="827"/>
      <c r="D4401" s="827"/>
      <c r="E4401" s="827" t="s">
        <v>13506</v>
      </c>
      <c r="F4401" s="826">
        <v>65.930000000000007</v>
      </c>
      <c r="G4401" s="827"/>
      <c r="H4401" s="1018" t="s">
        <v>13507</v>
      </c>
      <c r="I4401" s="1018"/>
      <c r="J4401" s="826">
        <v>299.41000000000003</v>
      </c>
    </row>
    <row r="4402" spans="1:10" ht="13.5" customHeight="1" thickTop="1">
      <c r="A4402" s="828"/>
      <c r="B4402" s="828"/>
      <c r="C4402" s="828"/>
      <c r="D4402" s="828"/>
      <c r="E4402" s="828"/>
      <c r="F4402" s="828"/>
      <c r="G4402" s="828"/>
      <c r="H4402" s="828"/>
      <c r="I4402" s="828"/>
      <c r="J4402" s="828"/>
    </row>
    <row r="4403" spans="1:10" ht="15">
      <c r="A4403" s="809"/>
      <c r="B4403" s="808" t="s">
        <v>13481</v>
      </c>
      <c r="C4403" s="809" t="s">
        <v>13482</v>
      </c>
      <c r="D4403" s="809" t="s">
        <v>13483</v>
      </c>
      <c r="E4403" s="1019" t="s">
        <v>13484</v>
      </c>
      <c r="F4403" s="1019"/>
      <c r="G4403" s="810" t="s">
        <v>13485</v>
      </c>
      <c r="H4403" s="808" t="s">
        <v>13486</v>
      </c>
      <c r="I4403" s="808" t="s">
        <v>13487</v>
      </c>
      <c r="J4403" s="808" t="s">
        <v>4867</v>
      </c>
    </row>
    <row r="4404" spans="1:10" ht="25.5" customHeight="1">
      <c r="A4404" s="812" t="s">
        <v>13488</v>
      </c>
      <c r="B4404" s="811" t="s">
        <v>13833</v>
      </c>
      <c r="C4404" s="812" t="s">
        <v>6</v>
      </c>
      <c r="D4404" s="812" t="s">
        <v>3679</v>
      </c>
      <c r="E4404" s="1020" t="s">
        <v>13826</v>
      </c>
      <c r="F4404" s="1020"/>
      <c r="G4404" s="813" t="s">
        <v>24</v>
      </c>
      <c r="H4404" s="814">
        <v>1</v>
      </c>
      <c r="I4404" s="815">
        <v>141.71</v>
      </c>
      <c r="J4404" s="815">
        <v>141.71</v>
      </c>
    </row>
    <row r="4405" spans="1:10" ht="25.5" customHeight="1">
      <c r="A4405" s="817" t="s">
        <v>13491</v>
      </c>
      <c r="B4405" s="816" t="s">
        <v>14116</v>
      </c>
      <c r="C4405" s="817" t="s">
        <v>6</v>
      </c>
      <c r="D4405" s="817" t="s">
        <v>2204</v>
      </c>
      <c r="E4405" s="1021" t="s">
        <v>13539</v>
      </c>
      <c r="F4405" s="1021"/>
      <c r="G4405" s="818" t="s">
        <v>42</v>
      </c>
      <c r="H4405" s="819">
        <v>0.157</v>
      </c>
      <c r="I4405" s="820">
        <v>129.84</v>
      </c>
      <c r="J4405" s="820">
        <v>20.38</v>
      </c>
    </row>
    <row r="4406" spans="1:10" ht="38.25" customHeight="1">
      <c r="A4406" s="817" t="s">
        <v>13491</v>
      </c>
      <c r="B4406" s="816" t="s">
        <v>14117</v>
      </c>
      <c r="C4406" s="817" t="s">
        <v>6</v>
      </c>
      <c r="D4406" s="817" t="s">
        <v>2203</v>
      </c>
      <c r="E4406" s="1021" t="s">
        <v>13539</v>
      </c>
      <c r="F4406" s="1021"/>
      <c r="G4406" s="818" t="s">
        <v>28</v>
      </c>
      <c r="H4406" s="819">
        <v>0.1133</v>
      </c>
      <c r="I4406" s="820">
        <v>282.62</v>
      </c>
      <c r="J4406" s="820">
        <v>32.020000000000003</v>
      </c>
    </row>
    <row r="4407" spans="1:10" ht="38.25" customHeight="1">
      <c r="A4407" s="817" t="s">
        <v>13491</v>
      </c>
      <c r="B4407" s="816" t="s">
        <v>13553</v>
      </c>
      <c r="C4407" s="817" t="s">
        <v>6</v>
      </c>
      <c r="D4407" s="817" t="s">
        <v>21</v>
      </c>
      <c r="E4407" s="1021" t="s">
        <v>13490</v>
      </c>
      <c r="F4407" s="1021"/>
      <c r="G4407" s="818" t="s">
        <v>19</v>
      </c>
      <c r="H4407" s="819">
        <v>1.44</v>
      </c>
      <c r="I4407" s="820">
        <v>15.16</v>
      </c>
      <c r="J4407" s="820">
        <v>21.83</v>
      </c>
    </row>
    <row r="4408" spans="1:10" ht="38.25" customHeight="1">
      <c r="A4408" s="817" t="s">
        <v>13491</v>
      </c>
      <c r="B4408" s="816" t="s">
        <v>13561</v>
      </c>
      <c r="C4408" s="817" t="s">
        <v>6</v>
      </c>
      <c r="D4408" s="817" t="s">
        <v>131</v>
      </c>
      <c r="E4408" s="1021" t="s">
        <v>13490</v>
      </c>
      <c r="F4408" s="1021"/>
      <c r="G4408" s="818" t="s">
        <v>19</v>
      </c>
      <c r="H4408" s="819">
        <v>2.5529999999999999</v>
      </c>
      <c r="I4408" s="820">
        <v>13.65</v>
      </c>
      <c r="J4408" s="820">
        <v>34.840000000000003</v>
      </c>
    </row>
    <row r="4409" spans="1:10" ht="25.5">
      <c r="A4409" s="822" t="s">
        <v>13493</v>
      </c>
      <c r="B4409" s="821" t="s">
        <v>14695</v>
      </c>
      <c r="C4409" s="822" t="s">
        <v>6</v>
      </c>
      <c r="D4409" s="822" t="s">
        <v>4739</v>
      </c>
      <c r="E4409" s="1017" t="s">
        <v>13514</v>
      </c>
      <c r="F4409" s="1017"/>
      <c r="G4409" s="823" t="s">
        <v>24</v>
      </c>
      <c r="H4409" s="824">
        <v>12</v>
      </c>
      <c r="I4409" s="825">
        <v>2.72</v>
      </c>
      <c r="J4409" s="825">
        <v>32.64</v>
      </c>
    </row>
    <row r="4410" spans="1:10" ht="25.5">
      <c r="A4410" s="827"/>
      <c r="B4410" s="827"/>
      <c r="C4410" s="827"/>
      <c r="D4410" s="827"/>
      <c r="E4410" s="827" t="s">
        <v>13503</v>
      </c>
      <c r="F4410" s="826">
        <v>42.68</v>
      </c>
      <c r="G4410" s="827" t="s">
        <v>13504</v>
      </c>
      <c r="H4410" s="826">
        <v>0</v>
      </c>
      <c r="I4410" s="827" t="s">
        <v>13505</v>
      </c>
      <c r="J4410" s="826">
        <v>42.68</v>
      </c>
    </row>
    <row r="4411" spans="1:10" ht="13.5" customHeight="1" thickBot="1">
      <c r="A4411" s="827"/>
      <c r="B4411" s="827"/>
      <c r="C4411" s="827"/>
      <c r="D4411" s="827"/>
      <c r="E4411" s="827" t="s">
        <v>13506</v>
      </c>
      <c r="F4411" s="826">
        <v>40.01</v>
      </c>
      <c r="G4411" s="827"/>
      <c r="H4411" s="1018" t="s">
        <v>13507</v>
      </c>
      <c r="I4411" s="1018"/>
      <c r="J4411" s="826">
        <v>181.72</v>
      </c>
    </row>
    <row r="4412" spans="1:10" ht="13.5" thickTop="1">
      <c r="A4412" s="828"/>
      <c r="B4412" s="828"/>
      <c r="C4412" s="828"/>
      <c r="D4412" s="828"/>
      <c r="E4412" s="828"/>
      <c r="F4412" s="828"/>
      <c r="G4412" s="828"/>
      <c r="H4412" s="828"/>
      <c r="I4412" s="828"/>
      <c r="J4412" s="828"/>
    </row>
    <row r="4413" spans="1:10" ht="15">
      <c r="A4413" s="809"/>
      <c r="B4413" s="808" t="s">
        <v>13481</v>
      </c>
      <c r="C4413" s="809" t="s">
        <v>13482</v>
      </c>
      <c r="D4413" s="809" t="s">
        <v>13483</v>
      </c>
      <c r="E4413" s="1019" t="s">
        <v>13484</v>
      </c>
      <c r="F4413" s="1019"/>
      <c r="G4413" s="810" t="s">
        <v>13485</v>
      </c>
      <c r="H4413" s="808" t="s">
        <v>13486</v>
      </c>
      <c r="I4413" s="808" t="s">
        <v>13487</v>
      </c>
      <c r="J4413" s="808" t="s">
        <v>4867</v>
      </c>
    </row>
    <row r="4414" spans="1:10" ht="25.5" customHeight="1">
      <c r="A4414" s="812" t="s">
        <v>13488</v>
      </c>
      <c r="B4414" s="811" t="s">
        <v>13841</v>
      </c>
      <c r="C4414" s="812" t="s">
        <v>6</v>
      </c>
      <c r="D4414" s="812" t="s">
        <v>3681</v>
      </c>
      <c r="E4414" s="1020" t="s">
        <v>13826</v>
      </c>
      <c r="F4414" s="1020"/>
      <c r="G4414" s="813" t="s">
        <v>24</v>
      </c>
      <c r="H4414" s="814">
        <v>1</v>
      </c>
      <c r="I4414" s="815">
        <v>192.66</v>
      </c>
      <c r="J4414" s="815">
        <v>192.66</v>
      </c>
    </row>
    <row r="4415" spans="1:10" ht="38.25" customHeight="1">
      <c r="A4415" s="817" t="s">
        <v>13491</v>
      </c>
      <c r="B4415" s="816" t="s">
        <v>14116</v>
      </c>
      <c r="C4415" s="817" t="s">
        <v>6</v>
      </c>
      <c r="D4415" s="817" t="s">
        <v>2204</v>
      </c>
      <c r="E4415" s="1021" t="s">
        <v>13539</v>
      </c>
      <c r="F4415" s="1021"/>
      <c r="G4415" s="818" t="s">
        <v>42</v>
      </c>
      <c r="H4415" s="819">
        <v>0.157</v>
      </c>
      <c r="I4415" s="820">
        <v>129.84</v>
      </c>
      <c r="J4415" s="820">
        <v>20.38</v>
      </c>
    </row>
    <row r="4416" spans="1:10" ht="38.25" customHeight="1">
      <c r="A4416" s="817" t="s">
        <v>13491</v>
      </c>
      <c r="B4416" s="816" t="s">
        <v>14117</v>
      </c>
      <c r="C4416" s="817" t="s">
        <v>6</v>
      </c>
      <c r="D4416" s="817" t="s">
        <v>2203</v>
      </c>
      <c r="E4416" s="1021" t="s">
        <v>13539</v>
      </c>
      <c r="F4416" s="1021"/>
      <c r="G4416" s="818" t="s">
        <v>28</v>
      </c>
      <c r="H4416" s="819">
        <v>0.1133</v>
      </c>
      <c r="I4416" s="820">
        <v>282.62</v>
      </c>
      <c r="J4416" s="820">
        <v>32.020000000000003</v>
      </c>
    </row>
    <row r="4417" spans="1:10" ht="38.25" customHeight="1">
      <c r="A4417" s="817" t="s">
        <v>13491</v>
      </c>
      <c r="B4417" s="816" t="s">
        <v>13553</v>
      </c>
      <c r="C4417" s="817" t="s">
        <v>6</v>
      </c>
      <c r="D4417" s="817" t="s">
        <v>21</v>
      </c>
      <c r="E4417" s="1021" t="s">
        <v>13490</v>
      </c>
      <c r="F4417" s="1021"/>
      <c r="G4417" s="818" t="s">
        <v>19</v>
      </c>
      <c r="H4417" s="819">
        <v>2.0939999999999999</v>
      </c>
      <c r="I4417" s="820">
        <v>15.16</v>
      </c>
      <c r="J4417" s="820">
        <v>31.74</v>
      </c>
    </row>
    <row r="4418" spans="1:10" ht="38.25" customHeight="1">
      <c r="A4418" s="817" t="s">
        <v>13491</v>
      </c>
      <c r="B4418" s="816" t="s">
        <v>13561</v>
      </c>
      <c r="C4418" s="817" t="s">
        <v>6</v>
      </c>
      <c r="D4418" s="817" t="s">
        <v>131</v>
      </c>
      <c r="E4418" s="1021" t="s">
        <v>13490</v>
      </c>
      <c r="F4418" s="1021"/>
      <c r="G4418" s="818" t="s">
        <v>19</v>
      </c>
      <c r="H4418" s="819">
        <v>5.5590000000000002</v>
      </c>
      <c r="I4418" s="820">
        <v>13.65</v>
      </c>
      <c r="J4418" s="820">
        <v>75.88</v>
      </c>
    </row>
    <row r="4419" spans="1:10" ht="25.5">
      <c r="A4419" s="822" t="s">
        <v>13493</v>
      </c>
      <c r="B4419" s="821" t="s">
        <v>14695</v>
      </c>
      <c r="C4419" s="822" t="s">
        <v>6</v>
      </c>
      <c r="D4419" s="822" t="s">
        <v>4739</v>
      </c>
      <c r="E4419" s="1017" t="s">
        <v>13514</v>
      </c>
      <c r="F4419" s="1017"/>
      <c r="G4419" s="823" t="s">
        <v>24</v>
      </c>
      <c r="H4419" s="824">
        <v>12</v>
      </c>
      <c r="I4419" s="825">
        <v>2.72</v>
      </c>
      <c r="J4419" s="825">
        <v>32.64</v>
      </c>
    </row>
    <row r="4420" spans="1:10" ht="25.5">
      <c r="A4420" s="827"/>
      <c r="B4420" s="827"/>
      <c r="C4420" s="827"/>
      <c r="D4420" s="827"/>
      <c r="E4420" s="827" t="s">
        <v>13503</v>
      </c>
      <c r="F4420" s="826">
        <v>78.959999999999994</v>
      </c>
      <c r="G4420" s="827" t="s">
        <v>13504</v>
      </c>
      <c r="H4420" s="826">
        <v>0</v>
      </c>
      <c r="I4420" s="827" t="s">
        <v>13505</v>
      </c>
      <c r="J4420" s="826">
        <v>78.959999999999994</v>
      </c>
    </row>
    <row r="4421" spans="1:10" ht="13.5" customHeight="1" thickBot="1">
      <c r="A4421" s="827"/>
      <c r="B4421" s="827"/>
      <c r="C4421" s="827"/>
      <c r="D4421" s="827"/>
      <c r="E4421" s="827" t="s">
        <v>13506</v>
      </c>
      <c r="F4421" s="826">
        <v>54.4</v>
      </c>
      <c r="G4421" s="827"/>
      <c r="H4421" s="1018" t="s">
        <v>13507</v>
      </c>
      <c r="I4421" s="1018"/>
      <c r="J4421" s="826">
        <v>247.06</v>
      </c>
    </row>
    <row r="4422" spans="1:10" ht="13.5" thickTop="1">
      <c r="A4422" s="828"/>
      <c r="B4422" s="828"/>
      <c r="C4422" s="828"/>
      <c r="D4422" s="828"/>
      <c r="E4422" s="828"/>
      <c r="F4422" s="828"/>
      <c r="G4422" s="828"/>
      <c r="H4422" s="828"/>
      <c r="I4422" s="828"/>
      <c r="J4422" s="828"/>
    </row>
    <row r="4423" spans="1:10" ht="15">
      <c r="A4423" s="809"/>
      <c r="B4423" s="808" t="s">
        <v>13481</v>
      </c>
      <c r="C4423" s="809" t="s">
        <v>13482</v>
      </c>
      <c r="D4423" s="809" t="s">
        <v>13483</v>
      </c>
      <c r="E4423" s="1019" t="s">
        <v>13484</v>
      </c>
      <c r="F4423" s="1019"/>
      <c r="G4423" s="810" t="s">
        <v>13485</v>
      </c>
      <c r="H4423" s="808" t="s">
        <v>13486</v>
      </c>
      <c r="I4423" s="808" t="s">
        <v>13487</v>
      </c>
      <c r="J4423" s="808" t="s">
        <v>4867</v>
      </c>
    </row>
    <row r="4424" spans="1:10" ht="25.5" customHeight="1">
      <c r="A4424" s="812" t="s">
        <v>13488</v>
      </c>
      <c r="B4424" s="811" t="s">
        <v>14227</v>
      </c>
      <c r="C4424" s="812" t="s">
        <v>6</v>
      </c>
      <c r="D4424" s="812" t="s">
        <v>437</v>
      </c>
      <c r="E4424" s="1020" t="s">
        <v>14194</v>
      </c>
      <c r="F4424" s="1020"/>
      <c r="G4424" s="813" t="s">
        <v>24</v>
      </c>
      <c r="H4424" s="814">
        <v>1</v>
      </c>
      <c r="I4424" s="815">
        <v>28.98</v>
      </c>
      <c r="J4424" s="815">
        <v>28.98</v>
      </c>
    </row>
    <row r="4425" spans="1:10" ht="38.25" customHeight="1">
      <c r="A4425" s="817" t="s">
        <v>13491</v>
      </c>
      <c r="B4425" s="816" t="s">
        <v>13567</v>
      </c>
      <c r="C4425" s="817" t="s">
        <v>6</v>
      </c>
      <c r="D4425" s="817" t="s">
        <v>35</v>
      </c>
      <c r="E4425" s="1021" t="s">
        <v>13490</v>
      </c>
      <c r="F4425" s="1021"/>
      <c r="G4425" s="818" t="s">
        <v>19</v>
      </c>
      <c r="H4425" s="819">
        <v>0.47199999999999998</v>
      </c>
      <c r="I4425" s="820">
        <v>19.53</v>
      </c>
      <c r="J4425" s="820">
        <v>9.2100000000000009</v>
      </c>
    </row>
    <row r="4426" spans="1:10" ht="38.25" customHeight="1">
      <c r="A4426" s="817" t="s">
        <v>13491</v>
      </c>
      <c r="B4426" s="816" t="s">
        <v>14121</v>
      </c>
      <c r="C4426" s="817" t="s">
        <v>6</v>
      </c>
      <c r="D4426" s="817" t="s">
        <v>37</v>
      </c>
      <c r="E4426" s="1021" t="s">
        <v>13490</v>
      </c>
      <c r="F4426" s="1021"/>
      <c r="G4426" s="818" t="s">
        <v>19</v>
      </c>
      <c r="H4426" s="819">
        <v>0.47199999999999998</v>
      </c>
      <c r="I4426" s="820">
        <v>15.19</v>
      </c>
      <c r="J4426" s="820">
        <v>7.16</v>
      </c>
    </row>
    <row r="4427" spans="1:10" ht="13.5" customHeight="1">
      <c r="A4427" s="822" t="s">
        <v>13493</v>
      </c>
      <c r="B4427" s="821" t="s">
        <v>14696</v>
      </c>
      <c r="C4427" s="822" t="s">
        <v>6</v>
      </c>
      <c r="D4427" s="822" t="s">
        <v>4688</v>
      </c>
      <c r="E4427" s="1017" t="s">
        <v>13514</v>
      </c>
      <c r="F4427" s="1017"/>
      <c r="G4427" s="823" t="s">
        <v>24</v>
      </c>
      <c r="H4427" s="824">
        <v>1</v>
      </c>
      <c r="I4427" s="825">
        <v>5.9</v>
      </c>
      <c r="J4427" s="825">
        <v>5.9</v>
      </c>
    </row>
    <row r="4428" spans="1:10">
      <c r="A4428" s="822" t="s">
        <v>13493</v>
      </c>
      <c r="B4428" s="821" t="s">
        <v>14697</v>
      </c>
      <c r="C4428" s="822" t="s">
        <v>6</v>
      </c>
      <c r="D4428" s="822" t="s">
        <v>4806</v>
      </c>
      <c r="E4428" s="1017" t="s">
        <v>13514</v>
      </c>
      <c r="F4428" s="1017"/>
      <c r="G4428" s="823" t="s">
        <v>24</v>
      </c>
      <c r="H4428" s="824">
        <v>1</v>
      </c>
      <c r="I4428" s="825">
        <v>6.71</v>
      </c>
      <c r="J4428" s="825">
        <v>6.71</v>
      </c>
    </row>
    <row r="4429" spans="1:10" ht="25.5">
      <c r="A4429" s="827"/>
      <c r="B4429" s="827"/>
      <c r="C4429" s="827"/>
      <c r="D4429" s="827"/>
      <c r="E4429" s="827" t="s">
        <v>13503</v>
      </c>
      <c r="F4429" s="826">
        <v>11.73</v>
      </c>
      <c r="G4429" s="827" t="s">
        <v>13504</v>
      </c>
      <c r="H4429" s="826">
        <v>0</v>
      </c>
      <c r="I4429" s="827" t="s">
        <v>13505</v>
      </c>
      <c r="J4429" s="826">
        <v>11.73</v>
      </c>
    </row>
    <row r="4430" spans="1:10" ht="13.5" customHeight="1" thickBot="1">
      <c r="A4430" s="827"/>
      <c r="B4430" s="827"/>
      <c r="C4430" s="827"/>
      <c r="D4430" s="827"/>
      <c r="E4430" s="827" t="s">
        <v>13506</v>
      </c>
      <c r="F4430" s="826">
        <v>8.18</v>
      </c>
      <c r="G4430" s="827"/>
      <c r="H4430" s="1018" t="s">
        <v>13507</v>
      </c>
      <c r="I4430" s="1018"/>
      <c r="J4430" s="826">
        <v>37.159999999999997</v>
      </c>
    </row>
    <row r="4431" spans="1:10" ht="13.5" thickTop="1">
      <c r="A4431" s="828"/>
      <c r="B4431" s="828"/>
      <c r="C4431" s="828"/>
      <c r="D4431" s="828"/>
      <c r="E4431" s="828"/>
      <c r="F4431" s="828"/>
      <c r="G4431" s="828"/>
      <c r="H4431" s="828"/>
      <c r="I4431" s="828"/>
      <c r="J4431" s="828"/>
    </row>
    <row r="4432" spans="1:10" ht="15">
      <c r="A4432" s="809"/>
      <c r="B4432" s="808" t="s">
        <v>13481</v>
      </c>
      <c r="C4432" s="809" t="s">
        <v>13482</v>
      </c>
      <c r="D4432" s="809" t="s">
        <v>13483</v>
      </c>
      <c r="E4432" s="1019" t="s">
        <v>13484</v>
      </c>
      <c r="F4432" s="1019"/>
      <c r="G4432" s="810" t="s">
        <v>13485</v>
      </c>
      <c r="H4432" s="808" t="s">
        <v>13486</v>
      </c>
      <c r="I4432" s="808" t="s">
        <v>13487</v>
      </c>
      <c r="J4432" s="808" t="s">
        <v>4867</v>
      </c>
    </row>
    <row r="4433" spans="1:10" ht="13.5" customHeight="1">
      <c r="A4433" s="812" t="s">
        <v>13488</v>
      </c>
      <c r="B4433" s="811" t="s">
        <v>14224</v>
      </c>
      <c r="C4433" s="812" t="s">
        <v>6</v>
      </c>
      <c r="D4433" s="812" t="s">
        <v>1874</v>
      </c>
      <c r="E4433" s="1020" t="s">
        <v>14194</v>
      </c>
      <c r="F4433" s="1020"/>
      <c r="G4433" s="813" t="s">
        <v>24</v>
      </c>
      <c r="H4433" s="814">
        <v>1</v>
      </c>
      <c r="I4433" s="815">
        <v>13.7</v>
      </c>
      <c r="J4433" s="815">
        <v>13.7</v>
      </c>
    </row>
    <row r="4434" spans="1:10" ht="38.25" customHeight="1">
      <c r="A4434" s="817" t="s">
        <v>13491</v>
      </c>
      <c r="B4434" s="816" t="s">
        <v>13567</v>
      </c>
      <c r="C4434" s="817" t="s">
        <v>6</v>
      </c>
      <c r="D4434" s="817" t="s">
        <v>35</v>
      </c>
      <c r="E4434" s="1021" t="s">
        <v>13490</v>
      </c>
      <c r="F4434" s="1021"/>
      <c r="G4434" s="818" t="s">
        <v>19</v>
      </c>
      <c r="H4434" s="819">
        <v>0.22500000000000001</v>
      </c>
      <c r="I4434" s="820">
        <v>19.53</v>
      </c>
      <c r="J4434" s="820">
        <v>4.3899999999999997</v>
      </c>
    </row>
    <row r="4435" spans="1:10" ht="38.25" customHeight="1">
      <c r="A4435" s="817" t="s">
        <v>13491</v>
      </c>
      <c r="B4435" s="816" t="s">
        <v>14121</v>
      </c>
      <c r="C4435" s="817" t="s">
        <v>6</v>
      </c>
      <c r="D4435" s="817" t="s">
        <v>37</v>
      </c>
      <c r="E4435" s="1021" t="s">
        <v>13490</v>
      </c>
      <c r="F4435" s="1021"/>
      <c r="G4435" s="818" t="s">
        <v>19</v>
      </c>
      <c r="H4435" s="819">
        <v>0.22500000000000001</v>
      </c>
      <c r="I4435" s="820">
        <v>15.19</v>
      </c>
      <c r="J4435" s="820">
        <v>3.41</v>
      </c>
    </row>
    <row r="4436" spans="1:10">
      <c r="A4436" s="822" t="s">
        <v>13493</v>
      </c>
      <c r="B4436" s="821" t="s">
        <v>14696</v>
      </c>
      <c r="C4436" s="822" t="s">
        <v>6</v>
      </c>
      <c r="D4436" s="822" t="s">
        <v>4688</v>
      </c>
      <c r="E4436" s="1017" t="s">
        <v>13514</v>
      </c>
      <c r="F4436" s="1017"/>
      <c r="G4436" s="823" t="s">
        <v>24</v>
      </c>
      <c r="H4436" s="824">
        <v>1</v>
      </c>
      <c r="I4436" s="825">
        <v>5.9</v>
      </c>
      <c r="J4436" s="825">
        <v>5.9</v>
      </c>
    </row>
    <row r="4437" spans="1:10" ht="25.5">
      <c r="A4437" s="827"/>
      <c r="B4437" s="827"/>
      <c r="C4437" s="827"/>
      <c r="D4437" s="827"/>
      <c r="E4437" s="827" t="s">
        <v>13503</v>
      </c>
      <c r="F4437" s="826">
        <v>5.59</v>
      </c>
      <c r="G4437" s="827" t="s">
        <v>13504</v>
      </c>
      <c r="H4437" s="826">
        <v>0</v>
      </c>
      <c r="I4437" s="827" t="s">
        <v>13505</v>
      </c>
      <c r="J4437" s="826">
        <v>5.59</v>
      </c>
    </row>
    <row r="4438" spans="1:10" ht="13.5" customHeight="1" thickBot="1">
      <c r="A4438" s="827"/>
      <c r="B4438" s="827"/>
      <c r="C4438" s="827"/>
      <c r="D4438" s="827"/>
      <c r="E4438" s="827" t="s">
        <v>13506</v>
      </c>
      <c r="F4438" s="826">
        <v>3.86</v>
      </c>
      <c r="G4438" s="827"/>
      <c r="H4438" s="1018" t="s">
        <v>13507</v>
      </c>
      <c r="I4438" s="1018"/>
      <c r="J4438" s="826">
        <v>17.559999999999999</v>
      </c>
    </row>
    <row r="4439" spans="1:10" ht="13.5" customHeight="1" thickTop="1">
      <c r="A4439" s="828"/>
      <c r="B4439" s="828"/>
      <c r="C4439" s="828"/>
      <c r="D4439" s="828"/>
      <c r="E4439" s="828"/>
      <c r="F4439" s="828"/>
      <c r="G4439" s="828"/>
      <c r="H4439" s="828"/>
      <c r="I4439" s="828"/>
      <c r="J4439" s="828"/>
    </row>
    <row r="4440" spans="1:10" ht="15">
      <c r="A4440" s="809"/>
      <c r="B4440" s="808" t="s">
        <v>13481</v>
      </c>
      <c r="C4440" s="809" t="s">
        <v>13482</v>
      </c>
      <c r="D4440" s="809" t="s">
        <v>13483</v>
      </c>
      <c r="E4440" s="1019" t="s">
        <v>13484</v>
      </c>
      <c r="F4440" s="1019"/>
      <c r="G4440" s="810" t="s">
        <v>13485</v>
      </c>
      <c r="H4440" s="808" t="s">
        <v>13486</v>
      </c>
      <c r="I4440" s="808" t="s">
        <v>13487</v>
      </c>
      <c r="J4440" s="808" t="s">
        <v>4867</v>
      </c>
    </row>
    <row r="4441" spans="1:10" ht="25.5" customHeight="1">
      <c r="A4441" s="812" t="s">
        <v>13488</v>
      </c>
      <c r="B4441" s="811" t="s">
        <v>13603</v>
      </c>
      <c r="C4441" s="812" t="s">
        <v>6</v>
      </c>
      <c r="D4441" s="812" t="s">
        <v>179</v>
      </c>
      <c r="E4441" s="1020" t="s">
        <v>13490</v>
      </c>
      <c r="F4441" s="1020"/>
      <c r="G4441" s="813" t="s">
        <v>19</v>
      </c>
      <c r="H4441" s="814">
        <v>1</v>
      </c>
      <c r="I4441" s="815">
        <v>16.41</v>
      </c>
      <c r="J4441" s="815">
        <v>16.41</v>
      </c>
    </row>
    <row r="4442" spans="1:10" ht="38.25" customHeight="1">
      <c r="A4442" s="817" t="s">
        <v>13491</v>
      </c>
      <c r="B4442" s="816" t="s">
        <v>14641</v>
      </c>
      <c r="C4442" s="817" t="s">
        <v>6</v>
      </c>
      <c r="D4442" s="817" t="s">
        <v>2575</v>
      </c>
      <c r="E4442" s="1021" t="s">
        <v>13490</v>
      </c>
      <c r="F4442" s="1021"/>
      <c r="G4442" s="818" t="s">
        <v>19</v>
      </c>
      <c r="H4442" s="819">
        <v>1</v>
      </c>
      <c r="I4442" s="820">
        <v>0.04</v>
      </c>
      <c r="J4442" s="820">
        <v>0.04</v>
      </c>
    </row>
    <row r="4443" spans="1:10">
      <c r="A4443" s="822" t="s">
        <v>13493</v>
      </c>
      <c r="B4443" s="821" t="s">
        <v>13528</v>
      </c>
      <c r="C4443" s="822" t="s">
        <v>6</v>
      </c>
      <c r="D4443" s="822" t="s">
        <v>4581</v>
      </c>
      <c r="E4443" s="1017" t="s">
        <v>13499</v>
      </c>
      <c r="F4443" s="1017"/>
      <c r="G4443" s="823" t="s">
        <v>19</v>
      </c>
      <c r="H4443" s="824">
        <v>1</v>
      </c>
      <c r="I4443" s="825">
        <v>1.52</v>
      </c>
      <c r="J4443" s="825">
        <v>1.52</v>
      </c>
    </row>
    <row r="4444" spans="1:10" ht="25.5">
      <c r="A4444" s="822" t="s">
        <v>13493</v>
      </c>
      <c r="B4444" s="821" t="s">
        <v>14430</v>
      </c>
      <c r="C4444" s="822" t="s">
        <v>6</v>
      </c>
      <c r="D4444" s="822" t="s">
        <v>4657</v>
      </c>
      <c r="E4444" s="1017" t="s">
        <v>13497</v>
      </c>
      <c r="F4444" s="1017"/>
      <c r="G4444" s="823" t="s">
        <v>19</v>
      </c>
      <c r="H4444" s="824">
        <v>1</v>
      </c>
      <c r="I4444" s="825">
        <v>1.0900000000000001</v>
      </c>
      <c r="J4444" s="825">
        <v>1.0900000000000001</v>
      </c>
    </row>
    <row r="4445" spans="1:10" ht="13.5" customHeight="1">
      <c r="A4445" s="822" t="s">
        <v>13493</v>
      </c>
      <c r="B4445" s="821" t="s">
        <v>13498</v>
      </c>
      <c r="C4445" s="822" t="s">
        <v>6</v>
      </c>
      <c r="D4445" s="822" t="s">
        <v>4665</v>
      </c>
      <c r="E4445" s="1017" t="s">
        <v>13499</v>
      </c>
      <c r="F4445" s="1017"/>
      <c r="G4445" s="823" t="s">
        <v>19</v>
      </c>
      <c r="H4445" s="824">
        <v>1</v>
      </c>
      <c r="I4445" s="825">
        <v>0.81</v>
      </c>
      <c r="J4445" s="825">
        <v>0.81</v>
      </c>
    </row>
    <row r="4446" spans="1:10" ht="25.5">
      <c r="A4446" s="822" t="s">
        <v>13493</v>
      </c>
      <c r="B4446" s="821" t="s">
        <v>14431</v>
      </c>
      <c r="C4446" s="822" t="s">
        <v>6</v>
      </c>
      <c r="D4446" s="822" t="s">
        <v>4673</v>
      </c>
      <c r="E4446" s="1017" t="s">
        <v>13497</v>
      </c>
      <c r="F4446" s="1017"/>
      <c r="G4446" s="823" t="s">
        <v>19</v>
      </c>
      <c r="H4446" s="824">
        <v>1</v>
      </c>
      <c r="I4446" s="825">
        <v>0.74</v>
      </c>
      <c r="J4446" s="825">
        <v>0.74</v>
      </c>
    </row>
    <row r="4447" spans="1:10">
      <c r="A4447" s="822" t="s">
        <v>13493</v>
      </c>
      <c r="B4447" s="821" t="s">
        <v>14642</v>
      </c>
      <c r="C4447" s="822" t="s">
        <v>6</v>
      </c>
      <c r="D4447" s="822" t="s">
        <v>10710</v>
      </c>
      <c r="E4447" s="1017" t="s">
        <v>13495</v>
      </c>
      <c r="F4447" s="1017"/>
      <c r="G4447" s="823" t="s">
        <v>19</v>
      </c>
      <c r="H4447" s="824">
        <v>1</v>
      </c>
      <c r="I4447" s="825">
        <v>11.47</v>
      </c>
      <c r="J4447" s="825">
        <v>11.47</v>
      </c>
    </row>
    <row r="4448" spans="1:10">
      <c r="A4448" s="822" t="s">
        <v>13493</v>
      </c>
      <c r="B4448" s="821" t="s">
        <v>13501</v>
      </c>
      <c r="C4448" s="822" t="s">
        <v>6</v>
      </c>
      <c r="D4448" s="822" t="s">
        <v>4779</v>
      </c>
      <c r="E4448" s="1017" t="s">
        <v>13502</v>
      </c>
      <c r="F4448" s="1017"/>
      <c r="G4448" s="823" t="s">
        <v>19</v>
      </c>
      <c r="H4448" s="824">
        <v>1</v>
      </c>
      <c r="I4448" s="825">
        <v>0.06</v>
      </c>
      <c r="J4448" s="825">
        <v>0.06</v>
      </c>
    </row>
    <row r="4449" spans="1:10">
      <c r="A4449" s="822" t="s">
        <v>13493</v>
      </c>
      <c r="B4449" s="821" t="s">
        <v>13531</v>
      </c>
      <c r="C4449" s="822" t="s">
        <v>6</v>
      </c>
      <c r="D4449" s="822" t="s">
        <v>4808</v>
      </c>
      <c r="E4449" s="1017" t="s">
        <v>13532</v>
      </c>
      <c r="F4449" s="1017"/>
      <c r="G4449" s="823" t="s">
        <v>19</v>
      </c>
      <c r="H4449" s="824">
        <v>1</v>
      </c>
      <c r="I4449" s="825">
        <v>0.68</v>
      </c>
      <c r="J4449" s="825">
        <v>0.68</v>
      </c>
    </row>
    <row r="4450" spans="1:10" ht="25.5">
      <c r="A4450" s="827"/>
      <c r="B4450" s="827"/>
      <c r="C4450" s="827"/>
      <c r="D4450" s="827"/>
      <c r="E4450" s="827" t="s">
        <v>13503</v>
      </c>
      <c r="F4450" s="826">
        <v>11.51</v>
      </c>
      <c r="G4450" s="827" t="s">
        <v>13504</v>
      </c>
      <c r="H4450" s="826">
        <v>0</v>
      </c>
      <c r="I4450" s="827" t="s">
        <v>13505</v>
      </c>
      <c r="J4450" s="826">
        <v>11.51</v>
      </c>
    </row>
    <row r="4451" spans="1:10" ht="13.5" customHeight="1" thickBot="1">
      <c r="A4451" s="827"/>
      <c r="B4451" s="827"/>
      <c r="C4451" s="827"/>
      <c r="D4451" s="827"/>
      <c r="E4451" s="827" t="s">
        <v>13506</v>
      </c>
      <c r="F4451" s="826">
        <v>4.63</v>
      </c>
      <c r="G4451" s="827"/>
      <c r="H4451" s="1018" t="s">
        <v>13507</v>
      </c>
      <c r="I4451" s="1018"/>
      <c r="J4451" s="826">
        <v>21.04</v>
      </c>
    </row>
    <row r="4452" spans="1:10" ht="13.5" thickTop="1">
      <c r="A4452" s="828"/>
      <c r="B4452" s="828"/>
      <c r="C4452" s="828"/>
      <c r="D4452" s="828"/>
      <c r="E4452" s="828"/>
      <c r="F4452" s="828"/>
      <c r="G4452" s="828"/>
      <c r="H4452" s="828"/>
      <c r="I4452" s="828"/>
      <c r="J4452" s="828"/>
    </row>
    <row r="4453" spans="1:10" ht="15">
      <c r="A4453" s="809"/>
      <c r="B4453" s="808" t="s">
        <v>13481</v>
      </c>
      <c r="C4453" s="809" t="s">
        <v>13482</v>
      </c>
      <c r="D4453" s="809" t="s">
        <v>13483</v>
      </c>
      <c r="E4453" s="1019" t="s">
        <v>13484</v>
      </c>
      <c r="F4453" s="1019"/>
      <c r="G4453" s="810" t="s">
        <v>13485</v>
      </c>
      <c r="H4453" s="808" t="s">
        <v>13486</v>
      </c>
      <c r="I4453" s="808" t="s">
        <v>13487</v>
      </c>
      <c r="J4453" s="808" t="s">
        <v>4867</v>
      </c>
    </row>
    <row r="4454" spans="1:10" ht="25.5" customHeight="1">
      <c r="A4454" s="812" t="s">
        <v>13488</v>
      </c>
      <c r="B4454" s="811" t="s">
        <v>14395</v>
      </c>
      <c r="C4454" s="812" t="s">
        <v>6</v>
      </c>
      <c r="D4454" s="812" t="s">
        <v>3586</v>
      </c>
      <c r="E4454" s="1020" t="s">
        <v>13539</v>
      </c>
      <c r="F4454" s="1020"/>
      <c r="G4454" s="813" t="s">
        <v>28</v>
      </c>
      <c r="H4454" s="814">
        <v>1</v>
      </c>
      <c r="I4454" s="815">
        <v>4.5599999999999996</v>
      </c>
      <c r="J4454" s="815">
        <v>4.5599999999999996</v>
      </c>
    </row>
    <row r="4455" spans="1:10" ht="38.25" customHeight="1">
      <c r="A4455" s="817" t="s">
        <v>13491</v>
      </c>
      <c r="B4455" s="816" t="s">
        <v>14698</v>
      </c>
      <c r="C4455" s="817" t="s">
        <v>6</v>
      </c>
      <c r="D4455" s="817" t="s">
        <v>3592</v>
      </c>
      <c r="E4455" s="1021" t="s">
        <v>13539</v>
      </c>
      <c r="F4455" s="1021"/>
      <c r="G4455" s="818" t="s">
        <v>19</v>
      </c>
      <c r="H4455" s="819">
        <v>1</v>
      </c>
      <c r="I4455" s="820">
        <v>4.0199999999999996</v>
      </c>
      <c r="J4455" s="820">
        <v>4.0199999999999996</v>
      </c>
    </row>
    <row r="4456" spans="1:10" ht="38.25" customHeight="1">
      <c r="A4456" s="817" t="s">
        <v>13491</v>
      </c>
      <c r="B4456" s="816" t="s">
        <v>14699</v>
      </c>
      <c r="C4456" s="817" t="s">
        <v>6</v>
      </c>
      <c r="D4456" s="817" t="s">
        <v>3589</v>
      </c>
      <c r="E4456" s="1021" t="s">
        <v>13539</v>
      </c>
      <c r="F4456" s="1021"/>
      <c r="G4456" s="818" t="s">
        <v>19</v>
      </c>
      <c r="H4456" s="819">
        <v>1</v>
      </c>
      <c r="I4456" s="820">
        <v>0.23</v>
      </c>
      <c r="J4456" s="820">
        <v>0.23</v>
      </c>
    </row>
    <row r="4457" spans="1:10" ht="13.5" customHeight="1">
      <c r="A4457" s="817" t="s">
        <v>13491</v>
      </c>
      <c r="B4457" s="816" t="s">
        <v>14701</v>
      </c>
      <c r="C4457" s="817" t="s">
        <v>6</v>
      </c>
      <c r="D4457" s="817" t="s">
        <v>3591</v>
      </c>
      <c r="E4457" s="1021" t="s">
        <v>13539</v>
      </c>
      <c r="F4457" s="1021"/>
      <c r="G4457" s="818" t="s">
        <v>19</v>
      </c>
      <c r="H4457" s="819">
        <v>1</v>
      </c>
      <c r="I4457" s="820">
        <v>0.28999999999999998</v>
      </c>
      <c r="J4457" s="820">
        <v>0.28999999999999998</v>
      </c>
    </row>
    <row r="4458" spans="1:10" ht="38.25" customHeight="1">
      <c r="A4458" s="817" t="s">
        <v>13491</v>
      </c>
      <c r="B4458" s="816" t="s">
        <v>14700</v>
      </c>
      <c r="C4458" s="817" t="s">
        <v>6</v>
      </c>
      <c r="D4458" s="817" t="s">
        <v>3590</v>
      </c>
      <c r="E4458" s="1021" t="s">
        <v>13539</v>
      </c>
      <c r="F4458" s="1021"/>
      <c r="G4458" s="818" t="s">
        <v>19</v>
      </c>
      <c r="H4458" s="819">
        <v>1</v>
      </c>
      <c r="I4458" s="820">
        <v>0.02</v>
      </c>
      <c r="J4458" s="820">
        <v>0.02</v>
      </c>
    </row>
    <row r="4459" spans="1:10" ht="25.5">
      <c r="A4459" s="827"/>
      <c r="B4459" s="827"/>
      <c r="C4459" s="827"/>
      <c r="D4459" s="827"/>
      <c r="E4459" s="827" t="s">
        <v>13503</v>
      </c>
      <c r="F4459" s="826">
        <v>0</v>
      </c>
      <c r="G4459" s="827" t="s">
        <v>13504</v>
      </c>
      <c r="H4459" s="826">
        <v>0</v>
      </c>
      <c r="I4459" s="827" t="s">
        <v>13505</v>
      </c>
      <c r="J4459" s="826">
        <v>0</v>
      </c>
    </row>
    <row r="4460" spans="1:10" ht="13.5" customHeight="1" thickBot="1">
      <c r="A4460" s="827"/>
      <c r="B4460" s="827"/>
      <c r="C4460" s="827"/>
      <c r="D4460" s="827"/>
      <c r="E4460" s="827" t="s">
        <v>13506</v>
      </c>
      <c r="F4460" s="826">
        <v>1.28</v>
      </c>
      <c r="G4460" s="827"/>
      <c r="H4460" s="1018" t="s">
        <v>13507</v>
      </c>
      <c r="I4460" s="1018"/>
      <c r="J4460" s="826">
        <v>5.84</v>
      </c>
    </row>
    <row r="4461" spans="1:10" ht="13.5" thickTop="1">
      <c r="A4461" s="828"/>
      <c r="B4461" s="828"/>
      <c r="C4461" s="828"/>
      <c r="D4461" s="828"/>
      <c r="E4461" s="828"/>
      <c r="F4461" s="828"/>
      <c r="G4461" s="828"/>
      <c r="H4461" s="828"/>
      <c r="I4461" s="828"/>
      <c r="J4461" s="828"/>
    </row>
    <row r="4462" spans="1:10" ht="15">
      <c r="A4462" s="809"/>
      <c r="B4462" s="808" t="s">
        <v>13481</v>
      </c>
      <c r="C4462" s="809" t="s">
        <v>13482</v>
      </c>
      <c r="D4462" s="809" t="s">
        <v>13483</v>
      </c>
      <c r="E4462" s="1019" t="s">
        <v>13484</v>
      </c>
      <c r="F4462" s="1019"/>
      <c r="G4462" s="810" t="s">
        <v>13485</v>
      </c>
      <c r="H4462" s="808" t="s">
        <v>13486</v>
      </c>
      <c r="I4462" s="808" t="s">
        <v>13487</v>
      </c>
      <c r="J4462" s="808" t="s">
        <v>4867</v>
      </c>
    </row>
    <row r="4463" spans="1:10" ht="13.5" customHeight="1">
      <c r="A4463" s="812" t="s">
        <v>13488</v>
      </c>
      <c r="B4463" s="811" t="s">
        <v>14699</v>
      </c>
      <c r="C4463" s="812" t="s">
        <v>6</v>
      </c>
      <c r="D4463" s="812" t="s">
        <v>3589</v>
      </c>
      <c r="E4463" s="1020" t="s">
        <v>13539</v>
      </c>
      <c r="F4463" s="1020"/>
      <c r="G4463" s="813" t="s">
        <v>19</v>
      </c>
      <c r="H4463" s="814">
        <v>1</v>
      </c>
      <c r="I4463" s="815">
        <v>0.23</v>
      </c>
      <c r="J4463" s="815">
        <v>0.23</v>
      </c>
    </row>
    <row r="4464" spans="1:10" ht="38.25">
      <c r="A4464" s="822" t="s">
        <v>13493</v>
      </c>
      <c r="B4464" s="821" t="s">
        <v>14702</v>
      </c>
      <c r="C4464" s="822" t="s">
        <v>6</v>
      </c>
      <c r="D4464" s="822" t="s">
        <v>10966</v>
      </c>
      <c r="E4464" s="1017" t="s">
        <v>13497</v>
      </c>
      <c r="F4464" s="1017"/>
      <c r="G4464" s="823" t="s">
        <v>24</v>
      </c>
      <c r="H4464" s="824">
        <v>7.2000000000000002E-5</v>
      </c>
      <c r="I4464" s="825">
        <v>3300</v>
      </c>
      <c r="J4464" s="825">
        <v>0.23</v>
      </c>
    </row>
    <row r="4465" spans="1:10" ht="25.5">
      <c r="A4465" s="827"/>
      <c r="B4465" s="827"/>
      <c r="C4465" s="827"/>
      <c r="D4465" s="827"/>
      <c r="E4465" s="827" t="s">
        <v>13503</v>
      </c>
      <c r="F4465" s="826">
        <v>0</v>
      </c>
      <c r="G4465" s="827" t="s">
        <v>13504</v>
      </c>
      <c r="H4465" s="826">
        <v>0</v>
      </c>
      <c r="I4465" s="827" t="s">
        <v>13505</v>
      </c>
      <c r="J4465" s="826">
        <v>0</v>
      </c>
    </row>
    <row r="4466" spans="1:10" ht="13.5" customHeight="1" thickBot="1">
      <c r="A4466" s="827"/>
      <c r="B4466" s="827"/>
      <c r="C4466" s="827"/>
      <c r="D4466" s="827"/>
      <c r="E4466" s="827" t="s">
        <v>13506</v>
      </c>
      <c r="F4466" s="826">
        <v>0.06</v>
      </c>
      <c r="G4466" s="827"/>
      <c r="H4466" s="1018" t="s">
        <v>13507</v>
      </c>
      <c r="I4466" s="1018"/>
      <c r="J4466" s="826">
        <v>0.28999999999999998</v>
      </c>
    </row>
    <row r="4467" spans="1:10" ht="13.5" thickTop="1">
      <c r="A4467" s="828"/>
      <c r="B4467" s="828"/>
      <c r="C4467" s="828"/>
      <c r="D4467" s="828"/>
      <c r="E4467" s="828"/>
      <c r="F4467" s="828"/>
      <c r="G4467" s="828"/>
      <c r="H4467" s="828"/>
      <c r="I4467" s="828"/>
      <c r="J4467" s="828"/>
    </row>
    <row r="4468" spans="1:10" ht="15">
      <c r="A4468" s="809"/>
      <c r="B4468" s="808" t="s">
        <v>13481</v>
      </c>
      <c r="C4468" s="809" t="s">
        <v>13482</v>
      </c>
      <c r="D4468" s="809" t="s">
        <v>13483</v>
      </c>
      <c r="E4468" s="1019" t="s">
        <v>13484</v>
      </c>
      <c r="F4468" s="1019"/>
      <c r="G4468" s="810" t="s">
        <v>13485</v>
      </c>
      <c r="H4468" s="808" t="s">
        <v>13486</v>
      </c>
      <c r="I4468" s="808" t="s">
        <v>13487</v>
      </c>
      <c r="J4468" s="808" t="s">
        <v>4867</v>
      </c>
    </row>
    <row r="4469" spans="1:10" ht="13.5" customHeight="1">
      <c r="A4469" s="812" t="s">
        <v>13488</v>
      </c>
      <c r="B4469" s="811" t="s">
        <v>14700</v>
      </c>
      <c r="C4469" s="812" t="s">
        <v>6</v>
      </c>
      <c r="D4469" s="812" t="s">
        <v>3590</v>
      </c>
      <c r="E4469" s="1020" t="s">
        <v>13539</v>
      </c>
      <c r="F4469" s="1020"/>
      <c r="G4469" s="813" t="s">
        <v>19</v>
      </c>
      <c r="H4469" s="814">
        <v>1</v>
      </c>
      <c r="I4469" s="815">
        <v>0.02</v>
      </c>
      <c r="J4469" s="815">
        <v>0.02</v>
      </c>
    </row>
    <row r="4470" spans="1:10" ht="38.25">
      <c r="A4470" s="822" t="s">
        <v>13493</v>
      </c>
      <c r="B4470" s="821" t="s">
        <v>14702</v>
      </c>
      <c r="C4470" s="822" t="s">
        <v>6</v>
      </c>
      <c r="D4470" s="822" t="s">
        <v>10966</v>
      </c>
      <c r="E4470" s="1017" t="s">
        <v>13497</v>
      </c>
      <c r="F4470" s="1017"/>
      <c r="G4470" s="823" t="s">
        <v>24</v>
      </c>
      <c r="H4470" s="824">
        <v>7.6000000000000001E-6</v>
      </c>
      <c r="I4470" s="825">
        <v>3300</v>
      </c>
      <c r="J4470" s="825">
        <v>0.02</v>
      </c>
    </row>
    <row r="4471" spans="1:10" ht="25.5">
      <c r="A4471" s="827"/>
      <c r="B4471" s="827"/>
      <c r="C4471" s="827"/>
      <c r="D4471" s="827"/>
      <c r="E4471" s="827" t="s">
        <v>13503</v>
      </c>
      <c r="F4471" s="826">
        <v>0</v>
      </c>
      <c r="G4471" s="827" t="s">
        <v>13504</v>
      </c>
      <c r="H4471" s="826">
        <v>0</v>
      </c>
      <c r="I4471" s="827" t="s">
        <v>13505</v>
      </c>
      <c r="J4471" s="826">
        <v>0</v>
      </c>
    </row>
    <row r="4472" spans="1:10" ht="38.25" customHeight="1" thickBot="1">
      <c r="A4472" s="827"/>
      <c r="B4472" s="827"/>
      <c r="C4472" s="827"/>
      <c r="D4472" s="827"/>
      <c r="E4472" s="827" t="s">
        <v>13506</v>
      </c>
      <c r="F4472" s="826">
        <v>0</v>
      </c>
      <c r="G4472" s="827"/>
      <c r="H4472" s="1018" t="s">
        <v>13507</v>
      </c>
      <c r="I4472" s="1018"/>
      <c r="J4472" s="826">
        <v>0.02</v>
      </c>
    </row>
    <row r="4473" spans="1:10" ht="38.25" customHeight="1" thickTop="1">
      <c r="A4473" s="828"/>
      <c r="B4473" s="828"/>
      <c r="C4473" s="828"/>
      <c r="D4473" s="828"/>
      <c r="E4473" s="828"/>
      <c r="F4473" s="828"/>
      <c r="G4473" s="828"/>
      <c r="H4473" s="828"/>
      <c r="I4473" s="828"/>
      <c r="J4473" s="828"/>
    </row>
    <row r="4474" spans="1:10" ht="38.25" customHeight="1">
      <c r="A4474" s="809"/>
      <c r="B4474" s="808" t="s">
        <v>13481</v>
      </c>
      <c r="C4474" s="809" t="s">
        <v>13482</v>
      </c>
      <c r="D4474" s="809" t="s">
        <v>13483</v>
      </c>
      <c r="E4474" s="1019" t="s">
        <v>13484</v>
      </c>
      <c r="F4474" s="1019"/>
      <c r="G4474" s="810" t="s">
        <v>13485</v>
      </c>
      <c r="H4474" s="808" t="s">
        <v>13486</v>
      </c>
      <c r="I4474" s="808" t="s">
        <v>13487</v>
      </c>
      <c r="J4474" s="808" t="s">
        <v>4867</v>
      </c>
    </row>
    <row r="4475" spans="1:10" ht="25.5" customHeight="1">
      <c r="A4475" s="812" t="s">
        <v>13488</v>
      </c>
      <c r="B4475" s="811" t="s">
        <v>14701</v>
      </c>
      <c r="C4475" s="812" t="s">
        <v>6</v>
      </c>
      <c r="D4475" s="812" t="s">
        <v>3591</v>
      </c>
      <c r="E4475" s="1020" t="s">
        <v>13539</v>
      </c>
      <c r="F4475" s="1020"/>
      <c r="G4475" s="813" t="s">
        <v>19</v>
      </c>
      <c r="H4475" s="814">
        <v>1</v>
      </c>
      <c r="I4475" s="815">
        <v>0.28999999999999998</v>
      </c>
      <c r="J4475" s="815">
        <v>0.28999999999999998</v>
      </c>
    </row>
    <row r="4476" spans="1:10" ht="38.25">
      <c r="A4476" s="822" t="s">
        <v>13493</v>
      </c>
      <c r="B4476" s="821" t="s">
        <v>14702</v>
      </c>
      <c r="C4476" s="822" t="s">
        <v>6</v>
      </c>
      <c r="D4476" s="822" t="s">
        <v>10966</v>
      </c>
      <c r="E4476" s="1017" t="s">
        <v>13497</v>
      </c>
      <c r="F4476" s="1017"/>
      <c r="G4476" s="823" t="s">
        <v>24</v>
      </c>
      <c r="H4476" s="824">
        <v>9.0000000000000006E-5</v>
      </c>
      <c r="I4476" s="825">
        <v>3300</v>
      </c>
      <c r="J4476" s="825">
        <v>0.28999999999999998</v>
      </c>
    </row>
    <row r="4477" spans="1:10" ht="13.5" customHeight="1">
      <c r="A4477" s="827"/>
      <c r="B4477" s="827"/>
      <c r="C4477" s="827"/>
      <c r="D4477" s="827"/>
      <c r="E4477" s="827" t="s">
        <v>13503</v>
      </c>
      <c r="F4477" s="826">
        <v>0</v>
      </c>
      <c r="G4477" s="827" t="s">
        <v>13504</v>
      </c>
      <c r="H4477" s="826">
        <v>0</v>
      </c>
      <c r="I4477" s="827" t="s">
        <v>13505</v>
      </c>
      <c r="J4477" s="826">
        <v>0</v>
      </c>
    </row>
    <row r="4478" spans="1:10" ht="13.5" customHeight="1" thickBot="1">
      <c r="A4478" s="827"/>
      <c r="B4478" s="827"/>
      <c r="C4478" s="827"/>
      <c r="D4478" s="827"/>
      <c r="E4478" s="827" t="s">
        <v>13506</v>
      </c>
      <c r="F4478" s="826">
        <v>0.08</v>
      </c>
      <c r="G4478" s="827"/>
      <c r="H4478" s="1018" t="s">
        <v>13507</v>
      </c>
      <c r="I4478" s="1018"/>
      <c r="J4478" s="826">
        <v>0.37</v>
      </c>
    </row>
    <row r="4479" spans="1:10" ht="13.5" thickTop="1">
      <c r="A4479" s="828"/>
      <c r="B4479" s="828"/>
      <c r="C4479" s="828"/>
      <c r="D4479" s="828"/>
      <c r="E4479" s="828"/>
      <c r="F4479" s="828"/>
      <c r="G4479" s="828"/>
      <c r="H4479" s="828"/>
      <c r="I4479" s="828"/>
      <c r="J4479" s="828"/>
    </row>
    <row r="4480" spans="1:10" ht="38.25" customHeight="1">
      <c r="A4480" s="809"/>
      <c r="B4480" s="808" t="s">
        <v>13481</v>
      </c>
      <c r="C4480" s="809" t="s">
        <v>13482</v>
      </c>
      <c r="D4480" s="809" t="s">
        <v>13483</v>
      </c>
      <c r="E4480" s="1019" t="s">
        <v>13484</v>
      </c>
      <c r="F4480" s="1019"/>
      <c r="G4480" s="810" t="s">
        <v>13485</v>
      </c>
      <c r="H4480" s="808" t="s">
        <v>13486</v>
      </c>
      <c r="I4480" s="808" t="s">
        <v>13487</v>
      </c>
      <c r="J4480" s="808" t="s">
        <v>4867</v>
      </c>
    </row>
    <row r="4481" spans="1:10" ht="38.25" customHeight="1">
      <c r="A4481" s="812" t="s">
        <v>13488</v>
      </c>
      <c r="B4481" s="811" t="s">
        <v>14698</v>
      </c>
      <c r="C4481" s="812" t="s">
        <v>6</v>
      </c>
      <c r="D4481" s="812" t="s">
        <v>3592</v>
      </c>
      <c r="E4481" s="1020" t="s">
        <v>13539</v>
      </c>
      <c r="F4481" s="1020"/>
      <c r="G4481" s="813" t="s">
        <v>19</v>
      </c>
      <c r="H4481" s="814">
        <v>1</v>
      </c>
      <c r="I4481" s="815">
        <v>4.0199999999999996</v>
      </c>
      <c r="J4481" s="815">
        <v>4.0199999999999996</v>
      </c>
    </row>
    <row r="4482" spans="1:10" ht="38.25" customHeight="1">
      <c r="A4482" s="822" t="s">
        <v>13493</v>
      </c>
      <c r="B4482" s="821" t="s">
        <v>14583</v>
      </c>
      <c r="C4482" s="822" t="s">
        <v>6</v>
      </c>
      <c r="D4482" s="822" t="s">
        <v>4647</v>
      </c>
      <c r="E4482" s="1017" t="s">
        <v>13514</v>
      </c>
      <c r="F4482" s="1017"/>
      <c r="G4482" s="823" t="s">
        <v>14584</v>
      </c>
      <c r="H4482" s="824">
        <v>4.42</v>
      </c>
      <c r="I4482" s="825">
        <v>0.91</v>
      </c>
      <c r="J4482" s="825">
        <v>4.0199999999999996</v>
      </c>
    </row>
    <row r="4483" spans="1:10" ht="38.25" customHeight="1">
      <c r="A4483" s="827"/>
      <c r="B4483" s="827"/>
      <c r="C4483" s="827"/>
      <c r="D4483" s="827"/>
      <c r="E4483" s="827" t="s">
        <v>13503</v>
      </c>
      <c r="F4483" s="826">
        <v>0</v>
      </c>
      <c r="G4483" s="827" t="s">
        <v>13504</v>
      </c>
      <c r="H4483" s="826">
        <v>0</v>
      </c>
      <c r="I4483" s="827" t="s">
        <v>13505</v>
      </c>
      <c r="J4483" s="826">
        <v>0</v>
      </c>
    </row>
    <row r="4484" spans="1:10" ht="13.5" customHeight="1" thickBot="1">
      <c r="A4484" s="827"/>
      <c r="B4484" s="827"/>
      <c r="C4484" s="827"/>
      <c r="D4484" s="827"/>
      <c r="E4484" s="827" t="s">
        <v>13506</v>
      </c>
      <c r="F4484" s="826">
        <v>1.1299999999999999</v>
      </c>
      <c r="G4484" s="827"/>
      <c r="H4484" s="1018" t="s">
        <v>13507</v>
      </c>
      <c r="I4484" s="1018"/>
      <c r="J4484" s="826">
        <v>5.15</v>
      </c>
    </row>
    <row r="4485" spans="1:10" ht="13.5" thickTop="1">
      <c r="A4485" s="828"/>
      <c r="B4485" s="828"/>
      <c r="C4485" s="828"/>
      <c r="D4485" s="828"/>
      <c r="E4485" s="828"/>
      <c r="F4485" s="828"/>
      <c r="G4485" s="828"/>
      <c r="H4485" s="828"/>
      <c r="I4485" s="828"/>
      <c r="J4485" s="828"/>
    </row>
    <row r="4486" spans="1:10" ht="15">
      <c r="A4486" s="809"/>
      <c r="B4486" s="808" t="s">
        <v>13481</v>
      </c>
      <c r="C4486" s="809" t="s">
        <v>13482</v>
      </c>
      <c r="D4486" s="809" t="s">
        <v>13483</v>
      </c>
      <c r="E4486" s="1019" t="s">
        <v>13484</v>
      </c>
      <c r="F4486" s="1019"/>
      <c r="G4486" s="810" t="s">
        <v>13485</v>
      </c>
      <c r="H4486" s="808" t="s">
        <v>13486</v>
      </c>
      <c r="I4486" s="808" t="s">
        <v>13487</v>
      </c>
      <c r="J4486" s="808" t="s">
        <v>4867</v>
      </c>
    </row>
    <row r="4487" spans="1:10" ht="13.5" customHeight="1">
      <c r="A4487" s="812" t="s">
        <v>13488</v>
      </c>
      <c r="B4487" s="811" t="s">
        <v>14168</v>
      </c>
      <c r="C4487" s="812" t="s">
        <v>6</v>
      </c>
      <c r="D4487" s="812" t="s">
        <v>4429</v>
      </c>
      <c r="E4487" s="1020" t="s">
        <v>13898</v>
      </c>
      <c r="F4487" s="1020"/>
      <c r="G4487" s="813" t="s">
        <v>24</v>
      </c>
      <c r="H4487" s="814">
        <v>1</v>
      </c>
      <c r="I4487" s="815">
        <v>295.19</v>
      </c>
      <c r="J4487" s="815">
        <v>295.19</v>
      </c>
    </row>
    <row r="4488" spans="1:10" ht="38.25" customHeight="1">
      <c r="A4488" s="817" t="s">
        <v>13491</v>
      </c>
      <c r="B4488" s="816" t="s">
        <v>13574</v>
      </c>
      <c r="C4488" s="817" t="s">
        <v>6</v>
      </c>
      <c r="D4488" s="817" t="s">
        <v>34</v>
      </c>
      <c r="E4488" s="1021" t="s">
        <v>13490</v>
      </c>
      <c r="F4488" s="1021"/>
      <c r="G4488" s="818" t="s">
        <v>19</v>
      </c>
      <c r="H4488" s="819">
        <v>0.87880000000000003</v>
      </c>
      <c r="I4488" s="820">
        <v>18.72</v>
      </c>
      <c r="J4488" s="820">
        <v>16.45</v>
      </c>
    </row>
    <row r="4489" spans="1:10" ht="38.25" customHeight="1">
      <c r="A4489" s="817" t="s">
        <v>13491</v>
      </c>
      <c r="B4489" s="816" t="s">
        <v>13553</v>
      </c>
      <c r="C4489" s="817" t="s">
        <v>6</v>
      </c>
      <c r="D4489" s="817" t="s">
        <v>21</v>
      </c>
      <c r="E4489" s="1021" t="s">
        <v>13490</v>
      </c>
      <c r="F4489" s="1021"/>
      <c r="G4489" s="818" t="s">
        <v>19</v>
      </c>
      <c r="H4489" s="819">
        <v>0.44429999999999997</v>
      </c>
      <c r="I4489" s="820">
        <v>15.16</v>
      </c>
      <c r="J4489" s="820">
        <v>6.73</v>
      </c>
    </row>
    <row r="4490" spans="1:10" ht="38.25" customHeight="1">
      <c r="A4490" s="822" t="s">
        <v>13493</v>
      </c>
      <c r="B4490" s="821" t="s">
        <v>14703</v>
      </c>
      <c r="C4490" s="822" t="s">
        <v>6</v>
      </c>
      <c r="D4490" s="822" t="s">
        <v>10973</v>
      </c>
      <c r="E4490" s="1017" t="s">
        <v>13514</v>
      </c>
      <c r="F4490" s="1017"/>
      <c r="G4490" s="823" t="s">
        <v>24</v>
      </c>
      <c r="H4490" s="824">
        <v>1</v>
      </c>
      <c r="I4490" s="825">
        <v>150.13999999999999</v>
      </c>
      <c r="J4490" s="825">
        <v>150.13999999999999</v>
      </c>
    </row>
    <row r="4491" spans="1:10" ht="38.25">
      <c r="A4491" s="822" t="s">
        <v>13493</v>
      </c>
      <c r="B4491" s="821" t="s">
        <v>14157</v>
      </c>
      <c r="C4491" s="822" t="s">
        <v>6</v>
      </c>
      <c r="D4491" s="822" t="s">
        <v>4743</v>
      </c>
      <c r="E4491" s="1017" t="s">
        <v>13514</v>
      </c>
      <c r="F4491" s="1017"/>
      <c r="G4491" s="823" t="s">
        <v>24</v>
      </c>
      <c r="H4491" s="824">
        <v>6</v>
      </c>
      <c r="I4491" s="825">
        <v>19.02</v>
      </c>
      <c r="J4491" s="825">
        <v>114.12</v>
      </c>
    </row>
    <row r="4492" spans="1:10">
      <c r="A4492" s="822" t="s">
        <v>13493</v>
      </c>
      <c r="B4492" s="821" t="s">
        <v>14704</v>
      </c>
      <c r="C4492" s="822" t="s">
        <v>6</v>
      </c>
      <c r="D4492" s="822" t="s">
        <v>5395</v>
      </c>
      <c r="E4492" s="1017" t="s">
        <v>13514</v>
      </c>
      <c r="F4492" s="1017"/>
      <c r="G4492" s="823" t="s">
        <v>16</v>
      </c>
      <c r="H4492" s="824">
        <v>7.6499999999999999E-2</v>
      </c>
      <c r="I4492" s="825">
        <v>101.41</v>
      </c>
      <c r="J4492" s="825">
        <v>7.75</v>
      </c>
    </row>
    <row r="4493" spans="1:10" ht="13.5" customHeight="1">
      <c r="A4493" s="827"/>
      <c r="B4493" s="827"/>
      <c r="C4493" s="827"/>
      <c r="D4493" s="827"/>
      <c r="E4493" s="827" t="s">
        <v>13503</v>
      </c>
      <c r="F4493" s="826">
        <v>17.25</v>
      </c>
      <c r="G4493" s="827" t="s">
        <v>13504</v>
      </c>
      <c r="H4493" s="826">
        <v>0</v>
      </c>
      <c r="I4493" s="827" t="s">
        <v>13505</v>
      </c>
      <c r="J4493" s="826">
        <v>17.25</v>
      </c>
    </row>
    <row r="4494" spans="1:10" ht="13.5" customHeight="1" thickBot="1">
      <c r="A4494" s="827"/>
      <c r="B4494" s="827"/>
      <c r="C4494" s="827"/>
      <c r="D4494" s="827"/>
      <c r="E4494" s="827" t="s">
        <v>13506</v>
      </c>
      <c r="F4494" s="826">
        <v>83.36</v>
      </c>
      <c r="G4494" s="827"/>
      <c r="H4494" s="1018" t="s">
        <v>13507</v>
      </c>
      <c r="I4494" s="1018"/>
      <c r="J4494" s="826">
        <v>378.55</v>
      </c>
    </row>
    <row r="4495" spans="1:10" ht="13.5" thickTop="1">
      <c r="A4495" s="828"/>
      <c r="B4495" s="828"/>
      <c r="C4495" s="828"/>
      <c r="D4495" s="828"/>
      <c r="E4495" s="828"/>
      <c r="F4495" s="828"/>
      <c r="G4495" s="828"/>
      <c r="H4495" s="828"/>
      <c r="I4495" s="828"/>
      <c r="J4495" s="828"/>
    </row>
    <row r="4496" spans="1:10" ht="38.25" customHeight="1">
      <c r="A4496" s="809"/>
      <c r="B4496" s="808" t="s">
        <v>13481</v>
      </c>
      <c r="C4496" s="809" t="s">
        <v>13482</v>
      </c>
      <c r="D4496" s="809" t="s">
        <v>13483</v>
      </c>
      <c r="E4496" s="1019" t="s">
        <v>13484</v>
      </c>
      <c r="F4496" s="1019"/>
      <c r="G4496" s="810" t="s">
        <v>13485</v>
      </c>
      <c r="H4496" s="808" t="s">
        <v>13486</v>
      </c>
      <c r="I4496" s="808" t="s">
        <v>13487</v>
      </c>
      <c r="J4496" s="808" t="s">
        <v>4867</v>
      </c>
    </row>
    <row r="4497" spans="1:10" ht="25.5" customHeight="1">
      <c r="A4497" s="812" t="s">
        <v>13488</v>
      </c>
      <c r="B4497" s="811" t="s">
        <v>14455</v>
      </c>
      <c r="C4497" s="812" t="s">
        <v>6</v>
      </c>
      <c r="D4497" s="812" t="s">
        <v>2453</v>
      </c>
      <c r="E4497" s="1020" t="s">
        <v>13539</v>
      </c>
      <c r="F4497" s="1020"/>
      <c r="G4497" s="813" t="s">
        <v>19</v>
      </c>
      <c r="H4497" s="814">
        <v>1</v>
      </c>
      <c r="I4497" s="815">
        <v>1.61</v>
      </c>
      <c r="J4497" s="815">
        <v>1.61</v>
      </c>
    </row>
    <row r="4498" spans="1:10" ht="25.5">
      <c r="A4498" s="822" t="s">
        <v>13493</v>
      </c>
      <c r="B4498" s="821" t="s">
        <v>14705</v>
      </c>
      <c r="C4498" s="822" t="s">
        <v>6</v>
      </c>
      <c r="D4498" s="822" t="s">
        <v>4713</v>
      </c>
      <c r="E4498" s="1017" t="s">
        <v>13497</v>
      </c>
      <c r="F4498" s="1017"/>
      <c r="G4498" s="823" t="s">
        <v>24</v>
      </c>
      <c r="H4498" s="824">
        <v>6.3999999999999997E-5</v>
      </c>
      <c r="I4498" s="825">
        <v>25271.37</v>
      </c>
      <c r="J4498" s="825">
        <v>1.61</v>
      </c>
    </row>
    <row r="4499" spans="1:10" ht="13.5" customHeight="1">
      <c r="A4499" s="827"/>
      <c r="B4499" s="827"/>
      <c r="C4499" s="827"/>
      <c r="D4499" s="827"/>
      <c r="E4499" s="827" t="s">
        <v>13503</v>
      </c>
      <c r="F4499" s="826">
        <v>0</v>
      </c>
      <c r="G4499" s="827" t="s">
        <v>13504</v>
      </c>
      <c r="H4499" s="826">
        <v>0</v>
      </c>
      <c r="I4499" s="827" t="s">
        <v>13505</v>
      </c>
      <c r="J4499" s="826">
        <v>0</v>
      </c>
    </row>
    <row r="4500" spans="1:10" ht="13.5" customHeight="1" thickBot="1">
      <c r="A4500" s="827"/>
      <c r="B4500" s="827"/>
      <c r="C4500" s="827"/>
      <c r="D4500" s="827"/>
      <c r="E4500" s="827" t="s">
        <v>13506</v>
      </c>
      <c r="F4500" s="826">
        <v>0.45</v>
      </c>
      <c r="G4500" s="827"/>
      <c r="H4500" s="1018" t="s">
        <v>13507</v>
      </c>
      <c r="I4500" s="1018"/>
      <c r="J4500" s="826">
        <v>2.06</v>
      </c>
    </row>
    <row r="4501" spans="1:10" ht="13.5" thickTop="1">
      <c r="A4501" s="828"/>
      <c r="B4501" s="828"/>
      <c r="C4501" s="828"/>
      <c r="D4501" s="828"/>
      <c r="E4501" s="828"/>
      <c r="F4501" s="828"/>
      <c r="G4501" s="828"/>
      <c r="H4501" s="828"/>
      <c r="I4501" s="828"/>
      <c r="J4501" s="828"/>
    </row>
    <row r="4502" spans="1:10" ht="38.25" customHeight="1">
      <c r="A4502" s="809"/>
      <c r="B4502" s="808" t="s">
        <v>13481</v>
      </c>
      <c r="C4502" s="809" t="s">
        <v>13482</v>
      </c>
      <c r="D4502" s="809" t="s">
        <v>13483</v>
      </c>
      <c r="E4502" s="1019" t="s">
        <v>13484</v>
      </c>
      <c r="F4502" s="1019"/>
      <c r="G4502" s="810" t="s">
        <v>13485</v>
      </c>
      <c r="H4502" s="808" t="s">
        <v>13486</v>
      </c>
      <c r="I4502" s="808" t="s">
        <v>13487</v>
      </c>
      <c r="J4502" s="808" t="s">
        <v>4867</v>
      </c>
    </row>
    <row r="4503" spans="1:10" ht="25.5" customHeight="1">
      <c r="A4503" s="812" t="s">
        <v>13488</v>
      </c>
      <c r="B4503" s="811" t="s">
        <v>14454</v>
      </c>
      <c r="C4503" s="812" t="s">
        <v>6</v>
      </c>
      <c r="D4503" s="812" t="s">
        <v>2454</v>
      </c>
      <c r="E4503" s="1020" t="s">
        <v>13539</v>
      </c>
      <c r="F4503" s="1020"/>
      <c r="G4503" s="813" t="s">
        <v>19</v>
      </c>
      <c r="H4503" s="814">
        <v>1</v>
      </c>
      <c r="I4503" s="815">
        <v>0.19</v>
      </c>
      <c r="J4503" s="815">
        <v>0.19</v>
      </c>
    </row>
    <row r="4504" spans="1:10" ht="25.5">
      <c r="A4504" s="822" t="s">
        <v>13493</v>
      </c>
      <c r="B4504" s="821" t="s">
        <v>14705</v>
      </c>
      <c r="C4504" s="822" t="s">
        <v>6</v>
      </c>
      <c r="D4504" s="822" t="s">
        <v>4713</v>
      </c>
      <c r="E4504" s="1017" t="s">
        <v>13497</v>
      </c>
      <c r="F4504" s="1017"/>
      <c r="G4504" s="823" t="s">
        <v>24</v>
      </c>
      <c r="H4504" s="824">
        <v>7.6000000000000001E-6</v>
      </c>
      <c r="I4504" s="825">
        <v>25271.37</v>
      </c>
      <c r="J4504" s="825">
        <v>0.19</v>
      </c>
    </row>
    <row r="4505" spans="1:10" ht="13.5" customHeight="1">
      <c r="A4505" s="827"/>
      <c r="B4505" s="827"/>
      <c r="C4505" s="827"/>
      <c r="D4505" s="827"/>
      <c r="E4505" s="827" t="s">
        <v>13503</v>
      </c>
      <c r="F4505" s="826">
        <v>0</v>
      </c>
      <c r="G4505" s="827" t="s">
        <v>13504</v>
      </c>
      <c r="H4505" s="826">
        <v>0</v>
      </c>
      <c r="I4505" s="827" t="s">
        <v>13505</v>
      </c>
      <c r="J4505" s="826">
        <v>0</v>
      </c>
    </row>
    <row r="4506" spans="1:10" ht="13.5" customHeight="1" thickBot="1">
      <c r="A4506" s="827"/>
      <c r="B4506" s="827"/>
      <c r="C4506" s="827"/>
      <c r="D4506" s="827"/>
      <c r="E4506" s="827" t="s">
        <v>13506</v>
      </c>
      <c r="F4506" s="826">
        <v>0.05</v>
      </c>
      <c r="G4506" s="827"/>
      <c r="H4506" s="1018" t="s">
        <v>13507</v>
      </c>
      <c r="I4506" s="1018"/>
      <c r="J4506" s="826">
        <v>0.24</v>
      </c>
    </row>
    <row r="4507" spans="1:10" ht="13.5" thickTop="1">
      <c r="A4507" s="828"/>
      <c r="B4507" s="828"/>
      <c r="C4507" s="828"/>
      <c r="D4507" s="828"/>
      <c r="E4507" s="828"/>
      <c r="F4507" s="828"/>
      <c r="G4507" s="828"/>
      <c r="H4507" s="828"/>
      <c r="I4507" s="828"/>
      <c r="J4507" s="828"/>
    </row>
    <row r="4508" spans="1:10" ht="15">
      <c r="A4508" s="809"/>
      <c r="B4508" s="808" t="s">
        <v>13481</v>
      </c>
      <c r="C4508" s="809" t="s">
        <v>13482</v>
      </c>
      <c r="D4508" s="809" t="s">
        <v>13483</v>
      </c>
      <c r="E4508" s="1019" t="s">
        <v>13484</v>
      </c>
      <c r="F4508" s="1019"/>
      <c r="G4508" s="810" t="s">
        <v>13485</v>
      </c>
      <c r="H4508" s="808" t="s">
        <v>13486</v>
      </c>
      <c r="I4508" s="808" t="s">
        <v>13487</v>
      </c>
      <c r="J4508" s="808" t="s">
        <v>4867</v>
      </c>
    </row>
    <row r="4509" spans="1:10" ht="25.5" customHeight="1">
      <c r="A4509" s="812" t="s">
        <v>13488</v>
      </c>
      <c r="B4509" s="811" t="s">
        <v>14453</v>
      </c>
      <c r="C4509" s="812" t="s">
        <v>6</v>
      </c>
      <c r="D4509" s="812" t="s">
        <v>792</v>
      </c>
      <c r="E4509" s="1020" t="s">
        <v>13539</v>
      </c>
      <c r="F4509" s="1020"/>
      <c r="G4509" s="813" t="s">
        <v>19</v>
      </c>
      <c r="H4509" s="814">
        <v>1</v>
      </c>
      <c r="I4509" s="815">
        <v>2.02</v>
      </c>
      <c r="J4509" s="815">
        <v>2.02</v>
      </c>
    </row>
    <row r="4510" spans="1:10" ht="25.5">
      <c r="A4510" s="822" t="s">
        <v>13493</v>
      </c>
      <c r="B4510" s="821" t="s">
        <v>14705</v>
      </c>
      <c r="C4510" s="822" t="s">
        <v>6</v>
      </c>
      <c r="D4510" s="822" t="s">
        <v>4713</v>
      </c>
      <c r="E4510" s="1017" t="s">
        <v>13497</v>
      </c>
      <c r="F4510" s="1017"/>
      <c r="G4510" s="823" t="s">
        <v>24</v>
      </c>
      <c r="H4510" s="824">
        <v>8.0000000000000007E-5</v>
      </c>
      <c r="I4510" s="825">
        <v>25271.37</v>
      </c>
      <c r="J4510" s="825">
        <v>2.02</v>
      </c>
    </row>
    <row r="4511" spans="1:10" ht="13.5" customHeight="1">
      <c r="A4511" s="827"/>
      <c r="B4511" s="827"/>
      <c r="C4511" s="827"/>
      <c r="D4511" s="827"/>
      <c r="E4511" s="827" t="s">
        <v>13503</v>
      </c>
      <c r="F4511" s="826">
        <v>0</v>
      </c>
      <c r="G4511" s="827" t="s">
        <v>13504</v>
      </c>
      <c r="H4511" s="826">
        <v>0</v>
      </c>
      <c r="I4511" s="827" t="s">
        <v>13505</v>
      </c>
      <c r="J4511" s="826">
        <v>0</v>
      </c>
    </row>
    <row r="4512" spans="1:10" ht="13.5" customHeight="1" thickBot="1">
      <c r="A4512" s="827"/>
      <c r="B4512" s="827"/>
      <c r="C4512" s="827"/>
      <c r="D4512" s="827"/>
      <c r="E4512" s="827" t="s">
        <v>13506</v>
      </c>
      <c r="F4512" s="826">
        <v>0.56999999999999995</v>
      </c>
      <c r="G4512" s="827"/>
      <c r="H4512" s="1018" t="s">
        <v>13507</v>
      </c>
      <c r="I4512" s="1018"/>
      <c r="J4512" s="826">
        <v>2.59</v>
      </c>
    </row>
    <row r="4513" spans="1:10" ht="13.5" thickTop="1">
      <c r="A4513" s="828"/>
      <c r="B4513" s="828"/>
      <c r="C4513" s="828"/>
      <c r="D4513" s="828"/>
      <c r="E4513" s="828"/>
      <c r="F4513" s="828"/>
      <c r="G4513" s="828"/>
      <c r="H4513" s="828"/>
      <c r="I4513" s="828"/>
      <c r="J4513" s="828"/>
    </row>
    <row r="4514" spans="1:10" ht="25.5" customHeight="1">
      <c r="A4514" s="809"/>
      <c r="B4514" s="808" t="s">
        <v>13481</v>
      </c>
      <c r="C4514" s="809" t="s">
        <v>13482</v>
      </c>
      <c r="D4514" s="809" t="s">
        <v>13483</v>
      </c>
      <c r="E4514" s="1019" t="s">
        <v>13484</v>
      </c>
      <c r="F4514" s="1019"/>
      <c r="G4514" s="810" t="s">
        <v>13485</v>
      </c>
      <c r="H4514" s="808" t="s">
        <v>13486</v>
      </c>
      <c r="I4514" s="808" t="s">
        <v>13487</v>
      </c>
      <c r="J4514" s="808" t="s">
        <v>4867</v>
      </c>
    </row>
    <row r="4515" spans="1:10" ht="25.5" customHeight="1">
      <c r="A4515" s="812" t="s">
        <v>13488</v>
      </c>
      <c r="B4515" s="811" t="s">
        <v>13680</v>
      </c>
      <c r="C4515" s="812" t="s">
        <v>6</v>
      </c>
      <c r="D4515" s="812" t="s">
        <v>2783</v>
      </c>
      <c r="E4515" s="1020" t="s">
        <v>13539</v>
      </c>
      <c r="F4515" s="1020"/>
      <c r="G4515" s="813" t="s">
        <v>42</v>
      </c>
      <c r="H4515" s="814">
        <v>1</v>
      </c>
      <c r="I4515" s="815">
        <v>36</v>
      </c>
      <c r="J4515" s="815">
        <v>36</v>
      </c>
    </row>
    <row r="4516" spans="1:10" ht="25.5" customHeight="1">
      <c r="A4516" s="817" t="s">
        <v>13491</v>
      </c>
      <c r="B4516" s="816" t="s">
        <v>14706</v>
      </c>
      <c r="C4516" s="817" t="s">
        <v>6</v>
      </c>
      <c r="D4516" s="817" t="s">
        <v>2779</v>
      </c>
      <c r="E4516" s="1021" t="s">
        <v>13539</v>
      </c>
      <c r="F4516" s="1021"/>
      <c r="G4516" s="818" t="s">
        <v>19</v>
      </c>
      <c r="H4516" s="819">
        <v>1</v>
      </c>
      <c r="I4516" s="820">
        <v>2.1800000000000002</v>
      </c>
      <c r="J4516" s="820">
        <v>2.1800000000000002</v>
      </c>
    </row>
    <row r="4517" spans="1:10" ht="38.25" customHeight="1">
      <c r="A4517" s="817" t="s">
        <v>13491</v>
      </c>
      <c r="B4517" s="816" t="s">
        <v>14707</v>
      </c>
      <c r="C4517" s="817" t="s">
        <v>6</v>
      </c>
      <c r="D4517" s="817" t="s">
        <v>2778</v>
      </c>
      <c r="E4517" s="1021" t="s">
        <v>13539</v>
      </c>
      <c r="F4517" s="1021"/>
      <c r="G4517" s="818" t="s">
        <v>19</v>
      </c>
      <c r="H4517" s="819">
        <v>1</v>
      </c>
      <c r="I4517" s="820">
        <v>16.13</v>
      </c>
      <c r="J4517" s="820">
        <v>16.13</v>
      </c>
    </row>
    <row r="4518" spans="1:10" ht="38.25" customHeight="1">
      <c r="A4518" s="817" t="s">
        <v>13491</v>
      </c>
      <c r="B4518" s="816" t="s">
        <v>14452</v>
      </c>
      <c r="C4518" s="817" t="s">
        <v>6</v>
      </c>
      <c r="D4518" s="817" t="s">
        <v>143</v>
      </c>
      <c r="E4518" s="1021" t="s">
        <v>13490</v>
      </c>
      <c r="F4518" s="1021"/>
      <c r="G4518" s="818" t="s">
        <v>19</v>
      </c>
      <c r="H4518" s="819">
        <v>1</v>
      </c>
      <c r="I4518" s="820">
        <v>17.690000000000001</v>
      </c>
      <c r="J4518" s="820">
        <v>17.690000000000001</v>
      </c>
    </row>
    <row r="4519" spans="1:10" ht="13.5" customHeight="1">
      <c r="A4519" s="827"/>
      <c r="B4519" s="827"/>
      <c r="C4519" s="827"/>
      <c r="D4519" s="827"/>
      <c r="E4519" s="827" t="s">
        <v>13503</v>
      </c>
      <c r="F4519" s="826">
        <v>13.85</v>
      </c>
      <c r="G4519" s="827" t="s">
        <v>13504</v>
      </c>
      <c r="H4519" s="826">
        <v>0</v>
      </c>
      <c r="I4519" s="827" t="s">
        <v>13505</v>
      </c>
      <c r="J4519" s="826">
        <v>13.85</v>
      </c>
    </row>
    <row r="4520" spans="1:10" ht="13.5" customHeight="1" thickBot="1">
      <c r="A4520" s="827"/>
      <c r="B4520" s="827"/>
      <c r="C4520" s="827"/>
      <c r="D4520" s="827"/>
      <c r="E4520" s="827" t="s">
        <v>13506</v>
      </c>
      <c r="F4520" s="826">
        <v>10.16</v>
      </c>
      <c r="G4520" s="827"/>
      <c r="H4520" s="1018" t="s">
        <v>13507</v>
      </c>
      <c r="I4520" s="1018"/>
      <c r="J4520" s="826">
        <v>46.16</v>
      </c>
    </row>
    <row r="4521" spans="1:10" ht="13.5" thickTop="1">
      <c r="A4521" s="828"/>
      <c r="B4521" s="828"/>
      <c r="C4521" s="828"/>
      <c r="D4521" s="828"/>
      <c r="E4521" s="828"/>
      <c r="F4521" s="828"/>
      <c r="G4521" s="828"/>
      <c r="H4521" s="828"/>
      <c r="I4521" s="828"/>
      <c r="J4521" s="828"/>
    </row>
    <row r="4522" spans="1:10" ht="25.5" customHeight="1">
      <c r="A4522" s="809"/>
      <c r="B4522" s="808" t="s">
        <v>13481</v>
      </c>
      <c r="C4522" s="809" t="s">
        <v>13482</v>
      </c>
      <c r="D4522" s="809" t="s">
        <v>13483</v>
      </c>
      <c r="E4522" s="1019" t="s">
        <v>13484</v>
      </c>
      <c r="F4522" s="1019"/>
      <c r="G4522" s="810" t="s">
        <v>13485</v>
      </c>
      <c r="H4522" s="808" t="s">
        <v>13486</v>
      </c>
      <c r="I4522" s="808" t="s">
        <v>13487</v>
      </c>
      <c r="J4522" s="808" t="s">
        <v>4867</v>
      </c>
    </row>
    <row r="4523" spans="1:10" ht="38.25" customHeight="1">
      <c r="A4523" s="812" t="s">
        <v>13488</v>
      </c>
      <c r="B4523" s="811" t="s">
        <v>13679</v>
      </c>
      <c r="C4523" s="812" t="s">
        <v>6</v>
      </c>
      <c r="D4523" s="812" t="s">
        <v>2782</v>
      </c>
      <c r="E4523" s="1020" t="s">
        <v>13539</v>
      </c>
      <c r="F4523" s="1020"/>
      <c r="G4523" s="813" t="s">
        <v>28</v>
      </c>
      <c r="H4523" s="814">
        <v>1</v>
      </c>
      <c r="I4523" s="815">
        <v>73.349999999999994</v>
      </c>
      <c r="J4523" s="815">
        <v>73.349999999999994</v>
      </c>
    </row>
    <row r="4524" spans="1:10" ht="25.5" customHeight="1">
      <c r="A4524" s="817" t="s">
        <v>13491</v>
      </c>
      <c r="B4524" s="816" t="s">
        <v>14706</v>
      </c>
      <c r="C4524" s="817" t="s">
        <v>6</v>
      </c>
      <c r="D4524" s="817" t="s">
        <v>2779</v>
      </c>
      <c r="E4524" s="1021" t="s">
        <v>13539</v>
      </c>
      <c r="F4524" s="1021"/>
      <c r="G4524" s="818" t="s">
        <v>19</v>
      </c>
      <c r="H4524" s="819">
        <v>1</v>
      </c>
      <c r="I4524" s="820">
        <v>2.1800000000000002</v>
      </c>
      <c r="J4524" s="820">
        <v>2.1800000000000002</v>
      </c>
    </row>
    <row r="4525" spans="1:10" ht="25.5" customHeight="1">
      <c r="A4525" s="817" t="s">
        <v>13491</v>
      </c>
      <c r="B4525" s="816" t="s">
        <v>14707</v>
      </c>
      <c r="C4525" s="817" t="s">
        <v>6</v>
      </c>
      <c r="D4525" s="817" t="s">
        <v>2778</v>
      </c>
      <c r="E4525" s="1021" t="s">
        <v>13539</v>
      </c>
      <c r="F4525" s="1021"/>
      <c r="G4525" s="818" t="s">
        <v>19</v>
      </c>
      <c r="H4525" s="819">
        <v>1</v>
      </c>
      <c r="I4525" s="820">
        <v>16.13</v>
      </c>
      <c r="J4525" s="820">
        <v>16.13</v>
      </c>
    </row>
    <row r="4526" spans="1:10" ht="25.5" customHeight="1">
      <c r="A4526" s="817" t="s">
        <v>13491</v>
      </c>
      <c r="B4526" s="816" t="s">
        <v>14708</v>
      </c>
      <c r="C4526" s="817" t="s">
        <v>6</v>
      </c>
      <c r="D4526" s="817" t="s">
        <v>2780</v>
      </c>
      <c r="E4526" s="1021" t="s">
        <v>13539</v>
      </c>
      <c r="F4526" s="1021"/>
      <c r="G4526" s="818" t="s">
        <v>19</v>
      </c>
      <c r="H4526" s="819">
        <v>1</v>
      </c>
      <c r="I4526" s="820">
        <v>20.16</v>
      </c>
      <c r="J4526" s="820">
        <v>20.16</v>
      </c>
    </row>
    <row r="4527" spans="1:10" ht="38.25" customHeight="1">
      <c r="A4527" s="817" t="s">
        <v>13491</v>
      </c>
      <c r="B4527" s="816" t="s">
        <v>14709</v>
      </c>
      <c r="C4527" s="817" t="s">
        <v>6</v>
      </c>
      <c r="D4527" s="817" t="s">
        <v>2781</v>
      </c>
      <c r="E4527" s="1021" t="s">
        <v>13539</v>
      </c>
      <c r="F4527" s="1021"/>
      <c r="G4527" s="818" t="s">
        <v>19</v>
      </c>
      <c r="H4527" s="819">
        <v>1</v>
      </c>
      <c r="I4527" s="820">
        <v>17.190000000000001</v>
      </c>
      <c r="J4527" s="820">
        <v>17.190000000000001</v>
      </c>
    </row>
    <row r="4528" spans="1:10" ht="38.25" customHeight="1">
      <c r="A4528" s="817" t="s">
        <v>13491</v>
      </c>
      <c r="B4528" s="816" t="s">
        <v>14452</v>
      </c>
      <c r="C4528" s="817" t="s">
        <v>6</v>
      </c>
      <c r="D4528" s="817" t="s">
        <v>143</v>
      </c>
      <c r="E4528" s="1021" t="s">
        <v>13490</v>
      </c>
      <c r="F4528" s="1021"/>
      <c r="G4528" s="818" t="s">
        <v>19</v>
      </c>
      <c r="H4528" s="819">
        <v>1</v>
      </c>
      <c r="I4528" s="820">
        <v>17.690000000000001</v>
      </c>
      <c r="J4528" s="820">
        <v>17.690000000000001</v>
      </c>
    </row>
    <row r="4529" spans="1:10" ht="13.5" customHeight="1">
      <c r="A4529" s="827"/>
      <c r="B4529" s="827"/>
      <c r="C4529" s="827"/>
      <c r="D4529" s="827"/>
      <c r="E4529" s="827" t="s">
        <v>13503</v>
      </c>
      <c r="F4529" s="826">
        <v>13.85</v>
      </c>
      <c r="G4529" s="827" t="s">
        <v>13504</v>
      </c>
      <c r="H4529" s="826">
        <v>0</v>
      </c>
      <c r="I4529" s="827" t="s">
        <v>13505</v>
      </c>
      <c r="J4529" s="826">
        <v>13.85</v>
      </c>
    </row>
    <row r="4530" spans="1:10" ht="13.5" customHeight="1" thickBot="1">
      <c r="A4530" s="827"/>
      <c r="B4530" s="827"/>
      <c r="C4530" s="827"/>
      <c r="D4530" s="827"/>
      <c r="E4530" s="827" t="s">
        <v>13506</v>
      </c>
      <c r="F4530" s="826">
        <v>20.71</v>
      </c>
      <c r="G4530" s="827"/>
      <c r="H4530" s="1018" t="s">
        <v>13507</v>
      </c>
      <c r="I4530" s="1018"/>
      <c r="J4530" s="826">
        <v>94.06</v>
      </c>
    </row>
    <row r="4531" spans="1:10" ht="13.5" thickTop="1">
      <c r="A4531" s="828"/>
      <c r="B4531" s="828"/>
      <c r="C4531" s="828"/>
      <c r="D4531" s="828"/>
      <c r="E4531" s="828"/>
      <c r="F4531" s="828"/>
      <c r="G4531" s="828"/>
      <c r="H4531" s="828"/>
      <c r="I4531" s="828"/>
      <c r="J4531" s="828"/>
    </row>
    <row r="4532" spans="1:10" ht="25.5" customHeight="1">
      <c r="A4532" s="809"/>
      <c r="B4532" s="808" t="s">
        <v>13481</v>
      </c>
      <c r="C4532" s="809" t="s">
        <v>13482</v>
      </c>
      <c r="D4532" s="809" t="s">
        <v>13483</v>
      </c>
      <c r="E4532" s="1019" t="s">
        <v>13484</v>
      </c>
      <c r="F4532" s="1019"/>
      <c r="G4532" s="810" t="s">
        <v>13485</v>
      </c>
      <c r="H4532" s="808" t="s">
        <v>13486</v>
      </c>
      <c r="I4532" s="808" t="s">
        <v>13487</v>
      </c>
      <c r="J4532" s="808" t="s">
        <v>4867</v>
      </c>
    </row>
    <row r="4533" spans="1:10" ht="25.5" customHeight="1">
      <c r="A4533" s="812" t="s">
        <v>13488</v>
      </c>
      <c r="B4533" s="811" t="s">
        <v>14707</v>
      </c>
      <c r="C4533" s="812" t="s">
        <v>6</v>
      </c>
      <c r="D4533" s="812" t="s">
        <v>2778</v>
      </c>
      <c r="E4533" s="1020" t="s">
        <v>13539</v>
      </c>
      <c r="F4533" s="1020"/>
      <c r="G4533" s="813" t="s">
        <v>19</v>
      </c>
      <c r="H4533" s="814">
        <v>1</v>
      </c>
      <c r="I4533" s="815">
        <v>16.13</v>
      </c>
      <c r="J4533" s="815">
        <v>16.13</v>
      </c>
    </row>
    <row r="4534" spans="1:10" ht="25.5">
      <c r="A4534" s="822" t="s">
        <v>13493</v>
      </c>
      <c r="B4534" s="821" t="s">
        <v>14710</v>
      </c>
      <c r="C4534" s="822" t="s">
        <v>6</v>
      </c>
      <c r="D4534" s="822" t="s">
        <v>4715</v>
      </c>
      <c r="E4534" s="1017" t="s">
        <v>13497</v>
      </c>
      <c r="F4534" s="1017"/>
      <c r="G4534" s="823" t="s">
        <v>24</v>
      </c>
      <c r="H4534" s="824">
        <v>5.5999999999999999E-5</v>
      </c>
      <c r="I4534" s="825">
        <v>288039.26</v>
      </c>
      <c r="J4534" s="825">
        <v>16.13</v>
      </c>
    </row>
    <row r="4535" spans="1:10" ht="13.5" customHeight="1">
      <c r="A4535" s="827"/>
      <c r="B4535" s="827"/>
      <c r="C4535" s="827"/>
      <c r="D4535" s="827"/>
      <c r="E4535" s="827" t="s">
        <v>13503</v>
      </c>
      <c r="F4535" s="826">
        <v>0</v>
      </c>
      <c r="G4535" s="827" t="s">
        <v>13504</v>
      </c>
      <c r="H4535" s="826">
        <v>0</v>
      </c>
      <c r="I4535" s="827" t="s">
        <v>13505</v>
      </c>
      <c r="J4535" s="826">
        <v>0</v>
      </c>
    </row>
    <row r="4536" spans="1:10" ht="13.5" customHeight="1" thickBot="1">
      <c r="A4536" s="827"/>
      <c r="B4536" s="827"/>
      <c r="C4536" s="827"/>
      <c r="D4536" s="827"/>
      <c r="E4536" s="827" t="s">
        <v>13506</v>
      </c>
      <c r="F4536" s="826">
        <v>4.55</v>
      </c>
      <c r="G4536" s="827"/>
      <c r="H4536" s="1018" t="s">
        <v>13507</v>
      </c>
      <c r="I4536" s="1018"/>
      <c r="J4536" s="826">
        <v>20.68</v>
      </c>
    </row>
    <row r="4537" spans="1:10" ht="13.5" thickTop="1">
      <c r="A4537" s="828"/>
      <c r="B4537" s="828"/>
      <c r="C4537" s="828"/>
      <c r="D4537" s="828"/>
      <c r="E4537" s="828"/>
      <c r="F4537" s="828"/>
      <c r="G4537" s="828"/>
      <c r="H4537" s="828"/>
      <c r="I4537" s="828"/>
      <c r="J4537" s="828"/>
    </row>
    <row r="4538" spans="1:10" ht="25.5" customHeight="1">
      <c r="A4538" s="809"/>
      <c r="B4538" s="808" t="s">
        <v>13481</v>
      </c>
      <c r="C4538" s="809" t="s">
        <v>13482</v>
      </c>
      <c r="D4538" s="809" t="s">
        <v>13483</v>
      </c>
      <c r="E4538" s="1019" t="s">
        <v>13484</v>
      </c>
      <c r="F4538" s="1019"/>
      <c r="G4538" s="810" t="s">
        <v>13485</v>
      </c>
      <c r="H4538" s="808" t="s">
        <v>13486</v>
      </c>
      <c r="I4538" s="808" t="s">
        <v>13487</v>
      </c>
      <c r="J4538" s="808" t="s">
        <v>4867</v>
      </c>
    </row>
    <row r="4539" spans="1:10" ht="25.5" customHeight="1">
      <c r="A4539" s="812" t="s">
        <v>13488</v>
      </c>
      <c r="B4539" s="811" t="s">
        <v>14706</v>
      </c>
      <c r="C4539" s="812" t="s">
        <v>6</v>
      </c>
      <c r="D4539" s="812" t="s">
        <v>2779</v>
      </c>
      <c r="E4539" s="1020" t="s">
        <v>13539</v>
      </c>
      <c r="F4539" s="1020"/>
      <c r="G4539" s="813" t="s">
        <v>19</v>
      </c>
      <c r="H4539" s="814">
        <v>1</v>
      </c>
      <c r="I4539" s="815">
        <v>2.1800000000000002</v>
      </c>
      <c r="J4539" s="815">
        <v>2.1800000000000002</v>
      </c>
    </row>
    <row r="4540" spans="1:10" ht="25.5">
      <c r="A4540" s="822" t="s">
        <v>13493</v>
      </c>
      <c r="B4540" s="821" t="s">
        <v>14710</v>
      </c>
      <c r="C4540" s="822" t="s">
        <v>6</v>
      </c>
      <c r="D4540" s="822" t="s">
        <v>4715</v>
      </c>
      <c r="E4540" s="1017" t="s">
        <v>13497</v>
      </c>
      <c r="F4540" s="1017"/>
      <c r="G4540" s="823" t="s">
        <v>24</v>
      </c>
      <c r="H4540" s="824">
        <v>7.6000000000000001E-6</v>
      </c>
      <c r="I4540" s="825">
        <v>288039.26</v>
      </c>
      <c r="J4540" s="825">
        <v>2.1800000000000002</v>
      </c>
    </row>
    <row r="4541" spans="1:10" ht="13.5" customHeight="1">
      <c r="A4541" s="827"/>
      <c r="B4541" s="827"/>
      <c r="C4541" s="827"/>
      <c r="D4541" s="827"/>
      <c r="E4541" s="827" t="s">
        <v>13503</v>
      </c>
      <c r="F4541" s="826">
        <v>0</v>
      </c>
      <c r="G4541" s="827" t="s">
        <v>13504</v>
      </c>
      <c r="H4541" s="826">
        <v>0</v>
      </c>
      <c r="I4541" s="827" t="s">
        <v>13505</v>
      </c>
      <c r="J4541" s="826">
        <v>0</v>
      </c>
    </row>
    <row r="4542" spans="1:10" ht="13.5" customHeight="1" thickBot="1">
      <c r="A4542" s="827"/>
      <c r="B4542" s="827"/>
      <c r="C4542" s="827"/>
      <c r="D4542" s="827"/>
      <c r="E4542" s="827" t="s">
        <v>13506</v>
      </c>
      <c r="F4542" s="826">
        <v>0.61</v>
      </c>
      <c r="G4542" s="827"/>
      <c r="H4542" s="1018" t="s">
        <v>13507</v>
      </c>
      <c r="I4542" s="1018"/>
      <c r="J4542" s="826">
        <v>2.79</v>
      </c>
    </row>
    <row r="4543" spans="1:10" ht="13.5" thickTop="1">
      <c r="A4543" s="828"/>
      <c r="B4543" s="828"/>
      <c r="C4543" s="828"/>
      <c r="D4543" s="828"/>
      <c r="E4543" s="828"/>
      <c r="F4543" s="828"/>
      <c r="G4543" s="828"/>
      <c r="H4543" s="828"/>
      <c r="I4543" s="828"/>
      <c r="J4543" s="828"/>
    </row>
    <row r="4544" spans="1:10" ht="25.5" customHeight="1">
      <c r="A4544" s="809"/>
      <c r="B4544" s="808" t="s">
        <v>13481</v>
      </c>
      <c r="C4544" s="809" t="s">
        <v>13482</v>
      </c>
      <c r="D4544" s="809" t="s">
        <v>13483</v>
      </c>
      <c r="E4544" s="1019" t="s">
        <v>13484</v>
      </c>
      <c r="F4544" s="1019"/>
      <c r="G4544" s="810" t="s">
        <v>13485</v>
      </c>
      <c r="H4544" s="808" t="s">
        <v>13486</v>
      </c>
      <c r="I4544" s="808" t="s">
        <v>13487</v>
      </c>
      <c r="J4544" s="808" t="s">
        <v>4867</v>
      </c>
    </row>
    <row r="4545" spans="1:10" ht="25.5" customHeight="1">
      <c r="A4545" s="812" t="s">
        <v>13488</v>
      </c>
      <c r="B4545" s="811" t="s">
        <v>14708</v>
      </c>
      <c r="C4545" s="812" t="s">
        <v>6</v>
      </c>
      <c r="D4545" s="812" t="s">
        <v>2780</v>
      </c>
      <c r="E4545" s="1020" t="s">
        <v>13539</v>
      </c>
      <c r="F4545" s="1020"/>
      <c r="G4545" s="813" t="s">
        <v>19</v>
      </c>
      <c r="H4545" s="814">
        <v>1</v>
      </c>
      <c r="I4545" s="815">
        <v>20.16</v>
      </c>
      <c r="J4545" s="815">
        <v>20.16</v>
      </c>
    </row>
    <row r="4546" spans="1:10" ht="25.5">
      <c r="A4546" s="822" t="s">
        <v>13493</v>
      </c>
      <c r="B4546" s="821" t="s">
        <v>14710</v>
      </c>
      <c r="C4546" s="822" t="s">
        <v>6</v>
      </c>
      <c r="D4546" s="822" t="s">
        <v>4715</v>
      </c>
      <c r="E4546" s="1017" t="s">
        <v>13497</v>
      </c>
      <c r="F4546" s="1017"/>
      <c r="G4546" s="823" t="s">
        <v>24</v>
      </c>
      <c r="H4546" s="824">
        <v>6.9999999999999994E-5</v>
      </c>
      <c r="I4546" s="825">
        <v>288039.26</v>
      </c>
      <c r="J4546" s="825">
        <v>20.16</v>
      </c>
    </row>
    <row r="4547" spans="1:10" ht="13.5" customHeight="1">
      <c r="A4547" s="827"/>
      <c r="B4547" s="827"/>
      <c r="C4547" s="827"/>
      <c r="D4547" s="827"/>
      <c r="E4547" s="827" t="s">
        <v>13503</v>
      </c>
      <c r="F4547" s="826">
        <v>0</v>
      </c>
      <c r="G4547" s="827" t="s">
        <v>13504</v>
      </c>
      <c r="H4547" s="826">
        <v>0</v>
      </c>
      <c r="I4547" s="827" t="s">
        <v>13505</v>
      </c>
      <c r="J4547" s="826">
        <v>0</v>
      </c>
    </row>
    <row r="4548" spans="1:10" ht="13.5" customHeight="1" thickBot="1">
      <c r="A4548" s="827"/>
      <c r="B4548" s="827"/>
      <c r="C4548" s="827"/>
      <c r="D4548" s="827"/>
      <c r="E4548" s="827" t="s">
        <v>13506</v>
      </c>
      <c r="F4548" s="826">
        <v>5.69</v>
      </c>
      <c r="G4548" s="827"/>
      <c r="H4548" s="1018" t="s">
        <v>13507</v>
      </c>
      <c r="I4548" s="1018"/>
      <c r="J4548" s="826">
        <v>25.85</v>
      </c>
    </row>
    <row r="4549" spans="1:10" ht="13.5" thickTop="1">
      <c r="A4549" s="828"/>
      <c r="B4549" s="828"/>
      <c r="C4549" s="828"/>
      <c r="D4549" s="828"/>
      <c r="E4549" s="828"/>
      <c r="F4549" s="828"/>
      <c r="G4549" s="828"/>
      <c r="H4549" s="828"/>
      <c r="I4549" s="828"/>
      <c r="J4549" s="828"/>
    </row>
    <row r="4550" spans="1:10" ht="38.25" customHeight="1">
      <c r="A4550" s="809"/>
      <c r="B4550" s="808" t="s">
        <v>13481</v>
      </c>
      <c r="C4550" s="809" t="s">
        <v>13482</v>
      </c>
      <c r="D4550" s="809" t="s">
        <v>13483</v>
      </c>
      <c r="E4550" s="1019" t="s">
        <v>13484</v>
      </c>
      <c r="F4550" s="1019"/>
      <c r="G4550" s="810" t="s">
        <v>13485</v>
      </c>
      <c r="H4550" s="808" t="s">
        <v>13486</v>
      </c>
      <c r="I4550" s="808" t="s">
        <v>13487</v>
      </c>
      <c r="J4550" s="808" t="s">
        <v>4867</v>
      </c>
    </row>
    <row r="4551" spans="1:10" ht="25.5" customHeight="1">
      <c r="A4551" s="812" t="s">
        <v>13488</v>
      </c>
      <c r="B4551" s="811" t="s">
        <v>14709</v>
      </c>
      <c r="C4551" s="812" t="s">
        <v>6</v>
      </c>
      <c r="D4551" s="812" t="s">
        <v>2781</v>
      </c>
      <c r="E4551" s="1020" t="s">
        <v>13539</v>
      </c>
      <c r="F4551" s="1020"/>
      <c r="G4551" s="813" t="s">
        <v>19</v>
      </c>
      <c r="H4551" s="814">
        <v>1</v>
      </c>
      <c r="I4551" s="815">
        <v>17.190000000000001</v>
      </c>
      <c r="J4551" s="815">
        <v>17.190000000000001</v>
      </c>
    </row>
    <row r="4552" spans="1:10">
      <c r="A4552" s="822" t="s">
        <v>13493</v>
      </c>
      <c r="B4552" s="821" t="s">
        <v>14463</v>
      </c>
      <c r="C4552" s="822" t="s">
        <v>6</v>
      </c>
      <c r="D4552" s="822" t="s">
        <v>4725</v>
      </c>
      <c r="E4552" s="1017" t="s">
        <v>13514</v>
      </c>
      <c r="F4552" s="1017"/>
      <c r="G4552" s="823" t="s">
        <v>39</v>
      </c>
      <c r="H4552" s="824">
        <v>2.91</v>
      </c>
      <c r="I4552" s="825">
        <v>5.91</v>
      </c>
      <c r="J4552" s="825">
        <v>17.190000000000001</v>
      </c>
    </row>
    <row r="4553" spans="1:10" ht="13.5" customHeight="1">
      <c r="A4553" s="827"/>
      <c r="B4553" s="827"/>
      <c r="C4553" s="827"/>
      <c r="D4553" s="827"/>
      <c r="E4553" s="827" t="s">
        <v>13503</v>
      </c>
      <c r="F4553" s="826">
        <v>0</v>
      </c>
      <c r="G4553" s="827" t="s">
        <v>13504</v>
      </c>
      <c r="H4553" s="826">
        <v>0</v>
      </c>
      <c r="I4553" s="827" t="s">
        <v>13505</v>
      </c>
      <c r="J4553" s="826">
        <v>0</v>
      </c>
    </row>
    <row r="4554" spans="1:10" ht="13.5" customHeight="1" thickBot="1">
      <c r="A4554" s="827"/>
      <c r="B4554" s="827"/>
      <c r="C4554" s="827"/>
      <c r="D4554" s="827"/>
      <c r="E4554" s="827" t="s">
        <v>13506</v>
      </c>
      <c r="F4554" s="826">
        <v>4.8499999999999996</v>
      </c>
      <c r="G4554" s="827"/>
      <c r="H4554" s="1018" t="s">
        <v>13507</v>
      </c>
      <c r="I4554" s="1018"/>
      <c r="J4554" s="826">
        <v>22.04</v>
      </c>
    </row>
    <row r="4555" spans="1:10" ht="13.5" thickTop="1">
      <c r="A4555" s="828"/>
      <c r="B4555" s="828"/>
      <c r="C4555" s="828"/>
      <c r="D4555" s="828"/>
      <c r="E4555" s="828"/>
      <c r="F4555" s="828"/>
      <c r="G4555" s="828"/>
      <c r="H4555" s="828"/>
      <c r="I4555" s="828"/>
      <c r="J4555" s="828"/>
    </row>
    <row r="4556" spans="1:10" ht="25.5" customHeight="1">
      <c r="A4556" s="809"/>
      <c r="B4556" s="808" t="s">
        <v>13481</v>
      </c>
      <c r="C4556" s="809" t="s">
        <v>13482</v>
      </c>
      <c r="D4556" s="809" t="s">
        <v>13483</v>
      </c>
      <c r="E4556" s="1019" t="s">
        <v>13484</v>
      </c>
      <c r="F4556" s="1019"/>
      <c r="G4556" s="810" t="s">
        <v>13485</v>
      </c>
      <c r="H4556" s="808" t="s">
        <v>13486</v>
      </c>
      <c r="I4556" s="808" t="s">
        <v>13487</v>
      </c>
      <c r="J4556" s="808" t="s">
        <v>4867</v>
      </c>
    </row>
    <row r="4557" spans="1:10" ht="25.5" customHeight="1">
      <c r="A4557" s="812" t="s">
        <v>13488</v>
      </c>
      <c r="B4557" s="811" t="s">
        <v>14595</v>
      </c>
      <c r="C4557" s="812" t="s">
        <v>6</v>
      </c>
      <c r="D4557" s="812" t="s">
        <v>133</v>
      </c>
      <c r="E4557" s="1020" t="s">
        <v>13490</v>
      </c>
      <c r="F4557" s="1020"/>
      <c r="G4557" s="813" t="s">
        <v>19</v>
      </c>
      <c r="H4557" s="814">
        <v>1</v>
      </c>
      <c r="I4557" s="815">
        <v>14.52</v>
      </c>
      <c r="J4557" s="815">
        <v>14.52</v>
      </c>
    </row>
    <row r="4558" spans="1:10" ht="38.25" customHeight="1">
      <c r="A4558" s="817" t="s">
        <v>13491</v>
      </c>
      <c r="B4558" s="816" t="s">
        <v>14643</v>
      </c>
      <c r="C4558" s="817" t="s">
        <v>6</v>
      </c>
      <c r="D4558" s="817" t="s">
        <v>2538</v>
      </c>
      <c r="E4558" s="1021" t="s">
        <v>13490</v>
      </c>
      <c r="F4558" s="1021"/>
      <c r="G4558" s="818" t="s">
        <v>19</v>
      </c>
      <c r="H4558" s="819">
        <v>1</v>
      </c>
      <c r="I4558" s="820">
        <v>0.04</v>
      </c>
      <c r="J4558" s="820">
        <v>0.04</v>
      </c>
    </row>
    <row r="4559" spans="1:10">
      <c r="A4559" s="822" t="s">
        <v>13493</v>
      </c>
      <c r="B4559" s="821" t="s">
        <v>13528</v>
      </c>
      <c r="C4559" s="822" t="s">
        <v>6</v>
      </c>
      <c r="D4559" s="822" t="s">
        <v>4581</v>
      </c>
      <c r="E4559" s="1017" t="s">
        <v>13499</v>
      </c>
      <c r="F4559" s="1017"/>
      <c r="G4559" s="823" t="s">
        <v>19</v>
      </c>
      <c r="H4559" s="824">
        <v>1</v>
      </c>
      <c r="I4559" s="825">
        <v>1.52</v>
      </c>
      <c r="J4559" s="825">
        <v>1.52</v>
      </c>
    </row>
    <row r="4560" spans="1:10" ht="25.5">
      <c r="A4560" s="822" t="s">
        <v>13493</v>
      </c>
      <c r="B4560" s="821" t="s">
        <v>14561</v>
      </c>
      <c r="C4560" s="822" t="s">
        <v>6</v>
      </c>
      <c r="D4560" s="822" t="s">
        <v>4656</v>
      </c>
      <c r="E4560" s="1017" t="s">
        <v>13497</v>
      </c>
      <c r="F4560" s="1017"/>
      <c r="G4560" s="823" t="s">
        <v>19</v>
      </c>
      <c r="H4560" s="824">
        <v>1</v>
      </c>
      <c r="I4560" s="825">
        <v>0.76</v>
      </c>
      <c r="J4560" s="825">
        <v>0.76</v>
      </c>
    </row>
    <row r="4561" spans="1:10" ht="25.5">
      <c r="A4561" s="822" t="s">
        <v>13493</v>
      </c>
      <c r="B4561" s="821" t="s">
        <v>14562</v>
      </c>
      <c r="C4561" s="822" t="s">
        <v>6</v>
      </c>
      <c r="D4561" s="822" t="s">
        <v>4672</v>
      </c>
      <c r="E4561" s="1017" t="s">
        <v>13497</v>
      </c>
      <c r="F4561" s="1017"/>
      <c r="G4561" s="823" t="s">
        <v>19</v>
      </c>
      <c r="H4561" s="824">
        <v>1</v>
      </c>
      <c r="I4561" s="825">
        <v>0.01</v>
      </c>
      <c r="J4561" s="825">
        <v>0.01</v>
      </c>
    </row>
    <row r="4562" spans="1:10" ht="13.5" customHeight="1">
      <c r="A4562" s="822" t="s">
        <v>13493</v>
      </c>
      <c r="B4562" s="821" t="s">
        <v>13498</v>
      </c>
      <c r="C4562" s="822" t="s">
        <v>6</v>
      </c>
      <c r="D4562" s="822" t="s">
        <v>4665</v>
      </c>
      <c r="E4562" s="1017" t="s">
        <v>13499</v>
      </c>
      <c r="F4562" s="1017"/>
      <c r="G4562" s="823" t="s">
        <v>19</v>
      </c>
      <c r="H4562" s="824">
        <v>1</v>
      </c>
      <c r="I4562" s="825">
        <v>0.81</v>
      </c>
      <c r="J4562" s="825">
        <v>0.81</v>
      </c>
    </row>
    <row r="4563" spans="1:10">
      <c r="A4563" s="822" t="s">
        <v>13493</v>
      </c>
      <c r="B4563" s="821" t="s">
        <v>14644</v>
      </c>
      <c r="C4563" s="822" t="s">
        <v>6</v>
      </c>
      <c r="D4563" s="822" t="s">
        <v>4720</v>
      </c>
      <c r="E4563" s="1017" t="s">
        <v>13495</v>
      </c>
      <c r="F4563" s="1017"/>
      <c r="G4563" s="823" t="s">
        <v>19</v>
      </c>
      <c r="H4563" s="824">
        <v>1</v>
      </c>
      <c r="I4563" s="825">
        <v>10.64</v>
      </c>
      <c r="J4563" s="825">
        <v>10.64</v>
      </c>
    </row>
    <row r="4564" spans="1:10">
      <c r="A4564" s="822" t="s">
        <v>13493</v>
      </c>
      <c r="B4564" s="821" t="s">
        <v>13501</v>
      </c>
      <c r="C4564" s="822" t="s">
        <v>6</v>
      </c>
      <c r="D4564" s="822" t="s">
        <v>4779</v>
      </c>
      <c r="E4564" s="1017" t="s">
        <v>13502</v>
      </c>
      <c r="F4564" s="1017"/>
      <c r="G4564" s="823" t="s">
        <v>19</v>
      </c>
      <c r="H4564" s="824">
        <v>1</v>
      </c>
      <c r="I4564" s="825">
        <v>0.06</v>
      </c>
      <c r="J4564" s="825">
        <v>0.06</v>
      </c>
    </row>
    <row r="4565" spans="1:10" ht="38.25" customHeight="1">
      <c r="A4565" s="822" t="s">
        <v>13493</v>
      </c>
      <c r="B4565" s="821" t="s">
        <v>13531</v>
      </c>
      <c r="C4565" s="822" t="s">
        <v>6</v>
      </c>
      <c r="D4565" s="822" t="s">
        <v>4808</v>
      </c>
      <c r="E4565" s="1017" t="s">
        <v>13532</v>
      </c>
      <c r="F4565" s="1017"/>
      <c r="G4565" s="823" t="s">
        <v>19</v>
      </c>
      <c r="H4565" s="824">
        <v>1</v>
      </c>
      <c r="I4565" s="825">
        <v>0.68</v>
      </c>
      <c r="J4565" s="825">
        <v>0.68</v>
      </c>
    </row>
    <row r="4566" spans="1:10" ht="25.5">
      <c r="A4566" s="827"/>
      <c r="B4566" s="827"/>
      <c r="C4566" s="827"/>
      <c r="D4566" s="827"/>
      <c r="E4566" s="827" t="s">
        <v>13503</v>
      </c>
      <c r="F4566" s="826">
        <v>10.68</v>
      </c>
      <c r="G4566" s="827" t="s">
        <v>13504</v>
      </c>
      <c r="H4566" s="826">
        <v>0</v>
      </c>
      <c r="I4566" s="827" t="s">
        <v>13505</v>
      </c>
      <c r="J4566" s="826">
        <v>10.68</v>
      </c>
    </row>
    <row r="4567" spans="1:10" ht="13.5" customHeight="1" thickBot="1">
      <c r="A4567" s="827"/>
      <c r="B4567" s="827"/>
      <c r="C4567" s="827"/>
      <c r="D4567" s="827"/>
      <c r="E4567" s="827" t="s">
        <v>13506</v>
      </c>
      <c r="F4567" s="826">
        <v>4.0999999999999996</v>
      </c>
      <c r="G4567" s="827"/>
      <c r="H4567" s="1018" t="s">
        <v>13507</v>
      </c>
      <c r="I4567" s="1018"/>
      <c r="J4567" s="826">
        <v>18.62</v>
      </c>
    </row>
    <row r="4568" spans="1:10" ht="13.5" thickTop="1">
      <c r="A4568" s="828"/>
      <c r="B4568" s="828"/>
      <c r="C4568" s="828"/>
      <c r="D4568" s="828"/>
      <c r="E4568" s="828"/>
      <c r="F4568" s="828"/>
      <c r="G4568" s="828"/>
      <c r="H4568" s="828"/>
      <c r="I4568" s="828"/>
      <c r="J4568" s="828"/>
    </row>
    <row r="4569" spans="1:10" ht="15">
      <c r="A4569" s="809"/>
      <c r="B4569" s="808" t="s">
        <v>13481</v>
      </c>
      <c r="C4569" s="809" t="s">
        <v>13482</v>
      </c>
      <c r="D4569" s="809" t="s">
        <v>13483</v>
      </c>
      <c r="E4569" s="1019" t="s">
        <v>13484</v>
      </c>
      <c r="F4569" s="1019"/>
      <c r="G4569" s="810" t="s">
        <v>13485</v>
      </c>
      <c r="H4569" s="808" t="s">
        <v>13486</v>
      </c>
      <c r="I4569" s="808" t="s">
        <v>13487</v>
      </c>
      <c r="J4569" s="808" t="s">
        <v>4867</v>
      </c>
    </row>
    <row r="4570" spans="1:10" ht="13.5" customHeight="1">
      <c r="A4570" s="812" t="s">
        <v>13488</v>
      </c>
      <c r="B4570" s="811" t="s">
        <v>14610</v>
      </c>
      <c r="C4570" s="812" t="s">
        <v>6</v>
      </c>
      <c r="D4570" s="812" t="s">
        <v>134</v>
      </c>
      <c r="E4570" s="1020" t="s">
        <v>13490</v>
      </c>
      <c r="F4570" s="1020"/>
      <c r="G4570" s="813" t="s">
        <v>19</v>
      </c>
      <c r="H4570" s="814">
        <v>1</v>
      </c>
      <c r="I4570" s="815">
        <v>15.17</v>
      </c>
      <c r="J4570" s="815">
        <v>15.17</v>
      </c>
    </row>
    <row r="4571" spans="1:10" ht="38.25" customHeight="1">
      <c r="A4571" s="817" t="s">
        <v>13491</v>
      </c>
      <c r="B4571" s="816" t="s">
        <v>14645</v>
      </c>
      <c r="C4571" s="817" t="s">
        <v>6</v>
      </c>
      <c r="D4571" s="817" t="s">
        <v>2539</v>
      </c>
      <c r="E4571" s="1021" t="s">
        <v>13490</v>
      </c>
      <c r="F4571" s="1021"/>
      <c r="G4571" s="818" t="s">
        <v>19</v>
      </c>
      <c r="H4571" s="819">
        <v>1</v>
      </c>
      <c r="I4571" s="820">
        <v>0.04</v>
      </c>
      <c r="J4571" s="820">
        <v>0.04</v>
      </c>
    </row>
    <row r="4572" spans="1:10">
      <c r="A4572" s="822" t="s">
        <v>13493</v>
      </c>
      <c r="B4572" s="821" t="s">
        <v>13528</v>
      </c>
      <c r="C4572" s="822" t="s">
        <v>6</v>
      </c>
      <c r="D4572" s="822" t="s">
        <v>4581</v>
      </c>
      <c r="E4572" s="1017" t="s">
        <v>13499</v>
      </c>
      <c r="F4572" s="1017"/>
      <c r="G4572" s="823" t="s">
        <v>19</v>
      </c>
      <c r="H4572" s="824">
        <v>1</v>
      </c>
      <c r="I4572" s="825">
        <v>1.52</v>
      </c>
      <c r="J4572" s="825">
        <v>1.52</v>
      </c>
    </row>
    <row r="4573" spans="1:10" ht="12.75" customHeight="1">
      <c r="A4573" s="822" t="s">
        <v>13493</v>
      </c>
      <c r="B4573" s="821" t="s">
        <v>14561</v>
      </c>
      <c r="C4573" s="822" t="s">
        <v>6</v>
      </c>
      <c r="D4573" s="822" t="s">
        <v>4656</v>
      </c>
      <c r="E4573" s="1017" t="s">
        <v>13497</v>
      </c>
      <c r="F4573" s="1017"/>
      <c r="G4573" s="823" t="s">
        <v>19</v>
      </c>
      <c r="H4573" s="824">
        <v>1</v>
      </c>
      <c r="I4573" s="825">
        <v>0.76</v>
      </c>
      <c r="J4573" s="825">
        <v>0.76</v>
      </c>
    </row>
    <row r="4574" spans="1:10">
      <c r="A4574" s="822" t="s">
        <v>13493</v>
      </c>
      <c r="B4574" s="821" t="s">
        <v>13498</v>
      </c>
      <c r="C4574" s="822" t="s">
        <v>6</v>
      </c>
      <c r="D4574" s="822" t="s">
        <v>4665</v>
      </c>
      <c r="E4574" s="1017" t="s">
        <v>13499</v>
      </c>
      <c r="F4574" s="1017"/>
      <c r="G4574" s="823" t="s">
        <v>19</v>
      </c>
      <c r="H4574" s="824">
        <v>1</v>
      </c>
      <c r="I4574" s="825">
        <v>0.81</v>
      </c>
      <c r="J4574" s="825">
        <v>0.81</v>
      </c>
    </row>
    <row r="4575" spans="1:10" ht="25.5">
      <c r="A4575" s="822" t="s">
        <v>13493</v>
      </c>
      <c r="B4575" s="821" t="s">
        <v>14562</v>
      </c>
      <c r="C4575" s="822" t="s">
        <v>6</v>
      </c>
      <c r="D4575" s="822" t="s">
        <v>4672</v>
      </c>
      <c r="E4575" s="1017" t="s">
        <v>13497</v>
      </c>
      <c r="F4575" s="1017"/>
      <c r="G4575" s="823" t="s">
        <v>19</v>
      </c>
      <c r="H4575" s="824">
        <v>1</v>
      </c>
      <c r="I4575" s="825">
        <v>0.01</v>
      </c>
      <c r="J4575" s="825">
        <v>0.01</v>
      </c>
    </row>
    <row r="4576" spans="1:10">
      <c r="A4576" s="822" t="s">
        <v>13493</v>
      </c>
      <c r="B4576" s="821" t="s">
        <v>14646</v>
      </c>
      <c r="C4576" s="822" t="s">
        <v>6</v>
      </c>
      <c r="D4576" s="822" t="s">
        <v>4719</v>
      </c>
      <c r="E4576" s="1017" t="s">
        <v>13495</v>
      </c>
      <c r="F4576" s="1017"/>
      <c r="G4576" s="823" t="s">
        <v>19</v>
      </c>
      <c r="H4576" s="824">
        <v>1</v>
      </c>
      <c r="I4576" s="825">
        <v>11.29</v>
      </c>
      <c r="J4576" s="825">
        <v>11.29</v>
      </c>
    </row>
    <row r="4577" spans="1:10">
      <c r="A4577" s="822" t="s">
        <v>13493</v>
      </c>
      <c r="B4577" s="821" t="s">
        <v>13501</v>
      </c>
      <c r="C4577" s="822" t="s">
        <v>6</v>
      </c>
      <c r="D4577" s="822" t="s">
        <v>4779</v>
      </c>
      <c r="E4577" s="1017" t="s">
        <v>13502</v>
      </c>
      <c r="F4577" s="1017"/>
      <c r="G4577" s="823" t="s">
        <v>19</v>
      </c>
      <c r="H4577" s="824">
        <v>1</v>
      </c>
      <c r="I4577" s="825">
        <v>0.06</v>
      </c>
      <c r="J4577" s="825">
        <v>0.06</v>
      </c>
    </row>
    <row r="4578" spans="1:10">
      <c r="A4578" s="822" t="s">
        <v>13493</v>
      </c>
      <c r="B4578" s="821" t="s">
        <v>13531</v>
      </c>
      <c r="C4578" s="822" t="s">
        <v>6</v>
      </c>
      <c r="D4578" s="822" t="s">
        <v>4808</v>
      </c>
      <c r="E4578" s="1017" t="s">
        <v>13532</v>
      </c>
      <c r="F4578" s="1017"/>
      <c r="G4578" s="823" t="s">
        <v>19</v>
      </c>
      <c r="H4578" s="824">
        <v>1</v>
      </c>
      <c r="I4578" s="825">
        <v>0.68</v>
      </c>
      <c r="J4578" s="825">
        <v>0.68</v>
      </c>
    </row>
    <row r="4579" spans="1:10" ht="25.5">
      <c r="A4579" s="827"/>
      <c r="B4579" s="827"/>
      <c r="C4579" s="827"/>
      <c r="D4579" s="827"/>
      <c r="E4579" s="827" t="s">
        <v>13503</v>
      </c>
      <c r="F4579" s="826">
        <v>11.33</v>
      </c>
      <c r="G4579" s="827" t="s">
        <v>13504</v>
      </c>
      <c r="H4579" s="826">
        <v>0</v>
      </c>
      <c r="I4579" s="827" t="s">
        <v>13505</v>
      </c>
      <c r="J4579" s="826">
        <v>11.33</v>
      </c>
    </row>
    <row r="4580" spans="1:10" ht="13.5" customHeight="1" thickBot="1">
      <c r="A4580" s="827"/>
      <c r="B4580" s="827"/>
      <c r="C4580" s="827"/>
      <c r="D4580" s="827"/>
      <c r="E4580" s="827" t="s">
        <v>13506</v>
      </c>
      <c r="F4580" s="826">
        <v>4.28</v>
      </c>
      <c r="G4580" s="827"/>
      <c r="H4580" s="1018" t="s">
        <v>13507</v>
      </c>
      <c r="I4580" s="1018"/>
      <c r="J4580" s="826">
        <v>19.45</v>
      </c>
    </row>
    <row r="4581" spans="1:10" ht="13.5" thickTop="1">
      <c r="A4581" s="828"/>
      <c r="B4581" s="828"/>
      <c r="C4581" s="828"/>
      <c r="D4581" s="828"/>
      <c r="E4581" s="828"/>
      <c r="F4581" s="828"/>
      <c r="G4581" s="828"/>
      <c r="H4581" s="828"/>
      <c r="I4581" s="828"/>
      <c r="J4581" s="828"/>
    </row>
    <row r="4582" spans="1:10" ht="15">
      <c r="A4582" s="809"/>
      <c r="B4582" s="808" t="s">
        <v>13481</v>
      </c>
      <c r="C4582" s="809" t="s">
        <v>13482</v>
      </c>
      <c r="D4582" s="809" t="s">
        <v>13483</v>
      </c>
      <c r="E4582" s="1019" t="s">
        <v>13484</v>
      </c>
      <c r="F4582" s="1019"/>
      <c r="G4582" s="810" t="s">
        <v>13485</v>
      </c>
      <c r="H4582" s="808" t="s">
        <v>13486</v>
      </c>
      <c r="I4582" s="808" t="s">
        <v>13487</v>
      </c>
      <c r="J4582" s="808" t="s">
        <v>4867</v>
      </c>
    </row>
    <row r="4583" spans="1:10" ht="13.5" customHeight="1">
      <c r="A4583" s="812" t="s">
        <v>13488</v>
      </c>
      <c r="B4583" s="811" t="s">
        <v>14690</v>
      </c>
      <c r="C4583" s="812" t="s">
        <v>6</v>
      </c>
      <c r="D4583" s="812" t="s">
        <v>138</v>
      </c>
      <c r="E4583" s="1020" t="s">
        <v>13490</v>
      </c>
      <c r="F4583" s="1020"/>
      <c r="G4583" s="813" t="s">
        <v>19</v>
      </c>
      <c r="H4583" s="814">
        <v>1</v>
      </c>
      <c r="I4583" s="815">
        <v>17.22</v>
      </c>
      <c r="J4583" s="815">
        <v>17.22</v>
      </c>
    </row>
    <row r="4584" spans="1:10" ht="38.25" customHeight="1">
      <c r="A4584" s="817" t="s">
        <v>13491</v>
      </c>
      <c r="B4584" s="816" t="s">
        <v>14647</v>
      </c>
      <c r="C4584" s="817" t="s">
        <v>6</v>
      </c>
      <c r="D4584" s="817" t="s">
        <v>2543</v>
      </c>
      <c r="E4584" s="1021" t="s">
        <v>13490</v>
      </c>
      <c r="F4584" s="1021"/>
      <c r="G4584" s="818" t="s">
        <v>19</v>
      </c>
      <c r="H4584" s="819">
        <v>1</v>
      </c>
      <c r="I4584" s="820">
        <v>0.17</v>
      </c>
      <c r="J4584" s="820">
        <v>0.17</v>
      </c>
    </row>
    <row r="4585" spans="1:10">
      <c r="A4585" s="822" t="s">
        <v>13493</v>
      </c>
      <c r="B4585" s="821" t="s">
        <v>13528</v>
      </c>
      <c r="C4585" s="822" t="s">
        <v>6</v>
      </c>
      <c r="D4585" s="822" t="s">
        <v>4581</v>
      </c>
      <c r="E4585" s="1017" t="s">
        <v>13499</v>
      </c>
      <c r="F4585" s="1017"/>
      <c r="G4585" s="823" t="s">
        <v>19</v>
      </c>
      <c r="H4585" s="824">
        <v>1</v>
      </c>
      <c r="I4585" s="825">
        <v>1.52</v>
      </c>
      <c r="J4585" s="825">
        <v>1.52</v>
      </c>
    </row>
    <row r="4586" spans="1:10" ht="25.5" customHeight="1">
      <c r="A4586" s="822" t="s">
        <v>13493</v>
      </c>
      <c r="B4586" s="821" t="s">
        <v>14561</v>
      </c>
      <c r="C4586" s="822" t="s">
        <v>6</v>
      </c>
      <c r="D4586" s="822" t="s">
        <v>4656</v>
      </c>
      <c r="E4586" s="1017" t="s">
        <v>13497</v>
      </c>
      <c r="F4586" s="1017"/>
      <c r="G4586" s="823" t="s">
        <v>19</v>
      </c>
      <c r="H4586" s="824">
        <v>1</v>
      </c>
      <c r="I4586" s="825">
        <v>0.76</v>
      </c>
      <c r="J4586" s="825">
        <v>0.76</v>
      </c>
    </row>
    <row r="4587" spans="1:10" ht="25.5">
      <c r="A4587" s="822" t="s">
        <v>13493</v>
      </c>
      <c r="B4587" s="821" t="s">
        <v>14562</v>
      </c>
      <c r="C4587" s="822" t="s">
        <v>6</v>
      </c>
      <c r="D4587" s="822" t="s">
        <v>4672</v>
      </c>
      <c r="E4587" s="1017" t="s">
        <v>13497</v>
      </c>
      <c r="F4587" s="1017"/>
      <c r="G4587" s="823" t="s">
        <v>19</v>
      </c>
      <c r="H4587" s="824">
        <v>1</v>
      </c>
      <c r="I4587" s="825">
        <v>0.01</v>
      </c>
      <c r="J4587" s="825">
        <v>0.01</v>
      </c>
    </row>
    <row r="4588" spans="1:10">
      <c r="A4588" s="822" t="s">
        <v>13493</v>
      </c>
      <c r="B4588" s="821" t="s">
        <v>13498</v>
      </c>
      <c r="C4588" s="822" t="s">
        <v>6</v>
      </c>
      <c r="D4588" s="822" t="s">
        <v>4665</v>
      </c>
      <c r="E4588" s="1017" t="s">
        <v>13499</v>
      </c>
      <c r="F4588" s="1017"/>
      <c r="G4588" s="823" t="s">
        <v>19</v>
      </c>
      <c r="H4588" s="824">
        <v>1</v>
      </c>
      <c r="I4588" s="825">
        <v>0.81</v>
      </c>
      <c r="J4588" s="825">
        <v>0.81</v>
      </c>
    </row>
    <row r="4589" spans="1:10">
      <c r="A4589" s="822" t="s">
        <v>13493</v>
      </c>
      <c r="B4589" s="821" t="s">
        <v>14648</v>
      </c>
      <c r="C4589" s="822" t="s">
        <v>6</v>
      </c>
      <c r="D4589" s="822" t="s">
        <v>4721</v>
      </c>
      <c r="E4589" s="1017" t="s">
        <v>13495</v>
      </c>
      <c r="F4589" s="1017"/>
      <c r="G4589" s="823" t="s">
        <v>19</v>
      </c>
      <c r="H4589" s="824">
        <v>1</v>
      </c>
      <c r="I4589" s="825">
        <v>13.21</v>
      </c>
      <c r="J4589" s="825">
        <v>13.21</v>
      </c>
    </row>
    <row r="4590" spans="1:10">
      <c r="A4590" s="822" t="s">
        <v>13493</v>
      </c>
      <c r="B4590" s="821" t="s">
        <v>13501</v>
      </c>
      <c r="C4590" s="822" t="s">
        <v>6</v>
      </c>
      <c r="D4590" s="822" t="s">
        <v>4779</v>
      </c>
      <c r="E4590" s="1017" t="s">
        <v>13502</v>
      </c>
      <c r="F4590" s="1017"/>
      <c r="G4590" s="823" t="s">
        <v>19</v>
      </c>
      <c r="H4590" s="824">
        <v>1</v>
      </c>
      <c r="I4590" s="825">
        <v>0.06</v>
      </c>
      <c r="J4590" s="825">
        <v>0.06</v>
      </c>
    </row>
    <row r="4591" spans="1:10" ht="13.5" customHeight="1">
      <c r="A4591" s="822" t="s">
        <v>13493</v>
      </c>
      <c r="B4591" s="821" t="s">
        <v>13531</v>
      </c>
      <c r="C4591" s="822" t="s">
        <v>6</v>
      </c>
      <c r="D4591" s="822" t="s">
        <v>4808</v>
      </c>
      <c r="E4591" s="1017" t="s">
        <v>13532</v>
      </c>
      <c r="F4591" s="1017"/>
      <c r="G4591" s="823" t="s">
        <v>19</v>
      </c>
      <c r="H4591" s="824">
        <v>1</v>
      </c>
      <c r="I4591" s="825">
        <v>0.68</v>
      </c>
      <c r="J4591" s="825">
        <v>0.68</v>
      </c>
    </row>
    <row r="4592" spans="1:10" ht="25.5">
      <c r="A4592" s="827"/>
      <c r="B4592" s="827"/>
      <c r="C4592" s="827"/>
      <c r="D4592" s="827"/>
      <c r="E4592" s="827" t="s">
        <v>13503</v>
      </c>
      <c r="F4592" s="826">
        <v>13.38</v>
      </c>
      <c r="G4592" s="827" t="s">
        <v>13504</v>
      </c>
      <c r="H4592" s="826">
        <v>0</v>
      </c>
      <c r="I4592" s="827" t="s">
        <v>13505</v>
      </c>
      <c r="J4592" s="826">
        <v>13.38</v>
      </c>
    </row>
    <row r="4593" spans="1:10" ht="13.5" customHeight="1" thickBot="1">
      <c r="A4593" s="827"/>
      <c r="B4593" s="827"/>
      <c r="C4593" s="827"/>
      <c r="D4593" s="827"/>
      <c r="E4593" s="827" t="s">
        <v>13506</v>
      </c>
      <c r="F4593" s="826">
        <v>4.8600000000000003</v>
      </c>
      <c r="G4593" s="827"/>
      <c r="H4593" s="1018" t="s">
        <v>13507</v>
      </c>
      <c r="I4593" s="1018"/>
      <c r="J4593" s="826">
        <v>22.08</v>
      </c>
    </row>
    <row r="4594" spans="1:10" ht="25.5" customHeight="1" thickTop="1">
      <c r="A4594" s="828"/>
      <c r="B4594" s="828"/>
      <c r="C4594" s="828"/>
      <c r="D4594" s="828"/>
      <c r="E4594" s="828"/>
      <c r="F4594" s="828"/>
      <c r="G4594" s="828"/>
      <c r="H4594" s="828"/>
      <c r="I4594" s="828"/>
      <c r="J4594" s="828"/>
    </row>
    <row r="4595" spans="1:10" ht="15">
      <c r="A4595" s="809"/>
      <c r="B4595" s="808" t="s">
        <v>13481</v>
      </c>
      <c r="C4595" s="809" t="s">
        <v>13482</v>
      </c>
      <c r="D4595" s="809" t="s">
        <v>13483</v>
      </c>
      <c r="E4595" s="1019" t="s">
        <v>13484</v>
      </c>
      <c r="F4595" s="1019"/>
      <c r="G4595" s="810" t="s">
        <v>13485</v>
      </c>
      <c r="H4595" s="808" t="s">
        <v>13486</v>
      </c>
      <c r="I4595" s="808" t="s">
        <v>13487</v>
      </c>
      <c r="J4595" s="808" t="s">
        <v>4867</v>
      </c>
    </row>
    <row r="4596" spans="1:10" ht="25.5" customHeight="1">
      <c r="A4596" s="812" t="s">
        <v>13488</v>
      </c>
      <c r="B4596" s="811" t="s">
        <v>13656</v>
      </c>
      <c r="C4596" s="812" t="s">
        <v>6</v>
      </c>
      <c r="D4596" s="812" t="s">
        <v>990</v>
      </c>
      <c r="E4596" s="1020" t="s">
        <v>13490</v>
      </c>
      <c r="F4596" s="1020"/>
      <c r="G4596" s="813" t="s">
        <v>19</v>
      </c>
      <c r="H4596" s="814">
        <v>1</v>
      </c>
      <c r="I4596" s="815">
        <v>13.71</v>
      </c>
      <c r="J4596" s="815">
        <v>13.71</v>
      </c>
    </row>
    <row r="4597" spans="1:10" ht="38.25" customHeight="1">
      <c r="A4597" s="817" t="s">
        <v>13491</v>
      </c>
      <c r="B4597" s="816" t="s">
        <v>14649</v>
      </c>
      <c r="C4597" s="817" t="s">
        <v>6</v>
      </c>
      <c r="D4597" s="817" t="s">
        <v>2574</v>
      </c>
      <c r="E4597" s="1021" t="s">
        <v>13490</v>
      </c>
      <c r="F4597" s="1021"/>
      <c r="G4597" s="818" t="s">
        <v>19</v>
      </c>
      <c r="H4597" s="819">
        <v>1</v>
      </c>
      <c r="I4597" s="820">
        <v>0.06</v>
      </c>
      <c r="J4597" s="820">
        <v>0.06</v>
      </c>
    </row>
    <row r="4598" spans="1:10">
      <c r="A4598" s="822" t="s">
        <v>13493</v>
      </c>
      <c r="B4598" s="821" t="s">
        <v>13528</v>
      </c>
      <c r="C4598" s="822" t="s">
        <v>6</v>
      </c>
      <c r="D4598" s="822" t="s">
        <v>4581</v>
      </c>
      <c r="E4598" s="1017" t="s">
        <v>13499</v>
      </c>
      <c r="F4598" s="1017"/>
      <c r="G4598" s="823" t="s">
        <v>19</v>
      </c>
      <c r="H4598" s="824">
        <v>1</v>
      </c>
      <c r="I4598" s="825">
        <v>1.52</v>
      </c>
      <c r="J4598" s="825">
        <v>1.52</v>
      </c>
    </row>
    <row r="4599" spans="1:10" ht="13.5" customHeight="1">
      <c r="A4599" s="822" t="s">
        <v>13493</v>
      </c>
      <c r="B4599" s="821" t="s">
        <v>14561</v>
      </c>
      <c r="C4599" s="822" t="s">
        <v>6</v>
      </c>
      <c r="D4599" s="822" t="s">
        <v>4656</v>
      </c>
      <c r="E4599" s="1017" t="s">
        <v>13497</v>
      </c>
      <c r="F4599" s="1017"/>
      <c r="G4599" s="823" t="s">
        <v>19</v>
      </c>
      <c r="H4599" s="824">
        <v>1</v>
      </c>
      <c r="I4599" s="825">
        <v>0.76</v>
      </c>
      <c r="J4599" s="825">
        <v>0.76</v>
      </c>
    </row>
    <row r="4600" spans="1:10" ht="25.5">
      <c r="A4600" s="822" t="s">
        <v>13493</v>
      </c>
      <c r="B4600" s="821" t="s">
        <v>14562</v>
      </c>
      <c r="C4600" s="822" t="s">
        <v>6</v>
      </c>
      <c r="D4600" s="822" t="s">
        <v>4672</v>
      </c>
      <c r="E4600" s="1017" t="s">
        <v>13497</v>
      </c>
      <c r="F4600" s="1017"/>
      <c r="G4600" s="823" t="s">
        <v>19</v>
      </c>
      <c r="H4600" s="824">
        <v>1</v>
      </c>
      <c r="I4600" s="825">
        <v>0.01</v>
      </c>
      <c r="J4600" s="825">
        <v>0.01</v>
      </c>
    </row>
    <row r="4601" spans="1:10">
      <c r="A4601" s="822" t="s">
        <v>13493</v>
      </c>
      <c r="B4601" s="821" t="s">
        <v>13498</v>
      </c>
      <c r="C4601" s="822" t="s">
        <v>6</v>
      </c>
      <c r="D4601" s="822" t="s">
        <v>4665</v>
      </c>
      <c r="E4601" s="1017" t="s">
        <v>13499</v>
      </c>
      <c r="F4601" s="1017"/>
      <c r="G4601" s="823" t="s">
        <v>19</v>
      </c>
      <c r="H4601" s="824">
        <v>1</v>
      </c>
      <c r="I4601" s="825">
        <v>0.81</v>
      </c>
      <c r="J4601" s="825">
        <v>0.81</v>
      </c>
    </row>
    <row r="4602" spans="1:10" ht="25.5" customHeight="1">
      <c r="A4602" s="822" t="s">
        <v>13493</v>
      </c>
      <c r="B4602" s="821" t="s">
        <v>14650</v>
      </c>
      <c r="C4602" s="822" t="s">
        <v>6</v>
      </c>
      <c r="D4602" s="822" t="s">
        <v>4726</v>
      </c>
      <c r="E4602" s="1017" t="s">
        <v>13495</v>
      </c>
      <c r="F4602" s="1017"/>
      <c r="G4602" s="823" t="s">
        <v>19</v>
      </c>
      <c r="H4602" s="824">
        <v>1</v>
      </c>
      <c r="I4602" s="825">
        <v>9.81</v>
      </c>
      <c r="J4602" s="825">
        <v>9.81</v>
      </c>
    </row>
    <row r="4603" spans="1:10">
      <c r="A4603" s="822" t="s">
        <v>13493</v>
      </c>
      <c r="B4603" s="821" t="s">
        <v>13501</v>
      </c>
      <c r="C4603" s="822" t="s">
        <v>6</v>
      </c>
      <c r="D4603" s="822" t="s">
        <v>4779</v>
      </c>
      <c r="E4603" s="1017" t="s">
        <v>13502</v>
      </c>
      <c r="F4603" s="1017"/>
      <c r="G4603" s="823" t="s">
        <v>19</v>
      </c>
      <c r="H4603" s="824">
        <v>1</v>
      </c>
      <c r="I4603" s="825">
        <v>0.06</v>
      </c>
      <c r="J4603" s="825">
        <v>0.06</v>
      </c>
    </row>
    <row r="4604" spans="1:10">
      <c r="A4604" s="822" t="s">
        <v>13493</v>
      </c>
      <c r="B4604" s="821" t="s">
        <v>13531</v>
      </c>
      <c r="C4604" s="822" t="s">
        <v>6</v>
      </c>
      <c r="D4604" s="822" t="s">
        <v>4808</v>
      </c>
      <c r="E4604" s="1017" t="s">
        <v>13532</v>
      </c>
      <c r="F4604" s="1017"/>
      <c r="G4604" s="823" t="s">
        <v>19</v>
      </c>
      <c r="H4604" s="824">
        <v>1</v>
      </c>
      <c r="I4604" s="825">
        <v>0.68</v>
      </c>
      <c r="J4604" s="825">
        <v>0.68</v>
      </c>
    </row>
    <row r="4605" spans="1:10" ht="25.5">
      <c r="A4605" s="827"/>
      <c r="B4605" s="827"/>
      <c r="C4605" s="827"/>
      <c r="D4605" s="827"/>
      <c r="E4605" s="827" t="s">
        <v>13503</v>
      </c>
      <c r="F4605" s="826">
        <v>9.8699999999999992</v>
      </c>
      <c r="G4605" s="827" t="s">
        <v>13504</v>
      </c>
      <c r="H4605" s="826">
        <v>0</v>
      </c>
      <c r="I4605" s="827" t="s">
        <v>13505</v>
      </c>
      <c r="J4605" s="826">
        <v>9.8699999999999992</v>
      </c>
    </row>
    <row r="4606" spans="1:10" ht="13.5" customHeight="1" thickBot="1">
      <c r="A4606" s="827"/>
      <c r="B4606" s="827"/>
      <c r="C4606" s="827"/>
      <c r="D4606" s="827"/>
      <c r="E4606" s="827" t="s">
        <v>13506</v>
      </c>
      <c r="F4606" s="826">
        <v>3.87</v>
      </c>
      <c r="G4606" s="827"/>
      <c r="H4606" s="1018" t="s">
        <v>13507</v>
      </c>
      <c r="I4606" s="1018"/>
      <c r="J4606" s="826">
        <v>17.579999999999998</v>
      </c>
    </row>
    <row r="4607" spans="1:10" ht="13.5" customHeight="1" thickTop="1">
      <c r="A4607" s="828"/>
      <c r="B4607" s="828"/>
      <c r="C4607" s="828"/>
      <c r="D4607" s="828"/>
      <c r="E4607" s="828"/>
      <c r="F4607" s="828"/>
      <c r="G4607" s="828"/>
      <c r="H4607" s="828"/>
      <c r="I4607" s="828"/>
      <c r="J4607" s="828"/>
    </row>
    <row r="4608" spans="1:10" ht="15">
      <c r="A4608" s="809"/>
      <c r="B4608" s="808" t="s">
        <v>13481</v>
      </c>
      <c r="C4608" s="809" t="s">
        <v>13482</v>
      </c>
      <c r="D4608" s="809" t="s">
        <v>13483</v>
      </c>
      <c r="E4608" s="1019" t="s">
        <v>13484</v>
      </c>
      <c r="F4608" s="1019"/>
      <c r="G4608" s="810" t="s">
        <v>13485</v>
      </c>
      <c r="H4608" s="808" t="s">
        <v>13486</v>
      </c>
      <c r="I4608" s="808" t="s">
        <v>13487</v>
      </c>
      <c r="J4608" s="808" t="s">
        <v>4867</v>
      </c>
    </row>
    <row r="4609" spans="1:10" ht="25.5" customHeight="1">
      <c r="A4609" s="812" t="s">
        <v>13488</v>
      </c>
      <c r="B4609" s="811" t="s">
        <v>14452</v>
      </c>
      <c r="C4609" s="812" t="s">
        <v>6</v>
      </c>
      <c r="D4609" s="812" t="s">
        <v>143</v>
      </c>
      <c r="E4609" s="1020" t="s">
        <v>13490</v>
      </c>
      <c r="F4609" s="1020"/>
      <c r="G4609" s="813" t="s">
        <v>19</v>
      </c>
      <c r="H4609" s="814">
        <v>1</v>
      </c>
      <c r="I4609" s="815">
        <v>17.690000000000001</v>
      </c>
      <c r="J4609" s="815">
        <v>17.690000000000001</v>
      </c>
    </row>
    <row r="4610" spans="1:10" ht="25.5" customHeight="1">
      <c r="A4610" s="817" t="s">
        <v>13491</v>
      </c>
      <c r="B4610" s="816" t="s">
        <v>14651</v>
      </c>
      <c r="C4610" s="817" t="s">
        <v>6</v>
      </c>
      <c r="D4610" s="817" t="s">
        <v>2548</v>
      </c>
      <c r="E4610" s="1021" t="s">
        <v>13490</v>
      </c>
      <c r="F4610" s="1021"/>
      <c r="G4610" s="818" t="s">
        <v>19</v>
      </c>
      <c r="H4610" s="819">
        <v>1</v>
      </c>
      <c r="I4610" s="820">
        <v>0.12</v>
      </c>
      <c r="J4610" s="820">
        <v>0.12</v>
      </c>
    </row>
    <row r="4611" spans="1:10">
      <c r="A4611" s="822" t="s">
        <v>13493</v>
      </c>
      <c r="B4611" s="821" t="s">
        <v>13528</v>
      </c>
      <c r="C4611" s="822" t="s">
        <v>6</v>
      </c>
      <c r="D4611" s="822" t="s">
        <v>4581</v>
      </c>
      <c r="E4611" s="1017" t="s">
        <v>13499</v>
      </c>
      <c r="F4611" s="1017"/>
      <c r="G4611" s="823" t="s">
        <v>19</v>
      </c>
      <c r="H4611" s="824">
        <v>1</v>
      </c>
      <c r="I4611" s="825">
        <v>1.52</v>
      </c>
      <c r="J4611" s="825">
        <v>1.52</v>
      </c>
    </row>
    <row r="4612" spans="1:10" ht="25.5">
      <c r="A4612" s="822" t="s">
        <v>13493</v>
      </c>
      <c r="B4612" s="821" t="s">
        <v>14561</v>
      </c>
      <c r="C4612" s="822" t="s">
        <v>6</v>
      </c>
      <c r="D4612" s="822" t="s">
        <v>4656</v>
      </c>
      <c r="E4612" s="1017" t="s">
        <v>13497</v>
      </c>
      <c r="F4612" s="1017"/>
      <c r="G4612" s="823" t="s">
        <v>19</v>
      </c>
      <c r="H4612" s="824">
        <v>1</v>
      </c>
      <c r="I4612" s="825">
        <v>0.76</v>
      </c>
      <c r="J4612" s="825">
        <v>0.76</v>
      </c>
    </row>
    <row r="4613" spans="1:10">
      <c r="A4613" s="822" t="s">
        <v>13493</v>
      </c>
      <c r="B4613" s="821" t="s">
        <v>13498</v>
      </c>
      <c r="C4613" s="822" t="s">
        <v>6</v>
      </c>
      <c r="D4613" s="822" t="s">
        <v>4665</v>
      </c>
      <c r="E4613" s="1017" t="s">
        <v>13499</v>
      </c>
      <c r="F4613" s="1017"/>
      <c r="G4613" s="823" t="s">
        <v>19</v>
      </c>
      <c r="H4613" s="824">
        <v>1</v>
      </c>
      <c r="I4613" s="825">
        <v>0.81</v>
      </c>
      <c r="J4613" s="825">
        <v>0.81</v>
      </c>
    </row>
    <row r="4614" spans="1:10" ht="25.5">
      <c r="A4614" s="822" t="s">
        <v>13493</v>
      </c>
      <c r="B4614" s="821" t="s">
        <v>14562</v>
      </c>
      <c r="C4614" s="822" t="s">
        <v>6</v>
      </c>
      <c r="D4614" s="822" t="s">
        <v>4672</v>
      </c>
      <c r="E4614" s="1017" t="s">
        <v>13497</v>
      </c>
      <c r="F4614" s="1017"/>
      <c r="G4614" s="823" t="s">
        <v>19</v>
      </c>
      <c r="H4614" s="824">
        <v>1</v>
      </c>
      <c r="I4614" s="825">
        <v>0.01</v>
      </c>
      <c r="J4614" s="825">
        <v>0.01</v>
      </c>
    </row>
    <row r="4615" spans="1:10" ht="13.5" customHeight="1">
      <c r="A4615" s="822" t="s">
        <v>13493</v>
      </c>
      <c r="B4615" s="821" t="s">
        <v>14652</v>
      </c>
      <c r="C4615" s="822" t="s">
        <v>6</v>
      </c>
      <c r="D4615" s="822" t="s">
        <v>4727</v>
      </c>
      <c r="E4615" s="1017" t="s">
        <v>13495</v>
      </c>
      <c r="F4615" s="1017"/>
      <c r="G4615" s="823" t="s">
        <v>19</v>
      </c>
      <c r="H4615" s="824">
        <v>1</v>
      </c>
      <c r="I4615" s="825">
        <v>13.73</v>
      </c>
      <c r="J4615" s="825">
        <v>13.73</v>
      </c>
    </row>
    <row r="4616" spans="1:10">
      <c r="A4616" s="822" t="s">
        <v>13493</v>
      </c>
      <c r="B4616" s="821" t="s">
        <v>13501</v>
      </c>
      <c r="C4616" s="822" t="s">
        <v>6</v>
      </c>
      <c r="D4616" s="822" t="s">
        <v>4779</v>
      </c>
      <c r="E4616" s="1017" t="s">
        <v>13502</v>
      </c>
      <c r="F4616" s="1017"/>
      <c r="G4616" s="823" t="s">
        <v>19</v>
      </c>
      <c r="H4616" s="824">
        <v>1</v>
      </c>
      <c r="I4616" s="825">
        <v>0.06</v>
      </c>
      <c r="J4616" s="825">
        <v>0.06</v>
      </c>
    </row>
    <row r="4617" spans="1:10">
      <c r="A4617" s="822" t="s">
        <v>13493</v>
      </c>
      <c r="B4617" s="821" t="s">
        <v>13531</v>
      </c>
      <c r="C4617" s="822" t="s">
        <v>6</v>
      </c>
      <c r="D4617" s="822" t="s">
        <v>4808</v>
      </c>
      <c r="E4617" s="1017" t="s">
        <v>13532</v>
      </c>
      <c r="F4617" s="1017"/>
      <c r="G4617" s="823" t="s">
        <v>19</v>
      </c>
      <c r="H4617" s="824">
        <v>1</v>
      </c>
      <c r="I4617" s="825">
        <v>0.68</v>
      </c>
      <c r="J4617" s="825">
        <v>0.68</v>
      </c>
    </row>
    <row r="4618" spans="1:10" ht="25.5" customHeight="1">
      <c r="A4618" s="827"/>
      <c r="B4618" s="827"/>
      <c r="C4618" s="827"/>
      <c r="D4618" s="827"/>
      <c r="E4618" s="827" t="s">
        <v>13503</v>
      </c>
      <c r="F4618" s="826">
        <v>13.85</v>
      </c>
      <c r="G4618" s="827" t="s">
        <v>13504</v>
      </c>
      <c r="H4618" s="826">
        <v>0</v>
      </c>
      <c r="I4618" s="827" t="s">
        <v>13505</v>
      </c>
      <c r="J4618" s="826">
        <v>13.85</v>
      </c>
    </row>
    <row r="4619" spans="1:10" ht="13.5" customHeight="1" thickBot="1">
      <c r="A4619" s="827"/>
      <c r="B4619" s="827"/>
      <c r="C4619" s="827"/>
      <c r="D4619" s="827"/>
      <c r="E4619" s="827" t="s">
        <v>13506</v>
      </c>
      <c r="F4619" s="826">
        <v>4.99</v>
      </c>
      <c r="G4619" s="827"/>
      <c r="H4619" s="1018" t="s">
        <v>13507</v>
      </c>
      <c r="I4619" s="1018"/>
      <c r="J4619" s="826">
        <v>22.68</v>
      </c>
    </row>
    <row r="4620" spans="1:10" ht="13.5" thickTop="1">
      <c r="A4620" s="828"/>
      <c r="B4620" s="828"/>
      <c r="C4620" s="828"/>
      <c r="D4620" s="828"/>
      <c r="E4620" s="828"/>
      <c r="F4620" s="828"/>
      <c r="G4620" s="828"/>
      <c r="H4620" s="828"/>
      <c r="I4620" s="828"/>
      <c r="J4620" s="828"/>
    </row>
    <row r="4621" spans="1:10" ht="15">
      <c r="A4621" s="809"/>
      <c r="B4621" s="808" t="s">
        <v>13481</v>
      </c>
      <c r="C4621" s="809" t="s">
        <v>13482</v>
      </c>
      <c r="D4621" s="809" t="s">
        <v>13483</v>
      </c>
      <c r="E4621" s="1019" t="s">
        <v>13484</v>
      </c>
      <c r="F4621" s="1019"/>
      <c r="G4621" s="810" t="s">
        <v>13485</v>
      </c>
      <c r="H4621" s="808" t="s">
        <v>13486</v>
      </c>
      <c r="I4621" s="808" t="s">
        <v>13487</v>
      </c>
      <c r="J4621" s="808" t="s">
        <v>4867</v>
      </c>
    </row>
    <row r="4622" spans="1:10" ht="25.5" customHeight="1">
      <c r="A4622" s="812" t="s">
        <v>13488</v>
      </c>
      <c r="B4622" s="811" t="s">
        <v>14676</v>
      </c>
      <c r="C4622" s="812" t="s">
        <v>6</v>
      </c>
      <c r="D4622" s="812" t="s">
        <v>144</v>
      </c>
      <c r="E4622" s="1020" t="s">
        <v>13490</v>
      </c>
      <c r="F4622" s="1020"/>
      <c r="G4622" s="813" t="s">
        <v>19</v>
      </c>
      <c r="H4622" s="814">
        <v>1</v>
      </c>
      <c r="I4622" s="815">
        <v>13.83</v>
      </c>
      <c r="J4622" s="815">
        <v>13.83</v>
      </c>
    </row>
    <row r="4623" spans="1:10" ht="13.5" customHeight="1">
      <c r="A4623" s="817" t="s">
        <v>13491</v>
      </c>
      <c r="B4623" s="816" t="s">
        <v>14653</v>
      </c>
      <c r="C4623" s="817" t="s">
        <v>6</v>
      </c>
      <c r="D4623" s="817" t="s">
        <v>2549</v>
      </c>
      <c r="E4623" s="1021" t="s">
        <v>13490</v>
      </c>
      <c r="F4623" s="1021"/>
      <c r="G4623" s="818" t="s">
        <v>19</v>
      </c>
      <c r="H4623" s="819">
        <v>1</v>
      </c>
      <c r="I4623" s="820">
        <v>0.13</v>
      </c>
      <c r="J4623" s="820">
        <v>0.13</v>
      </c>
    </row>
    <row r="4624" spans="1:10">
      <c r="A4624" s="822" t="s">
        <v>13493</v>
      </c>
      <c r="B4624" s="821" t="s">
        <v>13528</v>
      </c>
      <c r="C4624" s="822" t="s">
        <v>6</v>
      </c>
      <c r="D4624" s="822" t="s">
        <v>4581</v>
      </c>
      <c r="E4624" s="1017" t="s">
        <v>13499</v>
      </c>
      <c r="F4624" s="1017"/>
      <c r="G4624" s="823" t="s">
        <v>19</v>
      </c>
      <c r="H4624" s="824">
        <v>1</v>
      </c>
      <c r="I4624" s="825">
        <v>1.52</v>
      </c>
      <c r="J4624" s="825">
        <v>1.52</v>
      </c>
    </row>
    <row r="4625" spans="1:10" ht="25.5">
      <c r="A4625" s="822" t="s">
        <v>13493</v>
      </c>
      <c r="B4625" s="821" t="s">
        <v>14561</v>
      </c>
      <c r="C4625" s="822" t="s">
        <v>6</v>
      </c>
      <c r="D4625" s="822" t="s">
        <v>4656</v>
      </c>
      <c r="E4625" s="1017" t="s">
        <v>13497</v>
      </c>
      <c r="F4625" s="1017"/>
      <c r="G4625" s="823" t="s">
        <v>19</v>
      </c>
      <c r="H4625" s="824">
        <v>1</v>
      </c>
      <c r="I4625" s="825">
        <v>0.76</v>
      </c>
      <c r="J4625" s="825">
        <v>0.76</v>
      </c>
    </row>
    <row r="4626" spans="1:10" ht="25.5" customHeight="1">
      <c r="A4626" s="822" t="s">
        <v>13493</v>
      </c>
      <c r="B4626" s="821" t="s">
        <v>13498</v>
      </c>
      <c r="C4626" s="822" t="s">
        <v>6</v>
      </c>
      <c r="D4626" s="822" t="s">
        <v>4665</v>
      </c>
      <c r="E4626" s="1017" t="s">
        <v>13499</v>
      </c>
      <c r="F4626" s="1017"/>
      <c r="G4626" s="823" t="s">
        <v>19</v>
      </c>
      <c r="H4626" s="824">
        <v>1</v>
      </c>
      <c r="I4626" s="825">
        <v>0.81</v>
      </c>
      <c r="J4626" s="825">
        <v>0.81</v>
      </c>
    </row>
    <row r="4627" spans="1:10" ht="25.5">
      <c r="A4627" s="822" t="s">
        <v>13493</v>
      </c>
      <c r="B4627" s="821" t="s">
        <v>14562</v>
      </c>
      <c r="C4627" s="822" t="s">
        <v>6</v>
      </c>
      <c r="D4627" s="822" t="s">
        <v>4672</v>
      </c>
      <c r="E4627" s="1017" t="s">
        <v>13497</v>
      </c>
      <c r="F4627" s="1017"/>
      <c r="G4627" s="823" t="s">
        <v>19</v>
      </c>
      <c r="H4627" s="824">
        <v>1</v>
      </c>
      <c r="I4627" s="825">
        <v>0.01</v>
      </c>
      <c r="J4627" s="825">
        <v>0.01</v>
      </c>
    </row>
    <row r="4628" spans="1:10">
      <c r="A4628" s="822" t="s">
        <v>13493</v>
      </c>
      <c r="B4628" s="821" t="s">
        <v>14654</v>
      </c>
      <c r="C4628" s="822" t="s">
        <v>6</v>
      </c>
      <c r="D4628" s="822" t="s">
        <v>4728</v>
      </c>
      <c r="E4628" s="1017" t="s">
        <v>13495</v>
      </c>
      <c r="F4628" s="1017"/>
      <c r="G4628" s="823" t="s">
        <v>19</v>
      </c>
      <c r="H4628" s="824">
        <v>1</v>
      </c>
      <c r="I4628" s="825">
        <v>9.86</v>
      </c>
      <c r="J4628" s="825">
        <v>9.86</v>
      </c>
    </row>
    <row r="4629" spans="1:10">
      <c r="A4629" s="822" t="s">
        <v>13493</v>
      </c>
      <c r="B4629" s="821" t="s">
        <v>13501</v>
      </c>
      <c r="C4629" s="822" t="s">
        <v>6</v>
      </c>
      <c r="D4629" s="822" t="s">
        <v>4779</v>
      </c>
      <c r="E4629" s="1017" t="s">
        <v>13502</v>
      </c>
      <c r="F4629" s="1017"/>
      <c r="G4629" s="823" t="s">
        <v>19</v>
      </c>
      <c r="H4629" s="824">
        <v>1</v>
      </c>
      <c r="I4629" s="825">
        <v>0.06</v>
      </c>
      <c r="J4629" s="825">
        <v>0.06</v>
      </c>
    </row>
    <row r="4630" spans="1:10">
      <c r="A4630" s="822" t="s">
        <v>13493</v>
      </c>
      <c r="B4630" s="821" t="s">
        <v>13531</v>
      </c>
      <c r="C4630" s="822" t="s">
        <v>6</v>
      </c>
      <c r="D4630" s="822" t="s">
        <v>4808</v>
      </c>
      <c r="E4630" s="1017" t="s">
        <v>13532</v>
      </c>
      <c r="F4630" s="1017"/>
      <c r="G4630" s="823" t="s">
        <v>19</v>
      </c>
      <c r="H4630" s="824">
        <v>1</v>
      </c>
      <c r="I4630" s="825">
        <v>0.68</v>
      </c>
      <c r="J4630" s="825">
        <v>0.68</v>
      </c>
    </row>
    <row r="4631" spans="1:10" ht="13.5" customHeight="1">
      <c r="A4631" s="827"/>
      <c r="B4631" s="827"/>
      <c r="C4631" s="827"/>
      <c r="D4631" s="827"/>
      <c r="E4631" s="827" t="s">
        <v>13503</v>
      </c>
      <c r="F4631" s="826">
        <v>9.9899999999999984</v>
      </c>
      <c r="G4631" s="827" t="s">
        <v>13504</v>
      </c>
      <c r="H4631" s="826">
        <v>0</v>
      </c>
      <c r="I4631" s="827" t="s">
        <v>13505</v>
      </c>
      <c r="J4631" s="826">
        <v>9.9899999999999984</v>
      </c>
    </row>
    <row r="4632" spans="1:10" ht="13.5" customHeight="1" thickBot="1">
      <c r="A4632" s="827"/>
      <c r="B4632" s="827"/>
      <c r="C4632" s="827"/>
      <c r="D4632" s="827"/>
      <c r="E4632" s="827" t="s">
        <v>13506</v>
      </c>
      <c r="F4632" s="826">
        <v>3.9</v>
      </c>
      <c r="G4632" s="827"/>
      <c r="H4632" s="1018" t="s">
        <v>13507</v>
      </c>
      <c r="I4632" s="1018"/>
      <c r="J4632" s="826">
        <v>17.73</v>
      </c>
    </row>
    <row r="4633" spans="1:10" ht="13.5" thickTop="1">
      <c r="A4633" s="828"/>
      <c r="B4633" s="828"/>
      <c r="C4633" s="828"/>
      <c r="D4633" s="828"/>
      <c r="E4633" s="828"/>
      <c r="F4633" s="828"/>
      <c r="G4633" s="828"/>
      <c r="H4633" s="828"/>
      <c r="I4633" s="828"/>
      <c r="J4633" s="828"/>
    </row>
    <row r="4634" spans="1:10" ht="25.5" customHeight="1">
      <c r="A4634" s="809"/>
      <c r="B4634" s="808" t="s">
        <v>13481</v>
      </c>
      <c r="C4634" s="809" t="s">
        <v>13482</v>
      </c>
      <c r="D4634" s="809" t="s">
        <v>13483</v>
      </c>
      <c r="E4634" s="1019" t="s">
        <v>13484</v>
      </c>
      <c r="F4634" s="1019"/>
      <c r="G4634" s="810" t="s">
        <v>13485</v>
      </c>
      <c r="H4634" s="808" t="s">
        <v>13486</v>
      </c>
      <c r="I4634" s="808" t="s">
        <v>13487</v>
      </c>
      <c r="J4634" s="808" t="s">
        <v>4867</v>
      </c>
    </row>
    <row r="4635" spans="1:10" ht="25.5" customHeight="1">
      <c r="A4635" s="812" t="s">
        <v>13488</v>
      </c>
      <c r="B4635" s="811" t="s">
        <v>14402</v>
      </c>
      <c r="C4635" s="812" t="s">
        <v>6</v>
      </c>
      <c r="D4635" s="812" t="s">
        <v>145</v>
      </c>
      <c r="E4635" s="1020" t="s">
        <v>13490</v>
      </c>
      <c r="F4635" s="1020"/>
      <c r="G4635" s="813" t="s">
        <v>19</v>
      </c>
      <c r="H4635" s="814">
        <v>1</v>
      </c>
      <c r="I4635" s="815">
        <v>13.89</v>
      </c>
      <c r="J4635" s="815">
        <v>13.89</v>
      </c>
    </row>
    <row r="4636" spans="1:10" ht="38.25" customHeight="1">
      <c r="A4636" s="817" t="s">
        <v>13491</v>
      </c>
      <c r="B4636" s="816" t="s">
        <v>14655</v>
      </c>
      <c r="C4636" s="817" t="s">
        <v>6</v>
      </c>
      <c r="D4636" s="817" t="s">
        <v>2550</v>
      </c>
      <c r="E4636" s="1021" t="s">
        <v>13490</v>
      </c>
      <c r="F4636" s="1021"/>
      <c r="G4636" s="818" t="s">
        <v>19</v>
      </c>
      <c r="H4636" s="819">
        <v>1</v>
      </c>
      <c r="I4636" s="820">
        <v>0.13</v>
      </c>
      <c r="J4636" s="820">
        <v>0.13</v>
      </c>
    </row>
    <row r="4637" spans="1:10">
      <c r="A4637" s="822" t="s">
        <v>13493</v>
      </c>
      <c r="B4637" s="821" t="s">
        <v>13528</v>
      </c>
      <c r="C4637" s="822" t="s">
        <v>6</v>
      </c>
      <c r="D4637" s="822" t="s">
        <v>4581</v>
      </c>
      <c r="E4637" s="1017" t="s">
        <v>13499</v>
      </c>
      <c r="F4637" s="1017"/>
      <c r="G4637" s="823" t="s">
        <v>19</v>
      </c>
      <c r="H4637" s="824">
        <v>1</v>
      </c>
      <c r="I4637" s="825">
        <v>1.52</v>
      </c>
      <c r="J4637" s="825">
        <v>1.52</v>
      </c>
    </row>
    <row r="4638" spans="1:10" ht="25.5">
      <c r="A4638" s="822" t="s">
        <v>13493</v>
      </c>
      <c r="B4638" s="821" t="s">
        <v>14561</v>
      </c>
      <c r="C4638" s="822" t="s">
        <v>6</v>
      </c>
      <c r="D4638" s="822" t="s">
        <v>4656</v>
      </c>
      <c r="E4638" s="1017" t="s">
        <v>13497</v>
      </c>
      <c r="F4638" s="1017"/>
      <c r="G4638" s="823" t="s">
        <v>19</v>
      </c>
      <c r="H4638" s="824">
        <v>1</v>
      </c>
      <c r="I4638" s="825">
        <v>0.76</v>
      </c>
      <c r="J4638" s="825">
        <v>0.76</v>
      </c>
    </row>
    <row r="4639" spans="1:10" ht="13.5" customHeight="1">
      <c r="A4639" s="822" t="s">
        <v>13493</v>
      </c>
      <c r="B4639" s="821" t="s">
        <v>13498</v>
      </c>
      <c r="C4639" s="822" t="s">
        <v>6</v>
      </c>
      <c r="D4639" s="822" t="s">
        <v>4665</v>
      </c>
      <c r="E4639" s="1017" t="s">
        <v>13499</v>
      </c>
      <c r="F4639" s="1017"/>
      <c r="G4639" s="823" t="s">
        <v>19</v>
      </c>
      <c r="H4639" s="824">
        <v>1</v>
      </c>
      <c r="I4639" s="825">
        <v>0.81</v>
      </c>
      <c r="J4639" s="825">
        <v>0.81</v>
      </c>
    </row>
    <row r="4640" spans="1:10" ht="25.5">
      <c r="A4640" s="822" t="s">
        <v>13493</v>
      </c>
      <c r="B4640" s="821" t="s">
        <v>14562</v>
      </c>
      <c r="C4640" s="822" t="s">
        <v>6</v>
      </c>
      <c r="D4640" s="822" t="s">
        <v>4672</v>
      </c>
      <c r="E4640" s="1017" t="s">
        <v>13497</v>
      </c>
      <c r="F4640" s="1017"/>
      <c r="G4640" s="823" t="s">
        <v>19</v>
      </c>
      <c r="H4640" s="824">
        <v>1</v>
      </c>
      <c r="I4640" s="825">
        <v>0.01</v>
      </c>
      <c r="J4640" s="825">
        <v>0.01</v>
      </c>
    </row>
    <row r="4641" spans="1:10">
      <c r="A4641" s="822" t="s">
        <v>13493</v>
      </c>
      <c r="B4641" s="821" t="s">
        <v>14656</v>
      </c>
      <c r="C4641" s="822" t="s">
        <v>6</v>
      </c>
      <c r="D4641" s="822" t="s">
        <v>4729</v>
      </c>
      <c r="E4641" s="1017" t="s">
        <v>13495</v>
      </c>
      <c r="F4641" s="1017"/>
      <c r="G4641" s="823" t="s">
        <v>19</v>
      </c>
      <c r="H4641" s="824">
        <v>1</v>
      </c>
      <c r="I4641" s="825">
        <v>9.92</v>
      </c>
      <c r="J4641" s="825">
        <v>9.92</v>
      </c>
    </row>
    <row r="4642" spans="1:10" ht="25.5" customHeight="1">
      <c r="A4642" s="822" t="s">
        <v>13493</v>
      </c>
      <c r="B4642" s="821" t="s">
        <v>13501</v>
      </c>
      <c r="C4642" s="822" t="s">
        <v>6</v>
      </c>
      <c r="D4642" s="822" t="s">
        <v>4779</v>
      </c>
      <c r="E4642" s="1017" t="s">
        <v>13502</v>
      </c>
      <c r="F4642" s="1017"/>
      <c r="G4642" s="823" t="s">
        <v>19</v>
      </c>
      <c r="H4642" s="824">
        <v>1</v>
      </c>
      <c r="I4642" s="825">
        <v>0.06</v>
      </c>
      <c r="J4642" s="825">
        <v>0.06</v>
      </c>
    </row>
    <row r="4643" spans="1:10">
      <c r="A4643" s="822" t="s">
        <v>13493</v>
      </c>
      <c r="B4643" s="821" t="s">
        <v>13531</v>
      </c>
      <c r="C4643" s="822" t="s">
        <v>6</v>
      </c>
      <c r="D4643" s="822" t="s">
        <v>4808</v>
      </c>
      <c r="E4643" s="1017" t="s">
        <v>13532</v>
      </c>
      <c r="F4643" s="1017"/>
      <c r="G4643" s="823" t="s">
        <v>19</v>
      </c>
      <c r="H4643" s="824">
        <v>1</v>
      </c>
      <c r="I4643" s="825">
        <v>0.68</v>
      </c>
      <c r="J4643" s="825">
        <v>0.68</v>
      </c>
    </row>
    <row r="4644" spans="1:10" ht="25.5">
      <c r="A4644" s="827"/>
      <c r="B4644" s="827"/>
      <c r="C4644" s="827"/>
      <c r="D4644" s="827"/>
      <c r="E4644" s="827" t="s">
        <v>13503</v>
      </c>
      <c r="F4644" s="826">
        <v>10.050000000000001</v>
      </c>
      <c r="G4644" s="827" t="s">
        <v>13504</v>
      </c>
      <c r="H4644" s="826">
        <v>0</v>
      </c>
      <c r="I4644" s="827" t="s">
        <v>13505</v>
      </c>
      <c r="J4644" s="826">
        <v>10.050000000000001</v>
      </c>
    </row>
    <row r="4645" spans="1:10" ht="13.5" customHeight="1" thickBot="1">
      <c r="A4645" s="827"/>
      <c r="B4645" s="827"/>
      <c r="C4645" s="827"/>
      <c r="D4645" s="827"/>
      <c r="E4645" s="827" t="s">
        <v>13506</v>
      </c>
      <c r="F4645" s="826">
        <v>3.92</v>
      </c>
      <c r="G4645" s="827"/>
      <c r="H4645" s="1018" t="s">
        <v>13507</v>
      </c>
      <c r="I4645" s="1018"/>
      <c r="J4645" s="826">
        <v>17.809999999999999</v>
      </c>
    </row>
    <row r="4646" spans="1:10" ht="13.5" customHeight="1" thickTop="1">
      <c r="A4646" s="828"/>
      <c r="B4646" s="828"/>
      <c r="C4646" s="828"/>
      <c r="D4646" s="828"/>
      <c r="E4646" s="828"/>
      <c r="F4646" s="828"/>
      <c r="G4646" s="828"/>
      <c r="H4646" s="828"/>
      <c r="I4646" s="828"/>
      <c r="J4646" s="828"/>
    </row>
    <row r="4647" spans="1:10" ht="15">
      <c r="A4647" s="809"/>
      <c r="B4647" s="808" t="s">
        <v>13481</v>
      </c>
      <c r="C4647" s="809" t="s">
        <v>13482</v>
      </c>
      <c r="D4647" s="809" t="s">
        <v>13483</v>
      </c>
      <c r="E4647" s="1019" t="s">
        <v>13484</v>
      </c>
      <c r="F4647" s="1019"/>
      <c r="G4647" s="810" t="s">
        <v>13485</v>
      </c>
      <c r="H4647" s="808" t="s">
        <v>13486</v>
      </c>
      <c r="I4647" s="808" t="s">
        <v>13487</v>
      </c>
      <c r="J4647" s="808" t="s">
        <v>4867</v>
      </c>
    </row>
    <row r="4648" spans="1:10" ht="25.5" customHeight="1">
      <c r="A4648" s="812" t="s">
        <v>13488</v>
      </c>
      <c r="B4648" s="811" t="s">
        <v>14456</v>
      </c>
      <c r="C4648" s="812" t="s">
        <v>6</v>
      </c>
      <c r="D4648" s="812" t="s">
        <v>147</v>
      </c>
      <c r="E4648" s="1020" t="s">
        <v>13490</v>
      </c>
      <c r="F4648" s="1020"/>
      <c r="G4648" s="813" t="s">
        <v>19</v>
      </c>
      <c r="H4648" s="814">
        <v>1</v>
      </c>
      <c r="I4648" s="815">
        <v>12.13</v>
      </c>
      <c r="J4648" s="815">
        <v>12.13</v>
      </c>
    </row>
    <row r="4649" spans="1:10" ht="25.5" customHeight="1">
      <c r="A4649" s="817" t="s">
        <v>13491</v>
      </c>
      <c r="B4649" s="816" t="s">
        <v>14657</v>
      </c>
      <c r="C4649" s="817" t="s">
        <v>6</v>
      </c>
      <c r="D4649" s="817" t="s">
        <v>2552</v>
      </c>
      <c r="E4649" s="1021" t="s">
        <v>13490</v>
      </c>
      <c r="F4649" s="1021"/>
      <c r="G4649" s="818" t="s">
        <v>19</v>
      </c>
      <c r="H4649" s="819">
        <v>1</v>
      </c>
      <c r="I4649" s="820">
        <v>0.05</v>
      </c>
      <c r="J4649" s="820">
        <v>0.05</v>
      </c>
    </row>
    <row r="4650" spans="1:10" ht="25.5" customHeight="1">
      <c r="A4650" s="822" t="s">
        <v>13493</v>
      </c>
      <c r="B4650" s="821" t="s">
        <v>13528</v>
      </c>
      <c r="C4650" s="822" t="s">
        <v>6</v>
      </c>
      <c r="D4650" s="822" t="s">
        <v>4581</v>
      </c>
      <c r="E4650" s="1017" t="s">
        <v>13499</v>
      </c>
      <c r="F4650" s="1017"/>
      <c r="G4650" s="823" t="s">
        <v>19</v>
      </c>
      <c r="H4650" s="824">
        <v>1</v>
      </c>
      <c r="I4650" s="825">
        <v>1.52</v>
      </c>
      <c r="J4650" s="825">
        <v>1.52</v>
      </c>
    </row>
    <row r="4651" spans="1:10" ht="25.5" customHeight="1">
      <c r="A4651" s="822" t="s">
        <v>13493</v>
      </c>
      <c r="B4651" s="821" t="s">
        <v>14561</v>
      </c>
      <c r="C4651" s="822" t="s">
        <v>6</v>
      </c>
      <c r="D4651" s="822" t="s">
        <v>4656</v>
      </c>
      <c r="E4651" s="1017" t="s">
        <v>13497</v>
      </c>
      <c r="F4651" s="1017"/>
      <c r="G4651" s="823" t="s">
        <v>19</v>
      </c>
      <c r="H4651" s="824">
        <v>1</v>
      </c>
      <c r="I4651" s="825">
        <v>0.76</v>
      </c>
      <c r="J4651" s="825">
        <v>0.76</v>
      </c>
    </row>
    <row r="4652" spans="1:10" ht="25.5">
      <c r="A4652" s="822" t="s">
        <v>13493</v>
      </c>
      <c r="B4652" s="821" t="s">
        <v>14562</v>
      </c>
      <c r="C4652" s="822" t="s">
        <v>6</v>
      </c>
      <c r="D4652" s="822" t="s">
        <v>4672</v>
      </c>
      <c r="E4652" s="1017" t="s">
        <v>13497</v>
      </c>
      <c r="F4652" s="1017"/>
      <c r="G4652" s="823" t="s">
        <v>19</v>
      </c>
      <c r="H4652" s="824">
        <v>1</v>
      </c>
      <c r="I4652" s="825">
        <v>0.01</v>
      </c>
      <c r="J4652" s="825">
        <v>0.01</v>
      </c>
    </row>
    <row r="4653" spans="1:10">
      <c r="A4653" s="822" t="s">
        <v>13493</v>
      </c>
      <c r="B4653" s="821" t="s">
        <v>13498</v>
      </c>
      <c r="C4653" s="822" t="s">
        <v>6</v>
      </c>
      <c r="D4653" s="822" t="s">
        <v>4665</v>
      </c>
      <c r="E4653" s="1017" t="s">
        <v>13499</v>
      </c>
      <c r="F4653" s="1017"/>
      <c r="G4653" s="823" t="s">
        <v>19</v>
      </c>
      <c r="H4653" s="824">
        <v>1</v>
      </c>
      <c r="I4653" s="825">
        <v>0.81</v>
      </c>
      <c r="J4653" s="825">
        <v>0.81</v>
      </c>
    </row>
    <row r="4654" spans="1:10" ht="13.5" customHeight="1">
      <c r="A4654" s="822" t="s">
        <v>13493</v>
      </c>
      <c r="B4654" s="821" t="s">
        <v>14658</v>
      </c>
      <c r="C4654" s="822" t="s">
        <v>6</v>
      </c>
      <c r="D4654" s="822" t="s">
        <v>4731</v>
      </c>
      <c r="E4654" s="1017" t="s">
        <v>13495</v>
      </c>
      <c r="F4654" s="1017"/>
      <c r="G4654" s="823" t="s">
        <v>19</v>
      </c>
      <c r="H4654" s="824">
        <v>1</v>
      </c>
      <c r="I4654" s="825">
        <v>8.24</v>
      </c>
      <c r="J4654" s="825">
        <v>8.24</v>
      </c>
    </row>
    <row r="4655" spans="1:10">
      <c r="A4655" s="822" t="s">
        <v>13493</v>
      </c>
      <c r="B4655" s="821" t="s">
        <v>13501</v>
      </c>
      <c r="C4655" s="822" t="s">
        <v>6</v>
      </c>
      <c r="D4655" s="822" t="s">
        <v>4779</v>
      </c>
      <c r="E4655" s="1017" t="s">
        <v>13502</v>
      </c>
      <c r="F4655" s="1017"/>
      <c r="G4655" s="823" t="s">
        <v>19</v>
      </c>
      <c r="H4655" s="824">
        <v>1</v>
      </c>
      <c r="I4655" s="825">
        <v>0.06</v>
      </c>
      <c r="J4655" s="825">
        <v>0.06</v>
      </c>
    </row>
    <row r="4656" spans="1:10">
      <c r="A4656" s="822" t="s">
        <v>13493</v>
      </c>
      <c r="B4656" s="821" t="s">
        <v>13531</v>
      </c>
      <c r="C4656" s="822" t="s">
        <v>6</v>
      </c>
      <c r="D4656" s="822" t="s">
        <v>4808</v>
      </c>
      <c r="E4656" s="1017" t="s">
        <v>13532</v>
      </c>
      <c r="F4656" s="1017"/>
      <c r="G4656" s="823" t="s">
        <v>19</v>
      </c>
      <c r="H4656" s="824">
        <v>1</v>
      </c>
      <c r="I4656" s="825">
        <v>0.68</v>
      </c>
      <c r="J4656" s="825">
        <v>0.68</v>
      </c>
    </row>
    <row r="4657" spans="1:10" ht="25.5" customHeight="1">
      <c r="A4657" s="827"/>
      <c r="B4657" s="827"/>
      <c r="C4657" s="827"/>
      <c r="D4657" s="827"/>
      <c r="E4657" s="827" t="s">
        <v>13503</v>
      </c>
      <c r="F4657" s="826">
        <v>8.2899999999999991</v>
      </c>
      <c r="G4657" s="827" t="s">
        <v>13504</v>
      </c>
      <c r="H4657" s="826">
        <v>0</v>
      </c>
      <c r="I4657" s="827" t="s">
        <v>13505</v>
      </c>
      <c r="J4657" s="826">
        <v>8.2899999999999991</v>
      </c>
    </row>
    <row r="4658" spans="1:10" ht="25.5" customHeight="1" thickBot="1">
      <c r="A4658" s="827"/>
      <c r="B4658" s="827"/>
      <c r="C4658" s="827"/>
      <c r="D4658" s="827"/>
      <c r="E4658" s="827" t="s">
        <v>13506</v>
      </c>
      <c r="F4658" s="826">
        <v>3.42</v>
      </c>
      <c r="G4658" s="827"/>
      <c r="H4658" s="1018" t="s">
        <v>13507</v>
      </c>
      <c r="I4658" s="1018"/>
      <c r="J4658" s="826">
        <v>15.55</v>
      </c>
    </row>
    <row r="4659" spans="1:10" ht="25.5" customHeight="1" thickTop="1">
      <c r="A4659" s="828"/>
      <c r="B4659" s="828"/>
      <c r="C4659" s="828"/>
      <c r="D4659" s="828"/>
      <c r="E4659" s="828"/>
      <c r="F4659" s="828"/>
      <c r="G4659" s="828"/>
      <c r="H4659" s="828"/>
      <c r="I4659" s="828"/>
      <c r="J4659" s="828"/>
    </row>
    <row r="4660" spans="1:10" ht="25.5" customHeight="1">
      <c r="A4660" s="809"/>
      <c r="B4660" s="808" t="s">
        <v>13481</v>
      </c>
      <c r="C4660" s="809" t="s">
        <v>13482</v>
      </c>
      <c r="D4660" s="809" t="s">
        <v>13483</v>
      </c>
      <c r="E4660" s="1019" t="s">
        <v>13484</v>
      </c>
      <c r="F4660" s="1019"/>
      <c r="G4660" s="810" t="s">
        <v>13485</v>
      </c>
      <c r="H4660" s="808" t="s">
        <v>13486</v>
      </c>
      <c r="I4660" s="808" t="s">
        <v>13487</v>
      </c>
      <c r="J4660" s="808" t="s">
        <v>4867</v>
      </c>
    </row>
    <row r="4661" spans="1:10" ht="25.5" customHeight="1">
      <c r="A4661" s="812" t="s">
        <v>13488</v>
      </c>
      <c r="B4661" s="811" t="s">
        <v>14618</v>
      </c>
      <c r="C4661" s="812" t="s">
        <v>6</v>
      </c>
      <c r="D4661" s="812" t="s">
        <v>146</v>
      </c>
      <c r="E4661" s="1020" t="s">
        <v>13490</v>
      </c>
      <c r="F4661" s="1020"/>
      <c r="G4661" s="813" t="s">
        <v>19</v>
      </c>
      <c r="H4661" s="814">
        <v>1</v>
      </c>
      <c r="I4661" s="815">
        <v>14.38</v>
      </c>
      <c r="J4661" s="815">
        <v>14.38</v>
      </c>
    </row>
    <row r="4662" spans="1:10" ht="38.25" customHeight="1">
      <c r="A4662" s="817" t="s">
        <v>13491</v>
      </c>
      <c r="B4662" s="816" t="s">
        <v>14659</v>
      </c>
      <c r="C4662" s="817" t="s">
        <v>6</v>
      </c>
      <c r="D4662" s="817" t="s">
        <v>2551</v>
      </c>
      <c r="E4662" s="1021" t="s">
        <v>13490</v>
      </c>
      <c r="F4662" s="1021"/>
      <c r="G4662" s="818" t="s">
        <v>19</v>
      </c>
      <c r="H4662" s="819">
        <v>1</v>
      </c>
      <c r="I4662" s="820">
        <v>0.09</v>
      </c>
      <c r="J4662" s="820">
        <v>0.09</v>
      </c>
    </row>
    <row r="4663" spans="1:10">
      <c r="A4663" s="822" t="s">
        <v>13493</v>
      </c>
      <c r="B4663" s="821" t="s">
        <v>13528</v>
      </c>
      <c r="C4663" s="822" t="s">
        <v>6</v>
      </c>
      <c r="D4663" s="822" t="s">
        <v>4581</v>
      </c>
      <c r="E4663" s="1017" t="s">
        <v>13499</v>
      </c>
      <c r="F4663" s="1017"/>
      <c r="G4663" s="823" t="s">
        <v>19</v>
      </c>
      <c r="H4663" s="824">
        <v>1</v>
      </c>
      <c r="I4663" s="825">
        <v>1.52</v>
      </c>
      <c r="J4663" s="825">
        <v>1.52</v>
      </c>
    </row>
    <row r="4664" spans="1:10" ht="13.5" customHeight="1">
      <c r="A4664" s="822" t="s">
        <v>13493</v>
      </c>
      <c r="B4664" s="821" t="s">
        <v>14561</v>
      </c>
      <c r="C4664" s="822" t="s">
        <v>6</v>
      </c>
      <c r="D4664" s="822" t="s">
        <v>4656</v>
      </c>
      <c r="E4664" s="1017" t="s">
        <v>13497</v>
      </c>
      <c r="F4664" s="1017"/>
      <c r="G4664" s="823" t="s">
        <v>19</v>
      </c>
      <c r="H4664" s="824">
        <v>1</v>
      </c>
      <c r="I4664" s="825">
        <v>0.76</v>
      </c>
      <c r="J4664" s="825">
        <v>0.76</v>
      </c>
    </row>
    <row r="4665" spans="1:10">
      <c r="A4665" s="822" t="s">
        <v>13493</v>
      </c>
      <c r="B4665" s="821" t="s">
        <v>13498</v>
      </c>
      <c r="C4665" s="822" t="s">
        <v>6</v>
      </c>
      <c r="D4665" s="822" t="s">
        <v>4665</v>
      </c>
      <c r="E4665" s="1017" t="s">
        <v>13499</v>
      </c>
      <c r="F4665" s="1017"/>
      <c r="G4665" s="823" t="s">
        <v>19</v>
      </c>
      <c r="H4665" s="824">
        <v>1</v>
      </c>
      <c r="I4665" s="825">
        <v>0.81</v>
      </c>
      <c r="J4665" s="825">
        <v>0.81</v>
      </c>
    </row>
    <row r="4666" spans="1:10" ht="25.5">
      <c r="A4666" s="822" t="s">
        <v>13493</v>
      </c>
      <c r="B4666" s="821" t="s">
        <v>14562</v>
      </c>
      <c r="C4666" s="822" t="s">
        <v>6</v>
      </c>
      <c r="D4666" s="822" t="s">
        <v>4672</v>
      </c>
      <c r="E4666" s="1017" t="s">
        <v>13497</v>
      </c>
      <c r="F4666" s="1017"/>
      <c r="G4666" s="823" t="s">
        <v>19</v>
      </c>
      <c r="H4666" s="824">
        <v>1</v>
      </c>
      <c r="I4666" s="825">
        <v>0.01</v>
      </c>
      <c r="J4666" s="825">
        <v>0.01</v>
      </c>
    </row>
    <row r="4667" spans="1:10" ht="25.5" customHeight="1">
      <c r="A4667" s="822" t="s">
        <v>13493</v>
      </c>
      <c r="B4667" s="821" t="s">
        <v>14660</v>
      </c>
      <c r="C4667" s="822" t="s">
        <v>6</v>
      </c>
      <c r="D4667" s="822" t="s">
        <v>4730</v>
      </c>
      <c r="E4667" s="1017" t="s">
        <v>13495</v>
      </c>
      <c r="F4667" s="1017"/>
      <c r="G4667" s="823" t="s">
        <v>19</v>
      </c>
      <c r="H4667" s="824">
        <v>1</v>
      </c>
      <c r="I4667" s="825">
        <v>10.45</v>
      </c>
      <c r="J4667" s="825">
        <v>10.45</v>
      </c>
    </row>
    <row r="4668" spans="1:10">
      <c r="A4668" s="822" t="s">
        <v>13493</v>
      </c>
      <c r="B4668" s="821" t="s">
        <v>13501</v>
      </c>
      <c r="C4668" s="822" t="s">
        <v>6</v>
      </c>
      <c r="D4668" s="822" t="s">
        <v>4779</v>
      </c>
      <c r="E4668" s="1017" t="s">
        <v>13502</v>
      </c>
      <c r="F4668" s="1017"/>
      <c r="G4668" s="823" t="s">
        <v>19</v>
      </c>
      <c r="H4668" s="824">
        <v>1</v>
      </c>
      <c r="I4668" s="825">
        <v>0.06</v>
      </c>
      <c r="J4668" s="825">
        <v>0.06</v>
      </c>
    </row>
    <row r="4669" spans="1:10">
      <c r="A4669" s="822" t="s">
        <v>13493</v>
      </c>
      <c r="B4669" s="821" t="s">
        <v>13531</v>
      </c>
      <c r="C4669" s="822" t="s">
        <v>6</v>
      </c>
      <c r="D4669" s="822" t="s">
        <v>4808</v>
      </c>
      <c r="E4669" s="1017" t="s">
        <v>13532</v>
      </c>
      <c r="F4669" s="1017"/>
      <c r="G4669" s="823" t="s">
        <v>19</v>
      </c>
      <c r="H4669" s="824">
        <v>1</v>
      </c>
      <c r="I4669" s="825">
        <v>0.68</v>
      </c>
      <c r="J4669" s="825">
        <v>0.68</v>
      </c>
    </row>
    <row r="4670" spans="1:10" ht="13.5" customHeight="1">
      <c r="A4670" s="827"/>
      <c r="B4670" s="827"/>
      <c r="C4670" s="827"/>
      <c r="D4670" s="827"/>
      <c r="E4670" s="827" t="s">
        <v>13503</v>
      </c>
      <c r="F4670" s="826">
        <v>10.54</v>
      </c>
      <c r="G4670" s="827" t="s">
        <v>13504</v>
      </c>
      <c r="H4670" s="826">
        <v>0</v>
      </c>
      <c r="I4670" s="827" t="s">
        <v>13505</v>
      </c>
      <c r="J4670" s="826">
        <v>10.54</v>
      </c>
    </row>
    <row r="4671" spans="1:10" ht="13.5" customHeight="1" thickBot="1">
      <c r="A4671" s="827"/>
      <c r="B4671" s="827"/>
      <c r="C4671" s="827"/>
      <c r="D4671" s="827"/>
      <c r="E4671" s="827" t="s">
        <v>13506</v>
      </c>
      <c r="F4671" s="826">
        <v>4.0599999999999996</v>
      </c>
      <c r="G4671" s="827"/>
      <c r="H4671" s="1018" t="s">
        <v>13507</v>
      </c>
      <c r="I4671" s="1018"/>
      <c r="J4671" s="826">
        <v>18.440000000000001</v>
      </c>
    </row>
    <row r="4672" spans="1:10" ht="13.5" thickTop="1">
      <c r="A4672" s="828"/>
      <c r="B4672" s="828"/>
      <c r="C4672" s="828"/>
      <c r="D4672" s="828"/>
      <c r="E4672" s="828"/>
      <c r="F4672" s="828"/>
      <c r="G4672" s="828"/>
      <c r="H4672" s="828"/>
      <c r="I4672" s="828"/>
      <c r="J4672" s="828"/>
    </row>
    <row r="4673" spans="1:10" ht="25.5" customHeight="1">
      <c r="A4673" s="809"/>
      <c r="B4673" s="808" t="s">
        <v>13481</v>
      </c>
      <c r="C4673" s="809" t="s">
        <v>13482</v>
      </c>
      <c r="D4673" s="809" t="s">
        <v>13483</v>
      </c>
      <c r="E4673" s="1019" t="s">
        <v>13484</v>
      </c>
      <c r="F4673" s="1019"/>
      <c r="G4673" s="810" t="s">
        <v>13485</v>
      </c>
      <c r="H4673" s="808" t="s">
        <v>13486</v>
      </c>
      <c r="I4673" s="808" t="s">
        <v>13487</v>
      </c>
      <c r="J4673" s="808" t="s">
        <v>4867</v>
      </c>
    </row>
    <row r="4674" spans="1:10" ht="25.5" customHeight="1">
      <c r="A4674" s="812" t="s">
        <v>13488</v>
      </c>
      <c r="B4674" s="811" t="s">
        <v>14711</v>
      </c>
      <c r="C4674" s="812" t="s">
        <v>6</v>
      </c>
      <c r="D4674" s="812" t="s">
        <v>150</v>
      </c>
      <c r="E4674" s="1020" t="s">
        <v>13490</v>
      </c>
      <c r="F4674" s="1020"/>
      <c r="G4674" s="813" t="s">
        <v>19</v>
      </c>
      <c r="H4674" s="814">
        <v>1</v>
      </c>
      <c r="I4674" s="815">
        <v>15.33</v>
      </c>
      <c r="J4674" s="815">
        <v>15.33</v>
      </c>
    </row>
    <row r="4675" spans="1:10" ht="38.25" customHeight="1">
      <c r="A4675" s="817" t="s">
        <v>13491</v>
      </c>
      <c r="B4675" s="816" t="s">
        <v>14661</v>
      </c>
      <c r="C4675" s="817" t="s">
        <v>6</v>
      </c>
      <c r="D4675" s="817" t="s">
        <v>2555</v>
      </c>
      <c r="E4675" s="1021" t="s">
        <v>13490</v>
      </c>
      <c r="F4675" s="1021"/>
      <c r="G4675" s="818" t="s">
        <v>19</v>
      </c>
      <c r="H4675" s="819">
        <v>1</v>
      </c>
      <c r="I4675" s="820">
        <v>7.0000000000000007E-2</v>
      </c>
      <c r="J4675" s="820">
        <v>7.0000000000000007E-2</v>
      </c>
    </row>
    <row r="4676" spans="1:10" ht="13.5" customHeight="1">
      <c r="A4676" s="822" t="s">
        <v>13493</v>
      </c>
      <c r="B4676" s="821" t="s">
        <v>13528</v>
      </c>
      <c r="C4676" s="822" t="s">
        <v>6</v>
      </c>
      <c r="D4676" s="822" t="s">
        <v>4581</v>
      </c>
      <c r="E4676" s="1017" t="s">
        <v>13499</v>
      </c>
      <c r="F4676" s="1017"/>
      <c r="G4676" s="823" t="s">
        <v>19</v>
      </c>
      <c r="H4676" s="824">
        <v>1</v>
      </c>
      <c r="I4676" s="825">
        <v>1.52</v>
      </c>
      <c r="J4676" s="825">
        <v>1.52</v>
      </c>
    </row>
    <row r="4677" spans="1:10" ht="25.5">
      <c r="A4677" s="822" t="s">
        <v>13493</v>
      </c>
      <c r="B4677" s="821" t="s">
        <v>14561</v>
      </c>
      <c r="C4677" s="822" t="s">
        <v>6</v>
      </c>
      <c r="D4677" s="822" t="s">
        <v>4656</v>
      </c>
      <c r="E4677" s="1017" t="s">
        <v>13497</v>
      </c>
      <c r="F4677" s="1017"/>
      <c r="G4677" s="823" t="s">
        <v>19</v>
      </c>
      <c r="H4677" s="824">
        <v>1</v>
      </c>
      <c r="I4677" s="825">
        <v>0.76</v>
      </c>
      <c r="J4677" s="825">
        <v>0.76</v>
      </c>
    </row>
    <row r="4678" spans="1:10">
      <c r="A4678" s="822" t="s">
        <v>13493</v>
      </c>
      <c r="B4678" s="821" t="s">
        <v>13498</v>
      </c>
      <c r="C4678" s="822" t="s">
        <v>6</v>
      </c>
      <c r="D4678" s="822" t="s">
        <v>4665</v>
      </c>
      <c r="E4678" s="1017" t="s">
        <v>13499</v>
      </c>
      <c r="F4678" s="1017"/>
      <c r="G4678" s="823" t="s">
        <v>19</v>
      </c>
      <c r="H4678" s="824">
        <v>1</v>
      </c>
      <c r="I4678" s="825">
        <v>0.81</v>
      </c>
      <c r="J4678" s="825">
        <v>0.81</v>
      </c>
    </row>
    <row r="4679" spans="1:10" ht="25.5" customHeight="1">
      <c r="A4679" s="822" t="s">
        <v>13493</v>
      </c>
      <c r="B4679" s="821" t="s">
        <v>14562</v>
      </c>
      <c r="C4679" s="822" t="s">
        <v>6</v>
      </c>
      <c r="D4679" s="822" t="s">
        <v>4672</v>
      </c>
      <c r="E4679" s="1017" t="s">
        <v>13497</v>
      </c>
      <c r="F4679" s="1017"/>
      <c r="G4679" s="823" t="s">
        <v>19</v>
      </c>
      <c r="H4679" s="824">
        <v>1</v>
      </c>
      <c r="I4679" s="825">
        <v>0.01</v>
      </c>
      <c r="J4679" s="825">
        <v>0.01</v>
      </c>
    </row>
    <row r="4680" spans="1:10">
      <c r="A4680" s="822" t="s">
        <v>13493</v>
      </c>
      <c r="B4680" s="821" t="s">
        <v>14662</v>
      </c>
      <c r="C4680" s="822" t="s">
        <v>6</v>
      </c>
      <c r="D4680" s="822" t="s">
        <v>4733</v>
      </c>
      <c r="E4680" s="1017" t="s">
        <v>13495</v>
      </c>
      <c r="F4680" s="1017"/>
      <c r="G4680" s="823" t="s">
        <v>19</v>
      </c>
      <c r="H4680" s="824">
        <v>1</v>
      </c>
      <c r="I4680" s="825">
        <v>11.42</v>
      </c>
      <c r="J4680" s="825">
        <v>11.42</v>
      </c>
    </row>
    <row r="4681" spans="1:10">
      <c r="A4681" s="822" t="s">
        <v>13493</v>
      </c>
      <c r="B4681" s="821" t="s">
        <v>13501</v>
      </c>
      <c r="C4681" s="822" t="s">
        <v>6</v>
      </c>
      <c r="D4681" s="822" t="s">
        <v>4779</v>
      </c>
      <c r="E4681" s="1017" t="s">
        <v>13502</v>
      </c>
      <c r="F4681" s="1017"/>
      <c r="G4681" s="823" t="s">
        <v>19</v>
      </c>
      <c r="H4681" s="824">
        <v>1</v>
      </c>
      <c r="I4681" s="825">
        <v>0.06</v>
      </c>
      <c r="J4681" s="825">
        <v>0.06</v>
      </c>
    </row>
    <row r="4682" spans="1:10" ht="13.5" customHeight="1">
      <c r="A4682" s="822" t="s">
        <v>13493</v>
      </c>
      <c r="B4682" s="821" t="s">
        <v>13531</v>
      </c>
      <c r="C4682" s="822" t="s">
        <v>6</v>
      </c>
      <c r="D4682" s="822" t="s">
        <v>4808</v>
      </c>
      <c r="E4682" s="1017" t="s">
        <v>13532</v>
      </c>
      <c r="F4682" s="1017"/>
      <c r="G4682" s="823" t="s">
        <v>19</v>
      </c>
      <c r="H4682" s="824">
        <v>1</v>
      </c>
      <c r="I4682" s="825">
        <v>0.68</v>
      </c>
      <c r="J4682" s="825">
        <v>0.68</v>
      </c>
    </row>
    <row r="4683" spans="1:10" ht="25.5">
      <c r="A4683" s="827"/>
      <c r="B4683" s="827"/>
      <c r="C4683" s="827"/>
      <c r="D4683" s="827"/>
      <c r="E4683" s="827" t="s">
        <v>13503</v>
      </c>
      <c r="F4683" s="826">
        <v>11.49</v>
      </c>
      <c r="G4683" s="827" t="s">
        <v>13504</v>
      </c>
      <c r="H4683" s="826">
        <v>0</v>
      </c>
      <c r="I4683" s="827" t="s">
        <v>13505</v>
      </c>
      <c r="J4683" s="826">
        <v>11.49</v>
      </c>
    </row>
    <row r="4684" spans="1:10" ht="13.5" customHeight="1" thickBot="1">
      <c r="A4684" s="827"/>
      <c r="B4684" s="827"/>
      <c r="C4684" s="827"/>
      <c r="D4684" s="827"/>
      <c r="E4684" s="827" t="s">
        <v>13506</v>
      </c>
      <c r="F4684" s="826">
        <v>4.32</v>
      </c>
      <c r="G4684" s="827"/>
      <c r="H4684" s="1018" t="s">
        <v>13507</v>
      </c>
      <c r="I4684" s="1018"/>
      <c r="J4684" s="826">
        <v>19.649999999999999</v>
      </c>
    </row>
    <row r="4685" spans="1:10" ht="25.5" customHeight="1" thickTop="1">
      <c r="A4685" s="828"/>
      <c r="B4685" s="828"/>
      <c r="C4685" s="828"/>
      <c r="D4685" s="828"/>
      <c r="E4685" s="828"/>
      <c r="F4685" s="828"/>
      <c r="G4685" s="828"/>
      <c r="H4685" s="828"/>
      <c r="I4685" s="828"/>
      <c r="J4685" s="828"/>
    </row>
    <row r="4686" spans="1:10" ht="15">
      <c r="A4686" s="809"/>
      <c r="B4686" s="808" t="s">
        <v>13481</v>
      </c>
      <c r="C4686" s="809" t="s">
        <v>13482</v>
      </c>
      <c r="D4686" s="809" t="s">
        <v>13483</v>
      </c>
      <c r="E4686" s="1019" t="s">
        <v>13484</v>
      </c>
      <c r="F4686" s="1019"/>
      <c r="G4686" s="810" t="s">
        <v>13485</v>
      </c>
      <c r="H4686" s="808" t="s">
        <v>13486</v>
      </c>
      <c r="I4686" s="808" t="s">
        <v>13487</v>
      </c>
      <c r="J4686" s="808" t="s">
        <v>4867</v>
      </c>
    </row>
    <row r="4687" spans="1:10" ht="25.5" customHeight="1">
      <c r="A4687" s="812" t="s">
        <v>13488</v>
      </c>
      <c r="B4687" s="811" t="s">
        <v>13972</v>
      </c>
      <c r="C4687" s="812" t="s">
        <v>6</v>
      </c>
      <c r="D4687" s="812" t="s">
        <v>3312</v>
      </c>
      <c r="E4687" s="1020" t="s">
        <v>13542</v>
      </c>
      <c r="F4687" s="1020"/>
      <c r="G4687" s="813" t="s">
        <v>13543</v>
      </c>
      <c r="H4687" s="814">
        <v>1</v>
      </c>
      <c r="I4687" s="815">
        <v>1978.76</v>
      </c>
      <c r="J4687" s="815">
        <v>1978.76</v>
      </c>
    </row>
    <row r="4688" spans="1:10" ht="13.5" customHeight="1">
      <c r="A4688" s="817" t="s">
        <v>13491</v>
      </c>
      <c r="B4688" s="816" t="s">
        <v>13662</v>
      </c>
      <c r="C4688" s="817" t="s">
        <v>6</v>
      </c>
      <c r="D4688" s="817" t="s">
        <v>1600</v>
      </c>
      <c r="E4688" s="1021" t="s">
        <v>13539</v>
      </c>
      <c r="F4688" s="1021"/>
      <c r="G4688" s="818" t="s">
        <v>28</v>
      </c>
      <c r="H4688" s="819">
        <v>1.1283000000000001</v>
      </c>
      <c r="I4688" s="820">
        <v>1.22</v>
      </c>
      <c r="J4688" s="820">
        <v>1.37</v>
      </c>
    </row>
    <row r="4689" spans="1:10" ht="38.25" customHeight="1">
      <c r="A4689" s="817" t="s">
        <v>13491</v>
      </c>
      <c r="B4689" s="816" t="s">
        <v>13663</v>
      </c>
      <c r="C4689" s="817" t="s">
        <v>6</v>
      </c>
      <c r="D4689" s="817" t="s">
        <v>1601</v>
      </c>
      <c r="E4689" s="1021" t="s">
        <v>13539</v>
      </c>
      <c r="F4689" s="1021"/>
      <c r="G4689" s="818" t="s">
        <v>42</v>
      </c>
      <c r="H4689" s="819">
        <v>3.1027999999999998</v>
      </c>
      <c r="I4689" s="820">
        <v>0.44</v>
      </c>
      <c r="J4689" s="820">
        <v>1.36</v>
      </c>
    </row>
    <row r="4690" spans="1:10" ht="38.25" customHeight="1">
      <c r="A4690" s="817" t="s">
        <v>13491</v>
      </c>
      <c r="B4690" s="816" t="s">
        <v>13538</v>
      </c>
      <c r="C4690" s="817" t="s">
        <v>6</v>
      </c>
      <c r="D4690" s="817" t="s">
        <v>1793</v>
      </c>
      <c r="E4690" s="1021" t="s">
        <v>13539</v>
      </c>
      <c r="F4690" s="1021"/>
      <c r="G4690" s="818" t="s">
        <v>28</v>
      </c>
      <c r="H4690" s="819">
        <v>0.26750000000000002</v>
      </c>
      <c r="I4690" s="820">
        <v>15.82</v>
      </c>
      <c r="J4690" s="820">
        <v>4.2300000000000004</v>
      </c>
    </row>
    <row r="4691" spans="1:10" ht="12.75" customHeight="1">
      <c r="A4691" s="817" t="s">
        <v>13491</v>
      </c>
      <c r="B4691" s="816" t="s">
        <v>13540</v>
      </c>
      <c r="C4691" s="817" t="s">
        <v>6</v>
      </c>
      <c r="D4691" s="817" t="s">
        <v>1794</v>
      </c>
      <c r="E4691" s="1021" t="s">
        <v>13539</v>
      </c>
      <c r="F4691" s="1021"/>
      <c r="G4691" s="818" t="s">
        <v>42</v>
      </c>
      <c r="H4691" s="819">
        <v>0.59379999999999999</v>
      </c>
      <c r="I4691" s="820">
        <v>14.51</v>
      </c>
      <c r="J4691" s="820">
        <v>8.61</v>
      </c>
    </row>
    <row r="4692" spans="1:10" ht="38.25" customHeight="1">
      <c r="A4692" s="817" t="s">
        <v>13491</v>
      </c>
      <c r="B4692" s="816" t="s">
        <v>14576</v>
      </c>
      <c r="C4692" s="817" t="s">
        <v>6</v>
      </c>
      <c r="D4692" s="817" t="s">
        <v>2037</v>
      </c>
      <c r="E4692" s="1021" t="s">
        <v>13542</v>
      </c>
      <c r="F4692" s="1021"/>
      <c r="G4692" s="818" t="s">
        <v>16</v>
      </c>
      <c r="H4692" s="819">
        <v>32.6798</v>
      </c>
      <c r="I4692" s="820">
        <v>16.04</v>
      </c>
      <c r="J4692" s="820">
        <v>524.17999999999995</v>
      </c>
    </row>
    <row r="4693" spans="1:10" ht="38.25" customHeight="1">
      <c r="A4693" s="817" t="s">
        <v>13491</v>
      </c>
      <c r="B4693" s="816" t="s">
        <v>14623</v>
      </c>
      <c r="C4693" s="817" t="s">
        <v>6</v>
      </c>
      <c r="D4693" s="817" t="s">
        <v>6584</v>
      </c>
      <c r="E4693" s="1021" t="s">
        <v>13542</v>
      </c>
      <c r="F4693" s="1021"/>
      <c r="G4693" s="818" t="s">
        <v>13543</v>
      </c>
      <c r="H4693" s="819">
        <v>1.103</v>
      </c>
      <c r="I4693" s="820">
        <v>442.15</v>
      </c>
      <c r="J4693" s="820">
        <v>487.69</v>
      </c>
    </row>
    <row r="4694" spans="1:10" ht="38.25" customHeight="1">
      <c r="A4694" s="817" t="s">
        <v>13491</v>
      </c>
      <c r="B4694" s="816" t="s">
        <v>13544</v>
      </c>
      <c r="C4694" s="817" t="s">
        <v>6</v>
      </c>
      <c r="D4694" s="817" t="s">
        <v>29</v>
      </c>
      <c r="E4694" s="1021" t="s">
        <v>13490</v>
      </c>
      <c r="F4694" s="1021"/>
      <c r="G4694" s="818" t="s">
        <v>19</v>
      </c>
      <c r="H4694" s="819">
        <v>0.86129999999999995</v>
      </c>
      <c r="I4694" s="820">
        <v>15.96</v>
      </c>
      <c r="J4694" s="820">
        <v>13.74</v>
      </c>
    </row>
    <row r="4695" spans="1:10" ht="38.25" customHeight="1">
      <c r="A4695" s="817" t="s">
        <v>13491</v>
      </c>
      <c r="B4695" s="816" t="s">
        <v>13553</v>
      </c>
      <c r="C4695" s="817" t="s">
        <v>6</v>
      </c>
      <c r="D4695" s="817" t="s">
        <v>21</v>
      </c>
      <c r="E4695" s="1021" t="s">
        <v>13490</v>
      </c>
      <c r="F4695" s="1021"/>
      <c r="G4695" s="818" t="s">
        <v>19</v>
      </c>
      <c r="H4695" s="819">
        <v>7.8078000000000003</v>
      </c>
      <c r="I4695" s="820">
        <v>15.16</v>
      </c>
      <c r="J4695" s="820">
        <v>118.36</v>
      </c>
    </row>
    <row r="4696" spans="1:10" ht="38.25" customHeight="1">
      <c r="A4696" s="817" t="s">
        <v>13491</v>
      </c>
      <c r="B4696" s="816" t="s">
        <v>13577</v>
      </c>
      <c r="C4696" s="817" t="s">
        <v>6</v>
      </c>
      <c r="D4696" s="817" t="s">
        <v>31</v>
      </c>
      <c r="E4696" s="1021" t="s">
        <v>13490</v>
      </c>
      <c r="F4696" s="1021"/>
      <c r="G4696" s="818" t="s">
        <v>19</v>
      </c>
      <c r="H4696" s="819">
        <v>7.8078000000000003</v>
      </c>
      <c r="I4696" s="820">
        <v>18.86</v>
      </c>
      <c r="J4696" s="820">
        <v>147.25</v>
      </c>
    </row>
    <row r="4697" spans="1:10" ht="38.25" customHeight="1">
      <c r="A4697" s="817" t="s">
        <v>13491</v>
      </c>
      <c r="B4697" s="816" t="s">
        <v>14404</v>
      </c>
      <c r="C4697" s="817" t="s">
        <v>6</v>
      </c>
      <c r="D4697" s="817" t="s">
        <v>36</v>
      </c>
      <c r="E4697" s="1021" t="s">
        <v>13490</v>
      </c>
      <c r="F4697" s="1021"/>
      <c r="G4697" s="818" t="s">
        <v>19</v>
      </c>
      <c r="H4697" s="819">
        <v>4.3066000000000004</v>
      </c>
      <c r="I4697" s="820">
        <v>17.84</v>
      </c>
      <c r="J4697" s="820">
        <v>76.819999999999993</v>
      </c>
    </row>
    <row r="4698" spans="1:10" ht="38.25">
      <c r="A4698" s="822" t="s">
        <v>13493</v>
      </c>
      <c r="B4698" s="821" t="s">
        <v>14712</v>
      </c>
      <c r="C4698" s="822" t="s">
        <v>6</v>
      </c>
      <c r="D4698" s="822" t="s">
        <v>9527</v>
      </c>
      <c r="E4698" s="1017" t="s">
        <v>13514</v>
      </c>
      <c r="F4698" s="1017"/>
      <c r="G4698" s="823" t="s">
        <v>13537</v>
      </c>
      <c r="H4698" s="824">
        <v>0.77173800000000004</v>
      </c>
      <c r="I4698" s="825">
        <v>24.7</v>
      </c>
      <c r="J4698" s="825">
        <v>19.059999999999999</v>
      </c>
    </row>
    <row r="4699" spans="1:10" ht="38.25">
      <c r="A4699" s="822" t="s">
        <v>13493</v>
      </c>
      <c r="B4699" s="821" t="s">
        <v>14672</v>
      </c>
      <c r="C4699" s="822" t="s">
        <v>6</v>
      </c>
      <c r="D4699" s="822" t="s">
        <v>9524</v>
      </c>
      <c r="E4699" s="1017" t="s">
        <v>13514</v>
      </c>
      <c r="F4699" s="1017"/>
      <c r="G4699" s="823" t="s">
        <v>13537</v>
      </c>
      <c r="H4699" s="824">
        <v>6.7614000000000001</v>
      </c>
      <c r="I4699" s="825">
        <v>64.930000000000007</v>
      </c>
      <c r="J4699" s="825">
        <v>439.01</v>
      </c>
    </row>
    <row r="4700" spans="1:10" ht="25.5">
      <c r="A4700" s="822" t="s">
        <v>13493</v>
      </c>
      <c r="B4700" s="821" t="s">
        <v>13646</v>
      </c>
      <c r="C4700" s="822" t="s">
        <v>6</v>
      </c>
      <c r="D4700" s="822" t="s">
        <v>4636</v>
      </c>
      <c r="E4700" s="1017" t="s">
        <v>13514</v>
      </c>
      <c r="F4700" s="1017"/>
      <c r="G4700" s="823" t="s">
        <v>39</v>
      </c>
      <c r="H4700" s="824">
        <v>3.5000000000000003E-2</v>
      </c>
      <c r="I4700" s="825">
        <v>5.24</v>
      </c>
      <c r="J4700" s="825">
        <v>0.18</v>
      </c>
    </row>
    <row r="4701" spans="1:10" ht="13.5" customHeight="1">
      <c r="A4701" s="822" t="s">
        <v>13493</v>
      </c>
      <c r="B4701" s="821" t="s">
        <v>14713</v>
      </c>
      <c r="C4701" s="822" t="s">
        <v>6</v>
      </c>
      <c r="D4701" s="822" t="s">
        <v>11842</v>
      </c>
      <c r="E4701" s="1017" t="s">
        <v>13514</v>
      </c>
      <c r="F4701" s="1017"/>
      <c r="G4701" s="823" t="s">
        <v>13543</v>
      </c>
      <c r="H4701" s="824">
        <v>0.2475</v>
      </c>
      <c r="I4701" s="825">
        <v>372.89</v>
      </c>
      <c r="J4701" s="825">
        <v>92.29</v>
      </c>
    </row>
    <row r="4702" spans="1:10" ht="25.5">
      <c r="A4702" s="822" t="s">
        <v>13493</v>
      </c>
      <c r="B4702" s="821" t="s">
        <v>13686</v>
      </c>
      <c r="C4702" s="822" t="s">
        <v>6</v>
      </c>
      <c r="D4702" s="822" t="s">
        <v>6138</v>
      </c>
      <c r="E4702" s="1017" t="s">
        <v>13514</v>
      </c>
      <c r="F4702" s="1017"/>
      <c r="G4702" s="823" t="s">
        <v>14</v>
      </c>
      <c r="H4702" s="824">
        <v>1.4216</v>
      </c>
      <c r="I4702" s="825">
        <v>8.98</v>
      </c>
      <c r="J4702" s="825">
        <v>12.76</v>
      </c>
    </row>
    <row r="4703" spans="1:10">
      <c r="A4703" s="822" t="s">
        <v>13493</v>
      </c>
      <c r="B4703" s="821" t="s">
        <v>14714</v>
      </c>
      <c r="C4703" s="822" t="s">
        <v>6</v>
      </c>
      <c r="D4703" s="822" t="s">
        <v>4760</v>
      </c>
      <c r="E4703" s="1017" t="s">
        <v>13514</v>
      </c>
      <c r="F4703" s="1017"/>
      <c r="G4703" s="823" t="s">
        <v>16</v>
      </c>
      <c r="H4703" s="824">
        <v>0.2954</v>
      </c>
      <c r="I4703" s="825">
        <v>26.31</v>
      </c>
      <c r="J4703" s="825">
        <v>7.77</v>
      </c>
    </row>
    <row r="4704" spans="1:10" ht="25.5" customHeight="1">
      <c r="A4704" s="822" t="s">
        <v>13493</v>
      </c>
      <c r="B4704" s="821" t="s">
        <v>13649</v>
      </c>
      <c r="C4704" s="822" t="s">
        <v>6</v>
      </c>
      <c r="D4704" s="822" t="s">
        <v>4763</v>
      </c>
      <c r="E4704" s="1017" t="s">
        <v>13514</v>
      </c>
      <c r="F4704" s="1017"/>
      <c r="G4704" s="823" t="s">
        <v>16</v>
      </c>
      <c r="H4704" s="824">
        <v>0.18429999999999999</v>
      </c>
      <c r="I4704" s="825">
        <v>24.22</v>
      </c>
      <c r="J4704" s="825">
        <v>4.46</v>
      </c>
    </row>
    <row r="4705" spans="1:10" ht="25.5">
      <c r="A4705" s="822" t="s">
        <v>13493</v>
      </c>
      <c r="B4705" s="821" t="s">
        <v>13650</v>
      </c>
      <c r="C4705" s="822" t="s">
        <v>6</v>
      </c>
      <c r="D4705" s="822" t="s">
        <v>6139</v>
      </c>
      <c r="E4705" s="1017" t="s">
        <v>13514</v>
      </c>
      <c r="F4705" s="1017"/>
      <c r="G4705" s="823" t="s">
        <v>14</v>
      </c>
      <c r="H4705" s="824">
        <v>6.25</v>
      </c>
      <c r="I4705" s="825">
        <v>3.14</v>
      </c>
      <c r="J4705" s="825">
        <v>19.62</v>
      </c>
    </row>
    <row r="4706" spans="1:10" ht="25.5">
      <c r="A4706" s="827"/>
      <c r="B4706" s="827"/>
      <c r="C4706" s="827"/>
      <c r="D4706" s="827"/>
      <c r="E4706" s="827" t="s">
        <v>13503</v>
      </c>
      <c r="F4706" s="826">
        <v>408.08</v>
      </c>
      <c r="G4706" s="827" t="s">
        <v>13504</v>
      </c>
      <c r="H4706" s="826">
        <v>0</v>
      </c>
      <c r="I4706" s="827" t="s">
        <v>13505</v>
      </c>
      <c r="J4706" s="826">
        <v>408.08</v>
      </c>
    </row>
    <row r="4707" spans="1:10" ht="13.5" customHeight="1" thickBot="1">
      <c r="A4707" s="827"/>
      <c r="B4707" s="827"/>
      <c r="C4707" s="827"/>
      <c r="D4707" s="827"/>
      <c r="E4707" s="827" t="s">
        <v>13506</v>
      </c>
      <c r="F4707" s="826">
        <v>558.79999999999995</v>
      </c>
      <c r="G4707" s="827"/>
      <c r="H4707" s="1018" t="s">
        <v>13507</v>
      </c>
      <c r="I4707" s="1018"/>
      <c r="J4707" s="826">
        <v>2537.56</v>
      </c>
    </row>
    <row r="4708" spans="1:10" ht="13.5" thickTop="1">
      <c r="A4708" s="828"/>
      <c r="B4708" s="828"/>
      <c r="C4708" s="828"/>
      <c r="D4708" s="828"/>
      <c r="E4708" s="828"/>
      <c r="F4708" s="828"/>
      <c r="G4708" s="828"/>
      <c r="H4708" s="828"/>
      <c r="I4708" s="828"/>
      <c r="J4708" s="828"/>
    </row>
    <row r="4709" spans="1:10" ht="13.5" customHeight="1">
      <c r="A4709" s="809"/>
      <c r="B4709" s="808" t="s">
        <v>13481</v>
      </c>
      <c r="C4709" s="809" t="s">
        <v>13482</v>
      </c>
      <c r="D4709" s="809" t="s">
        <v>13483</v>
      </c>
      <c r="E4709" s="1019" t="s">
        <v>13484</v>
      </c>
      <c r="F4709" s="1019"/>
      <c r="G4709" s="810" t="s">
        <v>13485</v>
      </c>
      <c r="H4709" s="808" t="s">
        <v>13486</v>
      </c>
      <c r="I4709" s="808" t="s">
        <v>13487</v>
      </c>
      <c r="J4709" s="808" t="s">
        <v>4867</v>
      </c>
    </row>
    <row r="4710" spans="1:10" ht="25.5" customHeight="1">
      <c r="A4710" s="812" t="s">
        <v>13488</v>
      </c>
      <c r="B4710" s="811" t="s">
        <v>13973</v>
      </c>
      <c r="C4710" s="812" t="s">
        <v>6</v>
      </c>
      <c r="D4710" s="812" t="s">
        <v>3310</v>
      </c>
      <c r="E4710" s="1020" t="s">
        <v>13542</v>
      </c>
      <c r="F4710" s="1020"/>
      <c r="G4710" s="813" t="s">
        <v>13543</v>
      </c>
      <c r="H4710" s="814">
        <v>1</v>
      </c>
      <c r="I4710" s="815">
        <v>4826.57</v>
      </c>
      <c r="J4710" s="815">
        <v>4826.57</v>
      </c>
    </row>
    <row r="4711" spans="1:10" ht="38.25" customHeight="1">
      <c r="A4711" s="817" t="s">
        <v>13491</v>
      </c>
      <c r="B4711" s="816" t="s">
        <v>13538</v>
      </c>
      <c r="C4711" s="817" t="s">
        <v>6</v>
      </c>
      <c r="D4711" s="817" t="s">
        <v>1793</v>
      </c>
      <c r="E4711" s="1021" t="s">
        <v>13539</v>
      </c>
      <c r="F4711" s="1021"/>
      <c r="G4711" s="818" t="s">
        <v>28</v>
      </c>
      <c r="H4711" s="819">
        <v>0.88009999999999999</v>
      </c>
      <c r="I4711" s="820">
        <v>15.82</v>
      </c>
      <c r="J4711" s="820">
        <v>13.92</v>
      </c>
    </row>
    <row r="4712" spans="1:10" ht="25.5" customHeight="1">
      <c r="A4712" s="817" t="s">
        <v>13491</v>
      </c>
      <c r="B4712" s="816" t="s">
        <v>13662</v>
      </c>
      <c r="C4712" s="817" t="s">
        <v>6</v>
      </c>
      <c r="D4712" s="817" t="s">
        <v>1600</v>
      </c>
      <c r="E4712" s="1021" t="s">
        <v>13539</v>
      </c>
      <c r="F4712" s="1021"/>
      <c r="G4712" s="818" t="s">
        <v>28</v>
      </c>
      <c r="H4712" s="819">
        <v>6.6349999999999998</v>
      </c>
      <c r="I4712" s="820">
        <v>1.22</v>
      </c>
      <c r="J4712" s="820">
        <v>8.09</v>
      </c>
    </row>
    <row r="4713" spans="1:10" ht="38.25" customHeight="1">
      <c r="A4713" s="817" t="s">
        <v>13491</v>
      </c>
      <c r="B4713" s="816" t="s">
        <v>13540</v>
      </c>
      <c r="C4713" s="817" t="s">
        <v>6</v>
      </c>
      <c r="D4713" s="817" t="s">
        <v>1794</v>
      </c>
      <c r="E4713" s="1021" t="s">
        <v>13539</v>
      </c>
      <c r="F4713" s="1021"/>
      <c r="G4713" s="818" t="s">
        <v>42</v>
      </c>
      <c r="H4713" s="819">
        <v>3.4270999999999998</v>
      </c>
      <c r="I4713" s="820">
        <v>14.51</v>
      </c>
      <c r="J4713" s="820">
        <v>49.72</v>
      </c>
    </row>
    <row r="4714" spans="1:10" ht="38.25" customHeight="1">
      <c r="A4714" s="817" t="s">
        <v>13491</v>
      </c>
      <c r="B4714" s="816" t="s">
        <v>13663</v>
      </c>
      <c r="C4714" s="817" t="s">
        <v>6</v>
      </c>
      <c r="D4714" s="817" t="s">
        <v>1601</v>
      </c>
      <c r="E4714" s="1021" t="s">
        <v>13539</v>
      </c>
      <c r="F4714" s="1021"/>
      <c r="G4714" s="818" t="s">
        <v>42</v>
      </c>
      <c r="H4714" s="819">
        <v>18.246200000000002</v>
      </c>
      <c r="I4714" s="820">
        <v>0.44</v>
      </c>
      <c r="J4714" s="820">
        <v>8.02</v>
      </c>
    </row>
    <row r="4715" spans="1:10" ht="38.25" customHeight="1">
      <c r="A4715" s="817" t="s">
        <v>13491</v>
      </c>
      <c r="B4715" s="816" t="s">
        <v>13653</v>
      </c>
      <c r="C4715" s="817" t="s">
        <v>6</v>
      </c>
      <c r="D4715" s="817" t="s">
        <v>6583</v>
      </c>
      <c r="E4715" s="1021" t="s">
        <v>13542</v>
      </c>
      <c r="F4715" s="1021"/>
      <c r="G4715" s="818" t="s">
        <v>13543</v>
      </c>
      <c r="H4715" s="819">
        <v>1.2</v>
      </c>
      <c r="I4715" s="820">
        <v>425.35</v>
      </c>
      <c r="J4715" s="820">
        <v>510.42</v>
      </c>
    </row>
    <row r="4716" spans="1:10" ht="38.25" customHeight="1">
      <c r="A4716" s="817" t="s">
        <v>13491</v>
      </c>
      <c r="B4716" s="816" t="s">
        <v>13544</v>
      </c>
      <c r="C4716" s="817" t="s">
        <v>6</v>
      </c>
      <c r="D4716" s="817" t="s">
        <v>29</v>
      </c>
      <c r="E4716" s="1021" t="s">
        <v>13490</v>
      </c>
      <c r="F4716" s="1021"/>
      <c r="G4716" s="818" t="s">
        <v>19</v>
      </c>
      <c r="H4716" s="819">
        <v>4.3071999999999999</v>
      </c>
      <c r="I4716" s="820">
        <v>15.96</v>
      </c>
      <c r="J4716" s="820">
        <v>68.739999999999995</v>
      </c>
    </row>
    <row r="4717" spans="1:10" ht="38.25" customHeight="1">
      <c r="A4717" s="817" t="s">
        <v>13491</v>
      </c>
      <c r="B4717" s="816" t="s">
        <v>13577</v>
      </c>
      <c r="C4717" s="817" t="s">
        <v>6</v>
      </c>
      <c r="D4717" s="817" t="s">
        <v>31</v>
      </c>
      <c r="E4717" s="1021" t="s">
        <v>13490</v>
      </c>
      <c r="F4717" s="1021"/>
      <c r="G4717" s="818" t="s">
        <v>19</v>
      </c>
      <c r="H4717" s="819">
        <v>31.952999999999999</v>
      </c>
      <c r="I4717" s="820">
        <v>18.86</v>
      </c>
      <c r="J4717" s="820">
        <v>602.63</v>
      </c>
    </row>
    <row r="4718" spans="1:10" ht="38.25" customHeight="1">
      <c r="A4718" s="817" t="s">
        <v>13491</v>
      </c>
      <c r="B4718" s="816" t="s">
        <v>14404</v>
      </c>
      <c r="C4718" s="817" t="s">
        <v>6</v>
      </c>
      <c r="D4718" s="817" t="s">
        <v>36</v>
      </c>
      <c r="E4718" s="1021" t="s">
        <v>13490</v>
      </c>
      <c r="F4718" s="1021"/>
      <c r="G4718" s="818" t="s">
        <v>19</v>
      </c>
      <c r="H4718" s="819">
        <v>21.535799999999998</v>
      </c>
      <c r="I4718" s="820">
        <v>17.84</v>
      </c>
      <c r="J4718" s="820">
        <v>384.19</v>
      </c>
    </row>
    <row r="4719" spans="1:10" ht="38.25" customHeight="1">
      <c r="A4719" s="817" t="s">
        <v>13491</v>
      </c>
      <c r="B4719" s="816" t="s">
        <v>13553</v>
      </c>
      <c r="C4719" s="817" t="s">
        <v>6</v>
      </c>
      <c r="D4719" s="817" t="s">
        <v>21</v>
      </c>
      <c r="E4719" s="1021" t="s">
        <v>13490</v>
      </c>
      <c r="F4719" s="1021"/>
      <c r="G4719" s="818" t="s">
        <v>19</v>
      </c>
      <c r="H4719" s="819">
        <v>31.952999999999999</v>
      </c>
      <c r="I4719" s="820">
        <v>15.16</v>
      </c>
      <c r="J4719" s="820">
        <v>484.4</v>
      </c>
    </row>
    <row r="4720" spans="1:10" ht="13.5" customHeight="1">
      <c r="A4720" s="822" t="s">
        <v>13493</v>
      </c>
      <c r="B4720" s="821" t="s">
        <v>14712</v>
      </c>
      <c r="C4720" s="822" t="s">
        <v>6</v>
      </c>
      <c r="D4720" s="822" t="s">
        <v>9527</v>
      </c>
      <c r="E4720" s="1017" t="s">
        <v>13514</v>
      </c>
      <c r="F4720" s="1017"/>
      <c r="G4720" s="823" t="s">
        <v>13537</v>
      </c>
      <c r="H4720" s="824">
        <v>1.469908</v>
      </c>
      <c r="I4720" s="825">
        <v>24.7</v>
      </c>
      <c r="J4720" s="825">
        <v>36.299999999999997</v>
      </c>
    </row>
    <row r="4721" spans="1:10" ht="38.25">
      <c r="A4721" s="822" t="s">
        <v>13493</v>
      </c>
      <c r="B4721" s="821" t="s">
        <v>14715</v>
      </c>
      <c r="C4721" s="822" t="s">
        <v>6</v>
      </c>
      <c r="D4721" s="822" t="s">
        <v>9526</v>
      </c>
      <c r="E4721" s="1017" t="s">
        <v>13514</v>
      </c>
      <c r="F4721" s="1017"/>
      <c r="G4721" s="823" t="s">
        <v>13537</v>
      </c>
      <c r="H4721" s="824">
        <v>31.584388000000001</v>
      </c>
      <c r="I4721" s="825">
        <v>80.56</v>
      </c>
      <c r="J4721" s="825">
        <v>2544.4299999999998</v>
      </c>
    </row>
    <row r="4722" spans="1:10" ht="25.5">
      <c r="A4722" s="822" t="s">
        <v>13493</v>
      </c>
      <c r="B4722" s="821" t="s">
        <v>13646</v>
      </c>
      <c r="C4722" s="822" t="s">
        <v>6</v>
      </c>
      <c r="D4722" s="822" t="s">
        <v>4636</v>
      </c>
      <c r="E4722" s="1017" t="s">
        <v>13514</v>
      </c>
      <c r="F4722" s="1017"/>
      <c r="G4722" s="823" t="s">
        <v>39</v>
      </c>
      <c r="H4722" s="824">
        <v>6.6699999999999995E-2</v>
      </c>
      <c r="I4722" s="825">
        <v>5.24</v>
      </c>
      <c r="J4722" s="825">
        <v>0.34</v>
      </c>
    </row>
    <row r="4723" spans="1:10" ht="25.5" customHeight="1">
      <c r="A4723" s="822" t="s">
        <v>13493</v>
      </c>
      <c r="B4723" s="821" t="s">
        <v>14716</v>
      </c>
      <c r="C4723" s="822" t="s">
        <v>6</v>
      </c>
      <c r="D4723" s="822" t="s">
        <v>4678</v>
      </c>
      <c r="E4723" s="1017" t="s">
        <v>13514</v>
      </c>
      <c r="F4723" s="1017"/>
      <c r="G4723" s="823" t="s">
        <v>16</v>
      </c>
      <c r="H4723" s="824">
        <v>6</v>
      </c>
      <c r="I4723" s="825">
        <v>9.9</v>
      </c>
      <c r="J4723" s="825">
        <v>59.4</v>
      </c>
    </row>
    <row r="4724" spans="1:10" ht="25.5" customHeight="1">
      <c r="A4724" s="822" t="s">
        <v>13493</v>
      </c>
      <c r="B4724" s="821" t="s">
        <v>14714</v>
      </c>
      <c r="C4724" s="822" t="s">
        <v>6</v>
      </c>
      <c r="D4724" s="822" t="s">
        <v>4760</v>
      </c>
      <c r="E4724" s="1017" t="s">
        <v>13514</v>
      </c>
      <c r="F4724" s="1017"/>
      <c r="G4724" s="823" t="s">
        <v>16</v>
      </c>
      <c r="H4724" s="824">
        <v>2.1276000000000002</v>
      </c>
      <c r="I4724" s="825">
        <v>26.31</v>
      </c>
      <c r="J4724" s="825">
        <v>55.97</v>
      </c>
    </row>
    <row r="4725" spans="1:10" ht="25.5" customHeight="1">
      <c r="A4725" s="827"/>
      <c r="B4725" s="827"/>
      <c r="C4725" s="827"/>
      <c r="D4725" s="827"/>
      <c r="E4725" s="827" t="s">
        <v>13503</v>
      </c>
      <c r="F4725" s="826">
        <v>1191.96</v>
      </c>
      <c r="G4725" s="827" t="s">
        <v>13504</v>
      </c>
      <c r="H4725" s="826">
        <v>0</v>
      </c>
      <c r="I4725" s="827" t="s">
        <v>13505</v>
      </c>
      <c r="J4725" s="826">
        <v>1191.96</v>
      </c>
    </row>
    <row r="4726" spans="1:10" ht="13.5" customHeight="1" thickBot="1">
      <c r="A4726" s="827"/>
      <c r="B4726" s="827"/>
      <c r="C4726" s="827"/>
      <c r="D4726" s="827"/>
      <c r="E4726" s="827" t="s">
        <v>13506</v>
      </c>
      <c r="F4726" s="826">
        <v>1363.02</v>
      </c>
      <c r="G4726" s="827"/>
      <c r="H4726" s="1018" t="s">
        <v>13507</v>
      </c>
      <c r="I4726" s="1018"/>
      <c r="J4726" s="826">
        <v>6189.59</v>
      </c>
    </row>
    <row r="4727" spans="1:10" ht="13.5" customHeight="1" thickTop="1">
      <c r="A4727" s="828"/>
      <c r="B4727" s="828"/>
      <c r="C4727" s="828"/>
      <c r="D4727" s="828"/>
      <c r="E4727" s="828"/>
      <c r="F4727" s="828"/>
      <c r="G4727" s="828"/>
      <c r="H4727" s="828"/>
      <c r="I4727" s="828"/>
      <c r="J4727" s="828"/>
    </row>
    <row r="4728" spans="1:10" ht="15">
      <c r="A4728" s="809"/>
      <c r="B4728" s="808" t="s">
        <v>13481</v>
      </c>
      <c r="C4728" s="809" t="s">
        <v>13482</v>
      </c>
      <c r="D4728" s="809" t="s">
        <v>13483</v>
      </c>
      <c r="E4728" s="1019" t="s">
        <v>13484</v>
      </c>
      <c r="F4728" s="1019"/>
      <c r="G4728" s="810" t="s">
        <v>13485</v>
      </c>
      <c r="H4728" s="808" t="s">
        <v>13486</v>
      </c>
      <c r="I4728" s="808" t="s">
        <v>13487</v>
      </c>
      <c r="J4728" s="808" t="s">
        <v>4867</v>
      </c>
    </row>
    <row r="4729" spans="1:10" ht="25.5" customHeight="1">
      <c r="A4729" s="812" t="s">
        <v>13488</v>
      </c>
      <c r="B4729" s="811" t="s">
        <v>14260</v>
      </c>
      <c r="C4729" s="812" t="s">
        <v>6</v>
      </c>
      <c r="D4729" s="812" t="s">
        <v>3306</v>
      </c>
      <c r="E4729" s="1020" t="s">
        <v>13542</v>
      </c>
      <c r="F4729" s="1020"/>
      <c r="G4729" s="813" t="s">
        <v>13543</v>
      </c>
      <c r="H4729" s="814">
        <v>1</v>
      </c>
      <c r="I4729" s="815">
        <v>2391.23</v>
      </c>
      <c r="J4729" s="815">
        <v>2391.23</v>
      </c>
    </row>
    <row r="4730" spans="1:10" ht="25.5" customHeight="1">
      <c r="A4730" s="817" t="s">
        <v>13491</v>
      </c>
      <c r="B4730" s="816" t="s">
        <v>13538</v>
      </c>
      <c r="C4730" s="817" t="s">
        <v>6</v>
      </c>
      <c r="D4730" s="817" t="s">
        <v>1793</v>
      </c>
      <c r="E4730" s="1021" t="s">
        <v>13539</v>
      </c>
      <c r="F4730" s="1021"/>
      <c r="G4730" s="818" t="s">
        <v>28</v>
      </c>
      <c r="H4730" s="819">
        <v>0.48770000000000002</v>
      </c>
      <c r="I4730" s="820">
        <v>15.82</v>
      </c>
      <c r="J4730" s="820">
        <v>7.71</v>
      </c>
    </row>
    <row r="4731" spans="1:10" ht="25.5" customHeight="1">
      <c r="A4731" s="817" t="s">
        <v>13491</v>
      </c>
      <c r="B4731" s="816" t="s">
        <v>13662</v>
      </c>
      <c r="C4731" s="817" t="s">
        <v>6</v>
      </c>
      <c r="D4731" s="817" t="s">
        <v>1600</v>
      </c>
      <c r="E4731" s="1021" t="s">
        <v>13539</v>
      </c>
      <c r="F4731" s="1021"/>
      <c r="G4731" s="818" t="s">
        <v>28</v>
      </c>
      <c r="H4731" s="819">
        <v>6.6349999999999998</v>
      </c>
      <c r="I4731" s="820">
        <v>1.22</v>
      </c>
      <c r="J4731" s="820">
        <v>8.09</v>
      </c>
    </row>
    <row r="4732" spans="1:10" ht="38.25" customHeight="1">
      <c r="A4732" s="817" t="s">
        <v>13491</v>
      </c>
      <c r="B4732" s="816" t="s">
        <v>13540</v>
      </c>
      <c r="C4732" s="817" t="s">
        <v>6</v>
      </c>
      <c r="D4732" s="817" t="s">
        <v>1794</v>
      </c>
      <c r="E4732" s="1021" t="s">
        <v>13539</v>
      </c>
      <c r="F4732" s="1021"/>
      <c r="G4732" s="818" t="s">
        <v>42</v>
      </c>
      <c r="H4732" s="819">
        <v>0.70430000000000004</v>
      </c>
      <c r="I4732" s="820">
        <v>14.51</v>
      </c>
      <c r="J4732" s="820">
        <v>10.210000000000001</v>
      </c>
    </row>
    <row r="4733" spans="1:10" ht="25.5" customHeight="1">
      <c r="A4733" s="817" t="s">
        <v>13491</v>
      </c>
      <c r="B4733" s="816" t="s">
        <v>13663</v>
      </c>
      <c r="C4733" s="817" t="s">
        <v>6</v>
      </c>
      <c r="D4733" s="817" t="s">
        <v>1601</v>
      </c>
      <c r="E4733" s="1021" t="s">
        <v>13539</v>
      </c>
      <c r="F4733" s="1021"/>
      <c r="G4733" s="818" t="s">
        <v>42</v>
      </c>
      <c r="H4733" s="819">
        <v>18.246200000000002</v>
      </c>
      <c r="I4733" s="820">
        <v>0.44</v>
      </c>
      <c r="J4733" s="820">
        <v>8.02</v>
      </c>
    </row>
    <row r="4734" spans="1:10" ht="25.5" customHeight="1">
      <c r="A4734" s="817" t="s">
        <v>13491</v>
      </c>
      <c r="B4734" s="816" t="s">
        <v>13653</v>
      </c>
      <c r="C4734" s="817" t="s">
        <v>6</v>
      </c>
      <c r="D4734" s="817" t="s">
        <v>6583</v>
      </c>
      <c r="E4734" s="1021" t="s">
        <v>13542</v>
      </c>
      <c r="F4734" s="1021"/>
      <c r="G4734" s="818" t="s">
        <v>13543</v>
      </c>
      <c r="H4734" s="819">
        <v>1.2</v>
      </c>
      <c r="I4734" s="820">
        <v>425.35</v>
      </c>
      <c r="J4734" s="820">
        <v>510.42</v>
      </c>
    </row>
    <row r="4735" spans="1:10" ht="38.25" customHeight="1">
      <c r="A4735" s="817" t="s">
        <v>13491</v>
      </c>
      <c r="B4735" s="816" t="s">
        <v>14574</v>
      </c>
      <c r="C4735" s="817" t="s">
        <v>6</v>
      </c>
      <c r="D4735" s="817" t="s">
        <v>2036</v>
      </c>
      <c r="E4735" s="1021" t="s">
        <v>13542</v>
      </c>
      <c r="F4735" s="1021"/>
      <c r="G4735" s="818" t="s">
        <v>16</v>
      </c>
      <c r="H4735" s="819">
        <v>27.898800000000001</v>
      </c>
      <c r="I4735" s="820">
        <v>17.66</v>
      </c>
      <c r="J4735" s="820">
        <v>492.69</v>
      </c>
    </row>
    <row r="4736" spans="1:10" ht="13.5" customHeight="1">
      <c r="A4736" s="817" t="s">
        <v>13491</v>
      </c>
      <c r="B4736" s="816" t="s">
        <v>13544</v>
      </c>
      <c r="C4736" s="817" t="s">
        <v>6</v>
      </c>
      <c r="D4736" s="817" t="s">
        <v>29</v>
      </c>
      <c r="E4736" s="1021" t="s">
        <v>13490</v>
      </c>
      <c r="F4736" s="1021"/>
      <c r="G4736" s="818" t="s">
        <v>19</v>
      </c>
      <c r="H4736" s="819">
        <v>1.1919999999999999</v>
      </c>
      <c r="I4736" s="820">
        <v>15.96</v>
      </c>
      <c r="J4736" s="820">
        <v>19.02</v>
      </c>
    </row>
    <row r="4737" spans="1:10" ht="38.25" customHeight="1">
      <c r="A4737" s="817" t="s">
        <v>13491</v>
      </c>
      <c r="B4737" s="816" t="s">
        <v>13577</v>
      </c>
      <c r="C4737" s="817" t="s">
        <v>6</v>
      </c>
      <c r="D4737" s="817" t="s">
        <v>31</v>
      </c>
      <c r="E4737" s="1021" t="s">
        <v>13490</v>
      </c>
      <c r="F4737" s="1021"/>
      <c r="G4737" s="818" t="s">
        <v>19</v>
      </c>
      <c r="H4737" s="819">
        <v>31.5459</v>
      </c>
      <c r="I4737" s="820">
        <v>18.86</v>
      </c>
      <c r="J4737" s="820">
        <v>594.95000000000005</v>
      </c>
    </row>
    <row r="4738" spans="1:10" ht="38.25" customHeight="1">
      <c r="A4738" s="817" t="s">
        <v>13491</v>
      </c>
      <c r="B4738" s="816" t="s">
        <v>14404</v>
      </c>
      <c r="C4738" s="817" t="s">
        <v>6</v>
      </c>
      <c r="D4738" s="817" t="s">
        <v>36</v>
      </c>
      <c r="E4738" s="1021" t="s">
        <v>13490</v>
      </c>
      <c r="F4738" s="1021"/>
      <c r="G4738" s="818" t="s">
        <v>19</v>
      </c>
      <c r="H4738" s="819">
        <v>5.96</v>
      </c>
      <c r="I4738" s="820">
        <v>17.84</v>
      </c>
      <c r="J4738" s="820">
        <v>106.32</v>
      </c>
    </row>
    <row r="4739" spans="1:10" ht="25.5" customHeight="1">
      <c r="A4739" s="817" t="s">
        <v>13491</v>
      </c>
      <c r="B4739" s="816" t="s">
        <v>13553</v>
      </c>
      <c r="C4739" s="817" t="s">
        <v>6</v>
      </c>
      <c r="D4739" s="817" t="s">
        <v>21</v>
      </c>
      <c r="E4739" s="1021" t="s">
        <v>13490</v>
      </c>
      <c r="F4739" s="1021"/>
      <c r="G4739" s="818" t="s">
        <v>19</v>
      </c>
      <c r="H4739" s="819">
        <v>31.5459</v>
      </c>
      <c r="I4739" s="820">
        <v>15.16</v>
      </c>
      <c r="J4739" s="820">
        <v>478.23</v>
      </c>
    </row>
    <row r="4740" spans="1:10" ht="38.25">
      <c r="A4740" s="822" t="s">
        <v>13493</v>
      </c>
      <c r="B4740" s="821" t="s">
        <v>14672</v>
      </c>
      <c r="C4740" s="822" t="s">
        <v>6</v>
      </c>
      <c r="D4740" s="822" t="s">
        <v>9524</v>
      </c>
      <c r="E4740" s="1017" t="s">
        <v>13514</v>
      </c>
      <c r="F4740" s="1017"/>
      <c r="G4740" s="823" t="s">
        <v>13537</v>
      </c>
      <c r="H4740" s="824">
        <v>1.9403999999999999</v>
      </c>
      <c r="I4740" s="825">
        <v>64.930000000000007</v>
      </c>
      <c r="J4740" s="825">
        <v>125.99</v>
      </c>
    </row>
    <row r="4741" spans="1:10" ht="25.5">
      <c r="A4741" s="822" t="s">
        <v>13493</v>
      </c>
      <c r="B4741" s="821" t="s">
        <v>13646</v>
      </c>
      <c r="C4741" s="822" t="s">
        <v>6</v>
      </c>
      <c r="D4741" s="822" t="s">
        <v>4636</v>
      </c>
      <c r="E4741" s="1017" t="s">
        <v>13514</v>
      </c>
      <c r="F4741" s="1017"/>
      <c r="G4741" s="823" t="s">
        <v>39</v>
      </c>
      <c r="H4741" s="824">
        <v>8.3299999999999999E-2</v>
      </c>
      <c r="I4741" s="825">
        <v>5.24</v>
      </c>
      <c r="J4741" s="825">
        <v>0.43</v>
      </c>
    </row>
    <row r="4742" spans="1:10" ht="13.5" customHeight="1">
      <c r="A4742" s="822" t="s">
        <v>13493</v>
      </c>
      <c r="B4742" s="821" t="s">
        <v>14714</v>
      </c>
      <c r="C4742" s="822" t="s">
        <v>6</v>
      </c>
      <c r="D4742" s="822" t="s">
        <v>4760</v>
      </c>
      <c r="E4742" s="1017" t="s">
        <v>13514</v>
      </c>
      <c r="F4742" s="1017"/>
      <c r="G4742" s="823" t="s">
        <v>16</v>
      </c>
      <c r="H4742" s="824">
        <v>0.4365</v>
      </c>
      <c r="I4742" s="825">
        <v>26.31</v>
      </c>
      <c r="J4742" s="825">
        <v>11.48</v>
      </c>
    </row>
    <row r="4743" spans="1:10" ht="25.5">
      <c r="A4743" s="822" t="s">
        <v>13493</v>
      </c>
      <c r="B4743" s="821" t="s">
        <v>13650</v>
      </c>
      <c r="C4743" s="822" t="s">
        <v>6</v>
      </c>
      <c r="D4743" s="822" t="s">
        <v>6139</v>
      </c>
      <c r="E4743" s="1017" t="s">
        <v>13514</v>
      </c>
      <c r="F4743" s="1017"/>
      <c r="G4743" s="823" t="s">
        <v>14</v>
      </c>
      <c r="H4743" s="824">
        <v>5.6283000000000003</v>
      </c>
      <c r="I4743" s="825">
        <v>3.14</v>
      </c>
      <c r="J4743" s="825">
        <v>17.670000000000002</v>
      </c>
    </row>
    <row r="4744" spans="1:10" ht="25.5">
      <c r="A4744" s="827"/>
      <c r="B4744" s="827"/>
      <c r="C4744" s="827"/>
      <c r="D4744" s="827"/>
      <c r="E4744" s="827" t="s">
        <v>13503</v>
      </c>
      <c r="F4744" s="826">
        <v>1032.32</v>
      </c>
      <c r="G4744" s="827" t="s">
        <v>13504</v>
      </c>
      <c r="H4744" s="826">
        <v>0</v>
      </c>
      <c r="I4744" s="827" t="s">
        <v>13505</v>
      </c>
      <c r="J4744" s="826">
        <v>1032.32</v>
      </c>
    </row>
    <row r="4745" spans="1:10" ht="25.5" customHeight="1" thickBot="1">
      <c r="A4745" s="827"/>
      <c r="B4745" s="827"/>
      <c r="C4745" s="827"/>
      <c r="D4745" s="827"/>
      <c r="E4745" s="827" t="s">
        <v>13506</v>
      </c>
      <c r="F4745" s="826">
        <v>675.28</v>
      </c>
      <c r="G4745" s="827"/>
      <c r="H4745" s="1018" t="s">
        <v>13507</v>
      </c>
      <c r="I4745" s="1018"/>
      <c r="J4745" s="826">
        <v>3066.51</v>
      </c>
    </row>
    <row r="4746" spans="1:10" ht="13.5" thickTop="1">
      <c r="A4746" s="828"/>
      <c r="B4746" s="828"/>
      <c r="C4746" s="828"/>
      <c r="D4746" s="828"/>
      <c r="E4746" s="828"/>
      <c r="F4746" s="828"/>
      <c r="G4746" s="828"/>
      <c r="H4746" s="828"/>
      <c r="I4746" s="828"/>
      <c r="J4746" s="828"/>
    </row>
    <row r="4747" spans="1:10" ht="15">
      <c r="A4747" s="809"/>
      <c r="B4747" s="808" t="s">
        <v>13481</v>
      </c>
      <c r="C4747" s="809" t="s">
        <v>13482</v>
      </c>
      <c r="D4747" s="809" t="s">
        <v>13483</v>
      </c>
      <c r="E4747" s="1019" t="s">
        <v>13484</v>
      </c>
      <c r="F4747" s="1019"/>
      <c r="G4747" s="810" t="s">
        <v>13485</v>
      </c>
      <c r="H4747" s="808" t="s">
        <v>13486</v>
      </c>
      <c r="I4747" s="808" t="s">
        <v>13487</v>
      </c>
      <c r="J4747" s="808" t="s">
        <v>4867</v>
      </c>
    </row>
    <row r="4748" spans="1:10" ht="13.5" customHeight="1">
      <c r="A4748" s="812" t="s">
        <v>13488</v>
      </c>
      <c r="B4748" s="811" t="s">
        <v>13899</v>
      </c>
      <c r="C4748" s="812" t="s">
        <v>6</v>
      </c>
      <c r="D4748" s="812" t="s">
        <v>3307</v>
      </c>
      <c r="E4748" s="1020" t="s">
        <v>13542</v>
      </c>
      <c r="F4748" s="1020"/>
      <c r="G4748" s="813" t="s">
        <v>13543</v>
      </c>
      <c r="H4748" s="814">
        <v>1</v>
      </c>
      <c r="I4748" s="815">
        <v>2026.58</v>
      </c>
      <c r="J4748" s="815">
        <v>2026.58</v>
      </c>
    </row>
    <row r="4749" spans="1:10" ht="38.25" customHeight="1">
      <c r="A4749" s="817" t="s">
        <v>13491</v>
      </c>
      <c r="B4749" s="816" t="s">
        <v>13662</v>
      </c>
      <c r="C4749" s="817" t="s">
        <v>6</v>
      </c>
      <c r="D4749" s="817" t="s">
        <v>1600</v>
      </c>
      <c r="E4749" s="1021" t="s">
        <v>13539</v>
      </c>
      <c r="F4749" s="1021"/>
      <c r="G4749" s="818" t="s">
        <v>28</v>
      </c>
      <c r="H4749" s="819">
        <v>4.7533000000000003</v>
      </c>
      <c r="I4749" s="820">
        <v>1.22</v>
      </c>
      <c r="J4749" s="820">
        <v>5.79</v>
      </c>
    </row>
    <row r="4750" spans="1:10" ht="38.25" customHeight="1">
      <c r="A4750" s="817" t="s">
        <v>13491</v>
      </c>
      <c r="B4750" s="816" t="s">
        <v>13663</v>
      </c>
      <c r="C4750" s="817" t="s">
        <v>6</v>
      </c>
      <c r="D4750" s="817" t="s">
        <v>1601</v>
      </c>
      <c r="E4750" s="1021" t="s">
        <v>13539</v>
      </c>
      <c r="F4750" s="1021"/>
      <c r="G4750" s="818" t="s">
        <v>42</v>
      </c>
      <c r="H4750" s="819">
        <v>13.0715</v>
      </c>
      <c r="I4750" s="820">
        <v>0.44</v>
      </c>
      <c r="J4750" s="820">
        <v>5.75</v>
      </c>
    </row>
    <row r="4751" spans="1:10" ht="25.5" customHeight="1">
      <c r="A4751" s="817" t="s">
        <v>13491</v>
      </c>
      <c r="B4751" s="816" t="s">
        <v>13538</v>
      </c>
      <c r="C4751" s="817" t="s">
        <v>6</v>
      </c>
      <c r="D4751" s="817" t="s">
        <v>1793</v>
      </c>
      <c r="E4751" s="1021" t="s">
        <v>13539</v>
      </c>
      <c r="F4751" s="1021"/>
      <c r="G4751" s="818" t="s">
        <v>28</v>
      </c>
      <c r="H4751" s="819">
        <v>0.313</v>
      </c>
      <c r="I4751" s="820">
        <v>15.82</v>
      </c>
      <c r="J4751" s="820">
        <v>4.95</v>
      </c>
    </row>
    <row r="4752" spans="1:10" ht="38.25" customHeight="1">
      <c r="A4752" s="817" t="s">
        <v>13491</v>
      </c>
      <c r="B4752" s="816" t="s">
        <v>13540</v>
      </c>
      <c r="C4752" s="817" t="s">
        <v>6</v>
      </c>
      <c r="D4752" s="817" t="s">
        <v>1794</v>
      </c>
      <c r="E4752" s="1021" t="s">
        <v>13539</v>
      </c>
      <c r="F4752" s="1021"/>
      <c r="G4752" s="818" t="s">
        <v>42</v>
      </c>
      <c r="H4752" s="819">
        <v>0.42259999999999998</v>
      </c>
      <c r="I4752" s="820">
        <v>14.51</v>
      </c>
      <c r="J4752" s="820">
        <v>6.13</v>
      </c>
    </row>
    <row r="4753" spans="1:10" ht="38.25" customHeight="1">
      <c r="A4753" s="817" t="s">
        <v>13491</v>
      </c>
      <c r="B4753" s="816" t="s">
        <v>14574</v>
      </c>
      <c r="C4753" s="817" t="s">
        <v>6</v>
      </c>
      <c r="D4753" s="817" t="s">
        <v>2036</v>
      </c>
      <c r="E4753" s="1021" t="s">
        <v>13542</v>
      </c>
      <c r="F4753" s="1021"/>
      <c r="G4753" s="818" t="s">
        <v>16</v>
      </c>
      <c r="H4753" s="819">
        <v>28.936900000000001</v>
      </c>
      <c r="I4753" s="820">
        <v>17.66</v>
      </c>
      <c r="J4753" s="820">
        <v>511.02</v>
      </c>
    </row>
    <row r="4754" spans="1:10" ht="13.5" customHeight="1">
      <c r="A4754" s="817" t="s">
        <v>13491</v>
      </c>
      <c r="B4754" s="816" t="s">
        <v>14623</v>
      </c>
      <c r="C4754" s="817" t="s">
        <v>6</v>
      </c>
      <c r="D4754" s="817" t="s">
        <v>6584</v>
      </c>
      <c r="E4754" s="1021" t="s">
        <v>13542</v>
      </c>
      <c r="F4754" s="1021"/>
      <c r="G4754" s="818" t="s">
        <v>13543</v>
      </c>
      <c r="H4754" s="819">
        <v>1.2</v>
      </c>
      <c r="I4754" s="820">
        <v>442.15</v>
      </c>
      <c r="J4754" s="820">
        <v>530.58000000000004</v>
      </c>
    </row>
    <row r="4755" spans="1:10" ht="38.25" customHeight="1">
      <c r="A4755" s="817" t="s">
        <v>13491</v>
      </c>
      <c r="B4755" s="816" t="s">
        <v>13544</v>
      </c>
      <c r="C4755" s="817" t="s">
        <v>6</v>
      </c>
      <c r="D4755" s="817" t="s">
        <v>29</v>
      </c>
      <c r="E4755" s="1021" t="s">
        <v>13490</v>
      </c>
      <c r="F4755" s="1021"/>
      <c r="G4755" s="818" t="s">
        <v>19</v>
      </c>
      <c r="H4755" s="819">
        <v>0.73560000000000003</v>
      </c>
      <c r="I4755" s="820">
        <v>15.96</v>
      </c>
      <c r="J4755" s="820">
        <v>11.74</v>
      </c>
    </row>
    <row r="4756" spans="1:10" ht="38.25" customHeight="1">
      <c r="A4756" s="817" t="s">
        <v>13491</v>
      </c>
      <c r="B4756" s="816" t="s">
        <v>13553</v>
      </c>
      <c r="C4756" s="817" t="s">
        <v>6</v>
      </c>
      <c r="D4756" s="817" t="s">
        <v>21</v>
      </c>
      <c r="E4756" s="1021" t="s">
        <v>13490</v>
      </c>
      <c r="F4756" s="1021"/>
      <c r="G4756" s="818" t="s">
        <v>19</v>
      </c>
      <c r="H4756" s="819">
        <v>22.888400000000001</v>
      </c>
      <c r="I4756" s="820">
        <v>15.16</v>
      </c>
      <c r="J4756" s="820">
        <v>346.98</v>
      </c>
    </row>
    <row r="4757" spans="1:10" ht="38.25" customHeight="1">
      <c r="A4757" s="817" t="s">
        <v>13491</v>
      </c>
      <c r="B4757" s="816" t="s">
        <v>13577</v>
      </c>
      <c r="C4757" s="817" t="s">
        <v>6</v>
      </c>
      <c r="D4757" s="817" t="s">
        <v>31</v>
      </c>
      <c r="E4757" s="1021" t="s">
        <v>13490</v>
      </c>
      <c r="F4757" s="1021"/>
      <c r="G4757" s="818" t="s">
        <v>19</v>
      </c>
      <c r="H4757" s="819">
        <v>22.888400000000001</v>
      </c>
      <c r="I4757" s="820">
        <v>18.86</v>
      </c>
      <c r="J4757" s="820">
        <v>431.67</v>
      </c>
    </row>
    <row r="4758" spans="1:10" ht="38.25" customHeight="1">
      <c r="A4758" s="817" t="s">
        <v>13491</v>
      </c>
      <c r="B4758" s="816" t="s">
        <v>14404</v>
      </c>
      <c r="C4758" s="817" t="s">
        <v>6</v>
      </c>
      <c r="D4758" s="817" t="s">
        <v>36</v>
      </c>
      <c r="E4758" s="1021" t="s">
        <v>13490</v>
      </c>
      <c r="F4758" s="1021"/>
      <c r="G4758" s="818" t="s">
        <v>19</v>
      </c>
      <c r="H4758" s="819">
        <v>3.6779999999999999</v>
      </c>
      <c r="I4758" s="820">
        <v>17.84</v>
      </c>
      <c r="J4758" s="820">
        <v>65.61</v>
      </c>
    </row>
    <row r="4759" spans="1:10" ht="38.25">
      <c r="A4759" s="822" t="s">
        <v>13493</v>
      </c>
      <c r="B4759" s="821" t="s">
        <v>14672</v>
      </c>
      <c r="C4759" s="822" t="s">
        <v>6</v>
      </c>
      <c r="D4759" s="822" t="s">
        <v>9524</v>
      </c>
      <c r="E4759" s="1017" t="s">
        <v>13514</v>
      </c>
      <c r="F4759" s="1017"/>
      <c r="G4759" s="823" t="s">
        <v>13537</v>
      </c>
      <c r="H4759" s="824">
        <v>1.3111999999999999</v>
      </c>
      <c r="I4759" s="825">
        <v>64.930000000000007</v>
      </c>
      <c r="J4759" s="825">
        <v>85.13</v>
      </c>
    </row>
    <row r="4760" spans="1:10" ht="13.5" customHeight="1">
      <c r="A4760" s="822" t="s">
        <v>13493</v>
      </c>
      <c r="B4760" s="821" t="s">
        <v>13646</v>
      </c>
      <c r="C4760" s="822" t="s">
        <v>6</v>
      </c>
      <c r="D4760" s="822" t="s">
        <v>4636</v>
      </c>
      <c r="E4760" s="1017" t="s">
        <v>13514</v>
      </c>
      <c r="F4760" s="1017"/>
      <c r="G4760" s="823" t="s">
        <v>39</v>
      </c>
      <c r="H4760" s="824">
        <v>5.67E-2</v>
      </c>
      <c r="I4760" s="825">
        <v>5.24</v>
      </c>
      <c r="J4760" s="825">
        <v>0.28999999999999998</v>
      </c>
    </row>
    <row r="4761" spans="1:10">
      <c r="A4761" s="822" t="s">
        <v>13493</v>
      </c>
      <c r="B4761" s="821" t="s">
        <v>14714</v>
      </c>
      <c r="C4761" s="822" t="s">
        <v>6</v>
      </c>
      <c r="D4761" s="822" t="s">
        <v>4760</v>
      </c>
      <c r="E4761" s="1017" t="s">
        <v>13514</v>
      </c>
      <c r="F4761" s="1017"/>
      <c r="G4761" s="823" t="s">
        <v>16</v>
      </c>
      <c r="H4761" s="824">
        <v>0.26190000000000002</v>
      </c>
      <c r="I4761" s="825">
        <v>26.31</v>
      </c>
      <c r="J4761" s="825">
        <v>6.89</v>
      </c>
    </row>
    <row r="4762" spans="1:10" ht="25.5">
      <c r="A4762" s="822" t="s">
        <v>13493</v>
      </c>
      <c r="B4762" s="821" t="s">
        <v>13650</v>
      </c>
      <c r="C4762" s="822" t="s">
        <v>6</v>
      </c>
      <c r="D4762" s="822" t="s">
        <v>6139</v>
      </c>
      <c r="E4762" s="1017" t="s">
        <v>13514</v>
      </c>
      <c r="F4762" s="1017"/>
      <c r="G4762" s="823" t="s">
        <v>14</v>
      </c>
      <c r="H4762" s="824">
        <v>4.4770000000000003</v>
      </c>
      <c r="I4762" s="825">
        <v>3.14</v>
      </c>
      <c r="J4762" s="825">
        <v>14.05</v>
      </c>
    </row>
    <row r="4763" spans="1:10" ht="25.5">
      <c r="A4763" s="827"/>
      <c r="B4763" s="827"/>
      <c r="C4763" s="827"/>
      <c r="D4763" s="827"/>
      <c r="E4763" s="827" t="s">
        <v>13503</v>
      </c>
      <c r="F4763" s="826">
        <v>786.08</v>
      </c>
      <c r="G4763" s="827" t="s">
        <v>13504</v>
      </c>
      <c r="H4763" s="826">
        <v>0</v>
      </c>
      <c r="I4763" s="827" t="s">
        <v>13505</v>
      </c>
      <c r="J4763" s="826">
        <v>786.08</v>
      </c>
    </row>
    <row r="4764" spans="1:10" ht="13.5" customHeight="1" thickBot="1">
      <c r="A4764" s="827"/>
      <c r="B4764" s="827"/>
      <c r="C4764" s="827"/>
      <c r="D4764" s="827"/>
      <c r="E4764" s="827" t="s">
        <v>13506</v>
      </c>
      <c r="F4764" s="826">
        <v>572.29999999999995</v>
      </c>
      <c r="G4764" s="827"/>
      <c r="H4764" s="1018" t="s">
        <v>13507</v>
      </c>
      <c r="I4764" s="1018"/>
      <c r="J4764" s="826">
        <v>2598.88</v>
      </c>
    </row>
    <row r="4765" spans="1:10" ht="13.5" thickTop="1">
      <c r="A4765" s="828"/>
      <c r="B4765" s="828"/>
      <c r="C4765" s="828"/>
      <c r="D4765" s="828"/>
      <c r="E4765" s="828"/>
      <c r="F4765" s="828"/>
      <c r="G4765" s="828"/>
      <c r="H4765" s="828"/>
      <c r="I4765" s="828"/>
      <c r="J4765" s="828"/>
    </row>
    <row r="4766" spans="1:10" ht="15">
      <c r="A4766" s="809"/>
      <c r="B4766" s="808" t="s">
        <v>13481</v>
      </c>
      <c r="C4766" s="809" t="s">
        <v>13482</v>
      </c>
      <c r="D4766" s="809" t="s">
        <v>13483</v>
      </c>
      <c r="E4766" s="1019" t="s">
        <v>13484</v>
      </c>
      <c r="F4766" s="1019"/>
      <c r="G4766" s="810" t="s">
        <v>13485</v>
      </c>
      <c r="H4766" s="808" t="s">
        <v>13486</v>
      </c>
      <c r="I4766" s="808" t="s">
        <v>13487</v>
      </c>
      <c r="J4766" s="808" t="s">
        <v>4867</v>
      </c>
    </row>
    <row r="4767" spans="1:10" ht="13.5" customHeight="1">
      <c r="A4767" s="812" t="s">
        <v>13488</v>
      </c>
      <c r="B4767" s="811" t="s">
        <v>14531</v>
      </c>
      <c r="C4767" s="812" t="s">
        <v>6</v>
      </c>
      <c r="D4767" s="812" t="s">
        <v>158</v>
      </c>
      <c r="E4767" s="1020" t="s">
        <v>13490</v>
      </c>
      <c r="F4767" s="1020"/>
      <c r="G4767" s="813" t="s">
        <v>19</v>
      </c>
      <c r="H4767" s="814">
        <v>1</v>
      </c>
      <c r="I4767" s="815">
        <v>19.940000000000001</v>
      </c>
      <c r="J4767" s="815">
        <v>19.940000000000001</v>
      </c>
    </row>
    <row r="4768" spans="1:10" ht="38.25" customHeight="1">
      <c r="A4768" s="817" t="s">
        <v>13491</v>
      </c>
      <c r="B4768" s="816" t="s">
        <v>14663</v>
      </c>
      <c r="C4768" s="817" t="s">
        <v>6</v>
      </c>
      <c r="D4768" s="817" t="s">
        <v>2563</v>
      </c>
      <c r="E4768" s="1021" t="s">
        <v>13490</v>
      </c>
      <c r="F4768" s="1021"/>
      <c r="G4768" s="818" t="s">
        <v>19</v>
      </c>
      <c r="H4768" s="819">
        <v>1</v>
      </c>
      <c r="I4768" s="820">
        <v>0.16</v>
      </c>
      <c r="J4768" s="820">
        <v>0.16</v>
      </c>
    </row>
    <row r="4769" spans="1:10">
      <c r="A4769" s="822" t="s">
        <v>13493</v>
      </c>
      <c r="B4769" s="821" t="s">
        <v>13528</v>
      </c>
      <c r="C4769" s="822" t="s">
        <v>6</v>
      </c>
      <c r="D4769" s="822" t="s">
        <v>4581</v>
      </c>
      <c r="E4769" s="1017" t="s">
        <v>13499</v>
      </c>
      <c r="F4769" s="1017"/>
      <c r="G4769" s="823" t="s">
        <v>19</v>
      </c>
      <c r="H4769" s="824">
        <v>1</v>
      </c>
      <c r="I4769" s="825">
        <v>1.52</v>
      </c>
      <c r="J4769" s="825">
        <v>1.52</v>
      </c>
    </row>
    <row r="4770" spans="1:10" ht="25.5">
      <c r="A4770" s="822" t="s">
        <v>13493</v>
      </c>
      <c r="B4770" s="821" t="s">
        <v>14442</v>
      </c>
      <c r="C4770" s="822" t="s">
        <v>6</v>
      </c>
      <c r="D4770" s="822" t="s">
        <v>4658</v>
      </c>
      <c r="E4770" s="1017" t="s">
        <v>13497</v>
      </c>
      <c r="F4770" s="1017"/>
      <c r="G4770" s="823" t="s">
        <v>19</v>
      </c>
      <c r="H4770" s="824">
        <v>1</v>
      </c>
      <c r="I4770" s="825">
        <v>1.5</v>
      </c>
      <c r="J4770" s="825">
        <v>1.5</v>
      </c>
    </row>
    <row r="4771" spans="1:10" ht="25.5">
      <c r="A4771" s="822" t="s">
        <v>13493</v>
      </c>
      <c r="B4771" s="821" t="s">
        <v>14443</v>
      </c>
      <c r="C4771" s="822" t="s">
        <v>6</v>
      </c>
      <c r="D4771" s="822" t="s">
        <v>4674</v>
      </c>
      <c r="E4771" s="1017" t="s">
        <v>13497</v>
      </c>
      <c r="F4771" s="1017"/>
      <c r="G4771" s="823" t="s">
        <v>19</v>
      </c>
      <c r="H4771" s="824">
        <v>1</v>
      </c>
      <c r="I4771" s="825">
        <v>1.48</v>
      </c>
      <c r="J4771" s="825">
        <v>1.48</v>
      </c>
    </row>
    <row r="4772" spans="1:10">
      <c r="A4772" s="822" t="s">
        <v>13493</v>
      </c>
      <c r="B4772" s="821" t="s">
        <v>13498</v>
      </c>
      <c r="C4772" s="822" t="s">
        <v>6</v>
      </c>
      <c r="D4772" s="822" t="s">
        <v>4665</v>
      </c>
      <c r="E4772" s="1017" t="s">
        <v>13499</v>
      </c>
      <c r="F4772" s="1017"/>
      <c r="G4772" s="823" t="s">
        <v>19</v>
      </c>
      <c r="H4772" s="824">
        <v>1</v>
      </c>
      <c r="I4772" s="825">
        <v>0.81</v>
      </c>
      <c r="J4772" s="825">
        <v>0.81</v>
      </c>
    </row>
    <row r="4773" spans="1:10">
      <c r="A4773" s="822" t="s">
        <v>13493</v>
      </c>
      <c r="B4773" s="821" t="s">
        <v>14664</v>
      </c>
      <c r="C4773" s="822" t="s">
        <v>6</v>
      </c>
      <c r="D4773" s="822" t="s">
        <v>13460</v>
      </c>
      <c r="E4773" s="1017" t="s">
        <v>13495</v>
      </c>
      <c r="F4773" s="1017"/>
      <c r="G4773" s="823" t="s">
        <v>19</v>
      </c>
      <c r="H4773" s="824">
        <v>1</v>
      </c>
      <c r="I4773" s="825">
        <v>13.73</v>
      </c>
      <c r="J4773" s="825">
        <v>13.73</v>
      </c>
    </row>
    <row r="4774" spans="1:10">
      <c r="A4774" s="822" t="s">
        <v>13493</v>
      </c>
      <c r="B4774" s="821" t="s">
        <v>13501</v>
      </c>
      <c r="C4774" s="822" t="s">
        <v>6</v>
      </c>
      <c r="D4774" s="822" t="s">
        <v>4779</v>
      </c>
      <c r="E4774" s="1017" t="s">
        <v>13502</v>
      </c>
      <c r="F4774" s="1017"/>
      <c r="G4774" s="823" t="s">
        <v>19</v>
      </c>
      <c r="H4774" s="824">
        <v>1</v>
      </c>
      <c r="I4774" s="825">
        <v>0.06</v>
      </c>
      <c r="J4774" s="825">
        <v>0.06</v>
      </c>
    </row>
    <row r="4775" spans="1:10">
      <c r="A4775" s="822" t="s">
        <v>13493</v>
      </c>
      <c r="B4775" s="821" t="s">
        <v>13531</v>
      </c>
      <c r="C4775" s="822" t="s">
        <v>6</v>
      </c>
      <c r="D4775" s="822" t="s">
        <v>4808</v>
      </c>
      <c r="E4775" s="1017" t="s">
        <v>13532</v>
      </c>
      <c r="F4775" s="1017"/>
      <c r="G4775" s="823" t="s">
        <v>19</v>
      </c>
      <c r="H4775" s="824">
        <v>1</v>
      </c>
      <c r="I4775" s="825">
        <v>0.68</v>
      </c>
      <c r="J4775" s="825">
        <v>0.68</v>
      </c>
    </row>
    <row r="4776" spans="1:10" ht="25.5">
      <c r="A4776" s="827"/>
      <c r="B4776" s="827"/>
      <c r="C4776" s="827"/>
      <c r="D4776" s="827"/>
      <c r="E4776" s="827" t="s">
        <v>13503</v>
      </c>
      <c r="F4776" s="826">
        <v>13.89</v>
      </c>
      <c r="G4776" s="827" t="s">
        <v>13504</v>
      </c>
      <c r="H4776" s="826">
        <v>0</v>
      </c>
      <c r="I4776" s="827" t="s">
        <v>13505</v>
      </c>
      <c r="J4776" s="826">
        <v>13.89</v>
      </c>
    </row>
    <row r="4777" spans="1:10" ht="13.5" customHeight="1" thickBot="1">
      <c r="A4777" s="827"/>
      <c r="B4777" s="827"/>
      <c r="C4777" s="827"/>
      <c r="D4777" s="827"/>
      <c r="E4777" s="827" t="s">
        <v>13506</v>
      </c>
      <c r="F4777" s="826">
        <v>5.63</v>
      </c>
      <c r="G4777" s="827"/>
      <c r="H4777" s="1018" t="s">
        <v>13507</v>
      </c>
      <c r="I4777" s="1018"/>
      <c r="J4777" s="826">
        <v>25.57</v>
      </c>
    </row>
    <row r="4778" spans="1:10" ht="13.5" thickTop="1">
      <c r="A4778" s="828"/>
      <c r="B4778" s="828"/>
      <c r="C4778" s="828"/>
      <c r="D4778" s="828"/>
      <c r="E4778" s="828"/>
      <c r="F4778" s="828"/>
      <c r="G4778" s="828"/>
      <c r="H4778" s="828"/>
      <c r="I4778" s="828"/>
      <c r="J4778" s="828"/>
    </row>
    <row r="4779" spans="1:10" ht="15">
      <c r="A4779" s="809"/>
      <c r="B4779" s="808" t="s">
        <v>13481</v>
      </c>
      <c r="C4779" s="809" t="s">
        <v>13482</v>
      </c>
      <c r="D4779" s="809" t="s">
        <v>13483</v>
      </c>
      <c r="E4779" s="1019" t="s">
        <v>13484</v>
      </c>
      <c r="F4779" s="1019"/>
      <c r="G4779" s="810" t="s">
        <v>13485</v>
      </c>
      <c r="H4779" s="808" t="s">
        <v>13486</v>
      </c>
      <c r="I4779" s="808" t="s">
        <v>13487</v>
      </c>
      <c r="J4779" s="808" t="s">
        <v>4867</v>
      </c>
    </row>
    <row r="4780" spans="1:10" ht="25.5" customHeight="1">
      <c r="A4780" s="812" t="s">
        <v>13488</v>
      </c>
      <c r="B4780" s="811" t="s">
        <v>13799</v>
      </c>
      <c r="C4780" s="812" t="s">
        <v>6</v>
      </c>
      <c r="D4780" s="812" t="s">
        <v>1725</v>
      </c>
      <c r="E4780" s="1020" t="s">
        <v>13539</v>
      </c>
      <c r="F4780" s="1020"/>
      <c r="G4780" s="813" t="s">
        <v>42</v>
      </c>
      <c r="H4780" s="814">
        <v>1</v>
      </c>
      <c r="I4780" s="815">
        <v>0.56000000000000005</v>
      </c>
      <c r="J4780" s="815">
        <v>0.56000000000000005</v>
      </c>
    </row>
    <row r="4781" spans="1:10" ht="38.25" customHeight="1">
      <c r="A4781" s="817" t="s">
        <v>13491</v>
      </c>
      <c r="B4781" s="816" t="s">
        <v>14717</v>
      </c>
      <c r="C4781" s="817" t="s">
        <v>6</v>
      </c>
      <c r="D4781" s="817" t="s">
        <v>1720</v>
      </c>
      <c r="E4781" s="1021" t="s">
        <v>13539</v>
      </c>
      <c r="F4781" s="1021"/>
      <c r="G4781" s="818" t="s">
        <v>19</v>
      </c>
      <c r="H4781" s="819">
        <v>1</v>
      </c>
      <c r="I4781" s="820">
        <v>0.5</v>
      </c>
      <c r="J4781" s="820">
        <v>0.5</v>
      </c>
    </row>
    <row r="4782" spans="1:10" ht="38.25" customHeight="1">
      <c r="A4782" s="817" t="s">
        <v>13491</v>
      </c>
      <c r="B4782" s="816" t="s">
        <v>14718</v>
      </c>
      <c r="C4782" s="817" t="s">
        <v>6</v>
      </c>
      <c r="D4782" s="817" t="s">
        <v>1721</v>
      </c>
      <c r="E4782" s="1021" t="s">
        <v>13539</v>
      </c>
      <c r="F4782" s="1021"/>
      <c r="G4782" s="818" t="s">
        <v>19</v>
      </c>
      <c r="H4782" s="819">
        <v>1</v>
      </c>
      <c r="I4782" s="820">
        <v>0.06</v>
      </c>
      <c r="J4782" s="820">
        <v>0.06</v>
      </c>
    </row>
    <row r="4783" spans="1:10" ht="25.5">
      <c r="A4783" s="827"/>
      <c r="B4783" s="827"/>
      <c r="C4783" s="827"/>
      <c r="D4783" s="827"/>
      <c r="E4783" s="827" t="s">
        <v>13503</v>
      </c>
      <c r="F4783" s="826">
        <v>0</v>
      </c>
      <c r="G4783" s="827" t="s">
        <v>13504</v>
      </c>
      <c r="H4783" s="826">
        <v>0</v>
      </c>
      <c r="I4783" s="827" t="s">
        <v>13505</v>
      </c>
      <c r="J4783" s="826">
        <v>0</v>
      </c>
    </row>
    <row r="4784" spans="1:10" ht="13.5" customHeight="1" thickBot="1">
      <c r="A4784" s="827"/>
      <c r="B4784" s="827"/>
      <c r="C4784" s="827"/>
      <c r="D4784" s="827"/>
      <c r="E4784" s="827" t="s">
        <v>13506</v>
      </c>
      <c r="F4784" s="826">
        <v>0.15</v>
      </c>
      <c r="G4784" s="827"/>
      <c r="H4784" s="1018" t="s">
        <v>13507</v>
      </c>
      <c r="I4784" s="1018"/>
      <c r="J4784" s="826">
        <v>0.71</v>
      </c>
    </row>
    <row r="4785" spans="1:10" ht="13.5" thickTop="1">
      <c r="A4785" s="828"/>
      <c r="B4785" s="828"/>
      <c r="C4785" s="828"/>
      <c r="D4785" s="828"/>
      <c r="E4785" s="828"/>
      <c r="F4785" s="828"/>
      <c r="G4785" s="828"/>
      <c r="H4785" s="828"/>
      <c r="I4785" s="828"/>
      <c r="J4785" s="828"/>
    </row>
    <row r="4786" spans="1:10" ht="15">
      <c r="A4786" s="809"/>
      <c r="B4786" s="808" t="s">
        <v>13481</v>
      </c>
      <c r="C4786" s="809" t="s">
        <v>13482</v>
      </c>
      <c r="D4786" s="809" t="s">
        <v>13483</v>
      </c>
      <c r="E4786" s="1019" t="s">
        <v>13484</v>
      </c>
      <c r="F4786" s="1019"/>
      <c r="G4786" s="810" t="s">
        <v>13485</v>
      </c>
      <c r="H4786" s="808" t="s">
        <v>13486</v>
      </c>
      <c r="I4786" s="808" t="s">
        <v>13487</v>
      </c>
      <c r="J4786" s="808" t="s">
        <v>4867</v>
      </c>
    </row>
    <row r="4787" spans="1:10" ht="25.5" customHeight="1">
      <c r="A4787" s="812" t="s">
        <v>13488</v>
      </c>
      <c r="B4787" s="811" t="s">
        <v>13800</v>
      </c>
      <c r="C4787" s="812" t="s">
        <v>6</v>
      </c>
      <c r="D4787" s="812" t="s">
        <v>1724</v>
      </c>
      <c r="E4787" s="1020" t="s">
        <v>13539</v>
      </c>
      <c r="F4787" s="1020"/>
      <c r="G4787" s="813" t="s">
        <v>28</v>
      </c>
      <c r="H4787" s="814">
        <v>1</v>
      </c>
      <c r="I4787" s="815">
        <v>10.42</v>
      </c>
      <c r="J4787" s="815">
        <v>10.42</v>
      </c>
    </row>
    <row r="4788" spans="1:10" ht="38.25" customHeight="1">
      <c r="A4788" s="817" t="s">
        <v>13491</v>
      </c>
      <c r="B4788" s="816" t="s">
        <v>14718</v>
      </c>
      <c r="C4788" s="817" t="s">
        <v>6</v>
      </c>
      <c r="D4788" s="817" t="s">
        <v>1721</v>
      </c>
      <c r="E4788" s="1021" t="s">
        <v>13539</v>
      </c>
      <c r="F4788" s="1021"/>
      <c r="G4788" s="818" t="s">
        <v>19</v>
      </c>
      <c r="H4788" s="819">
        <v>1</v>
      </c>
      <c r="I4788" s="820">
        <v>0.06</v>
      </c>
      <c r="J4788" s="820">
        <v>0.06</v>
      </c>
    </row>
    <row r="4789" spans="1:10" ht="38.25" customHeight="1">
      <c r="A4789" s="817" t="s">
        <v>13491</v>
      </c>
      <c r="B4789" s="816" t="s">
        <v>14720</v>
      </c>
      <c r="C4789" s="817" t="s">
        <v>6</v>
      </c>
      <c r="D4789" s="817" t="s">
        <v>1722</v>
      </c>
      <c r="E4789" s="1021" t="s">
        <v>13539</v>
      </c>
      <c r="F4789" s="1021"/>
      <c r="G4789" s="818" t="s">
        <v>19</v>
      </c>
      <c r="H4789" s="819">
        <v>1</v>
      </c>
      <c r="I4789" s="820">
        <v>0.62</v>
      </c>
      <c r="J4789" s="820">
        <v>0.62</v>
      </c>
    </row>
    <row r="4790" spans="1:10" ht="38.25" customHeight="1">
      <c r="A4790" s="817" t="s">
        <v>13491</v>
      </c>
      <c r="B4790" s="816" t="s">
        <v>14719</v>
      </c>
      <c r="C4790" s="817" t="s">
        <v>6</v>
      </c>
      <c r="D4790" s="817" t="s">
        <v>1723</v>
      </c>
      <c r="E4790" s="1021" t="s">
        <v>13539</v>
      </c>
      <c r="F4790" s="1021"/>
      <c r="G4790" s="818" t="s">
        <v>19</v>
      </c>
      <c r="H4790" s="819">
        <v>1</v>
      </c>
      <c r="I4790" s="820">
        <v>9.24</v>
      </c>
      <c r="J4790" s="820">
        <v>9.24</v>
      </c>
    </row>
    <row r="4791" spans="1:10" ht="38.25" customHeight="1">
      <c r="A4791" s="817" t="s">
        <v>13491</v>
      </c>
      <c r="B4791" s="816" t="s">
        <v>14717</v>
      </c>
      <c r="C4791" s="817" t="s">
        <v>6</v>
      </c>
      <c r="D4791" s="817" t="s">
        <v>1720</v>
      </c>
      <c r="E4791" s="1021" t="s">
        <v>13539</v>
      </c>
      <c r="F4791" s="1021"/>
      <c r="G4791" s="818" t="s">
        <v>19</v>
      </c>
      <c r="H4791" s="819">
        <v>1</v>
      </c>
      <c r="I4791" s="820">
        <v>0.5</v>
      </c>
      <c r="J4791" s="820">
        <v>0.5</v>
      </c>
    </row>
    <row r="4792" spans="1:10" ht="25.5">
      <c r="A4792" s="827"/>
      <c r="B4792" s="827"/>
      <c r="C4792" s="827"/>
      <c r="D4792" s="827"/>
      <c r="E4792" s="827" t="s">
        <v>13503</v>
      </c>
      <c r="F4792" s="826">
        <v>0</v>
      </c>
      <c r="G4792" s="827" t="s">
        <v>13504</v>
      </c>
      <c r="H4792" s="826">
        <v>0</v>
      </c>
      <c r="I4792" s="827" t="s">
        <v>13505</v>
      </c>
      <c r="J4792" s="826">
        <v>0</v>
      </c>
    </row>
    <row r="4793" spans="1:10" ht="13.5" customHeight="1" thickBot="1">
      <c r="A4793" s="827"/>
      <c r="B4793" s="827"/>
      <c r="C4793" s="827"/>
      <c r="D4793" s="827"/>
      <c r="E4793" s="827" t="s">
        <v>13506</v>
      </c>
      <c r="F4793" s="826">
        <v>2.94</v>
      </c>
      <c r="G4793" s="827"/>
      <c r="H4793" s="1018" t="s">
        <v>13507</v>
      </c>
      <c r="I4793" s="1018"/>
      <c r="J4793" s="826">
        <v>13.36</v>
      </c>
    </row>
    <row r="4794" spans="1:10" ht="13.5" thickTop="1">
      <c r="A4794" s="828"/>
      <c r="B4794" s="828"/>
      <c r="C4794" s="828"/>
      <c r="D4794" s="828"/>
      <c r="E4794" s="828"/>
      <c r="F4794" s="828"/>
      <c r="G4794" s="828"/>
      <c r="H4794" s="828"/>
      <c r="I4794" s="828"/>
      <c r="J4794" s="828"/>
    </row>
    <row r="4795" spans="1:10" ht="15">
      <c r="A4795" s="809"/>
      <c r="B4795" s="808" t="s">
        <v>13481</v>
      </c>
      <c r="C4795" s="809" t="s">
        <v>13482</v>
      </c>
      <c r="D4795" s="809" t="s">
        <v>13483</v>
      </c>
      <c r="E4795" s="1019" t="s">
        <v>13484</v>
      </c>
      <c r="F4795" s="1019"/>
      <c r="G4795" s="810" t="s">
        <v>13485</v>
      </c>
      <c r="H4795" s="808" t="s">
        <v>13486</v>
      </c>
      <c r="I4795" s="808" t="s">
        <v>13487</v>
      </c>
      <c r="J4795" s="808" t="s">
        <v>4867</v>
      </c>
    </row>
    <row r="4796" spans="1:10" ht="25.5" customHeight="1">
      <c r="A4796" s="812" t="s">
        <v>13488</v>
      </c>
      <c r="B4796" s="811" t="s">
        <v>14717</v>
      </c>
      <c r="C4796" s="812" t="s">
        <v>6</v>
      </c>
      <c r="D4796" s="812" t="s">
        <v>1720</v>
      </c>
      <c r="E4796" s="1020" t="s">
        <v>13539</v>
      </c>
      <c r="F4796" s="1020"/>
      <c r="G4796" s="813" t="s">
        <v>19</v>
      </c>
      <c r="H4796" s="814">
        <v>1</v>
      </c>
      <c r="I4796" s="815">
        <v>0.5</v>
      </c>
      <c r="J4796" s="815">
        <v>0.5</v>
      </c>
    </row>
    <row r="4797" spans="1:10" ht="63.75">
      <c r="A4797" s="822" t="s">
        <v>13493</v>
      </c>
      <c r="B4797" s="821" t="s">
        <v>14721</v>
      </c>
      <c r="C4797" s="822" t="s">
        <v>6</v>
      </c>
      <c r="D4797" s="822" t="s">
        <v>4623</v>
      </c>
      <c r="E4797" s="1017" t="s">
        <v>13497</v>
      </c>
      <c r="F4797" s="1017"/>
      <c r="G4797" s="823" t="s">
        <v>24</v>
      </c>
      <c r="H4797" s="824">
        <v>5.3300000000000001E-5</v>
      </c>
      <c r="I4797" s="825">
        <v>9443.4500000000007</v>
      </c>
      <c r="J4797" s="825">
        <v>0.5</v>
      </c>
    </row>
    <row r="4798" spans="1:10" ht="25.5">
      <c r="A4798" s="827"/>
      <c r="B4798" s="827"/>
      <c r="C4798" s="827"/>
      <c r="D4798" s="827"/>
      <c r="E4798" s="827" t="s">
        <v>13503</v>
      </c>
      <c r="F4798" s="826">
        <v>0</v>
      </c>
      <c r="G4798" s="827" t="s">
        <v>13504</v>
      </c>
      <c r="H4798" s="826">
        <v>0</v>
      </c>
      <c r="I4798" s="827" t="s">
        <v>13505</v>
      </c>
      <c r="J4798" s="826">
        <v>0</v>
      </c>
    </row>
    <row r="4799" spans="1:10" ht="13.5" customHeight="1" thickBot="1">
      <c r="A4799" s="827"/>
      <c r="B4799" s="827"/>
      <c r="C4799" s="827"/>
      <c r="D4799" s="827"/>
      <c r="E4799" s="827" t="s">
        <v>13506</v>
      </c>
      <c r="F4799" s="826">
        <v>0.14000000000000001</v>
      </c>
      <c r="G4799" s="827"/>
      <c r="H4799" s="1018" t="s">
        <v>13507</v>
      </c>
      <c r="I4799" s="1018"/>
      <c r="J4799" s="826">
        <v>0.64</v>
      </c>
    </row>
    <row r="4800" spans="1:10" ht="13.5" thickTop="1">
      <c r="A4800" s="828"/>
      <c r="B4800" s="828"/>
      <c r="C4800" s="828"/>
      <c r="D4800" s="828"/>
      <c r="E4800" s="828"/>
      <c r="F4800" s="828"/>
      <c r="G4800" s="828"/>
      <c r="H4800" s="828"/>
      <c r="I4800" s="828"/>
      <c r="J4800" s="828"/>
    </row>
    <row r="4801" spans="1:10" ht="15">
      <c r="A4801" s="809"/>
      <c r="B4801" s="808" t="s">
        <v>13481</v>
      </c>
      <c r="C4801" s="809" t="s">
        <v>13482</v>
      </c>
      <c r="D4801" s="809" t="s">
        <v>13483</v>
      </c>
      <c r="E4801" s="1019" t="s">
        <v>13484</v>
      </c>
      <c r="F4801" s="1019"/>
      <c r="G4801" s="810" t="s">
        <v>13485</v>
      </c>
      <c r="H4801" s="808" t="s">
        <v>13486</v>
      </c>
      <c r="I4801" s="808" t="s">
        <v>13487</v>
      </c>
      <c r="J4801" s="808" t="s">
        <v>4867</v>
      </c>
    </row>
    <row r="4802" spans="1:10" ht="25.5" customHeight="1">
      <c r="A4802" s="812" t="s">
        <v>13488</v>
      </c>
      <c r="B4802" s="811" t="s">
        <v>14718</v>
      </c>
      <c r="C4802" s="812" t="s">
        <v>6</v>
      </c>
      <c r="D4802" s="812" t="s">
        <v>1721</v>
      </c>
      <c r="E4802" s="1020" t="s">
        <v>13539</v>
      </c>
      <c r="F4802" s="1020"/>
      <c r="G4802" s="813" t="s">
        <v>19</v>
      </c>
      <c r="H4802" s="814">
        <v>1</v>
      </c>
      <c r="I4802" s="815">
        <v>0.06</v>
      </c>
      <c r="J4802" s="815">
        <v>0.06</v>
      </c>
    </row>
    <row r="4803" spans="1:10" ht="63.75">
      <c r="A4803" s="822" t="s">
        <v>13493</v>
      </c>
      <c r="B4803" s="821" t="s">
        <v>14721</v>
      </c>
      <c r="C4803" s="822" t="s">
        <v>6</v>
      </c>
      <c r="D4803" s="822" t="s">
        <v>4623</v>
      </c>
      <c r="E4803" s="1017" t="s">
        <v>13497</v>
      </c>
      <c r="F4803" s="1017"/>
      <c r="G4803" s="823" t="s">
        <v>24</v>
      </c>
      <c r="H4803" s="824">
        <v>7.4000000000000003E-6</v>
      </c>
      <c r="I4803" s="825">
        <v>9443.4500000000007</v>
      </c>
      <c r="J4803" s="825">
        <v>0.06</v>
      </c>
    </row>
    <row r="4804" spans="1:10" ht="25.5">
      <c r="A4804" s="827"/>
      <c r="B4804" s="827"/>
      <c r="C4804" s="827"/>
      <c r="D4804" s="827"/>
      <c r="E4804" s="827" t="s">
        <v>13503</v>
      </c>
      <c r="F4804" s="826">
        <v>0</v>
      </c>
      <c r="G4804" s="827" t="s">
        <v>13504</v>
      </c>
      <c r="H4804" s="826">
        <v>0</v>
      </c>
      <c r="I4804" s="827" t="s">
        <v>13505</v>
      </c>
      <c r="J4804" s="826">
        <v>0</v>
      </c>
    </row>
    <row r="4805" spans="1:10" ht="13.5" customHeight="1" thickBot="1">
      <c r="A4805" s="827"/>
      <c r="B4805" s="827"/>
      <c r="C4805" s="827"/>
      <c r="D4805" s="827"/>
      <c r="E4805" s="827" t="s">
        <v>13506</v>
      </c>
      <c r="F4805" s="826">
        <v>0.01</v>
      </c>
      <c r="G4805" s="827"/>
      <c r="H4805" s="1018" t="s">
        <v>13507</v>
      </c>
      <c r="I4805" s="1018"/>
      <c r="J4805" s="826">
        <v>7.0000000000000007E-2</v>
      </c>
    </row>
    <row r="4806" spans="1:10" ht="13.5" thickTop="1">
      <c r="A4806" s="828"/>
      <c r="B4806" s="828"/>
      <c r="C4806" s="828"/>
      <c r="D4806" s="828"/>
      <c r="E4806" s="828"/>
      <c r="F4806" s="828"/>
      <c r="G4806" s="828"/>
      <c r="H4806" s="828"/>
      <c r="I4806" s="828"/>
      <c r="J4806" s="828"/>
    </row>
    <row r="4807" spans="1:10" ht="15">
      <c r="A4807" s="809"/>
      <c r="B4807" s="808" t="s">
        <v>13481</v>
      </c>
      <c r="C4807" s="809" t="s">
        <v>13482</v>
      </c>
      <c r="D4807" s="809" t="s">
        <v>13483</v>
      </c>
      <c r="E4807" s="1019" t="s">
        <v>13484</v>
      </c>
      <c r="F4807" s="1019"/>
      <c r="G4807" s="810" t="s">
        <v>13485</v>
      </c>
      <c r="H4807" s="808" t="s">
        <v>13486</v>
      </c>
      <c r="I4807" s="808" t="s">
        <v>13487</v>
      </c>
      <c r="J4807" s="808" t="s">
        <v>4867</v>
      </c>
    </row>
    <row r="4808" spans="1:10" ht="25.5" customHeight="1">
      <c r="A4808" s="812" t="s">
        <v>13488</v>
      </c>
      <c r="B4808" s="811" t="s">
        <v>14720</v>
      </c>
      <c r="C4808" s="812" t="s">
        <v>6</v>
      </c>
      <c r="D4808" s="812" t="s">
        <v>1722</v>
      </c>
      <c r="E4808" s="1020" t="s">
        <v>13539</v>
      </c>
      <c r="F4808" s="1020"/>
      <c r="G4808" s="813" t="s">
        <v>19</v>
      </c>
      <c r="H4808" s="814">
        <v>1</v>
      </c>
      <c r="I4808" s="815">
        <v>0.62</v>
      </c>
      <c r="J4808" s="815">
        <v>0.62</v>
      </c>
    </row>
    <row r="4809" spans="1:10" ht="63.75">
      <c r="A4809" s="822" t="s">
        <v>13493</v>
      </c>
      <c r="B4809" s="821" t="s">
        <v>14721</v>
      </c>
      <c r="C4809" s="822" t="s">
        <v>6</v>
      </c>
      <c r="D4809" s="822" t="s">
        <v>4623</v>
      </c>
      <c r="E4809" s="1017" t="s">
        <v>13497</v>
      </c>
      <c r="F4809" s="1017"/>
      <c r="G4809" s="823" t="s">
        <v>24</v>
      </c>
      <c r="H4809" s="824">
        <v>6.6699999999999995E-5</v>
      </c>
      <c r="I4809" s="825">
        <v>9443.4500000000007</v>
      </c>
      <c r="J4809" s="825">
        <v>0.62</v>
      </c>
    </row>
    <row r="4810" spans="1:10" ht="25.5">
      <c r="A4810" s="827"/>
      <c r="B4810" s="827"/>
      <c r="C4810" s="827"/>
      <c r="D4810" s="827"/>
      <c r="E4810" s="827" t="s">
        <v>13503</v>
      </c>
      <c r="F4810" s="826">
        <v>0</v>
      </c>
      <c r="G4810" s="827" t="s">
        <v>13504</v>
      </c>
      <c r="H4810" s="826">
        <v>0</v>
      </c>
      <c r="I4810" s="827" t="s">
        <v>13505</v>
      </c>
      <c r="J4810" s="826">
        <v>0</v>
      </c>
    </row>
    <row r="4811" spans="1:10" ht="13.5" customHeight="1" thickBot="1">
      <c r="A4811" s="827"/>
      <c r="B4811" s="827"/>
      <c r="C4811" s="827"/>
      <c r="D4811" s="827"/>
      <c r="E4811" s="827" t="s">
        <v>13506</v>
      </c>
      <c r="F4811" s="826">
        <v>0.17</v>
      </c>
      <c r="G4811" s="827"/>
      <c r="H4811" s="1018" t="s">
        <v>13507</v>
      </c>
      <c r="I4811" s="1018"/>
      <c r="J4811" s="826">
        <v>0.79</v>
      </c>
    </row>
    <row r="4812" spans="1:10" ht="13.5" thickTop="1">
      <c r="A4812" s="828"/>
      <c r="B4812" s="828"/>
      <c r="C4812" s="828"/>
      <c r="D4812" s="828"/>
      <c r="E4812" s="828"/>
      <c r="F4812" s="828"/>
      <c r="G4812" s="828"/>
      <c r="H4812" s="828"/>
      <c r="I4812" s="828"/>
      <c r="J4812" s="828"/>
    </row>
    <row r="4813" spans="1:10" ht="15">
      <c r="A4813" s="809"/>
      <c r="B4813" s="808" t="s">
        <v>13481</v>
      </c>
      <c r="C4813" s="809" t="s">
        <v>13482</v>
      </c>
      <c r="D4813" s="809" t="s">
        <v>13483</v>
      </c>
      <c r="E4813" s="1019" t="s">
        <v>13484</v>
      </c>
      <c r="F4813" s="1019"/>
      <c r="G4813" s="810" t="s">
        <v>13485</v>
      </c>
      <c r="H4813" s="808" t="s">
        <v>13486</v>
      </c>
      <c r="I4813" s="808" t="s">
        <v>13487</v>
      </c>
      <c r="J4813" s="808" t="s">
        <v>4867</v>
      </c>
    </row>
    <row r="4814" spans="1:10" ht="25.5" customHeight="1">
      <c r="A4814" s="812" t="s">
        <v>13488</v>
      </c>
      <c r="B4814" s="811" t="s">
        <v>14719</v>
      </c>
      <c r="C4814" s="812" t="s">
        <v>6</v>
      </c>
      <c r="D4814" s="812" t="s">
        <v>1723</v>
      </c>
      <c r="E4814" s="1020" t="s">
        <v>13539</v>
      </c>
      <c r="F4814" s="1020"/>
      <c r="G4814" s="813" t="s">
        <v>19</v>
      </c>
      <c r="H4814" s="814">
        <v>1</v>
      </c>
      <c r="I4814" s="815">
        <v>9.24</v>
      </c>
      <c r="J4814" s="815">
        <v>9.24</v>
      </c>
    </row>
    <row r="4815" spans="1:10">
      <c r="A4815" s="822" t="s">
        <v>13493</v>
      </c>
      <c r="B4815" s="821" t="s">
        <v>14622</v>
      </c>
      <c r="C4815" s="822" t="s">
        <v>6</v>
      </c>
      <c r="D4815" s="822" t="s">
        <v>4685</v>
      </c>
      <c r="E4815" s="1017" t="s">
        <v>13514</v>
      </c>
      <c r="F4815" s="1017"/>
      <c r="G4815" s="823" t="s">
        <v>39</v>
      </c>
      <c r="H4815" s="824">
        <v>1.44</v>
      </c>
      <c r="I4815" s="825">
        <v>6.42</v>
      </c>
      <c r="J4815" s="825">
        <v>9.24</v>
      </c>
    </row>
    <row r="4816" spans="1:10" ht="25.5">
      <c r="A4816" s="827"/>
      <c r="B4816" s="827"/>
      <c r="C4816" s="827"/>
      <c r="D4816" s="827"/>
      <c r="E4816" s="827" t="s">
        <v>13503</v>
      </c>
      <c r="F4816" s="826">
        <v>0</v>
      </c>
      <c r="G4816" s="827" t="s">
        <v>13504</v>
      </c>
      <c r="H4816" s="826">
        <v>0</v>
      </c>
      <c r="I4816" s="827" t="s">
        <v>13505</v>
      </c>
      <c r="J4816" s="826">
        <v>0</v>
      </c>
    </row>
    <row r="4817" spans="1:10" ht="13.5" customHeight="1" thickBot="1">
      <c r="A4817" s="827"/>
      <c r="B4817" s="827"/>
      <c r="C4817" s="827"/>
      <c r="D4817" s="827"/>
      <c r="E4817" s="827" t="s">
        <v>13506</v>
      </c>
      <c r="F4817" s="826">
        <v>2.6</v>
      </c>
      <c r="G4817" s="827"/>
      <c r="H4817" s="1018" t="s">
        <v>13507</v>
      </c>
      <c r="I4817" s="1018"/>
      <c r="J4817" s="826">
        <v>11.84</v>
      </c>
    </row>
    <row r="4818" spans="1:10" ht="13.5" thickTop="1">
      <c r="A4818" s="828"/>
      <c r="B4818" s="828"/>
      <c r="C4818" s="828"/>
      <c r="D4818" s="828"/>
      <c r="E4818" s="828"/>
      <c r="F4818" s="828"/>
      <c r="G4818" s="828"/>
      <c r="H4818" s="828"/>
      <c r="I4818" s="828"/>
      <c r="J4818" s="828"/>
    </row>
    <row r="4819" spans="1:10" ht="15">
      <c r="A4819" s="809"/>
      <c r="B4819" s="808" t="s">
        <v>13481</v>
      </c>
      <c r="C4819" s="809" t="s">
        <v>13482</v>
      </c>
      <c r="D4819" s="809" t="s">
        <v>13483</v>
      </c>
      <c r="E4819" s="1019" t="s">
        <v>13484</v>
      </c>
      <c r="F4819" s="1019"/>
      <c r="G4819" s="810" t="s">
        <v>13485</v>
      </c>
      <c r="H4819" s="808" t="s">
        <v>13486</v>
      </c>
      <c r="I4819" s="808" t="s">
        <v>13487</v>
      </c>
      <c r="J4819" s="808" t="s">
        <v>4867</v>
      </c>
    </row>
    <row r="4820" spans="1:10" ht="25.5" customHeight="1">
      <c r="A4820" s="812" t="s">
        <v>13488</v>
      </c>
      <c r="B4820" s="811" t="s">
        <v>13757</v>
      </c>
      <c r="C4820" s="812" t="s">
        <v>6</v>
      </c>
      <c r="D4820" s="812" t="s">
        <v>2497</v>
      </c>
      <c r="E4820" s="1020" t="s">
        <v>13539</v>
      </c>
      <c r="F4820" s="1020"/>
      <c r="G4820" s="813" t="s">
        <v>42</v>
      </c>
      <c r="H4820" s="814">
        <v>1</v>
      </c>
      <c r="I4820" s="815">
        <v>0.48</v>
      </c>
      <c r="J4820" s="815">
        <v>0.48</v>
      </c>
    </row>
    <row r="4821" spans="1:10" ht="38.25" customHeight="1">
      <c r="A4821" s="817" t="s">
        <v>13491</v>
      </c>
      <c r="B4821" s="816" t="s">
        <v>14722</v>
      </c>
      <c r="C4821" s="817" t="s">
        <v>6</v>
      </c>
      <c r="D4821" s="817" t="s">
        <v>2493</v>
      </c>
      <c r="E4821" s="1021" t="s">
        <v>13539</v>
      </c>
      <c r="F4821" s="1021"/>
      <c r="G4821" s="818" t="s">
        <v>19</v>
      </c>
      <c r="H4821" s="819">
        <v>1</v>
      </c>
      <c r="I4821" s="820">
        <v>0.05</v>
      </c>
      <c r="J4821" s="820">
        <v>0.05</v>
      </c>
    </row>
    <row r="4822" spans="1:10" ht="38.25" customHeight="1">
      <c r="A4822" s="817" t="s">
        <v>13491</v>
      </c>
      <c r="B4822" s="816" t="s">
        <v>14723</v>
      </c>
      <c r="C4822" s="817" t="s">
        <v>6</v>
      </c>
      <c r="D4822" s="817" t="s">
        <v>2492</v>
      </c>
      <c r="E4822" s="1021" t="s">
        <v>13539</v>
      </c>
      <c r="F4822" s="1021"/>
      <c r="G4822" s="818" t="s">
        <v>19</v>
      </c>
      <c r="H4822" s="819">
        <v>1</v>
      </c>
      <c r="I4822" s="820">
        <v>0.43</v>
      </c>
      <c r="J4822" s="820">
        <v>0.43</v>
      </c>
    </row>
    <row r="4823" spans="1:10" ht="25.5">
      <c r="A4823" s="827"/>
      <c r="B4823" s="827"/>
      <c r="C4823" s="827"/>
      <c r="D4823" s="827"/>
      <c r="E4823" s="827" t="s">
        <v>13503</v>
      </c>
      <c r="F4823" s="826">
        <v>0</v>
      </c>
      <c r="G4823" s="827" t="s">
        <v>13504</v>
      </c>
      <c r="H4823" s="826">
        <v>0</v>
      </c>
      <c r="I4823" s="827" t="s">
        <v>13505</v>
      </c>
      <c r="J4823" s="826">
        <v>0</v>
      </c>
    </row>
    <row r="4824" spans="1:10" ht="13.5" customHeight="1" thickBot="1">
      <c r="A4824" s="827"/>
      <c r="B4824" s="827"/>
      <c r="C4824" s="827"/>
      <c r="D4824" s="827"/>
      <c r="E4824" s="827" t="s">
        <v>13506</v>
      </c>
      <c r="F4824" s="826">
        <v>0.13</v>
      </c>
      <c r="G4824" s="827"/>
      <c r="H4824" s="1018" t="s">
        <v>13507</v>
      </c>
      <c r="I4824" s="1018"/>
      <c r="J4824" s="826">
        <v>0.61</v>
      </c>
    </row>
    <row r="4825" spans="1:10" ht="13.5" thickTop="1">
      <c r="A4825" s="828"/>
      <c r="B4825" s="828"/>
      <c r="C4825" s="828"/>
      <c r="D4825" s="828"/>
      <c r="E4825" s="828"/>
      <c r="F4825" s="828"/>
      <c r="G4825" s="828"/>
      <c r="H4825" s="828"/>
      <c r="I4825" s="828"/>
      <c r="J4825" s="828"/>
    </row>
    <row r="4826" spans="1:10" ht="15">
      <c r="A4826" s="809"/>
      <c r="B4826" s="808" t="s">
        <v>13481</v>
      </c>
      <c r="C4826" s="809" t="s">
        <v>13482</v>
      </c>
      <c r="D4826" s="809" t="s">
        <v>13483</v>
      </c>
      <c r="E4826" s="1019" t="s">
        <v>13484</v>
      </c>
      <c r="F4826" s="1019"/>
      <c r="G4826" s="810" t="s">
        <v>13485</v>
      </c>
      <c r="H4826" s="808" t="s">
        <v>13486</v>
      </c>
      <c r="I4826" s="808" t="s">
        <v>13487</v>
      </c>
      <c r="J4826" s="808" t="s">
        <v>4867</v>
      </c>
    </row>
    <row r="4827" spans="1:10" ht="25.5" customHeight="1">
      <c r="A4827" s="812" t="s">
        <v>13488</v>
      </c>
      <c r="B4827" s="811" t="s">
        <v>13756</v>
      </c>
      <c r="C4827" s="812" t="s">
        <v>6</v>
      </c>
      <c r="D4827" s="812" t="s">
        <v>2496</v>
      </c>
      <c r="E4827" s="1020" t="s">
        <v>13539</v>
      </c>
      <c r="F4827" s="1020"/>
      <c r="G4827" s="813" t="s">
        <v>28</v>
      </c>
      <c r="H4827" s="814">
        <v>1</v>
      </c>
      <c r="I4827" s="815">
        <v>3.12</v>
      </c>
      <c r="J4827" s="815">
        <v>3.12</v>
      </c>
    </row>
    <row r="4828" spans="1:10" ht="38.25" customHeight="1">
      <c r="A4828" s="817" t="s">
        <v>13491</v>
      </c>
      <c r="B4828" s="816" t="s">
        <v>14722</v>
      </c>
      <c r="C4828" s="817" t="s">
        <v>6</v>
      </c>
      <c r="D4828" s="817" t="s">
        <v>2493</v>
      </c>
      <c r="E4828" s="1021" t="s">
        <v>13539</v>
      </c>
      <c r="F4828" s="1021"/>
      <c r="G4828" s="818" t="s">
        <v>19</v>
      </c>
      <c r="H4828" s="819">
        <v>1</v>
      </c>
      <c r="I4828" s="820">
        <v>0.05</v>
      </c>
      <c r="J4828" s="820">
        <v>0.05</v>
      </c>
    </row>
    <row r="4829" spans="1:10" ht="38.25" customHeight="1">
      <c r="A4829" s="817" t="s">
        <v>13491</v>
      </c>
      <c r="B4829" s="816" t="s">
        <v>14725</v>
      </c>
      <c r="C4829" s="817" t="s">
        <v>6</v>
      </c>
      <c r="D4829" s="817" t="s">
        <v>2495</v>
      </c>
      <c r="E4829" s="1021" t="s">
        <v>13539</v>
      </c>
      <c r="F4829" s="1021"/>
      <c r="G4829" s="818" t="s">
        <v>19</v>
      </c>
      <c r="H4829" s="819">
        <v>1</v>
      </c>
      <c r="I4829" s="820">
        <v>2.31</v>
      </c>
      <c r="J4829" s="820">
        <v>2.31</v>
      </c>
    </row>
    <row r="4830" spans="1:10" ht="38.25" customHeight="1">
      <c r="A4830" s="817" t="s">
        <v>13491</v>
      </c>
      <c r="B4830" s="816" t="s">
        <v>14723</v>
      </c>
      <c r="C4830" s="817" t="s">
        <v>6</v>
      </c>
      <c r="D4830" s="817" t="s">
        <v>2492</v>
      </c>
      <c r="E4830" s="1021" t="s">
        <v>13539</v>
      </c>
      <c r="F4830" s="1021"/>
      <c r="G4830" s="818" t="s">
        <v>19</v>
      </c>
      <c r="H4830" s="819">
        <v>1</v>
      </c>
      <c r="I4830" s="820">
        <v>0.43</v>
      </c>
      <c r="J4830" s="820">
        <v>0.43</v>
      </c>
    </row>
    <row r="4831" spans="1:10" ht="38.25" customHeight="1">
      <c r="A4831" s="817" t="s">
        <v>13491</v>
      </c>
      <c r="B4831" s="816" t="s">
        <v>14724</v>
      </c>
      <c r="C4831" s="817" t="s">
        <v>6</v>
      </c>
      <c r="D4831" s="817" t="s">
        <v>2494</v>
      </c>
      <c r="E4831" s="1021" t="s">
        <v>13539</v>
      </c>
      <c r="F4831" s="1021"/>
      <c r="G4831" s="818" t="s">
        <v>19</v>
      </c>
      <c r="H4831" s="819">
        <v>1</v>
      </c>
      <c r="I4831" s="820">
        <v>0.33</v>
      </c>
      <c r="J4831" s="820">
        <v>0.33</v>
      </c>
    </row>
    <row r="4832" spans="1:10" ht="25.5">
      <c r="A4832" s="827"/>
      <c r="B4832" s="827"/>
      <c r="C4832" s="827"/>
      <c r="D4832" s="827"/>
      <c r="E4832" s="827" t="s">
        <v>13503</v>
      </c>
      <c r="F4832" s="826">
        <v>0</v>
      </c>
      <c r="G4832" s="827" t="s">
        <v>13504</v>
      </c>
      <c r="H4832" s="826">
        <v>0</v>
      </c>
      <c r="I4832" s="827" t="s">
        <v>13505</v>
      </c>
      <c r="J4832" s="826">
        <v>0</v>
      </c>
    </row>
    <row r="4833" spans="1:10" ht="13.5" customHeight="1" thickBot="1">
      <c r="A4833" s="827"/>
      <c r="B4833" s="827"/>
      <c r="C4833" s="827"/>
      <c r="D4833" s="827"/>
      <c r="E4833" s="827" t="s">
        <v>13506</v>
      </c>
      <c r="F4833" s="826">
        <v>0.88</v>
      </c>
      <c r="G4833" s="827"/>
      <c r="H4833" s="1018" t="s">
        <v>13507</v>
      </c>
      <c r="I4833" s="1018"/>
      <c r="J4833" s="826">
        <v>4</v>
      </c>
    </row>
    <row r="4834" spans="1:10" ht="13.5" thickTop="1">
      <c r="A4834" s="828"/>
      <c r="B4834" s="828"/>
      <c r="C4834" s="828"/>
      <c r="D4834" s="828"/>
      <c r="E4834" s="828"/>
      <c r="F4834" s="828"/>
      <c r="G4834" s="828"/>
      <c r="H4834" s="828"/>
      <c r="I4834" s="828"/>
      <c r="J4834" s="828"/>
    </row>
    <row r="4835" spans="1:10" ht="15">
      <c r="A4835" s="809"/>
      <c r="B4835" s="808" t="s">
        <v>13481</v>
      </c>
      <c r="C4835" s="809" t="s">
        <v>13482</v>
      </c>
      <c r="D4835" s="809" t="s">
        <v>13483</v>
      </c>
      <c r="E4835" s="1019" t="s">
        <v>13484</v>
      </c>
      <c r="F4835" s="1019"/>
      <c r="G4835" s="810" t="s">
        <v>13485</v>
      </c>
      <c r="H4835" s="808" t="s">
        <v>13486</v>
      </c>
      <c r="I4835" s="808" t="s">
        <v>13487</v>
      </c>
      <c r="J4835" s="808" t="s">
        <v>4867</v>
      </c>
    </row>
    <row r="4836" spans="1:10" ht="25.5" customHeight="1">
      <c r="A4836" s="812" t="s">
        <v>13488</v>
      </c>
      <c r="B4836" s="811" t="s">
        <v>14723</v>
      </c>
      <c r="C4836" s="812" t="s">
        <v>6</v>
      </c>
      <c r="D4836" s="812" t="s">
        <v>2492</v>
      </c>
      <c r="E4836" s="1020" t="s">
        <v>13539</v>
      </c>
      <c r="F4836" s="1020"/>
      <c r="G4836" s="813" t="s">
        <v>19</v>
      </c>
      <c r="H4836" s="814">
        <v>1</v>
      </c>
      <c r="I4836" s="815">
        <v>0.43</v>
      </c>
      <c r="J4836" s="815">
        <v>0.43</v>
      </c>
    </row>
    <row r="4837" spans="1:10" ht="25.5">
      <c r="A4837" s="822" t="s">
        <v>13493</v>
      </c>
      <c r="B4837" s="821" t="s">
        <v>14726</v>
      </c>
      <c r="C4837" s="822" t="s">
        <v>6</v>
      </c>
      <c r="D4837" s="822" t="s">
        <v>11840</v>
      </c>
      <c r="E4837" s="1017" t="s">
        <v>13497</v>
      </c>
      <c r="F4837" s="1017"/>
      <c r="G4837" s="823" t="s">
        <v>24</v>
      </c>
      <c r="H4837" s="824">
        <v>6.3999999999999997E-5</v>
      </c>
      <c r="I4837" s="825">
        <v>6723.23</v>
      </c>
      <c r="J4837" s="825">
        <v>0.43</v>
      </c>
    </row>
    <row r="4838" spans="1:10" ht="25.5">
      <c r="A4838" s="827"/>
      <c r="B4838" s="827"/>
      <c r="C4838" s="827"/>
      <c r="D4838" s="827"/>
      <c r="E4838" s="827" t="s">
        <v>13503</v>
      </c>
      <c r="F4838" s="826">
        <v>0</v>
      </c>
      <c r="G4838" s="827" t="s">
        <v>13504</v>
      </c>
      <c r="H4838" s="826">
        <v>0</v>
      </c>
      <c r="I4838" s="827" t="s">
        <v>13505</v>
      </c>
      <c r="J4838" s="826">
        <v>0</v>
      </c>
    </row>
    <row r="4839" spans="1:10" ht="13.5" customHeight="1" thickBot="1">
      <c r="A4839" s="827"/>
      <c r="B4839" s="827"/>
      <c r="C4839" s="827"/>
      <c r="D4839" s="827"/>
      <c r="E4839" s="827" t="s">
        <v>13506</v>
      </c>
      <c r="F4839" s="826">
        <v>0.12</v>
      </c>
      <c r="G4839" s="827"/>
      <c r="H4839" s="1018" t="s">
        <v>13507</v>
      </c>
      <c r="I4839" s="1018"/>
      <c r="J4839" s="826">
        <v>0.55000000000000004</v>
      </c>
    </row>
    <row r="4840" spans="1:10" ht="13.5" thickTop="1">
      <c r="A4840" s="828"/>
      <c r="B4840" s="828"/>
      <c r="C4840" s="828"/>
      <c r="D4840" s="828"/>
      <c r="E4840" s="828"/>
      <c r="F4840" s="828"/>
      <c r="G4840" s="828"/>
      <c r="H4840" s="828"/>
      <c r="I4840" s="828"/>
      <c r="J4840" s="828"/>
    </row>
    <row r="4841" spans="1:10" ht="15">
      <c r="A4841" s="809"/>
      <c r="B4841" s="808" t="s">
        <v>13481</v>
      </c>
      <c r="C4841" s="809" t="s">
        <v>13482</v>
      </c>
      <c r="D4841" s="809" t="s">
        <v>13483</v>
      </c>
      <c r="E4841" s="1019" t="s">
        <v>13484</v>
      </c>
      <c r="F4841" s="1019"/>
      <c r="G4841" s="810" t="s">
        <v>13485</v>
      </c>
      <c r="H4841" s="808" t="s">
        <v>13486</v>
      </c>
      <c r="I4841" s="808" t="s">
        <v>13487</v>
      </c>
      <c r="J4841" s="808" t="s">
        <v>4867</v>
      </c>
    </row>
    <row r="4842" spans="1:10" ht="25.5" customHeight="1">
      <c r="A4842" s="812" t="s">
        <v>13488</v>
      </c>
      <c r="B4842" s="811" t="s">
        <v>14722</v>
      </c>
      <c r="C4842" s="812" t="s">
        <v>6</v>
      </c>
      <c r="D4842" s="812" t="s">
        <v>2493</v>
      </c>
      <c r="E4842" s="1020" t="s">
        <v>13539</v>
      </c>
      <c r="F4842" s="1020"/>
      <c r="G4842" s="813" t="s">
        <v>19</v>
      </c>
      <c r="H4842" s="814">
        <v>1</v>
      </c>
      <c r="I4842" s="815">
        <v>0.05</v>
      </c>
      <c r="J4842" s="815">
        <v>0.05</v>
      </c>
    </row>
    <row r="4843" spans="1:10" ht="25.5">
      <c r="A4843" s="822" t="s">
        <v>13493</v>
      </c>
      <c r="B4843" s="821" t="s">
        <v>14726</v>
      </c>
      <c r="C4843" s="822" t="s">
        <v>6</v>
      </c>
      <c r="D4843" s="822" t="s">
        <v>11840</v>
      </c>
      <c r="E4843" s="1017" t="s">
        <v>13497</v>
      </c>
      <c r="F4843" s="1017"/>
      <c r="G4843" s="823" t="s">
        <v>24</v>
      </c>
      <c r="H4843" s="824">
        <v>7.6000000000000001E-6</v>
      </c>
      <c r="I4843" s="825">
        <v>6723.23</v>
      </c>
      <c r="J4843" s="825">
        <v>0.05</v>
      </c>
    </row>
    <row r="4844" spans="1:10" ht="25.5">
      <c r="A4844" s="827"/>
      <c r="B4844" s="827"/>
      <c r="C4844" s="827"/>
      <c r="D4844" s="827"/>
      <c r="E4844" s="827" t="s">
        <v>13503</v>
      </c>
      <c r="F4844" s="826">
        <v>0</v>
      </c>
      <c r="G4844" s="827" t="s">
        <v>13504</v>
      </c>
      <c r="H4844" s="826">
        <v>0</v>
      </c>
      <c r="I4844" s="827" t="s">
        <v>13505</v>
      </c>
      <c r="J4844" s="826">
        <v>0</v>
      </c>
    </row>
    <row r="4845" spans="1:10" ht="13.5" customHeight="1" thickBot="1">
      <c r="A4845" s="827"/>
      <c r="B4845" s="827"/>
      <c r="C4845" s="827"/>
      <c r="D4845" s="827"/>
      <c r="E4845" s="827" t="s">
        <v>13506</v>
      </c>
      <c r="F4845" s="826">
        <v>0.01</v>
      </c>
      <c r="G4845" s="827"/>
      <c r="H4845" s="1018" t="s">
        <v>13507</v>
      </c>
      <c r="I4845" s="1018"/>
      <c r="J4845" s="826">
        <v>0.06</v>
      </c>
    </row>
    <row r="4846" spans="1:10" ht="13.5" thickTop="1">
      <c r="A4846" s="828"/>
      <c r="B4846" s="828"/>
      <c r="C4846" s="828"/>
      <c r="D4846" s="828"/>
      <c r="E4846" s="828"/>
      <c r="F4846" s="828"/>
      <c r="G4846" s="828"/>
      <c r="H4846" s="828"/>
      <c r="I4846" s="828"/>
      <c r="J4846" s="828"/>
    </row>
    <row r="4847" spans="1:10" ht="15">
      <c r="A4847" s="809"/>
      <c r="B4847" s="808" t="s">
        <v>13481</v>
      </c>
      <c r="C4847" s="809" t="s">
        <v>13482</v>
      </c>
      <c r="D4847" s="809" t="s">
        <v>13483</v>
      </c>
      <c r="E4847" s="1019" t="s">
        <v>13484</v>
      </c>
      <c r="F4847" s="1019"/>
      <c r="G4847" s="810" t="s">
        <v>13485</v>
      </c>
      <c r="H4847" s="808" t="s">
        <v>13486</v>
      </c>
      <c r="I4847" s="808" t="s">
        <v>13487</v>
      </c>
      <c r="J4847" s="808" t="s">
        <v>4867</v>
      </c>
    </row>
    <row r="4848" spans="1:10" ht="25.5" customHeight="1">
      <c r="A4848" s="812" t="s">
        <v>13488</v>
      </c>
      <c r="B4848" s="811" t="s">
        <v>14724</v>
      </c>
      <c r="C4848" s="812" t="s">
        <v>6</v>
      </c>
      <c r="D4848" s="812" t="s">
        <v>2494</v>
      </c>
      <c r="E4848" s="1020" t="s">
        <v>13539</v>
      </c>
      <c r="F4848" s="1020"/>
      <c r="G4848" s="813" t="s">
        <v>19</v>
      </c>
      <c r="H4848" s="814">
        <v>1</v>
      </c>
      <c r="I4848" s="815">
        <v>0.33</v>
      </c>
      <c r="J4848" s="815">
        <v>0.33</v>
      </c>
    </row>
    <row r="4849" spans="1:10" ht="25.5">
      <c r="A4849" s="822" t="s">
        <v>13493</v>
      </c>
      <c r="B4849" s="821" t="s">
        <v>14726</v>
      </c>
      <c r="C4849" s="822" t="s">
        <v>6</v>
      </c>
      <c r="D4849" s="822" t="s">
        <v>11840</v>
      </c>
      <c r="E4849" s="1017" t="s">
        <v>13497</v>
      </c>
      <c r="F4849" s="1017"/>
      <c r="G4849" s="823" t="s">
        <v>24</v>
      </c>
      <c r="H4849" s="824">
        <v>5.0000000000000002E-5</v>
      </c>
      <c r="I4849" s="825">
        <v>6723.23</v>
      </c>
      <c r="J4849" s="825">
        <v>0.33</v>
      </c>
    </row>
    <row r="4850" spans="1:10" ht="25.5">
      <c r="A4850" s="827"/>
      <c r="B4850" s="827"/>
      <c r="C4850" s="827"/>
      <c r="D4850" s="827"/>
      <c r="E4850" s="827" t="s">
        <v>13503</v>
      </c>
      <c r="F4850" s="826">
        <v>0</v>
      </c>
      <c r="G4850" s="827" t="s">
        <v>13504</v>
      </c>
      <c r="H4850" s="826">
        <v>0</v>
      </c>
      <c r="I4850" s="827" t="s">
        <v>13505</v>
      </c>
      <c r="J4850" s="826">
        <v>0</v>
      </c>
    </row>
    <row r="4851" spans="1:10" ht="13.5" customHeight="1" thickBot="1">
      <c r="A4851" s="827"/>
      <c r="B4851" s="827"/>
      <c r="C4851" s="827"/>
      <c r="D4851" s="827"/>
      <c r="E4851" s="827" t="s">
        <v>13506</v>
      </c>
      <c r="F4851" s="826">
        <v>0.09</v>
      </c>
      <c r="G4851" s="827"/>
      <c r="H4851" s="1018" t="s">
        <v>13507</v>
      </c>
      <c r="I4851" s="1018"/>
      <c r="J4851" s="826">
        <v>0.42</v>
      </c>
    </row>
    <row r="4852" spans="1:10" ht="13.5" thickTop="1">
      <c r="A4852" s="828"/>
      <c r="B4852" s="828"/>
      <c r="C4852" s="828"/>
      <c r="D4852" s="828"/>
      <c r="E4852" s="828"/>
      <c r="F4852" s="828"/>
      <c r="G4852" s="828"/>
      <c r="H4852" s="828"/>
      <c r="I4852" s="828"/>
      <c r="J4852" s="828"/>
    </row>
    <row r="4853" spans="1:10" ht="15">
      <c r="A4853" s="809"/>
      <c r="B4853" s="808" t="s">
        <v>13481</v>
      </c>
      <c r="C4853" s="809" t="s">
        <v>13482</v>
      </c>
      <c r="D4853" s="809" t="s">
        <v>13483</v>
      </c>
      <c r="E4853" s="1019" t="s">
        <v>13484</v>
      </c>
      <c r="F4853" s="1019"/>
      <c r="G4853" s="810" t="s">
        <v>13485</v>
      </c>
      <c r="H4853" s="808" t="s">
        <v>13486</v>
      </c>
      <c r="I4853" s="808" t="s">
        <v>13487</v>
      </c>
      <c r="J4853" s="808" t="s">
        <v>4867</v>
      </c>
    </row>
    <row r="4854" spans="1:10" ht="25.5" customHeight="1">
      <c r="A4854" s="812" t="s">
        <v>13488</v>
      </c>
      <c r="B4854" s="811" t="s">
        <v>14725</v>
      </c>
      <c r="C4854" s="812" t="s">
        <v>6</v>
      </c>
      <c r="D4854" s="812" t="s">
        <v>2495</v>
      </c>
      <c r="E4854" s="1020" t="s">
        <v>13539</v>
      </c>
      <c r="F4854" s="1020"/>
      <c r="G4854" s="813" t="s">
        <v>19</v>
      </c>
      <c r="H4854" s="814">
        <v>1</v>
      </c>
      <c r="I4854" s="815">
        <v>2.31</v>
      </c>
      <c r="J4854" s="815">
        <v>2.31</v>
      </c>
    </row>
    <row r="4855" spans="1:10">
      <c r="A4855" s="822" t="s">
        <v>13493</v>
      </c>
      <c r="B4855" s="821" t="s">
        <v>14583</v>
      </c>
      <c r="C4855" s="822" t="s">
        <v>6</v>
      </c>
      <c r="D4855" s="822" t="s">
        <v>4647</v>
      </c>
      <c r="E4855" s="1017" t="s">
        <v>13514</v>
      </c>
      <c r="F4855" s="1017"/>
      <c r="G4855" s="823" t="s">
        <v>14584</v>
      </c>
      <c r="H4855" s="824">
        <v>2.54</v>
      </c>
      <c r="I4855" s="825">
        <v>0.91</v>
      </c>
      <c r="J4855" s="825">
        <v>2.31</v>
      </c>
    </row>
    <row r="4856" spans="1:10" ht="25.5">
      <c r="A4856" s="827"/>
      <c r="B4856" s="827"/>
      <c r="C4856" s="827"/>
      <c r="D4856" s="827"/>
      <c r="E4856" s="827" t="s">
        <v>13503</v>
      </c>
      <c r="F4856" s="826">
        <v>0</v>
      </c>
      <c r="G4856" s="827" t="s">
        <v>13504</v>
      </c>
      <c r="H4856" s="826">
        <v>0</v>
      </c>
      <c r="I4856" s="827" t="s">
        <v>13505</v>
      </c>
      <c r="J4856" s="826">
        <v>0</v>
      </c>
    </row>
    <row r="4857" spans="1:10" ht="13.5" customHeight="1" thickBot="1">
      <c r="A4857" s="827"/>
      <c r="B4857" s="827"/>
      <c r="C4857" s="827"/>
      <c r="D4857" s="827"/>
      <c r="E4857" s="827" t="s">
        <v>13506</v>
      </c>
      <c r="F4857" s="826">
        <v>0.65</v>
      </c>
      <c r="G4857" s="827"/>
      <c r="H4857" s="1018" t="s">
        <v>13507</v>
      </c>
      <c r="I4857" s="1018"/>
      <c r="J4857" s="826">
        <v>2.96</v>
      </c>
    </row>
    <row r="4858" spans="1:10" ht="13.5" thickTop="1">
      <c r="A4858" s="828"/>
      <c r="B4858" s="828"/>
      <c r="C4858" s="828"/>
      <c r="D4858" s="828"/>
      <c r="E4858" s="828"/>
      <c r="F4858" s="828"/>
      <c r="G4858" s="828"/>
      <c r="H4858" s="828"/>
      <c r="I4858" s="828"/>
      <c r="J4858" s="828"/>
    </row>
    <row r="4859" spans="1:10" ht="15">
      <c r="A4859" s="809"/>
      <c r="B4859" s="808" t="s">
        <v>13481</v>
      </c>
      <c r="C4859" s="809" t="s">
        <v>13482</v>
      </c>
      <c r="D4859" s="809" t="s">
        <v>13483</v>
      </c>
      <c r="E4859" s="1019" t="s">
        <v>13484</v>
      </c>
      <c r="F4859" s="1019"/>
      <c r="G4859" s="810" t="s">
        <v>13485</v>
      </c>
      <c r="H4859" s="808" t="s">
        <v>13486</v>
      </c>
      <c r="I4859" s="808" t="s">
        <v>13487</v>
      </c>
      <c r="J4859" s="808" t="s">
        <v>4867</v>
      </c>
    </row>
    <row r="4860" spans="1:10" ht="25.5" customHeight="1">
      <c r="A4860" s="812" t="s">
        <v>13488</v>
      </c>
      <c r="B4860" s="811" t="s">
        <v>13974</v>
      </c>
      <c r="C4860" s="812" t="s">
        <v>6</v>
      </c>
      <c r="D4860" s="812" t="s">
        <v>5708</v>
      </c>
      <c r="E4860" s="1020" t="s">
        <v>13623</v>
      </c>
      <c r="F4860" s="1020"/>
      <c r="G4860" s="813" t="s">
        <v>13543</v>
      </c>
      <c r="H4860" s="814">
        <v>1</v>
      </c>
      <c r="I4860" s="815">
        <v>130.97</v>
      </c>
      <c r="J4860" s="815">
        <v>130.97</v>
      </c>
    </row>
    <row r="4861" spans="1:10" ht="38.25" customHeight="1">
      <c r="A4861" s="817" t="s">
        <v>13491</v>
      </c>
      <c r="B4861" s="816" t="s">
        <v>13610</v>
      </c>
      <c r="C4861" s="817" t="s">
        <v>6</v>
      </c>
      <c r="D4861" s="817" t="s">
        <v>677</v>
      </c>
      <c r="E4861" s="1021" t="s">
        <v>13539</v>
      </c>
      <c r="F4861" s="1021"/>
      <c r="G4861" s="818" t="s">
        <v>28</v>
      </c>
      <c r="H4861" s="819">
        <v>6.1699999999999998E-2</v>
      </c>
      <c r="I4861" s="820">
        <v>115.29</v>
      </c>
      <c r="J4861" s="820">
        <v>7.11</v>
      </c>
    </row>
    <row r="4862" spans="1:10" ht="38.25" customHeight="1">
      <c r="A4862" s="817" t="s">
        <v>13491</v>
      </c>
      <c r="B4862" s="816" t="s">
        <v>13611</v>
      </c>
      <c r="C4862" s="817" t="s">
        <v>6</v>
      </c>
      <c r="D4862" s="817" t="s">
        <v>678</v>
      </c>
      <c r="E4862" s="1021" t="s">
        <v>13539</v>
      </c>
      <c r="F4862" s="1021"/>
      <c r="G4862" s="818" t="s">
        <v>42</v>
      </c>
      <c r="H4862" s="819">
        <v>0.30830000000000002</v>
      </c>
      <c r="I4862" s="820">
        <v>40.15</v>
      </c>
      <c r="J4862" s="820">
        <v>12.37</v>
      </c>
    </row>
    <row r="4863" spans="1:10" ht="38.25" customHeight="1">
      <c r="A4863" s="817" t="s">
        <v>13491</v>
      </c>
      <c r="B4863" s="816" t="s">
        <v>13627</v>
      </c>
      <c r="C4863" s="817" t="s">
        <v>6</v>
      </c>
      <c r="D4863" s="817" t="s">
        <v>1774</v>
      </c>
      <c r="E4863" s="1021" t="s">
        <v>13539</v>
      </c>
      <c r="F4863" s="1021"/>
      <c r="G4863" s="818" t="s">
        <v>42</v>
      </c>
      <c r="H4863" s="819">
        <v>3.0200000000000001E-2</v>
      </c>
      <c r="I4863" s="820">
        <v>15.22</v>
      </c>
      <c r="J4863" s="820">
        <v>0.45</v>
      </c>
    </row>
    <row r="4864" spans="1:10" ht="38.25" customHeight="1">
      <c r="A4864" s="817" t="s">
        <v>13491</v>
      </c>
      <c r="B4864" s="816" t="s">
        <v>13625</v>
      </c>
      <c r="C4864" s="817" t="s">
        <v>6</v>
      </c>
      <c r="D4864" s="817" t="s">
        <v>1773</v>
      </c>
      <c r="E4864" s="1021" t="s">
        <v>13539</v>
      </c>
      <c r="F4864" s="1021"/>
      <c r="G4864" s="818" t="s">
        <v>28</v>
      </c>
      <c r="H4864" s="819">
        <v>3.2500000000000001E-2</v>
      </c>
      <c r="I4864" s="820">
        <v>22.75</v>
      </c>
      <c r="J4864" s="820">
        <v>0.73</v>
      </c>
    </row>
    <row r="4865" spans="1:10" ht="38.25" customHeight="1">
      <c r="A4865" s="817" t="s">
        <v>13491</v>
      </c>
      <c r="B4865" s="816" t="s">
        <v>13553</v>
      </c>
      <c r="C4865" s="817" t="s">
        <v>6</v>
      </c>
      <c r="D4865" s="817" t="s">
        <v>21</v>
      </c>
      <c r="E4865" s="1021" t="s">
        <v>13490</v>
      </c>
      <c r="F4865" s="1021"/>
      <c r="G4865" s="818" t="s">
        <v>19</v>
      </c>
      <c r="H4865" s="819">
        <v>0.66600000000000004</v>
      </c>
      <c r="I4865" s="820">
        <v>15.16</v>
      </c>
      <c r="J4865" s="820">
        <v>10.09</v>
      </c>
    </row>
    <row r="4866" spans="1:10" ht="38.25" customHeight="1">
      <c r="A4866" s="817" t="s">
        <v>13491</v>
      </c>
      <c r="B4866" s="816" t="s">
        <v>13577</v>
      </c>
      <c r="C4866" s="817" t="s">
        <v>6</v>
      </c>
      <c r="D4866" s="817" t="s">
        <v>31</v>
      </c>
      <c r="E4866" s="1021" t="s">
        <v>13490</v>
      </c>
      <c r="F4866" s="1021"/>
      <c r="G4866" s="818" t="s">
        <v>19</v>
      </c>
      <c r="H4866" s="819">
        <v>0.44400000000000001</v>
      </c>
      <c r="I4866" s="820">
        <v>18.86</v>
      </c>
      <c r="J4866" s="820">
        <v>8.3699999999999992</v>
      </c>
    </row>
    <row r="4867" spans="1:10" ht="25.5">
      <c r="A4867" s="822" t="s">
        <v>13493</v>
      </c>
      <c r="B4867" s="821" t="s">
        <v>13657</v>
      </c>
      <c r="C4867" s="822" t="s">
        <v>6</v>
      </c>
      <c r="D4867" s="822" t="s">
        <v>4588</v>
      </c>
      <c r="E4867" s="1017" t="s">
        <v>13514</v>
      </c>
      <c r="F4867" s="1017"/>
      <c r="G4867" s="823" t="s">
        <v>13543</v>
      </c>
      <c r="H4867" s="824">
        <v>1.1000000000000001</v>
      </c>
      <c r="I4867" s="825">
        <v>83.5</v>
      </c>
      <c r="J4867" s="825">
        <v>91.85</v>
      </c>
    </row>
    <row r="4868" spans="1:10" ht="25.5">
      <c r="A4868" s="827"/>
      <c r="B4868" s="827"/>
      <c r="C4868" s="827"/>
      <c r="D4868" s="827"/>
      <c r="E4868" s="827" t="s">
        <v>13503</v>
      </c>
      <c r="F4868" s="826">
        <v>18.86</v>
      </c>
      <c r="G4868" s="827" t="s">
        <v>13504</v>
      </c>
      <c r="H4868" s="826">
        <v>0</v>
      </c>
      <c r="I4868" s="827" t="s">
        <v>13505</v>
      </c>
      <c r="J4868" s="826">
        <v>18.86</v>
      </c>
    </row>
    <row r="4869" spans="1:10" ht="13.5" customHeight="1" thickBot="1">
      <c r="A4869" s="827"/>
      <c r="B4869" s="827"/>
      <c r="C4869" s="827"/>
      <c r="D4869" s="827"/>
      <c r="E4869" s="827" t="s">
        <v>13506</v>
      </c>
      <c r="F4869" s="826">
        <v>36.979999999999997</v>
      </c>
      <c r="G4869" s="827"/>
      <c r="H4869" s="1018" t="s">
        <v>13507</v>
      </c>
      <c r="I4869" s="1018"/>
      <c r="J4869" s="826">
        <v>167.95</v>
      </c>
    </row>
    <row r="4870" spans="1:10" ht="13.5" thickTop="1">
      <c r="A4870" s="828"/>
      <c r="B4870" s="828"/>
      <c r="C4870" s="828"/>
      <c r="D4870" s="828"/>
      <c r="E4870" s="828"/>
      <c r="F4870" s="828"/>
      <c r="G4870" s="828"/>
      <c r="H4870" s="828"/>
      <c r="I4870" s="828"/>
      <c r="J4870" s="828"/>
    </row>
    <row r="4871" spans="1:10" ht="15">
      <c r="A4871" s="809"/>
      <c r="B4871" s="808" t="s">
        <v>13481</v>
      </c>
      <c r="C4871" s="809" t="s">
        <v>13482</v>
      </c>
      <c r="D4871" s="809" t="s">
        <v>13483</v>
      </c>
      <c r="E4871" s="1019" t="s">
        <v>13484</v>
      </c>
      <c r="F4871" s="1019"/>
      <c r="G4871" s="810" t="s">
        <v>13485</v>
      </c>
      <c r="H4871" s="808" t="s">
        <v>13486</v>
      </c>
      <c r="I4871" s="808" t="s">
        <v>13487</v>
      </c>
      <c r="J4871" s="808" t="s">
        <v>4867</v>
      </c>
    </row>
    <row r="4872" spans="1:10" ht="25.5" customHeight="1">
      <c r="A4872" s="812" t="s">
        <v>13488</v>
      </c>
      <c r="B4872" s="811" t="s">
        <v>13900</v>
      </c>
      <c r="C4872" s="812" t="s">
        <v>6</v>
      </c>
      <c r="D4872" s="812" t="s">
        <v>5699</v>
      </c>
      <c r="E4872" s="1020" t="s">
        <v>13623</v>
      </c>
      <c r="F4872" s="1020"/>
      <c r="G4872" s="813" t="s">
        <v>13537</v>
      </c>
      <c r="H4872" s="814">
        <v>1</v>
      </c>
      <c r="I4872" s="815">
        <v>4.37</v>
      </c>
      <c r="J4872" s="815">
        <v>4.37</v>
      </c>
    </row>
    <row r="4873" spans="1:10" ht="38.25" customHeight="1">
      <c r="A4873" s="817" t="s">
        <v>13491</v>
      </c>
      <c r="B4873" s="816" t="s">
        <v>13627</v>
      </c>
      <c r="C4873" s="817" t="s">
        <v>6</v>
      </c>
      <c r="D4873" s="817" t="s">
        <v>1774</v>
      </c>
      <c r="E4873" s="1021" t="s">
        <v>13539</v>
      </c>
      <c r="F4873" s="1021"/>
      <c r="G4873" s="818" t="s">
        <v>42</v>
      </c>
      <c r="H4873" s="819">
        <v>3.5999999999999999E-3</v>
      </c>
      <c r="I4873" s="820">
        <v>15.22</v>
      </c>
      <c r="J4873" s="820">
        <v>0.05</v>
      </c>
    </row>
    <row r="4874" spans="1:10" ht="38.25" customHeight="1">
      <c r="A4874" s="817" t="s">
        <v>13491</v>
      </c>
      <c r="B4874" s="816" t="s">
        <v>13625</v>
      </c>
      <c r="C4874" s="817" t="s">
        <v>6</v>
      </c>
      <c r="D4874" s="817" t="s">
        <v>1773</v>
      </c>
      <c r="E4874" s="1021" t="s">
        <v>13539</v>
      </c>
      <c r="F4874" s="1021"/>
      <c r="G4874" s="818" t="s">
        <v>28</v>
      </c>
      <c r="H4874" s="819">
        <v>3.5999999999999999E-3</v>
      </c>
      <c r="I4874" s="820">
        <v>22.75</v>
      </c>
      <c r="J4874" s="820">
        <v>0.08</v>
      </c>
    </row>
    <row r="4875" spans="1:10" ht="38.25" customHeight="1">
      <c r="A4875" s="817" t="s">
        <v>13491</v>
      </c>
      <c r="B4875" s="816" t="s">
        <v>13553</v>
      </c>
      <c r="C4875" s="817" t="s">
        <v>6</v>
      </c>
      <c r="D4875" s="817" t="s">
        <v>21</v>
      </c>
      <c r="E4875" s="1021" t="s">
        <v>13490</v>
      </c>
      <c r="F4875" s="1021"/>
      <c r="G4875" s="818" t="s">
        <v>19</v>
      </c>
      <c r="H4875" s="819">
        <v>0.15310000000000001</v>
      </c>
      <c r="I4875" s="820">
        <v>15.16</v>
      </c>
      <c r="J4875" s="820">
        <v>2.3199999999999998</v>
      </c>
    </row>
    <row r="4876" spans="1:10" ht="38.25" customHeight="1">
      <c r="A4876" s="817" t="s">
        <v>13491</v>
      </c>
      <c r="B4876" s="816" t="s">
        <v>13577</v>
      </c>
      <c r="C4876" s="817" t="s">
        <v>6</v>
      </c>
      <c r="D4876" s="817" t="s">
        <v>31</v>
      </c>
      <c r="E4876" s="1021" t="s">
        <v>13490</v>
      </c>
      <c r="F4876" s="1021"/>
      <c r="G4876" s="818" t="s">
        <v>19</v>
      </c>
      <c r="H4876" s="819">
        <v>0.10199999999999999</v>
      </c>
      <c r="I4876" s="820">
        <v>18.86</v>
      </c>
      <c r="J4876" s="820">
        <v>1.92</v>
      </c>
    </row>
    <row r="4877" spans="1:10" ht="25.5">
      <c r="A4877" s="827"/>
      <c r="B4877" s="827"/>
      <c r="C4877" s="827"/>
      <c r="D4877" s="827"/>
      <c r="E4877" s="827" t="s">
        <v>13503</v>
      </c>
      <c r="F4877" s="826">
        <v>3.06</v>
      </c>
      <c r="G4877" s="827" t="s">
        <v>13504</v>
      </c>
      <c r="H4877" s="826">
        <v>0</v>
      </c>
      <c r="I4877" s="827" t="s">
        <v>13505</v>
      </c>
      <c r="J4877" s="826">
        <v>3.06</v>
      </c>
    </row>
    <row r="4878" spans="1:10" ht="13.5" customHeight="1" thickBot="1">
      <c r="A4878" s="827"/>
      <c r="B4878" s="827"/>
      <c r="C4878" s="827"/>
      <c r="D4878" s="827"/>
      <c r="E4878" s="827" t="s">
        <v>13506</v>
      </c>
      <c r="F4878" s="826">
        <v>1.23</v>
      </c>
      <c r="G4878" s="827"/>
      <c r="H4878" s="1018" t="s">
        <v>13507</v>
      </c>
      <c r="I4878" s="1018"/>
      <c r="J4878" s="826">
        <v>5.6</v>
      </c>
    </row>
    <row r="4879" spans="1:10" ht="13.5" thickTop="1">
      <c r="A4879" s="828"/>
      <c r="B4879" s="828"/>
      <c r="C4879" s="828"/>
      <c r="D4879" s="828"/>
      <c r="E4879" s="828"/>
      <c r="F4879" s="828"/>
      <c r="G4879" s="828"/>
      <c r="H4879" s="828"/>
      <c r="I4879" s="828"/>
      <c r="J4879" s="828"/>
    </row>
    <row r="4880" spans="1:10" ht="15">
      <c r="A4880" s="809"/>
      <c r="B4880" s="808" t="s">
        <v>13481</v>
      </c>
      <c r="C4880" s="809" t="s">
        <v>13482</v>
      </c>
      <c r="D4880" s="809" t="s">
        <v>13483</v>
      </c>
      <c r="E4880" s="1019" t="s">
        <v>13484</v>
      </c>
      <c r="F4880" s="1019"/>
      <c r="G4880" s="810" t="s">
        <v>13485</v>
      </c>
      <c r="H4880" s="808" t="s">
        <v>13486</v>
      </c>
      <c r="I4880" s="808" t="s">
        <v>13487</v>
      </c>
      <c r="J4880" s="808" t="s">
        <v>4867</v>
      </c>
    </row>
    <row r="4881" spans="1:10" ht="25.5" customHeight="1">
      <c r="A4881" s="812" t="s">
        <v>13488</v>
      </c>
      <c r="B4881" s="811" t="s">
        <v>14519</v>
      </c>
      <c r="C4881" s="812" t="s">
        <v>6</v>
      </c>
      <c r="D4881" s="812" t="s">
        <v>5701</v>
      </c>
      <c r="E4881" s="1020" t="s">
        <v>13623</v>
      </c>
      <c r="F4881" s="1020"/>
      <c r="G4881" s="813" t="s">
        <v>13543</v>
      </c>
      <c r="H4881" s="814">
        <v>1</v>
      </c>
      <c r="I4881" s="815">
        <v>178.59</v>
      </c>
      <c r="J4881" s="815">
        <v>178.59</v>
      </c>
    </row>
    <row r="4882" spans="1:10" ht="38.25" customHeight="1">
      <c r="A4882" s="817" t="s">
        <v>13491</v>
      </c>
      <c r="B4882" s="816" t="s">
        <v>13627</v>
      </c>
      <c r="C4882" s="817" t="s">
        <v>6</v>
      </c>
      <c r="D4882" s="817" t="s">
        <v>1774</v>
      </c>
      <c r="E4882" s="1021" t="s">
        <v>13539</v>
      </c>
      <c r="F4882" s="1021"/>
      <c r="G4882" s="818" t="s">
        <v>42</v>
      </c>
      <c r="H4882" s="819">
        <v>6.6600000000000006E-2</v>
      </c>
      <c r="I4882" s="820">
        <v>15.22</v>
      </c>
      <c r="J4882" s="820">
        <v>1.01</v>
      </c>
    </row>
    <row r="4883" spans="1:10" ht="38.25" customHeight="1">
      <c r="A4883" s="817" t="s">
        <v>13491</v>
      </c>
      <c r="B4883" s="816" t="s">
        <v>13625</v>
      </c>
      <c r="C4883" s="817" t="s">
        <v>6</v>
      </c>
      <c r="D4883" s="817" t="s">
        <v>1773</v>
      </c>
      <c r="E4883" s="1021" t="s">
        <v>13539</v>
      </c>
      <c r="F4883" s="1021"/>
      <c r="G4883" s="818" t="s">
        <v>28</v>
      </c>
      <c r="H4883" s="819">
        <v>7.1800000000000003E-2</v>
      </c>
      <c r="I4883" s="820">
        <v>22.75</v>
      </c>
      <c r="J4883" s="820">
        <v>1.63</v>
      </c>
    </row>
    <row r="4884" spans="1:10" ht="38.25" customHeight="1">
      <c r="A4884" s="817" t="s">
        <v>13491</v>
      </c>
      <c r="B4884" s="816" t="s">
        <v>13553</v>
      </c>
      <c r="C4884" s="817" t="s">
        <v>6</v>
      </c>
      <c r="D4884" s="817" t="s">
        <v>21</v>
      </c>
      <c r="E4884" s="1021" t="s">
        <v>13490</v>
      </c>
      <c r="F4884" s="1021"/>
      <c r="G4884" s="818" t="s">
        <v>19</v>
      </c>
      <c r="H4884" s="819">
        <v>3.0329000000000002</v>
      </c>
      <c r="I4884" s="820">
        <v>15.16</v>
      </c>
      <c r="J4884" s="820">
        <v>45.97</v>
      </c>
    </row>
    <row r="4885" spans="1:10" ht="38.25" customHeight="1">
      <c r="A4885" s="817" t="s">
        <v>13491</v>
      </c>
      <c r="B4885" s="816" t="s">
        <v>13577</v>
      </c>
      <c r="C4885" s="817" t="s">
        <v>6</v>
      </c>
      <c r="D4885" s="817" t="s">
        <v>31</v>
      </c>
      <c r="E4885" s="1021" t="s">
        <v>13490</v>
      </c>
      <c r="F4885" s="1021"/>
      <c r="G4885" s="818" t="s">
        <v>19</v>
      </c>
      <c r="H4885" s="819">
        <v>2.0219</v>
      </c>
      <c r="I4885" s="820">
        <v>18.86</v>
      </c>
      <c r="J4885" s="820">
        <v>38.130000000000003</v>
      </c>
    </row>
    <row r="4886" spans="1:10" ht="25.5">
      <c r="A4886" s="822" t="s">
        <v>13493</v>
      </c>
      <c r="B4886" s="821" t="s">
        <v>13657</v>
      </c>
      <c r="C4886" s="822" t="s">
        <v>6</v>
      </c>
      <c r="D4886" s="822" t="s">
        <v>4588</v>
      </c>
      <c r="E4886" s="1017" t="s">
        <v>13514</v>
      </c>
      <c r="F4886" s="1017"/>
      <c r="G4886" s="823" t="s">
        <v>13543</v>
      </c>
      <c r="H4886" s="824">
        <v>1.1000000000000001</v>
      </c>
      <c r="I4886" s="825">
        <v>83.5</v>
      </c>
      <c r="J4886" s="825">
        <v>91.85</v>
      </c>
    </row>
    <row r="4887" spans="1:10" ht="25.5">
      <c r="A4887" s="827"/>
      <c r="B4887" s="827"/>
      <c r="C4887" s="827"/>
      <c r="D4887" s="827"/>
      <c r="E4887" s="827" t="s">
        <v>13503</v>
      </c>
      <c r="F4887" s="826">
        <v>61.15</v>
      </c>
      <c r="G4887" s="827" t="s">
        <v>13504</v>
      </c>
      <c r="H4887" s="826">
        <v>0</v>
      </c>
      <c r="I4887" s="827" t="s">
        <v>13505</v>
      </c>
      <c r="J4887" s="826">
        <v>61.15</v>
      </c>
    </row>
    <row r="4888" spans="1:10" ht="13.5" customHeight="1" thickBot="1">
      <c r="A4888" s="827"/>
      <c r="B4888" s="827"/>
      <c r="C4888" s="827"/>
      <c r="D4888" s="827"/>
      <c r="E4888" s="827" t="s">
        <v>13506</v>
      </c>
      <c r="F4888" s="826">
        <v>50.43</v>
      </c>
      <c r="G4888" s="827"/>
      <c r="H4888" s="1018" t="s">
        <v>13507</v>
      </c>
      <c r="I4888" s="1018"/>
      <c r="J4888" s="826">
        <v>229.02</v>
      </c>
    </row>
    <row r="4889" spans="1:10" ht="13.5" thickTop="1">
      <c r="A4889" s="828"/>
      <c r="B4889" s="828"/>
      <c r="C4889" s="828"/>
      <c r="D4889" s="828"/>
      <c r="E4889" s="828"/>
      <c r="F4889" s="828"/>
      <c r="G4889" s="828"/>
      <c r="H4889" s="828"/>
      <c r="I4889" s="828"/>
      <c r="J4889" s="828"/>
    </row>
    <row r="4890" spans="1:10" ht="15">
      <c r="A4890" s="809"/>
      <c r="B4890" s="808" t="s">
        <v>13481</v>
      </c>
      <c r="C4890" s="809" t="s">
        <v>13482</v>
      </c>
      <c r="D4890" s="809" t="s">
        <v>13483</v>
      </c>
      <c r="E4890" s="1019" t="s">
        <v>13484</v>
      </c>
      <c r="F4890" s="1019"/>
      <c r="G4890" s="810" t="s">
        <v>13485</v>
      </c>
      <c r="H4890" s="808" t="s">
        <v>13486</v>
      </c>
      <c r="I4890" s="808" t="s">
        <v>13487</v>
      </c>
      <c r="J4890" s="808" t="s">
        <v>4867</v>
      </c>
    </row>
    <row r="4891" spans="1:10" ht="25.5" customHeight="1">
      <c r="A4891" s="812" t="s">
        <v>13488</v>
      </c>
      <c r="B4891" s="811" t="s">
        <v>14261</v>
      </c>
      <c r="C4891" s="812" t="s">
        <v>6</v>
      </c>
      <c r="D4891" s="812" t="s">
        <v>5702</v>
      </c>
      <c r="E4891" s="1020" t="s">
        <v>13623</v>
      </c>
      <c r="F4891" s="1020"/>
      <c r="G4891" s="813" t="s">
        <v>13543</v>
      </c>
      <c r="H4891" s="814">
        <v>1</v>
      </c>
      <c r="I4891" s="815">
        <v>213.55</v>
      </c>
      <c r="J4891" s="815">
        <v>213.55</v>
      </c>
    </row>
    <row r="4892" spans="1:10" ht="38.25" customHeight="1">
      <c r="A4892" s="817" t="s">
        <v>13491</v>
      </c>
      <c r="B4892" s="816" t="s">
        <v>13627</v>
      </c>
      <c r="C4892" s="817" t="s">
        <v>6</v>
      </c>
      <c r="D4892" s="817" t="s">
        <v>1774</v>
      </c>
      <c r="E4892" s="1021" t="s">
        <v>13539</v>
      </c>
      <c r="F4892" s="1021"/>
      <c r="G4892" s="818" t="s">
        <v>42</v>
      </c>
      <c r="H4892" s="819">
        <v>6.6600000000000006E-2</v>
      </c>
      <c r="I4892" s="820">
        <v>15.22</v>
      </c>
      <c r="J4892" s="820">
        <v>1.01</v>
      </c>
    </row>
    <row r="4893" spans="1:10" ht="38.25" customHeight="1">
      <c r="A4893" s="817" t="s">
        <v>13491</v>
      </c>
      <c r="B4893" s="816" t="s">
        <v>13625</v>
      </c>
      <c r="C4893" s="817" t="s">
        <v>6</v>
      </c>
      <c r="D4893" s="817" t="s">
        <v>1773</v>
      </c>
      <c r="E4893" s="1021" t="s">
        <v>13539</v>
      </c>
      <c r="F4893" s="1021"/>
      <c r="G4893" s="818" t="s">
        <v>28</v>
      </c>
      <c r="H4893" s="819">
        <v>7.1800000000000003E-2</v>
      </c>
      <c r="I4893" s="820">
        <v>22.75</v>
      </c>
      <c r="J4893" s="820">
        <v>1.63</v>
      </c>
    </row>
    <row r="4894" spans="1:10" ht="38.25" customHeight="1">
      <c r="A4894" s="817" t="s">
        <v>13491</v>
      </c>
      <c r="B4894" s="816" t="s">
        <v>13553</v>
      </c>
      <c r="C4894" s="817" t="s">
        <v>6</v>
      </c>
      <c r="D4894" s="817" t="s">
        <v>21</v>
      </c>
      <c r="E4894" s="1021" t="s">
        <v>13490</v>
      </c>
      <c r="F4894" s="1021"/>
      <c r="G4894" s="818" t="s">
        <v>19</v>
      </c>
      <c r="H4894" s="819">
        <v>3.7406999999999999</v>
      </c>
      <c r="I4894" s="820">
        <v>15.16</v>
      </c>
      <c r="J4894" s="820">
        <v>56.7</v>
      </c>
    </row>
    <row r="4895" spans="1:10" ht="38.25" customHeight="1">
      <c r="A4895" s="817" t="s">
        <v>13491</v>
      </c>
      <c r="B4895" s="816" t="s">
        <v>13577</v>
      </c>
      <c r="C4895" s="817" t="s">
        <v>6</v>
      </c>
      <c r="D4895" s="817" t="s">
        <v>31</v>
      </c>
      <c r="E4895" s="1021" t="s">
        <v>13490</v>
      </c>
      <c r="F4895" s="1021"/>
      <c r="G4895" s="818" t="s">
        <v>19</v>
      </c>
      <c r="H4895" s="819">
        <v>2.4937999999999998</v>
      </c>
      <c r="I4895" s="820">
        <v>18.86</v>
      </c>
      <c r="J4895" s="820">
        <v>47.03</v>
      </c>
    </row>
    <row r="4896" spans="1:10" ht="25.5">
      <c r="A4896" s="822" t="s">
        <v>13493</v>
      </c>
      <c r="B4896" s="821" t="s">
        <v>13981</v>
      </c>
      <c r="C4896" s="822" t="s">
        <v>6</v>
      </c>
      <c r="D4896" s="822" t="s">
        <v>4748</v>
      </c>
      <c r="E4896" s="1017" t="s">
        <v>13514</v>
      </c>
      <c r="F4896" s="1017"/>
      <c r="G4896" s="823" t="s">
        <v>13543</v>
      </c>
      <c r="H4896" s="824">
        <v>1.1000000000000001</v>
      </c>
      <c r="I4896" s="825">
        <v>97.44</v>
      </c>
      <c r="J4896" s="825">
        <v>107.18</v>
      </c>
    </row>
    <row r="4897" spans="1:10" ht="25.5">
      <c r="A4897" s="827"/>
      <c r="B4897" s="827"/>
      <c r="C4897" s="827"/>
      <c r="D4897" s="827"/>
      <c r="E4897" s="827" t="s">
        <v>13503</v>
      </c>
      <c r="F4897" s="826">
        <v>75.08</v>
      </c>
      <c r="G4897" s="827" t="s">
        <v>13504</v>
      </c>
      <c r="H4897" s="826">
        <v>0</v>
      </c>
      <c r="I4897" s="827" t="s">
        <v>13505</v>
      </c>
      <c r="J4897" s="826">
        <v>75.08</v>
      </c>
    </row>
    <row r="4898" spans="1:10" ht="13.5" customHeight="1" thickBot="1">
      <c r="A4898" s="827"/>
      <c r="B4898" s="827"/>
      <c r="C4898" s="827"/>
      <c r="D4898" s="827"/>
      <c r="E4898" s="827" t="s">
        <v>13506</v>
      </c>
      <c r="F4898" s="826">
        <v>60.3</v>
      </c>
      <c r="G4898" s="827"/>
      <c r="H4898" s="1018" t="s">
        <v>13507</v>
      </c>
      <c r="I4898" s="1018"/>
      <c r="J4898" s="826">
        <v>273.85000000000002</v>
      </c>
    </row>
    <row r="4899" spans="1:10" ht="13.5" thickTop="1">
      <c r="A4899" s="828"/>
      <c r="B4899" s="828"/>
      <c r="C4899" s="828"/>
      <c r="D4899" s="828"/>
      <c r="E4899" s="828"/>
      <c r="F4899" s="828"/>
      <c r="G4899" s="828"/>
      <c r="H4899" s="828"/>
      <c r="I4899" s="828"/>
      <c r="J4899" s="828"/>
    </row>
    <row r="4900" spans="1:10" ht="15">
      <c r="A4900" s="809"/>
      <c r="B4900" s="808" t="s">
        <v>13481</v>
      </c>
      <c r="C4900" s="809" t="s">
        <v>13482</v>
      </c>
      <c r="D4900" s="809" t="s">
        <v>13483</v>
      </c>
      <c r="E4900" s="1019" t="s">
        <v>13484</v>
      </c>
      <c r="F4900" s="1019"/>
      <c r="G4900" s="810" t="s">
        <v>13485</v>
      </c>
      <c r="H4900" s="808" t="s">
        <v>13486</v>
      </c>
      <c r="I4900" s="808" t="s">
        <v>13487</v>
      </c>
      <c r="J4900" s="808" t="s">
        <v>4867</v>
      </c>
    </row>
    <row r="4901" spans="1:10" ht="25.5" customHeight="1">
      <c r="A4901" s="812" t="s">
        <v>13488</v>
      </c>
      <c r="B4901" s="811" t="s">
        <v>13587</v>
      </c>
      <c r="C4901" s="812" t="s">
        <v>6</v>
      </c>
      <c r="D4901" s="812" t="s">
        <v>739</v>
      </c>
      <c r="E4901" s="1020" t="s">
        <v>13539</v>
      </c>
      <c r="F4901" s="1020"/>
      <c r="G4901" s="813" t="s">
        <v>42</v>
      </c>
      <c r="H4901" s="814">
        <v>1</v>
      </c>
      <c r="I4901" s="815">
        <v>52.21</v>
      </c>
      <c r="J4901" s="815">
        <v>52.21</v>
      </c>
    </row>
    <row r="4902" spans="1:10" ht="38.25" customHeight="1">
      <c r="A4902" s="817" t="s">
        <v>13491</v>
      </c>
      <c r="B4902" s="816" t="s">
        <v>14727</v>
      </c>
      <c r="C4902" s="817" t="s">
        <v>6</v>
      </c>
      <c r="D4902" s="817" t="s">
        <v>1091</v>
      </c>
      <c r="E4902" s="1021" t="s">
        <v>13539</v>
      </c>
      <c r="F4902" s="1021"/>
      <c r="G4902" s="818" t="s">
        <v>19</v>
      </c>
      <c r="H4902" s="819">
        <v>1</v>
      </c>
      <c r="I4902" s="820">
        <v>32.479999999999997</v>
      </c>
      <c r="J4902" s="820">
        <v>32.479999999999997</v>
      </c>
    </row>
    <row r="4903" spans="1:10" ht="38.25" customHeight="1">
      <c r="A4903" s="817" t="s">
        <v>13491</v>
      </c>
      <c r="B4903" s="816" t="s">
        <v>14728</v>
      </c>
      <c r="C4903" s="817" t="s">
        <v>6</v>
      </c>
      <c r="D4903" s="817" t="s">
        <v>1092</v>
      </c>
      <c r="E4903" s="1021" t="s">
        <v>13539</v>
      </c>
      <c r="F4903" s="1021"/>
      <c r="G4903" s="818" t="s">
        <v>19</v>
      </c>
      <c r="H4903" s="819">
        <v>1</v>
      </c>
      <c r="I4903" s="820">
        <v>4.4000000000000004</v>
      </c>
      <c r="J4903" s="820">
        <v>4.4000000000000004</v>
      </c>
    </row>
    <row r="4904" spans="1:10" ht="38.25" customHeight="1">
      <c r="A4904" s="817" t="s">
        <v>13491</v>
      </c>
      <c r="B4904" s="816" t="s">
        <v>14711</v>
      </c>
      <c r="C4904" s="817" t="s">
        <v>6</v>
      </c>
      <c r="D4904" s="817" t="s">
        <v>150</v>
      </c>
      <c r="E4904" s="1021" t="s">
        <v>13490</v>
      </c>
      <c r="F4904" s="1021"/>
      <c r="G4904" s="818" t="s">
        <v>19</v>
      </c>
      <c r="H4904" s="819">
        <v>1</v>
      </c>
      <c r="I4904" s="820">
        <v>15.33</v>
      </c>
      <c r="J4904" s="820">
        <v>15.33</v>
      </c>
    </row>
    <row r="4905" spans="1:10" ht="25.5">
      <c r="A4905" s="827"/>
      <c r="B4905" s="827"/>
      <c r="C4905" s="827"/>
      <c r="D4905" s="827"/>
      <c r="E4905" s="827" t="s">
        <v>13503</v>
      </c>
      <c r="F4905" s="826">
        <v>11.49</v>
      </c>
      <c r="G4905" s="827" t="s">
        <v>13504</v>
      </c>
      <c r="H4905" s="826">
        <v>0</v>
      </c>
      <c r="I4905" s="827" t="s">
        <v>13505</v>
      </c>
      <c r="J4905" s="826">
        <v>11.49</v>
      </c>
    </row>
    <row r="4906" spans="1:10" ht="13.5" customHeight="1" thickBot="1">
      <c r="A4906" s="827"/>
      <c r="B4906" s="827"/>
      <c r="C4906" s="827"/>
      <c r="D4906" s="827"/>
      <c r="E4906" s="827" t="s">
        <v>13506</v>
      </c>
      <c r="F4906" s="826">
        <v>14.74</v>
      </c>
      <c r="G4906" s="827"/>
      <c r="H4906" s="1018" t="s">
        <v>13507</v>
      </c>
      <c r="I4906" s="1018"/>
      <c r="J4906" s="826">
        <v>66.95</v>
      </c>
    </row>
    <row r="4907" spans="1:10" ht="13.5" thickTop="1">
      <c r="A4907" s="828"/>
      <c r="B4907" s="828"/>
      <c r="C4907" s="828"/>
      <c r="D4907" s="828"/>
      <c r="E4907" s="828"/>
      <c r="F4907" s="828"/>
      <c r="G4907" s="828"/>
      <c r="H4907" s="828"/>
      <c r="I4907" s="828"/>
      <c r="J4907" s="828"/>
    </row>
    <row r="4908" spans="1:10" ht="15">
      <c r="A4908" s="809"/>
      <c r="B4908" s="808" t="s">
        <v>13481</v>
      </c>
      <c r="C4908" s="809" t="s">
        <v>13482</v>
      </c>
      <c r="D4908" s="809" t="s">
        <v>13483</v>
      </c>
      <c r="E4908" s="1019" t="s">
        <v>13484</v>
      </c>
      <c r="F4908" s="1019"/>
      <c r="G4908" s="810" t="s">
        <v>13485</v>
      </c>
      <c r="H4908" s="808" t="s">
        <v>13486</v>
      </c>
      <c r="I4908" s="808" t="s">
        <v>13487</v>
      </c>
      <c r="J4908" s="808" t="s">
        <v>4867</v>
      </c>
    </row>
    <row r="4909" spans="1:10" ht="25.5" customHeight="1">
      <c r="A4909" s="812" t="s">
        <v>13488</v>
      </c>
      <c r="B4909" s="811" t="s">
        <v>13588</v>
      </c>
      <c r="C4909" s="812" t="s">
        <v>6</v>
      </c>
      <c r="D4909" s="812" t="s">
        <v>738</v>
      </c>
      <c r="E4909" s="1020" t="s">
        <v>13539</v>
      </c>
      <c r="F4909" s="1020"/>
      <c r="G4909" s="813" t="s">
        <v>28</v>
      </c>
      <c r="H4909" s="814">
        <v>1</v>
      </c>
      <c r="I4909" s="815">
        <v>155.36000000000001</v>
      </c>
      <c r="J4909" s="815">
        <v>155.36000000000001</v>
      </c>
    </row>
    <row r="4910" spans="1:10" ht="38.25" customHeight="1">
      <c r="A4910" s="817" t="s">
        <v>13491</v>
      </c>
      <c r="B4910" s="816" t="s">
        <v>14729</v>
      </c>
      <c r="C4910" s="817" t="s">
        <v>6</v>
      </c>
      <c r="D4910" s="817" t="s">
        <v>790</v>
      </c>
      <c r="E4910" s="1021" t="s">
        <v>13539</v>
      </c>
      <c r="F4910" s="1021"/>
      <c r="G4910" s="818" t="s">
        <v>19</v>
      </c>
      <c r="H4910" s="819">
        <v>1</v>
      </c>
      <c r="I4910" s="820">
        <v>45.15</v>
      </c>
      <c r="J4910" s="820">
        <v>45.15</v>
      </c>
    </row>
    <row r="4911" spans="1:10" ht="38.25" customHeight="1">
      <c r="A4911" s="817" t="s">
        <v>13491</v>
      </c>
      <c r="B4911" s="816" t="s">
        <v>14730</v>
      </c>
      <c r="C4911" s="817" t="s">
        <v>6</v>
      </c>
      <c r="D4911" s="817" t="s">
        <v>789</v>
      </c>
      <c r="E4911" s="1021" t="s">
        <v>13539</v>
      </c>
      <c r="F4911" s="1021"/>
      <c r="G4911" s="818" t="s">
        <v>19</v>
      </c>
      <c r="H4911" s="819">
        <v>1</v>
      </c>
      <c r="I4911" s="820">
        <v>58</v>
      </c>
      <c r="J4911" s="820">
        <v>58</v>
      </c>
    </row>
    <row r="4912" spans="1:10" ht="38.25" customHeight="1">
      <c r="A4912" s="817" t="s">
        <v>13491</v>
      </c>
      <c r="B4912" s="816" t="s">
        <v>14727</v>
      </c>
      <c r="C4912" s="817" t="s">
        <v>6</v>
      </c>
      <c r="D4912" s="817" t="s">
        <v>1091</v>
      </c>
      <c r="E4912" s="1021" t="s">
        <v>13539</v>
      </c>
      <c r="F4912" s="1021"/>
      <c r="G4912" s="818" t="s">
        <v>19</v>
      </c>
      <c r="H4912" s="819">
        <v>1</v>
      </c>
      <c r="I4912" s="820">
        <v>32.479999999999997</v>
      </c>
      <c r="J4912" s="820">
        <v>32.479999999999997</v>
      </c>
    </row>
    <row r="4913" spans="1:10" ht="38.25" customHeight="1">
      <c r="A4913" s="817" t="s">
        <v>13491</v>
      </c>
      <c r="B4913" s="816" t="s">
        <v>14728</v>
      </c>
      <c r="C4913" s="817" t="s">
        <v>6</v>
      </c>
      <c r="D4913" s="817" t="s">
        <v>1092</v>
      </c>
      <c r="E4913" s="1021" t="s">
        <v>13539</v>
      </c>
      <c r="F4913" s="1021"/>
      <c r="G4913" s="818" t="s">
        <v>19</v>
      </c>
      <c r="H4913" s="819">
        <v>1</v>
      </c>
      <c r="I4913" s="820">
        <v>4.4000000000000004</v>
      </c>
      <c r="J4913" s="820">
        <v>4.4000000000000004</v>
      </c>
    </row>
    <row r="4914" spans="1:10" ht="38.25" customHeight="1">
      <c r="A4914" s="817" t="s">
        <v>13491</v>
      </c>
      <c r="B4914" s="816" t="s">
        <v>14711</v>
      </c>
      <c r="C4914" s="817" t="s">
        <v>6</v>
      </c>
      <c r="D4914" s="817" t="s">
        <v>150</v>
      </c>
      <c r="E4914" s="1021" t="s">
        <v>13490</v>
      </c>
      <c r="F4914" s="1021"/>
      <c r="G4914" s="818" t="s">
        <v>19</v>
      </c>
      <c r="H4914" s="819">
        <v>1</v>
      </c>
      <c r="I4914" s="820">
        <v>15.33</v>
      </c>
      <c r="J4914" s="820">
        <v>15.33</v>
      </c>
    </row>
    <row r="4915" spans="1:10" ht="25.5">
      <c r="A4915" s="827"/>
      <c r="B4915" s="827"/>
      <c r="C4915" s="827"/>
      <c r="D4915" s="827"/>
      <c r="E4915" s="827" t="s">
        <v>13503</v>
      </c>
      <c r="F4915" s="826">
        <v>11.49</v>
      </c>
      <c r="G4915" s="827" t="s">
        <v>13504</v>
      </c>
      <c r="H4915" s="826">
        <v>0</v>
      </c>
      <c r="I4915" s="827" t="s">
        <v>13505</v>
      </c>
      <c r="J4915" s="826">
        <v>11.49</v>
      </c>
    </row>
    <row r="4916" spans="1:10" ht="13.5" customHeight="1" thickBot="1">
      <c r="A4916" s="827"/>
      <c r="B4916" s="827"/>
      <c r="C4916" s="827"/>
      <c r="D4916" s="827"/>
      <c r="E4916" s="827" t="s">
        <v>13506</v>
      </c>
      <c r="F4916" s="826">
        <v>43.87</v>
      </c>
      <c r="G4916" s="827"/>
      <c r="H4916" s="1018" t="s">
        <v>13507</v>
      </c>
      <c r="I4916" s="1018"/>
      <c r="J4916" s="826">
        <v>199.23</v>
      </c>
    </row>
    <row r="4917" spans="1:10" ht="13.5" thickTop="1">
      <c r="A4917" s="828"/>
      <c r="B4917" s="828"/>
      <c r="C4917" s="828"/>
      <c r="D4917" s="828"/>
      <c r="E4917" s="828"/>
      <c r="F4917" s="828"/>
      <c r="G4917" s="828"/>
      <c r="H4917" s="828"/>
      <c r="I4917" s="828"/>
      <c r="J4917" s="828"/>
    </row>
    <row r="4918" spans="1:10" ht="15">
      <c r="A4918" s="809"/>
      <c r="B4918" s="808" t="s">
        <v>13481</v>
      </c>
      <c r="C4918" s="809" t="s">
        <v>13482</v>
      </c>
      <c r="D4918" s="809" t="s">
        <v>13483</v>
      </c>
      <c r="E4918" s="1019" t="s">
        <v>13484</v>
      </c>
      <c r="F4918" s="1019"/>
      <c r="G4918" s="810" t="s">
        <v>13485</v>
      </c>
      <c r="H4918" s="808" t="s">
        <v>13486</v>
      </c>
      <c r="I4918" s="808" t="s">
        <v>13487</v>
      </c>
      <c r="J4918" s="808" t="s">
        <v>4867</v>
      </c>
    </row>
    <row r="4919" spans="1:10" ht="25.5" customHeight="1">
      <c r="A4919" s="812" t="s">
        <v>13488</v>
      </c>
      <c r="B4919" s="811" t="s">
        <v>14727</v>
      </c>
      <c r="C4919" s="812" t="s">
        <v>6</v>
      </c>
      <c r="D4919" s="812" t="s">
        <v>1091</v>
      </c>
      <c r="E4919" s="1020" t="s">
        <v>13539</v>
      </c>
      <c r="F4919" s="1020"/>
      <c r="G4919" s="813" t="s">
        <v>19</v>
      </c>
      <c r="H4919" s="814">
        <v>1</v>
      </c>
      <c r="I4919" s="815">
        <v>32.479999999999997</v>
      </c>
      <c r="J4919" s="815">
        <v>32.479999999999997</v>
      </c>
    </row>
    <row r="4920" spans="1:10" ht="38.25">
      <c r="A4920" s="822" t="s">
        <v>13493</v>
      </c>
      <c r="B4920" s="821" t="s">
        <v>14731</v>
      </c>
      <c r="C4920" s="822" t="s">
        <v>6</v>
      </c>
      <c r="D4920" s="822" t="s">
        <v>4737</v>
      </c>
      <c r="E4920" s="1017" t="s">
        <v>13497</v>
      </c>
      <c r="F4920" s="1017"/>
      <c r="G4920" s="823" t="s">
        <v>24</v>
      </c>
      <c r="H4920" s="824">
        <v>5.5999999999999999E-5</v>
      </c>
      <c r="I4920" s="825">
        <v>580000</v>
      </c>
      <c r="J4920" s="825">
        <v>32.479999999999997</v>
      </c>
    </row>
    <row r="4921" spans="1:10" ht="25.5">
      <c r="A4921" s="827"/>
      <c r="B4921" s="827"/>
      <c r="C4921" s="827"/>
      <c r="D4921" s="827"/>
      <c r="E4921" s="827" t="s">
        <v>13503</v>
      </c>
      <c r="F4921" s="826">
        <v>0</v>
      </c>
      <c r="G4921" s="827" t="s">
        <v>13504</v>
      </c>
      <c r="H4921" s="826">
        <v>0</v>
      </c>
      <c r="I4921" s="827" t="s">
        <v>13505</v>
      </c>
      <c r="J4921" s="826">
        <v>0</v>
      </c>
    </row>
    <row r="4922" spans="1:10" ht="13.5" customHeight="1" thickBot="1">
      <c r="A4922" s="827"/>
      <c r="B4922" s="827"/>
      <c r="C4922" s="827"/>
      <c r="D4922" s="827"/>
      <c r="E4922" s="827" t="s">
        <v>13506</v>
      </c>
      <c r="F4922" s="826">
        <v>9.17</v>
      </c>
      <c r="G4922" s="827"/>
      <c r="H4922" s="1018" t="s">
        <v>13507</v>
      </c>
      <c r="I4922" s="1018"/>
      <c r="J4922" s="826">
        <v>41.65</v>
      </c>
    </row>
    <row r="4923" spans="1:10" ht="13.5" thickTop="1">
      <c r="A4923" s="828"/>
      <c r="B4923" s="828"/>
      <c r="C4923" s="828"/>
      <c r="D4923" s="828"/>
      <c r="E4923" s="828"/>
      <c r="F4923" s="828"/>
      <c r="G4923" s="828"/>
      <c r="H4923" s="828"/>
      <c r="I4923" s="828"/>
      <c r="J4923" s="828"/>
    </row>
    <row r="4924" spans="1:10" ht="15">
      <c r="A4924" s="809"/>
      <c r="B4924" s="808" t="s">
        <v>13481</v>
      </c>
      <c r="C4924" s="809" t="s">
        <v>13482</v>
      </c>
      <c r="D4924" s="809" t="s">
        <v>13483</v>
      </c>
      <c r="E4924" s="1019" t="s">
        <v>13484</v>
      </c>
      <c r="F4924" s="1019"/>
      <c r="G4924" s="810" t="s">
        <v>13485</v>
      </c>
      <c r="H4924" s="808" t="s">
        <v>13486</v>
      </c>
      <c r="I4924" s="808" t="s">
        <v>13487</v>
      </c>
      <c r="J4924" s="808" t="s">
        <v>4867</v>
      </c>
    </row>
    <row r="4925" spans="1:10" ht="25.5" customHeight="1">
      <c r="A4925" s="812" t="s">
        <v>13488</v>
      </c>
      <c r="B4925" s="811" t="s">
        <v>14728</v>
      </c>
      <c r="C4925" s="812" t="s">
        <v>6</v>
      </c>
      <c r="D4925" s="812" t="s">
        <v>1092</v>
      </c>
      <c r="E4925" s="1020" t="s">
        <v>13539</v>
      </c>
      <c r="F4925" s="1020"/>
      <c r="G4925" s="813" t="s">
        <v>19</v>
      </c>
      <c r="H4925" s="814">
        <v>1</v>
      </c>
      <c r="I4925" s="815">
        <v>4.4000000000000004</v>
      </c>
      <c r="J4925" s="815">
        <v>4.4000000000000004</v>
      </c>
    </row>
    <row r="4926" spans="1:10" ht="38.25">
      <c r="A4926" s="822" t="s">
        <v>13493</v>
      </c>
      <c r="B4926" s="821" t="s">
        <v>14731</v>
      </c>
      <c r="C4926" s="822" t="s">
        <v>6</v>
      </c>
      <c r="D4926" s="822" t="s">
        <v>4737</v>
      </c>
      <c r="E4926" s="1017" t="s">
        <v>13497</v>
      </c>
      <c r="F4926" s="1017"/>
      <c r="G4926" s="823" t="s">
        <v>24</v>
      </c>
      <c r="H4926" s="824">
        <v>7.6000000000000001E-6</v>
      </c>
      <c r="I4926" s="825">
        <v>580000</v>
      </c>
      <c r="J4926" s="825">
        <v>4.4000000000000004</v>
      </c>
    </row>
    <row r="4927" spans="1:10" ht="25.5">
      <c r="A4927" s="827"/>
      <c r="B4927" s="827"/>
      <c r="C4927" s="827"/>
      <c r="D4927" s="827"/>
      <c r="E4927" s="827" t="s">
        <v>13503</v>
      </c>
      <c r="F4927" s="826">
        <v>0</v>
      </c>
      <c r="G4927" s="827" t="s">
        <v>13504</v>
      </c>
      <c r="H4927" s="826">
        <v>0</v>
      </c>
      <c r="I4927" s="827" t="s">
        <v>13505</v>
      </c>
      <c r="J4927" s="826">
        <v>0</v>
      </c>
    </row>
    <row r="4928" spans="1:10" ht="13.5" customHeight="1" thickBot="1">
      <c r="A4928" s="827"/>
      <c r="B4928" s="827"/>
      <c r="C4928" s="827"/>
      <c r="D4928" s="827"/>
      <c r="E4928" s="827" t="s">
        <v>13506</v>
      </c>
      <c r="F4928" s="826">
        <v>1.24</v>
      </c>
      <c r="G4928" s="827"/>
      <c r="H4928" s="1018" t="s">
        <v>13507</v>
      </c>
      <c r="I4928" s="1018"/>
      <c r="J4928" s="826">
        <v>5.64</v>
      </c>
    </row>
    <row r="4929" spans="1:10" ht="13.5" thickTop="1">
      <c r="A4929" s="828"/>
      <c r="B4929" s="828"/>
      <c r="C4929" s="828"/>
      <c r="D4929" s="828"/>
      <c r="E4929" s="828"/>
      <c r="F4929" s="828"/>
      <c r="G4929" s="828"/>
      <c r="H4929" s="828"/>
      <c r="I4929" s="828"/>
      <c r="J4929" s="828"/>
    </row>
    <row r="4930" spans="1:10" ht="15">
      <c r="A4930" s="809"/>
      <c r="B4930" s="808" t="s">
        <v>13481</v>
      </c>
      <c r="C4930" s="809" t="s">
        <v>13482</v>
      </c>
      <c r="D4930" s="809" t="s">
        <v>13483</v>
      </c>
      <c r="E4930" s="1019" t="s">
        <v>13484</v>
      </c>
      <c r="F4930" s="1019"/>
      <c r="G4930" s="810" t="s">
        <v>13485</v>
      </c>
      <c r="H4930" s="808" t="s">
        <v>13486</v>
      </c>
      <c r="I4930" s="808" t="s">
        <v>13487</v>
      </c>
      <c r="J4930" s="808" t="s">
        <v>4867</v>
      </c>
    </row>
    <row r="4931" spans="1:10" ht="25.5" customHeight="1">
      <c r="A4931" s="812" t="s">
        <v>13488</v>
      </c>
      <c r="B4931" s="811" t="s">
        <v>14730</v>
      </c>
      <c r="C4931" s="812" t="s">
        <v>6</v>
      </c>
      <c r="D4931" s="812" t="s">
        <v>789</v>
      </c>
      <c r="E4931" s="1020" t="s">
        <v>13539</v>
      </c>
      <c r="F4931" s="1020"/>
      <c r="G4931" s="813" t="s">
        <v>19</v>
      </c>
      <c r="H4931" s="814">
        <v>1</v>
      </c>
      <c r="I4931" s="815">
        <v>58</v>
      </c>
      <c r="J4931" s="815">
        <v>58</v>
      </c>
    </row>
    <row r="4932" spans="1:10" ht="38.25">
      <c r="A4932" s="822" t="s">
        <v>13493</v>
      </c>
      <c r="B4932" s="821" t="s">
        <v>14731</v>
      </c>
      <c r="C4932" s="822" t="s">
        <v>6</v>
      </c>
      <c r="D4932" s="822" t="s">
        <v>4737</v>
      </c>
      <c r="E4932" s="1017" t="s">
        <v>13497</v>
      </c>
      <c r="F4932" s="1017"/>
      <c r="G4932" s="823" t="s">
        <v>24</v>
      </c>
      <c r="H4932" s="824">
        <v>1E-4</v>
      </c>
      <c r="I4932" s="825">
        <v>580000</v>
      </c>
      <c r="J4932" s="825">
        <v>58</v>
      </c>
    </row>
    <row r="4933" spans="1:10" ht="25.5">
      <c r="A4933" s="827"/>
      <c r="B4933" s="827"/>
      <c r="C4933" s="827"/>
      <c r="D4933" s="827"/>
      <c r="E4933" s="827" t="s">
        <v>13503</v>
      </c>
      <c r="F4933" s="826">
        <v>0</v>
      </c>
      <c r="G4933" s="827" t="s">
        <v>13504</v>
      </c>
      <c r="H4933" s="826">
        <v>0</v>
      </c>
      <c r="I4933" s="827" t="s">
        <v>13505</v>
      </c>
      <c r="J4933" s="826">
        <v>0</v>
      </c>
    </row>
    <row r="4934" spans="1:10" ht="13.5" customHeight="1" thickBot="1">
      <c r="A4934" s="827"/>
      <c r="B4934" s="827"/>
      <c r="C4934" s="827"/>
      <c r="D4934" s="827"/>
      <c r="E4934" s="827" t="s">
        <v>13506</v>
      </c>
      <c r="F4934" s="826">
        <v>16.37</v>
      </c>
      <c r="G4934" s="827"/>
      <c r="H4934" s="1018" t="s">
        <v>13507</v>
      </c>
      <c r="I4934" s="1018"/>
      <c r="J4934" s="826">
        <v>74.37</v>
      </c>
    </row>
    <row r="4935" spans="1:10" ht="13.5" thickTop="1">
      <c r="A4935" s="828"/>
      <c r="B4935" s="828"/>
      <c r="C4935" s="828"/>
      <c r="D4935" s="828"/>
      <c r="E4935" s="828"/>
      <c r="F4935" s="828"/>
      <c r="G4935" s="828"/>
      <c r="H4935" s="828"/>
      <c r="I4935" s="828"/>
      <c r="J4935" s="828"/>
    </row>
    <row r="4936" spans="1:10" ht="15">
      <c r="A4936" s="809"/>
      <c r="B4936" s="808" t="s">
        <v>13481</v>
      </c>
      <c r="C4936" s="809" t="s">
        <v>13482</v>
      </c>
      <c r="D4936" s="809" t="s">
        <v>13483</v>
      </c>
      <c r="E4936" s="1019" t="s">
        <v>13484</v>
      </c>
      <c r="F4936" s="1019"/>
      <c r="G4936" s="810" t="s">
        <v>13485</v>
      </c>
      <c r="H4936" s="808" t="s">
        <v>13486</v>
      </c>
      <c r="I4936" s="808" t="s">
        <v>13487</v>
      </c>
      <c r="J4936" s="808" t="s">
        <v>4867</v>
      </c>
    </row>
    <row r="4937" spans="1:10" ht="25.5" customHeight="1">
      <c r="A4937" s="812" t="s">
        <v>13488</v>
      </c>
      <c r="B4937" s="811" t="s">
        <v>14729</v>
      </c>
      <c r="C4937" s="812" t="s">
        <v>6</v>
      </c>
      <c r="D4937" s="812" t="s">
        <v>790</v>
      </c>
      <c r="E4937" s="1020" t="s">
        <v>13539</v>
      </c>
      <c r="F4937" s="1020"/>
      <c r="G4937" s="813" t="s">
        <v>19</v>
      </c>
      <c r="H4937" s="814">
        <v>1</v>
      </c>
      <c r="I4937" s="815">
        <v>45.15</v>
      </c>
      <c r="J4937" s="815">
        <v>45.15</v>
      </c>
    </row>
    <row r="4938" spans="1:10">
      <c r="A4938" s="822" t="s">
        <v>13493</v>
      </c>
      <c r="B4938" s="821" t="s">
        <v>14463</v>
      </c>
      <c r="C4938" s="822" t="s">
        <v>6</v>
      </c>
      <c r="D4938" s="822" t="s">
        <v>4725</v>
      </c>
      <c r="E4938" s="1017" t="s">
        <v>13514</v>
      </c>
      <c r="F4938" s="1017"/>
      <c r="G4938" s="823" t="s">
        <v>39</v>
      </c>
      <c r="H4938" s="824">
        <v>7.64</v>
      </c>
      <c r="I4938" s="825">
        <v>5.91</v>
      </c>
      <c r="J4938" s="825">
        <v>45.15</v>
      </c>
    </row>
    <row r="4939" spans="1:10" ht="25.5">
      <c r="A4939" s="827"/>
      <c r="B4939" s="827"/>
      <c r="C4939" s="827"/>
      <c r="D4939" s="827"/>
      <c r="E4939" s="827" t="s">
        <v>13503</v>
      </c>
      <c r="F4939" s="826">
        <v>0</v>
      </c>
      <c r="G4939" s="827" t="s">
        <v>13504</v>
      </c>
      <c r="H4939" s="826">
        <v>0</v>
      </c>
      <c r="I4939" s="827" t="s">
        <v>13505</v>
      </c>
      <c r="J4939" s="826">
        <v>0</v>
      </c>
    </row>
    <row r="4940" spans="1:10" ht="13.5" customHeight="1" thickBot="1">
      <c r="A4940" s="827"/>
      <c r="B4940" s="827"/>
      <c r="C4940" s="827"/>
      <c r="D4940" s="827"/>
      <c r="E4940" s="827" t="s">
        <v>13506</v>
      </c>
      <c r="F4940" s="826">
        <v>12.75</v>
      </c>
      <c r="G4940" s="827"/>
      <c r="H4940" s="1018" t="s">
        <v>13507</v>
      </c>
      <c r="I4940" s="1018"/>
      <c r="J4940" s="826">
        <v>57.9</v>
      </c>
    </row>
    <row r="4941" spans="1:10" ht="13.5" thickTop="1">
      <c r="A4941" s="828"/>
      <c r="B4941" s="828"/>
      <c r="C4941" s="828"/>
      <c r="D4941" s="828"/>
      <c r="E4941" s="828"/>
      <c r="F4941" s="828"/>
      <c r="G4941" s="828"/>
      <c r="H4941" s="828"/>
      <c r="I4941" s="828"/>
      <c r="J4941" s="828"/>
    </row>
    <row r="4942" spans="1:10" ht="15">
      <c r="A4942" s="809"/>
      <c r="B4942" s="808" t="s">
        <v>13481</v>
      </c>
      <c r="C4942" s="809" t="s">
        <v>13482</v>
      </c>
      <c r="D4942" s="809" t="s">
        <v>13483</v>
      </c>
      <c r="E4942" s="1019" t="s">
        <v>13484</v>
      </c>
      <c r="F4942" s="1019"/>
      <c r="G4942" s="810" t="s">
        <v>13485</v>
      </c>
      <c r="H4942" s="808" t="s">
        <v>13486</v>
      </c>
      <c r="I4942" s="808" t="s">
        <v>13487</v>
      </c>
      <c r="J4942" s="808" t="s">
        <v>4867</v>
      </c>
    </row>
    <row r="4943" spans="1:10" ht="38.25" customHeight="1">
      <c r="A4943" s="812" t="s">
        <v>13488</v>
      </c>
      <c r="B4943" s="811" t="s">
        <v>14451</v>
      </c>
      <c r="C4943" s="812" t="s">
        <v>6</v>
      </c>
      <c r="D4943" s="812" t="s">
        <v>1059</v>
      </c>
      <c r="E4943" s="1020" t="s">
        <v>13539</v>
      </c>
      <c r="F4943" s="1020"/>
      <c r="G4943" s="813" t="s">
        <v>19</v>
      </c>
      <c r="H4943" s="814">
        <v>1</v>
      </c>
      <c r="I4943" s="815">
        <v>19.78</v>
      </c>
      <c r="J4943" s="815">
        <v>19.78</v>
      </c>
    </row>
    <row r="4944" spans="1:10" ht="63.75">
      <c r="A4944" s="822" t="s">
        <v>13493</v>
      </c>
      <c r="B4944" s="821" t="s">
        <v>14732</v>
      </c>
      <c r="C4944" s="822" t="s">
        <v>6</v>
      </c>
      <c r="D4944" s="822" t="s">
        <v>4774</v>
      </c>
      <c r="E4944" s="1017" t="s">
        <v>13497</v>
      </c>
      <c r="F4944" s="1017"/>
      <c r="G4944" s="823" t="s">
        <v>24</v>
      </c>
      <c r="H4944" s="824">
        <v>5.5999999999999999E-5</v>
      </c>
      <c r="I4944" s="825">
        <v>353292.9</v>
      </c>
      <c r="J4944" s="825">
        <v>19.78</v>
      </c>
    </row>
    <row r="4945" spans="1:10" ht="25.5">
      <c r="A4945" s="827"/>
      <c r="B4945" s="827"/>
      <c r="C4945" s="827"/>
      <c r="D4945" s="827"/>
      <c r="E4945" s="827" t="s">
        <v>13503</v>
      </c>
      <c r="F4945" s="826">
        <v>0</v>
      </c>
      <c r="G4945" s="827" t="s">
        <v>13504</v>
      </c>
      <c r="H4945" s="826">
        <v>0</v>
      </c>
      <c r="I4945" s="827" t="s">
        <v>13505</v>
      </c>
      <c r="J4945" s="826">
        <v>0</v>
      </c>
    </row>
    <row r="4946" spans="1:10" ht="13.5" customHeight="1" thickBot="1">
      <c r="A4946" s="827"/>
      <c r="B4946" s="827"/>
      <c r="C4946" s="827"/>
      <c r="D4946" s="827"/>
      <c r="E4946" s="827" t="s">
        <v>13506</v>
      </c>
      <c r="F4946" s="826">
        <v>5.58</v>
      </c>
      <c r="G4946" s="827"/>
      <c r="H4946" s="1018" t="s">
        <v>13507</v>
      </c>
      <c r="I4946" s="1018"/>
      <c r="J4946" s="826">
        <v>25.36</v>
      </c>
    </row>
    <row r="4947" spans="1:10" ht="13.5" thickTop="1">
      <c r="A4947" s="828"/>
      <c r="B4947" s="828"/>
      <c r="C4947" s="828"/>
      <c r="D4947" s="828"/>
      <c r="E4947" s="828"/>
      <c r="F4947" s="828"/>
      <c r="G4947" s="828"/>
      <c r="H4947" s="828"/>
      <c r="I4947" s="828"/>
      <c r="J4947" s="828"/>
    </row>
    <row r="4948" spans="1:10" ht="15">
      <c r="A4948" s="809"/>
      <c r="B4948" s="808" t="s">
        <v>13481</v>
      </c>
      <c r="C4948" s="809" t="s">
        <v>13482</v>
      </c>
      <c r="D4948" s="809" t="s">
        <v>13483</v>
      </c>
      <c r="E4948" s="1019" t="s">
        <v>13484</v>
      </c>
      <c r="F4948" s="1019"/>
      <c r="G4948" s="810" t="s">
        <v>13485</v>
      </c>
      <c r="H4948" s="808" t="s">
        <v>13486</v>
      </c>
      <c r="I4948" s="808" t="s">
        <v>13487</v>
      </c>
      <c r="J4948" s="808" t="s">
        <v>4867</v>
      </c>
    </row>
    <row r="4949" spans="1:10" ht="38.25" customHeight="1">
      <c r="A4949" s="812" t="s">
        <v>13488</v>
      </c>
      <c r="B4949" s="811" t="s">
        <v>14450</v>
      </c>
      <c r="C4949" s="812" t="s">
        <v>6</v>
      </c>
      <c r="D4949" s="812" t="s">
        <v>1060</v>
      </c>
      <c r="E4949" s="1020" t="s">
        <v>13539</v>
      </c>
      <c r="F4949" s="1020"/>
      <c r="G4949" s="813" t="s">
        <v>19</v>
      </c>
      <c r="H4949" s="814">
        <v>1</v>
      </c>
      <c r="I4949" s="815">
        <v>2.68</v>
      </c>
      <c r="J4949" s="815">
        <v>2.68</v>
      </c>
    </row>
    <row r="4950" spans="1:10" ht="63.75">
      <c r="A4950" s="822" t="s">
        <v>13493</v>
      </c>
      <c r="B4950" s="821" t="s">
        <v>14732</v>
      </c>
      <c r="C4950" s="822" t="s">
        <v>6</v>
      </c>
      <c r="D4950" s="822" t="s">
        <v>4774</v>
      </c>
      <c r="E4950" s="1017" t="s">
        <v>13497</v>
      </c>
      <c r="F4950" s="1017"/>
      <c r="G4950" s="823" t="s">
        <v>24</v>
      </c>
      <c r="H4950" s="824">
        <v>7.6000000000000001E-6</v>
      </c>
      <c r="I4950" s="825">
        <v>353292.9</v>
      </c>
      <c r="J4950" s="825">
        <v>2.68</v>
      </c>
    </row>
    <row r="4951" spans="1:10" ht="25.5">
      <c r="A4951" s="827"/>
      <c r="B4951" s="827"/>
      <c r="C4951" s="827"/>
      <c r="D4951" s="827"/>
      <c r="E4951" s="827" t="s">
        <v>13503</v>
      </c>
      <c r="F4951" s="826">
        <v>0</v>
      </c>
      <c r="G4951" s="827" t="s">
        <v>13504</v>
      </c>
      <c r="H4951" s="826">
        <v>0</v>
      </c>
      <c r="I4951" s="827" t="s">
        <v>13505</v>
      </c>
      <c r="J4951" s="826">
        <v>0</v>
      </c>
    </row>
    <row r="4952" spans="1:10" ht="13.5" customHeight="1" thickBot="1">
      <c r="A4952" s="827"/>
      <c r="B4952" s="827"/>
      <c r="C4952" s="827"/>
      <c r="D4952" s="827"/>
      <c r="E4952" s="827" t="s">
        <v>13506</v>
      </c>
      <c r="F4952" s="826">
        <v>0.75</v>
      </c>
      <c r="G4952" s="827"/>
      <c r="H4952" s="1018" t="s">
        <v>13507</v>
      </c>
      <c r="I4952" s="1018"/>
      <c r="J4952" s="826">
        <v>3.43</v>
      </c>
    </row>
    <row r="4953" spans="1:10" ht="13.5" thickTop="1">
      <c r="A4953" s="828"/>
      <c r="B4953" s="828"/>
      <c r="C4953" s="828"/>
      <c r="D4953" s="828"/>
      <c r="E4953" s="828"/>
      <c r="F4953" s="828"/>
      <c r="G4953" s="828"/>
      <c r="H4953" s="828"/>
      <c r="I4953" s="828"/>
      <c r="J4953" s="828"/>
    </row>
    <row r="4954" spans="1:10" ht="15">
      <c r="A4954" s="809"/>
      <c r="B4954" s="808" t="s">
        <v>13481</v>
      </c>
      <c r="C4954" s="809" t="s">
        <v>13482</v>
      </c>
      <c r="D4954" s="809" t="s">
        <v>13483</v>
      </c>
      <c r="E4954" s="1019" t="s">
        <v>13484</v>
      </c>
      <c r="F4954" s="1019"/>
      <c r="G4954" s="810" t="s">
        <v>13485</v>
      </c>
      <c r="H4954" s="808" t="s">
        <v>13486</v>
      </c>
      <c r="I4954" s="808" t="s">
        <v>13487</v>
      </c>
      <c r="J4954" s="808" t="s">
        <v>4867</v>
      </c>
    </row>
    <row r="4955" spans="1:10" ht="38.25" customHeight="1">
      <c r="A4955" s="812" t="s">
        <v>13488</v>
      </c>
      <c r="B4955" s="811" t="s">
        <v>14448</v>
      </c>
      <c r="C4955" s="812" t="s">
        <v>6</v>
      </c>
      <c r="D4955" s="812" t="s">
        <v>673</v>
      </c>
      <c r="E4955" s="1020" t="s">
        <v>13539</v>
      </c>
      <c r="F4955" s="1020"/>
      <c r="G4955" s="813" t="s">
        <v>19</v>
      </c>
      <c r="H4955" s="814">
        <v>1</v>
      </c>
      <c r="I4955" s="815">
        <v>24.73</v>
      </c>
      <c r="J4955" s="815">
        <v>24.73</v>
      </c>
    </row>
    <row r="4956" spans="1:10" ht="63.75">
      <c r="A4956" s="822" t="s">
        <v>13493</v>
      </c>
      <c r="B4956" s="821" t="s">
        <v>14732</v>
      </c>
      <c r="C4956" s="822" t="s">
        <v>6</v>
      </c>
      <c r="D4956" s="822" t="s">
        <v>4774</v>
      </c>
      <c r="E4956" s="1017" t="s">
        <v>13497</v>
      </c>
      <c r="F4956" s="1017"/>
      <c r="G4956" s="823" t="s">
        <v>24</v>
      </c>
      <c r="H4956" s="824">
        <v>6.9999999999999994E-5</v>
      </c>
      <c r="I4956" s="825">
        <v>353292.9</v>
      </c>
      <c r="J4956" s="825">
        <v>24.73</v>
      </c>
    </row>
    <row r="4957" spans="1:10" ht="25.5">
      <c r="A4957" s="827"/>
      <c r="B4957" s="827"/>
      <c r="C4957" s="827"/>
      <c r="D4957" s="827"/>
      <c r="E4957" s="827" t="s">
        <v>13503</v>
      </c>
      <c r="F4957" s="826">
        <v>0</v>
      </c>
      <c r="G4957" s="827" t="s">
        <v>13504</v>
      </c>
      <c r="H4957" s="826">
        <v>0</v>
      </c>
      <c r="I4957" s="827" t="s">
        <v>13505</v>
      </c>
      <c r="J4957" s="826">
        <v>0</v>
      </c>
    </row>
    <row r="4958" spans="1:10" ht="13.5" customHeight="1" thickBot="1">
      <c r="A4958" s="827"/>
      <c r="B4958" s="827"/>
      <c r="C4958" s="827"/>
      <c r="D4958" s="827"/>
      <c r="E4958" s="827" t="s">
        <v>13506</v>
      </c>
      <c r="F4958" s="826">
        <v>6.98</v>
      </c>
      <c r="G4958" s="827"/>
      <c r="H4958" s="1018" t="s">
        <v>13507</v>
      </c>
      <c r="I4958" s="1018"/>
      <c r="J4958" s="826">
        <v>31.71</v>
      </c>
    </row>
    <row r="4959" spans="1:10" ht="13.5" thickTop="1">
      <c r="A4959" s="828"/>
      <c r="B4959" s="828"/>
      <c r="C4959" s="828"/>
      <c r="D4959" s="828"/>
      <c r="E4959" s="828"/>
      <c r="F4959" s="828"/>
      <c r="G4959" s="828"/>
      <c r="H4959" s="828"/>
      <c r="I4959" s="828"/>
      <c r="J4959" s="828"/>
    </row>
    <row r="4960" spans="1:10" ht="15">
      <c r="A4960" s="809"/>
      <c r="B4960" s="808" t="s">
        <v>13481</v>
      </c>
      <c r="C4960" s="809" t="s">
        <v>13482</v>
      </c>
      <c r="D4960" s="809" t="s">
        <v>13483</v>
      </c>
      <c r="E4960" s="1019" t="s">
        <v>13484</v>
      </c>
      <c r="F4960" s="1019"/>
      <c r="G4960" s="810" t="s">
        <v>13485</v>
      </c>
      <c r="H4960" s="808" t="s">
        <v>13486</v>
      </c>
      <c r="I4960" s="808" t="s">
        <v>13487</v>
      </c>
      <c r="J4960" s="808" t="s">
        <v>4867</v>
      </c>
    </row>
    <row r="4961" spans="1:10" ht="38.25" customHeight="1">
      <c r="A4961" s="812" t="s">
        <v>13488</v>
      </c>
      <c r="B4961" s="811" t="s">
        <v>14449</v>
      </c>
      <c r="C4961" s="812" t="s">
        <v>6</v>
      </c>
      <c r="D4961" s="812" t="s">
        <v>775</v>
      </c>
      <c r="E4961" s="1020" t="s">
        <v>13539</v>
      </c>
      <c r="F4961" s="1020"/>
      <c r="G4961" s="813" t="s">
        <v>19</v>
      </c>
      <c r="H4961" s="814">
        <v>1</v>
      </c>
      <c r="I4961" s="815">
        <v>50.41</v>
      </c>
      <c r="J4961" s="815">
        <v>50.41</v>
      </c>
    </row>
    <row r="4962" spans="1:10">
      <c r="A4962" s="822" t="s">
        <v>13493</v>
      </c>
      <c r="B4962" s="821" t="s">
        <v>14463</v>
      </c>
      <c r="C4962" s="822" t="s">
        <v>6</v>
      </c>
      <c r="D4962" s="822" t="s">
        <v>4725</v>
      </c>
      <c r="E4962" s="1017" t="s">
        <v>13514</v>
      </c>
      <c r="F4962" s="1017"/>
      <c r="G4962" s="823" t="s">
        <v>39</v>
      </c>
      <c r="H4962" s="824">
        <v>8.5299999999999994</v>
      </c>
      <c r="I4962" s="825">
        <v>5.91</v>
      </c>
      <c r="J4962" s="825">
        <v>50.41</v>
      </c>
    </row>
    <row r="4963" spans="1:10" ht="25.5">
      <c r="A4963" s="827"/>
      <c r="B4963" s="827"/>
      <c r="C4963" s="827"/>
      <c r="D4963" s="827"/>
      <c r="E4963" s="827" t="s">
        <v>13503</v>
      </c>
      <c r="F4963" s="826">
        <v>0</v>
      </c>
      <c r="G4963" s="827" t="s">
        <v>13504</v>
      </c>
      <c r="H4963" s="826">
        <v>0</v>
      </c>
      <c r="I4963" s="827" t="s">
        <v>13505</v>
      </c>
      <c r="J4963" s="826">
        <v>0</v>
      </c>
    </row>
    <row r="4964" spans="1:10" ht="13.5" customHeight="1" thickBot="1">
      <c r="A4964" s="827"/>
      <c r="B4964" s="827"/>
      <c r="C4964" s="827"/>
      <c r="D4964" s="827"/>
      <c r="E4964" s="827" t="s">
        <v>13506</v>
      </c>
      <c r="F4964" s="826">
        <v>14.23</v>
      </c>
      <c r="G4964" s="827"/>
      <c r="H4964" s="1018" t="s">
        <v>13507</v>
      </c>
      <c r="I4964" s="1018"/>
      <c r="J4964" s="826">
        <v>64.64</v>
      </c>
    </row>
    <row r="4965" spans="1:10" ht="13.5" thickTop="1">
      <c r="A4965" s="828"/>
      <c r="B4965" s="828"/>
      <c r="C4965" s="828"/>
      <c r="D4965" s="828"/>
      <c r="E4965" s="828"/>
      <c r="F4965" s="828"/>
      <c r="G4965" s="828"/>
      <c r="H4965" s="828"/>
      <c r="I4965" s="828"/>
      <c r="J4965" s="828"/>
    </row>
    <row r="4966" spans="1:10" ht="15">
      <c r="A4966" s="809"/>
      <c r="B4966" s="808" t="s">
        <v>13481</v>
      </c>
      <c r="C4966" s="809" t="s">
        <v>13482</v>
      </c>
      <c r="D4966" s="809" t="s">
        <v>13483</v>
      </c>
      <c r="E4966" s="1019" t="s">
        <v>13484</v>
      </c>
      <c r="F4966" s="1019"/>
      <c r="G4966" s="810" t="s">
        <v>13485</v>
      </c>
      <c r="H4966" s="808" t="s">
        <v>13486</v>
      </c>
      <c r="I4966" s="808" t="s">
        <v>13487</v>
      </c>
      <c r="J4966" s="808" t="s">
        <v>4867</v>
      </c>
    </row>
    <row r="4967" spans="1:10" ht="25.5" customHeight="1">
      <c r="A4967" s="812" t="s">
        <v>13488</v>
      </c>
      <c r="B4967" s="811" t="s">
        <v>13540</v>
      </c>
      <c r="C4967" s="812" t="s">
        <v>6</v>
      </c>
      <c r="D4967" s="812" t="s">
        <v>1794</v>
      </c>
      <c r="E4967" s="1020" t="s">
        <v>13539</v>
      </c>
      <c r="F4967" s="1020"/>
      <c r="G4967" s="813" t="s">
        <v>42</v>
      </c>
      <c r="H4967" s="814">
        <v>1</v>
      </c>
      <c r="I4967" s="815">
        <v>14.51</v>
      </c>
      <c r="J4967" s="815">
        <v>14.51</v>
      </c>
    </row>
    <row r="4968" spans="1:10" ht="38.25" customHeight="1">
      <c r="A4968" s="817" t="s">
        <v>13491</v>
      </c>
      <c r="B4968" s="816" t="s">
        <v>14733</v>
      </c>
      <c r="C4968" s="817" t="s">
        <v>6</v>
      </c>
      <c r="D4968" s="817" t="s">
        <v>1789</v>
      </c>
      <c r="E4968" s="1021" t="s">
        <v>13539</v>
      </c>
      <c r="F4968" s="1021"/>
      <c r="G4968" s="818" t="s">
        <v>19</v>
      </c>
      <c r="H4968" s="819">
        <v>1</v>
      </c>
      <c r="I4968" s="820">
        <v>0.12</v>
      </c>
      <c r="J4968" s="820">
        <v>0.12</v>
      </c>
    </row>
    <row r="4969" spans="1:10" ht="38.25" customHeight="1">
      <c r="A4969" s="817" t="s">
        <v>13491</v>
      </c>
      <c r="B4969" s="816" t="s">
        <v>14734</v>
      </c>
      <c r="C4969" s="817" t="s">
        <v>6</v>
      </c>
      <c r="D4969" s="817" t="s">
        <v>1790</v>
      </c>
      <c r="E4969" s="1021" t="s">
        <v>13539</v>
      </c>
      <c r="F4969" s="1021"/>
      <c r="G4969" s="818" t="s">
        <v>19</v>
      </c>
      <c r="H4969" s="819">
        <v>1</v>
      </c>
      <c r="I4969" s="820">
        <v>0.01</v>
      </c>
      <c r="J4969" s="820">
        <v>0.01</v>
      </c>
    </row>
    <row r="4970" spans="1:10" ht="38.25" customHeight="1">
      <c r="A4970" s="817" t="s">
        <v>13491</v>
      </c>
      <c r="B4970" s="816" t="s">
        <v>14618</v>
      </c>
      <c r="C4970" s="817" t="s">
        <v>6</v>
      </c>
      <c r="D4970" s="817" t="s">
        <v>146</v>
      </c>
      <c r="E4970" s="1021" t="s">
        <v>13490</v>
      </c>
      <c r="F4970" s="1021"/>
      <c r="G4970" s="818" t="s">
        <v>19</v>
      </c>
      <c r="H4970" s="819">
        <v>1</v>
      </c>
      <c r="I4970" s="820">
        <v>14.38</v>
      </c>
      <c r="J4970" s="820">
        <v>14.38</v>
      </c>
    </row>
    <row r="4971" spans="1:10" ht="25.5">
      <c r="A4971" s="827"/>
      <c r="B4971" s="827"/>
      <c r="C4971" s="827"/>
      <c r="D4971" s="827"/>
      <c r="E4971" s="827" t="s">
        <v>13503</v>
      </c>
      <c r="F4971" s="826">
        <v>10.54</v>
      </c>
      <c r="G4971" s="827" t="s">
        <v>13504</v>
      </c>
      <c r="H4971" s="826">
        <v>0</v>
      </c>
      <c r="I4971" s="827" t="s">
        <v>13505</v>
      </c>
      <c r="J4971" s="826">
        <v>10.54</v>
      </c>
    </row>
    <row r="4972" spans="1:10" ht="13.5" customHeight="1" thickBot="1">
      <c r="A4972" s="827"/>
      <c r="B4972" s="827"/>
      <c r="C4972" s="827"/>
      <c r="D4972" s="827"/>
      <c r="E4972" s="827" t="s">
        <v>13506</v>
      </c>
      <c r="F4972" s="826">
        <v>4.09</v>
      </c>
      <c r="G4972" s="827"/>
      <c r="H4972" s="1018" t="s">
        <v>13507</v>
      </c>
      <c r="I4972" s="1018"/>
      <c r="J4972" s="826">
        <v>18.600000000000001</v>
      </c>
    </row>
    <row r="4973" spans="1:10" ht="13.5" thickTop="1">
      <c r="A4973" s="828"/>
      <c r="B4973" s="828"/>
      <c r="C4973" s="828"/>
      <c r="D4973" s="828"/>
      <c r="E4973" s="828"/>
      <c r="F4973" s="828"/>
      <c r="G4973" s="828"/>
      <c r="H4973" s="828"/>
      <c r="I4973" s="828"/>
      <c r="J4973" s="828"/>
    </row>
    <row r="4974" spans="1:10" ht="15">
      <c r="A4974" s="809"/>
      <c r="B4974" s="808" t="s">
        <v>13481</v>
      </c>
      <c r="C4974" s="809" t="s">
        <v>13482</v>
      </c>
      <c r="D4974" s="809" t="s">
        <v>13483</v>
      </c>
      <c r="E4974" s="1019" t="s">
        <v>13484</v>
      </c>
      <c r="F4974" s="1019"/>
      <c r="G4974" s="810" t="s">
        <v>13485</v>
      </c>
      <c r="H4974" s="808" t="s">
        <v>13486</v>
      </c>
      <c r="I4974" s="808" t="s">
        <v>13487</v>
      </c>
      <c r="J4974" s="808" t="s">
        <v>4867</v>
      </c>
    </row>
    <row r="4975" spans="1:10" ht="25.5" customHeight="1">
      <c r="A4975" s="812" t="s">
        <v>13488</v>
      </c>
      <c r="B4975" s="811" t="s">
        <v>13538</v>
      </c>
      <c r="C4975" s="812" t="s">
        <v>6</v>
      </c>
      <c r="D4975" s="812" t="s">
        <v>1793</v>
      </c>
      <c r="E4975" s="1020" t="s">
        <v>13539</v>
      </c>
      <c r="F4975" s="1020"/>
      <c r="G4975" s="813" t="s">
        <v>28</v>
      </c>
      <c r="H4975" s="814">
        <v>1</v>
      </c>
      <c r="I4975" s="815">
        <v>15.82</v>
      </c>
      <c r="J4975" s="815">
        <v>15.82</v>
      </c>
    </row>
    <row r="4976" spans="1:10" ht="38.25" customHeight="1">
      <c r="A4976" s="817" t="s">
        <v>13491</v>
      </c>
      <c r="B4976" s="816" t="s">
        <v>14735</v>
      </c>
      <c r="C4976" s="817" t="s">
        <v>6</v>
      </c>
      <c r="D4976" s="817" t="s">
        <v>1791</v>
      </c>
      <c r="E4976" s="1021" t="s">
        <v>13539</v>
      </c>
      <c r="F4976" s="1021"/>
      <c r="G4976" s="818" t="s">
        <v>19</v>
      </c>
      <c r="H4976" s="819">
        <v>1</v>
      </c>
      <c r="I4976" s="820">
        <v>0.08</v>
      </c>
      <c r="J4976" s="820">
        <v>0.08</v>
      </c>
    </row>
    <row r="4977" spans="1:10" ht="38.25" customHeight="1">
      <c r="A4977" s="817" t="s">
        <v>13491</v>
      </c>
      <c r="B4977" s="816" t="s">
        <v>14736</v>
      </c>
      <c r="C4977" s="817" t="s">
        <v>6</v>
      </c>
      <c r="D4977" s="817" t="s">
        <v>1792</v>
      </c>
      <c r="E4977" s="1021" t="s">
        <v>13539</v>
      </c>
      <c r="F4977" s="1021"/>
      <c r="G4977" s="818" t="s">
        <v>19</v>
      </c>
      <c r="H4977" s="819">
        <v>1</v>
      </c>
      <c r="I4977" s="820">
        <v>1.23</v>
      </c>
      <c r="J4977" s="820">
        <v>1.23</v>
      </c>
    </row>
    <row r="4978" spans="1:10" ht="38.25" customHeight="1">
      <c r="A4978" s="817" t="s">
        <v>13491</v>
      </c>
      <c r="B4978" s="816" t="s">
        <v>14733</v>
      </c>
      <c r="C4978" s="817" t="s">
        <v>6</v>
      </c>
      <c r="D4978" s="817" t="s">
        <v>1789</v>
      </c>
      <c r="E4978" s="1021" t="s">
        <v>13539</v>
      </c>
      <c r="F4978" s="1021"/>
      <c r="G4978" s="818" t="s">
        <v>19</v>
      </c>
      <c r="H4978" s="819">
        <v>1</v>
      </c>
      <c r="I4978" s="820">
        <v>0.12</v>
      </c>
      <c r="J4978" s="820">
        <v>0.12</v>
      </c>
    </row>
    <row r="4979" spans="1:10" ht="38.25" customHeight="1">
      <c r="A4979" s="817" t="s">
        <v>13491</v>
      </c>
      <c r="B4979" s="816" t="s">
        <v>14734</v>
      </c>
      <c r="C4979" s="817" t="s">
        <v>6</v>
      </c>
      <c r="D4979" s="817" t="s">
        <v>1790</v>
      </c>
      <c r="E4979" s="1021" t="s">
        <v>13539</v>
      </c>
      <c r="F4979" s="1021"/>
      <c r="G4979" s="818" t="s">
        <v>19</v>
      </c>
      <c r="H4979" s="819">
        <v>1</v>
      </c>
      <c r="I4979" s="820">
        <v>0.01</v>
      </c>
      <c r="J4979" s="820">
        <v>0.01</v>
      </c>
    </row>
    <row r="4980" spans="1:10" ht="38.25" customHeight="1">
      <c r="A4980" s="817" t="s">
        <v>13491</v>
      </c>
      <c r="B4980" s="816" t="s">
        <v>14618</v>
      </c>
      <c r="C4980" s="817" t="s">
        <v>6</v>
      </c>
      <c r="D4980" s="817" t="s">
        <v>146</v>
      </c>
      <c r="E4980" s="1021" t="s">
        <v>13490</v>
      </c>
      <c r="F4980" s="1021"/>
      <c r="G4980" s="818" t="s">
        <v>19</v>
      </c>
      <c r="H4980" s="819">
        <v>1</v>
      </c>
      <c r="I4980" s="820">
        <v>14.38</v>
      </c>
      <c r="J4980" s="820">
        <v>14.38</v>
      </c>
    </row>
    <row r="4981" spans="1:10" ht="25.5">
      <c r="A4981" s="827"/>
      <c r="B4981" s="827"/>
      <c r="C4981" s="827"/>
      <c r="D4981" s="827"/>
      <c r="E4981" s="827" t="s">
        <v>13503</v>
      </c>
      <c r="F4981" s="826">
        <v>10.54</v>
      </c>
      <c r="G4981" s="827" t="s">
        <v>13504</v>
      </c>
      <c r="H4981" s="826">
        <v>0</v>
      </c>
      <c r="I4981" s="827" t="s">
        <v>13505</v>
      </c>
      <c r="J4981" s="826">
        <v>10.54</v>
      </c>
    </row>
    <row r="4982" spans="1:10" ht="13.5" customHeight="1" thickBot="1">
      <c r="A4982" s="827"/>
      <c r="B4982" s="827"/>
      <c r="C4982" s="827"/>
      <c r="D4982" s="827"/>
      <c r="E4982" s="827" t="s">
        <v>13506</v>
      </c>
      <c r="F4982" s="826">
        <v>4.46</v>
      </c>
      <c r="G4982" s="827"/>
      <c r="H4982" s="1018" t="s">
        <v>13507</v>
      </c>
      <c r="I4982" s="1018"/>
      <c r="J4982" s="826">
        <v>20.28</v>
      </c>
    </row>
    <row r="4983" spans="1:10" ht="13.5" thickTop="1">
      <c r="A4983" s="828"/>
      <c r="B4983" s="828"/>
      <c r="C4983" s="828"/>
      <c r="D4983" s="828"/>
      <c r="E4983" s="828"/>
      <c r="F4983" s="828"/>
      <c r="G4983" s="828"/>
      <c r="H4983" s="828"/>
      <c r="I4983" s="828"/>
      <c r="J4983" s="828"/>
    </row>
    <row r="4984" spans="1:10" ht="15">
      <c r="A4984" s="809"/>
      <c r="B4984" s="808" t="s">
        <v>13481</v>
      </c>
      <c r="C4984" s="809" t="s">
        <v>13482</v>
      </c>
      <c r="D4984" s="809" t="s">
        <v>13483</v>
      </c>
      <c r="E4984" s="1019" t="s">
        <v>13484</v>
      </c>
      <c r="F4984" s="1019"/>
      <c r="G4984" s="810" t="s">
        <v>13485</v>
      </c>
      <c r="H4984" s="808" t="s">
        <v>13486</v>
      </c>
      <c r="I4984" s="808" t="s">
        <v>13487</v>
      </c>
      <c r="J4984" s="808" t="s">
        <v>4867</v>
      </c>
    </row>
    <row r="4985" spans="1:10" ht="25.5" customHeight="1">
      <c r="A4985" s="812" t="s">
        <v>13488</v>
      </c>
      <c r="B4985" s="811" t="s">
        <v>14733</v>
      </c>
      <c r="C4985" s="812" t="s">
        <v>6</v>
      </c>
      <c r="D4985" s="812" t="s">
        <v>1789</v>
      </c>
      <c r="E4985" s="1020" t="s">
        <v>13539</v>
      </c>
      <c r="F4985" s="1020"/>
      <c r="G4985" s="813" t="s">
        <v>19</v>
      </c>
      <c r="H4985" s="814">
        <v>1</v>
      </c>
      <c r="I4985" s="815">
        <v>0.12</v>
      </c>
      <c r="J4985" s="815">
        <v>0.12</v>
      </c>
    </row>
    <row r="4986" spans="1:10" ht="25.5">
      <c r="A4986" s="822" t="s">
        <v>13493</v>
      </c>
      <c r="B4986" s="821" t="s">
        <v>14737</v>
      </c>
      <c r="C4986" s="822" t="s">
        <v>6</v>
      </c>
      <c r="D4986" s="822" t="s">
        <v>4781</v>
      </c>
      <c r="E4986" s="1017" t="s">
        <v>13514</v>
      </c>
      <c r="F4986" s="1017"/>
      <c r="G4986" s="823" t="s">
        <v>24</v>
      </c>
      <c r="H4986" s="824">
        <v>7.2000000000000002E-5</v>
      </c>
      <c r="I4986" s="825">
        <v>1768.05</v>
      </c>
      <c r="J4986" s="825">
        <v>0.12</v>
      </c>
    </row>
    <row r="4987" spans="1:10" ht="25.5">
      <c r="A4987" s="827"/>
      <c r="B4987" s="827"/>
      <c r="C4987" s="827"/>
      <c r="D4987" s="827"/>
      <c r="E4987" s="827" t="s">
        <v>13503</v>
      </c>
      <c r="F4987" s="826">
        <v>0</v>
      </c>
      <c r="G4987" s="827" t="s">
        <v>13504</v>
      </c>
      <c r="H4987" s="826">
        <v>0</v>
      </c>
      <c r="I4987" s="827" t="s">
        <v>13505</v>
      </c>
      <c r="J4987" s="826">
        <v>0</v>
      </c>
    </row>
    <row r="4988" spans="1:10" ht="13.5" customHeight="1" thickBot="1">
      <c r="A4988" s="827"/>
      <c r="B4988" s="827"/>
      <c r="C4988" s="827"/>
      <c r="D4988" s="827"/>
      <c r="E4988" s="827" t="s">
        <v>13506</v>
      </c>
      <c r="F4988" s="826">
        <v>0.03</v>
      </c>
      <c r="G4988" s="827"/>
      <c r="H4988" s="1018" t="s">
        <v>13507</v>
      </c>
      <c r="I4988" s="1018"/>
      <c r="J4988" s="826">
        <v>0.15</v>
      </c>
    </row>
    <row r="4989" spans="1:10" ht="13.5" thickTop="1">
      <c r="A4989" s="828"/>
      <c r="B4989" s="828"/>
      <c r="C4989" s="828"/>
      <c r="D4989" s="828"/>
      <c r="E4989" s="828"/>
      <c r="F4989" s="828"/>
      <c r="G4989" s="828"/>
      <c r="H4989" s="828"/>
      <c r="I4989" s="828"/>
      <c r="J4989" s="828"/>
    </row>
    <row r="4990" spans="1:10" ht="15">
      <c r="A4990" s="809"/>
      <c r="B4990" s="808" t="s">
        <v>13481</v>
      </c>
      <c r="C4990" s="809" t="s">
        <v>13482</v>
      </c>
      <c r="D4990" s="809" t="s">
        <v>13483</v>
      </c>
      <c r="E4990" s="1019" t="s">
        <v>13484</v>
      </c>
      <c r="F4990" s="1019"/>
      <c r="G4990" s="810" t="s">
        <v>13485</v>
      </c>
      <c r="H4990" s="808" t="s">
        <v>13486</v>
      </c>
      <c r="I4990" s="808" t="s">
        <v>13487</v>
      </c>
      <c r="J4990" s="808" t="s">
        <v>4867</v>
      </c>
    </row>
    <row r="4991" spans="1:10" ht="25.5" customHeight="1">
      <c r="A4991" s="812" t="s">
        <v>13488</v>
      </c>
      <c r="B4991" s="811" t="s">
        <v>14734</v>
      </c>
      <c r="C4991" s="812" t="s">
        <v>6</v>
      </c>
      <c r="D4991" s="812" t="s">
        <v>1790</v>
      </c>
      <c r="E4991" s="1020" t="s">
        <v>13539</v>
      </c>
      <c r="F4991" s="1020"/>
      <c r="G4991" s="813" t="s">
        <v>19</v>
      </c>
      <c r="H4991" s="814">
        <v>1</v>
      </c>
      <c r="I4991" s="815">
        <v>0.01</v>
      </c>
      <c r="J4991" s="815">
        <v>0.01</v>
      </c>
    </row>
    <row r="4992" spans="1:10" ht="25.5">
      <c r="A4992" s="822" t="s">
        <v>13493</v>
      </c>
      <c r="B4992" s="821" t="s">
        <v>14737</v>
      </c>
      <c r="C4992" s="822" t="s">
        <v>6</v>
      </c>
      <c r="D4992" s="822" t="s">
        <v>4781</v>
      </c>
      <c r="E4992" s="1017" t="s">
        <v>13514</v>
      </c>
      <c r="F4992" s="1017"/>
      <c r="G4992" s="823" t="s">
        <v>24</v>
      </c>
      <c r="H4992" s="824">
        <v>7.5000000000000002E-6</v>
      </c>
      <c r="I4992" s="825">
        <v>1768.05</v>
      </c>
      <c r="J4992" s="825">
        <v>0.01</v>
      </c>
    </row>
    <row r="4993" spans="1:10" ht="25.5">
      <c r="A4993" s="827"/>
      <c r="B4993" s="827"/>
      <c r="C4993" s="827"/>
      <c r="D4993" s="827"/>
      <c r="E4993" s="827" t="s">
        <v>13503</v>
      </c>
      <c r="F4993" s="826">
        <v>0</v>
      </c>
      <c r="G4993" s="827" t="s">
        <v>13504</v>
      </c>
      <c r="H4993" s="826">
        <v>0</v>
      </c>
      <c r="I4993" s="827" t="s">
        <v>13505</v>
      </c>
      <c r="J4993" s="826">
        <v>0</v>
      </c>
    </row>
    <row r="4994" spans="1:10" ht="13.5" customHeight="1" thickBot="1">
      <c r="A4994" s="827"/>
      <c r="B4994" s="827"/>
      <c r="C4994" s="827"/>
      <c r="D4994" s="827"/>
      <c r="E4994" s="827" t="s">
        <v>13506</v>
      </c>
      <c r="F4994" s="826">
        <v>0</v>
      </c>
      <c r="G4994" s="827"/>
      <c r="H4994" s="1018" t="s">
        <v>13507</v>
      </c>
      <c r="I4994" s="1018"/>
      <c r="J4994" s="826">
        <v>0.01</v>
      </c>
    </row>
    <row r="4995" spans="1:10" ht="13.5" thickTop="1">
      <c r="A4995" s="828"/>
      <c r="B4995" s="828"/>
      <c r="C4995" s="828"/>
      <c r="D4995" s="828"/>
      <c r="E4995" s="828"/>
      <c r="F4995" s="828"/>
      <c r="G4995" s="828"/>
      <c r="H4995" s="828"/>
      <c r="I4995" s="828"/>
      <c r="J4995" s="828"/>
    </row>
    <row r="4996" spans="1:10" ht="15">
      <c r="A4996" s="809"/>
      <c r="B4996" s="808" t="s">
        <v>13481</v>
      </c>
      <c r="C4996" s="809" t="s">
        <v>13482</v>
      </c>
      <c r="D4996" s="809" t="s">
        <v>13483</v>
      </c>
      <c r="E4996" s="1019" t="s">
        <v>13484</v>
      </c>
      <c r="F4996" s="1019"/>
      <c r="G4996" s="810" t="s">
        <v>13485</v>
      </c>
      <c r="H4996" s="808" t="s">
        <v>13486</v>
      </c>
      <c r="I4996" s="808" t="s">
        <v>13487</v>
      </c>
      <c r="J4996" s="808" t="s">
        <v>4867</v>
      </c>
    </row>
    <row r="4997" spans="1:10" ht="25.5" customHeight="1">
      <c r="A4997" s="812" t="s">
        <v>13488</v>
      </c>
      <c r="B4997" s="811" t="s">
        <v>14735</v>
      </c>
      <c r="C4997" s="812" t="s">
        <v>6</v>
      </c>
      <c r="D4997" s="812" t="s">
        <v>1791</v>
      </c>
      <c r="E4997" s="1020" t="s">
        <v>13539</v>
      </c>
      <c r="F4997" s="1020"/>
      <c r="G4997" s="813" t="s">
        <v>19</v>
      </c>
      <c r="H4997" s="814">
        <v>1</v>
      </c>
      <c r="I4997" s="815">
        <v>0.08</v>
      </c>
      <c r="J4997" s="815">
        <v>0.08</v>
      </c>
    </row>
    <row r="4998" spans="1:10" ht="25.5">
      <c r="A4998" s="822" t="s">
        <v>13493</v>
      </c>
      <c r="B4998" s="821" t="s">
        <v>14737</v>
      </c>
      <c r="C4998" s="822" t="s">
        <v>6</v>
      </c>
      <c r="D4998" s="822" t="s">
        <v>4781</v>
      </c>
      <c r="E4998" s="1017" t="s">
        <v>13514</v>
      </c>
      <c r="F4998" s="1017"/>
      <c r="G4998" s="823" t="s">
        <v>24</v>
      </c>
      <c r="H4998" s="824">
        <v>5.0000000000000002E-5</v>
      </c>
      <c r="I4998" s="825">
        <v>1768.05</v>
      </c>
      <c r="J4998" s="825">
        <v>0.08</v>
      </c>
    </row>
    <row r="4999" spans="1:10" ht="25.5">
      <c r="A4999" s="827"/>
      <c r="B4999" s="827"/>
      <c r="C4999" s="827"/>
      <c r="D4999" s="827"/>
      <c r="E4999" s="827" t="s">
        <v>13503</v>
      </c>
      <c r="F4999" s="826">
        <v>0</v>
      </c>
      <c r="G4999" s="827" t="s">
        <v>13504</v>
      </c>
      <c r="H4999" s="826">
        <v>0</v>
      </c>
      <c r="I4999" s="827" t="s">
        <v>13505</v>
      </c>
      <c r="J4999" s="826">
        <v>0</v>
      </c>
    </row>
    <row r="5000" spans="1:10" ht="13.5" customHeight="1" thickBot="1">
      <c r="A5000" s="827"/>
      <c r="B5000" s="827"/>
      <c r="C5000" s="827"/>
      <c r="D5000" s="827"/>
      <c r="E5000" s="827" t="s">
        <v>13506</v>
      </c>
      <c r="F5000" s="826">
        <v>0.02</v>
      </c>
      <c r="G5000" s="827"/>
      <c r="H5000" s="1018" t="s">
        <v>13507</v>
      </c>
      <c r="I5000" s="1018"/>
      <c r="J5000" s="826">
        <v>0.1</v>
      </c>
    </row>
    <row r="5001" spans="1:10" ht="13.5" thickTop="1">
      <c r="A5001" s="828"/>
      <c r="B5001" s="828"/>
      <c r="C5001" s="828"/>
      <c r="D5001" s="828"/>
      <c r="E5001" s="828"/>
      <c r="F5001" s="828"/>
      <c r="G5001" s="828"/>
      <c r="H5001" s="828"/>
      <c r="I5001" s="828"/>
      <c r="J5001" s="828"/>
    </row>
    <row r="5002" spans="1:10" ht="15">
      <c r="A5002" s="809"/>
      <c r="B5002" s="808" t="s">
        <v>13481</v>
      </c>
      <c r="C5002" s="809" t="s">
        <v>13482</v>
      </c>
      <c r="D5002" s="809" t="s">
        <v>13483</v>
      </c>
      <c r="E5002" s="1019" t="s">
        <v>13484</v>
      </c>
      <c r="F5002" s="1019"/>
      <c r="G5002" s="810" t="s">
        <v>13485</v>
      </c>
      <c r="H5002" s="808" t="s">
        <v>13486</v>
      </c>
      <c r="I5002" s="808" t="s">
        <v>13487</v>
      </c>
      <c r="J5002" s="808" t="s">
        <v>4867</v>
      </c>
    </row>
    <row r="5003" spans="1:10" ht="25.5" customHeight="1">
      <c r="A5003" s="812" t="s">
        <v>13488</v>
      </c>
      <c r="B5003" s="811" t="s">
        <v>14736</v>
      </c>
      <c r="C5003" s="812" t="s">
        <v>6</v>
      </c>
      <c r="D5003" s="812" t="s">
        <v>1792</v>
      </c>
      <c r="E5003" s="1020" t="s">
        <v>13539</v>
      </c>
      <c r="F5003" s="1020"/>
      <c r="G5003" s="813" t="s">
        <v>19</v>
      </c>
      <c r="H5003" s="814">
        <v>1</v>
      </c>
      <c r="I5003" s="815">
        <v>1.23</v>
      </c>
      <c r="J5003" s="815">
        <v>1.23</v>
      </c>
    </row>
    <row r="5004" spans="1:10">
      <c r="A5004" s="822" t="s">
        <v>13493</v>
      </c>
      <c r="B5004" s="821" t="s">
        <v>14583</v>
      </c>
      <c r="C5004" s="822" t="s">
        <v>6</v>
      </c>
      <c r="D5004" s="822" t="s">
        <v>4647</v>
      </c>
      <c r="E5004" s="1017" t="s">
        <v>13514</v>
      </c>
      <c r="F5004" s="1017"/>
      <c r="G5004" s="823" t="s">
        <v>14584</v>
      </c>
      <c r="H5004" s="824">
        <v>1.36</v>
      </c>
      <c r="I5004" s="825">
        <v>0.91</v>
      </c>
      <c r="J5004" s="825">
        <v>1.23</v>
      </c>
    </row>
    <row r="5005" spans="1:10" ht="25.5">
      <c r="A5005" s="827"/>
      <c r="B5005" s="827"/>
      <c r="C5005" s="827"/>
      <c r="D5005" s="827"/>
      <c r="E5005" s="827" t="s">
        <v>13503</v>
      </c>
      <c r="F5005" s="826">
        <v>0</v>
      </c>
      <c r="G5005" s="827" t="s">
        <v>13504</v>
      </c>
      <c r="H5005" s="826">
        <v>0</v>
      </c>
      <c r="I5005" s="827" t="s">
        <v>13505</v>
      </c>
      <c r="J5005" s="826">
        <v>0</v>
      </c>
    </row>
    <row r="5006" spans="1:10" ht="13.5" customHeight="1" thickBot="1">
      <c r="A5006" s="827"/>
      <c r="B5006" s="827"/>
      <c r="C5006" s="827"/>
      <c r="D5006" s="827"/>
      <c r="E5006" s="827" t="s">
        <v>13506</v>
      </c>
      <c r="F5006" s="826">
        <v>0.34</v>
      </c>
      <c r="G5006" s="827"/>
      <c r="H5006" s="1018" t="s">
        <v>13507</v>
      </c>
      <c r="I5006" s="1018"/>
      <c r="J5006" s="826">
        <v>1.57</v>
      </c>
    </row>
    <row r="5007" spans="1:10" ht="13.5" thickTop="1">
      <c r="A5007" s="828"/>
      <c r="B5007" s="828"/>
      <c r="C5007" s="828"/>
      <c r="D5007" s="828"/>
      <c r="E5007" s="828"/>
      <c r="F5007" s="828"/>
      <c r="G5007" s="828"/>
      <c r="H5007" s="828"/>
      <c r="I5007" s="828"/>
      <c r="J5007" s="828"/>
    </row>
    <row r="5008" spans="1:10" ht="15">
      <c r="A5008" s="809"/>
      <c r="B5008" s="808" t="s">
        <v>13481</v>
      </c>
      <c r="C5008" s="809" t="s">
        <v>13482</v>
      </c>
      <c r="D5008" s="809" t="s">
        <v>13483</v>
      </c>
      <c r="E5008" s="1019" t="s">
        <v>13484</v>
      </c>
      <c r="F5008" s="1019"/>
      <c r="G5008" s="810" t="s">
        <v>13485</v>
      </c>
      <c r="H5008" s="808" t="s">
        <v>13486</v>
      </c>
      <c r="I5008" s="808" t="s">
        <v>13487</v>
      </c>
      <c r="J5008" s="808" t="s">
        <v>4867</v>
      </c>
    </row>
    <row r="5009" spans="1:10" ht="25.5" customHeight="1">
      <c r="A5009" s="812" t="s">
        <v>13488</v>
      </c>
      <c r="B5009" s="811" t="s">
        <v>14223</v>
      </c>
      <c r="C5009" s="812" t="s">
        <v>6</v>
      </c>
      <c r="D5009" s="812" t="s">
        <v>417</v>
      </c>
      <c r="E5009" s="1020" t="s">
        <v>14194</v>
      </c>
      <c r="F5009" s="1020"/>
      <c r="G5009" s="813" t="s">
        <v>24</v>
      </c>
      <c r="H5009" s="814">
        <v>1</v>
      </c>
      <c r="I5009" s="815">
        <v>6.22</v>
      </c>
      <c r="J5009" s="815">
        <v>6.22</v>
      </c>
    </row>
    <row r="5010" spans="1:10" ht="38.25" customHeight="1">
      <c r="A5010" s="817" t="s">
        <v>13491</v>
      </c>
      <c r="B5010" s="816" t="s">
        <v>13567</v>
      </c>
      <c r="C5010" s="817" t="s">
        <v>6</v>
      </c>
      <c r="D5010" s="817" t="s">
        <v>35</v>
      </c>
      <c r="E5010" s="1021" t="s">
        <v>13490</v>
      </c>
      <c r="F5010" s="1021"/>
      <c r="G5010" s="818" t="s">
        <v>19</v>
      </c>
      <c r="H5010" s="819">
        <v>0.124</v>
      </c>
      <c r="I5010" s="820">
        <v>19.53</v>
      </c>
      <c r="J5010" s="820">
        <v>2.42</v>
      </c>
    </row>
    <row r="5011" spans="1:10" ht="25.5">
      <c r="A5011" s="822" t="s">
        <v>13493</v>
      </c>
      <c r="B5011" s="821" t="s">
        <v>14738</v>
      </c>
      <c r="C5011" s="822" t="s">
        <v>6</v>
      </c>
      <c r="D5011" s="822" t="s">
        <v>4664</v>
      </c>
      <c r="E5011" s="1017" t="s">
        <v>13514</v>
      </c>
      <c r="F5011" s="1017"/>
      <c r="G5011" s="823" t="s">
        <v>24</v>
      </c>
      <c r="H5011" s="824">
        <v>1</v>
      </c>
      <c r="I5011" s="825">
        <v>2.5</v>
      </c>
      <c r="J5011" s="825">
        <v>2.5</v>
      </c>
    </row>
    <row r="5012" spans="1:10" ht="38.25">
      <c r="A5012" s="822" t="s">
        <v>13493</v>
      </c>
      <c r="B5012" s="821" t="s">
        <v>14739</v>
      </c>
      <c r="C5012" s="822" t="s">
        <v>6</v>
      </c>
      <c r="D5012" s="822" t="s">
        <v>4789</v>
      </c>
      <c r="E5012" s="1017" t="s">
        <v>13514</v>
      </c>
      <c r="F5012" s="1017"/>
      <c r="G5012" s="823" t="s">
        <v>24</v>
      </c>
      <c r="H5012" s="824">
        <v>1</v>
      </c>
      <c r="I5012" s="825">
        <v>1.3</v>
      </c>
      <c r="J5012" s="825">
        <v>1.3</v>
      </c>
    </row>
    <row r="5013" spans="1:10" ht="25.5">
      <c r="A5013" s="827"/>
      <c r="B5013" s="827"/>
      <c r="C5013" s="827"/>
      <c r="D5013" s="827"/>
      <c r="E5013" s="827" t="s">
        <v>13503</v>
      </c>
      <c r="F5013" s="826">
        <v>1.81</v>
      </c>
      <c r="G5013" s="827" t="s">
        <v>13504</v>
      </c>
      <c r="H5013" s="826">
        <v>0</v>
      </c>
      <c r="I5013" s="827" t="s">
        <v>13505</v>
      </c>
      <c r="J5013" s="826">
        <v>1.81</v>
      </c>
    </row>
    <row r="5014" spans="1:10" ht="13.5" customHeight="1" thickBot="1">
      <c r="A5014" s="827"/>
      <c r="B5014" s="827"/>
      <c r="C5014" s="827"/>
      <c r="D5014" s="827"/>
      <c r="E5014" s="827" t="s">
        <v>13506</v>
      </c>
      <c r="F5014" s="826">
        <v>1.75</v>
      </c>
      <c r="G5014" s="827"/>
      <c r="H5014" s="1018" t="s">
        <v>13507</v>
      </c>
      <c r="I5014" s="1018"/>
      <c r="J5014" s="826">
        <v>7.97</v>
      </c>
    </row>
    <row r="5015" spans="1:10" ht="13.5" thickTop="1">
      <c r="A5015" s="828"/>
      <c r="B5015" s="828"/>
      <c r="C5015" s="828"/>
      <c r="D5015" s="828"/>
      <c r="E5015" s="828"/>
      <c r="F5015" s="828"/>
      <c r="G5015" s="828"/>
      <c r="H5015" s="828"/>
      <c r="I5015" s="828"/>
      <c r="J5015" s="828"/>
    </row>
    <row r="5016" spans="1:10" ht="15">
      <c r="A5016" s="809"/>
      <c r="B5016" s="808" t="s">
        <v>13481</v>
      </c>
      <c r="C5016" s="809" t="s">
        <v>13482</v>
      </c>
      <c r="D5016" s="809" t="s">
        <v>13483</v>
      </c>
      <c r="E5016" s="1019" t="s">
        <v>13484</v>
      </c>
      <c r="F5016" s="1019"/>
      <c r="G5016" s="810" t="s">
        <v>13485</v>
      </c>
      <c r="H5016" s="808" t="s">
        <v>13486</v>
      </c>
      <c r="I5016" s="808" t="s">
        <v>13487</v>
      </c>
      <c r="J5016" s="808" t="s">
        <v>4867</v>
      </c>
    </row>
    <row r="5017" spans="1:10" ht="25.5" customHeight="1">
      <c r="A5017" s="812" t="s">
        <v>13488</v>
      </c>
      <c r="B5017" s="811" t="s">
        <v>13554</v>
      </c>
      <c r="C5017" s="812" t="s">
        <v>6</v>
      </c>
      <c r="D5017" s="812" t="s">
        <v>165</v>
      </c>
      <c r="E5017" s="1020" t="s">
        <v>13490</v>
      </c>
      <c r="F5017" s="1020"/>
      <c r="G5017" s="813" t="s">
        <v>19</v>
      </c>
      <c r="H5017" s="814">
        <v>1</v>
      </c>
      <c r="I5017" s="815">
        <v>18.46</v>
      </c>
      <c r="J5017" s="815">
        <v>18.46</v>
      </c>
    </row>
    <row r="5018" spans="1:10" ht="38.25" customHeight="1">
      <c r="A5018" s="817" t="s">
        <v>13491</v>
      </c>
      <c r="B5018" s="816" t="s">
        <v>14665</v>
      </c>
      <c r="C5018" s="817" t="s">
        <v>6</v>
      </c>
      <c r="D5018" s="817" t="s">
        <v>2570</v>
      </c>
      <c r="E5018" s="1021" t="s">
        <v>13490</v>
      </c>
      <c r="F5018" s="1021"/>
      <c r="G5018" s="818" t="s">
        <v>19</v>
      </c>
      <c r="H5018" s="819">
        <v>1</v>
      </c>
      <c r="I5018" s="820">
        <v>0.12</v>
      </c>
      <c r="J5018" s="820">
        <v>0.12</v>
      </c>
    </row>
    <row r="5019" spans="1:10">
      <c r="A5019" s="822" t="s">
        <v>13493</v>
      </c>
      <c r="B5019" s="821" t="s">
        <v>13528</v>
      </c>
      <c r="C5019" s="822" t="s">
        <v>6</v>
      </c>
      <c r="D5019" s="822" t="s">
        <v>4581</v>
      </c>
      <c r="E5019" s="1017" t="s">
        <v>13499</v>
      </c>
      <c r="F5019" s="1017"/>
      <c r="G5019" s="823" t="s">
        <v>19</v>
      </c>
      <c r="H5019" s="824">
        <v>1</v>
      </c>
      <c r="I5019" s="825">
        <v>1.52</v>
      </c>
      <c r="J5019" s="825">
        <v>1.52</v>
      </c>
    </row>
    <row r="5020" spans="1:10" ht="25.5">
      <c r="A5020" s="822" t="s">
        <v>13493</v>
      </c>
      <c r="B5020" s="821" t="s">
        <v>14543</v>
      </c>
      <c r="C5020" s="822" t="s">
        <v>6</v>
      </c>
      <c r="D5020" s="822" t="s">
        <v>4651</v>
      </c>
      <c r="E5020" s="1017" t="s">
        <v>13497</v>
      </c>
      <c r="F5020" s="1017"/>
      <c r="G5020" s="823" t="s">
        <v>19</v>
      </c>
      <c r="H5020" s="824">
        <v>1</v>
      </c>
      <c r="I5020" s="825">
        <v>1.26</v>
      </c>
      <c r="J5020" s="825">
        <v>1.26</v>
      </c>
    </row>
    <row r="5021" spans="1:10">
      <c r="A5021" s="822" t="s">
        <v>13493</v>
      </c>
      <c r="B5021" s="821" t="s">
        <v>13498</v>
      </c>
      <c r="C5021" s="822" t="s">
        <v>6</v>
      </c>
      <c r="D5021" s="822" t="s">
        <v>4665</v>
      </c>
      <c r="E5021" s="1017" t="s">
        <v>13499</v>
      </c>
      <c r="F5021" s="1017"/>
      <c r="G5021" s="823" t="s">
        <v>19</v>
      </c>
      <c r="H5021" s="824">
        <v>1</v>
      </c>
      <c r="I5021" s="825">
        <v>0.81</v>
      </c>
      <c r="J5021" s="825">
        <v>0.81</v>
      </c>
    </row>
    <row r="5022" spans="1:10" ht="25.5">
      <c r="A5022" s="822" t="s">
        <v>13493</v>
      </c>
      <c r="B5022" s="821" t="s">
        <v>14544</v>
      </c>
      <c r="C5022" s="822" t="s">
        <v>6</v>
      </c>
      <c r="D5022" s="822" t="s">
        <v>4667</v>
      </c>
      <c r="E5022" s="1017" t="s">
        <v>13497</v>
      </c>
      <c r="F5022" s="1017"/>
      <c r="G5022" s="823" t="s">
        <v>19</v>
      </c>
      <c r="H5022" s="824">
        <v>1</v>
      </c>
      <c r="I5022" s="825">
        <v>0.45</v>
      </c>
      <c r="J5022" s="825">
        <v>0.45</v>
      </c>
    </row>
    <row r="5023" spans="1:10">
      <c r="A5023" s="822" t="s">
        <v>13493</v>
      </c>
      <c r="B5023" s="821" t="s">
        <v>13501</v>
      </c>
      <c r="C5023" s="822" t="s">
        <v>6</v>
      </c>
      <c r="D5023" s="822" t="s">
        <v>4779</v>
      </c>
      <c r="E5023" s="1017" t="s">
        <v>13502</v>
      </c>
      <c r="F5023" s="1017"/>
      <c r="G5023" s="823" t="s">
        <v>19</v>
      </c>
      <c r="H5023" s="824">
        <v>1</v>
      </c>
      <c r="I5023" s="825">
        <v>0.06</v>
      </c>
      <c r="J5023" s="825">
        <v>0.06</v>
      </c>
    </row>
    <row r="5024" spans="1:10">
      <c r="A5024" s="822" t="s">
        <v>13493</v>
      </c>
      <c r="B5024" s="821" t="s">
        <v>13531</v>
      </c>
      <c r="C5024" s="822" t="s">
        <v>6</v>
      </c>
      <c r="D5024" s="822" t="s">
        <v>4808</v>
      </c>
      <c r="E5024" s="1017" t="s">
        <v>13532</v>
      </c>
      <c r="F5024" s="1017"/>
      <c r="G5024" s="823" t="s">
        <v>19</v>
      </c>
      <c r="H5024" s="824">
        <v>1</v>
      </c>
      <c r="I5024" s="825">
        <v>0.68</v>
      </c>
      <c r="J5024" s="825">
        <v>0.68</v>
      </c>
    </row>
    <row r="5025" spans="1:10">
      <c r="A5025" s="822" t="s">
        <v>13493</v>
      </c>
      <c r="B5025" s="821" t="s">
        <v>14666</v>
      </c>
      <c r="C5025" s="822" t="s">
        <v>6</v>
      </c>
      <c r="D5025" s="822" t="s">
        <v>13472</v>
      </c>
      <c r="E5025" s="1017" t="s">
        <v>13495</v>
      </c>
      <c r="F5025" s="1017"/>
      <c r="G5025" s="823" t="s">
        <v>19</v>
      </c>
      <c r="H5025" s="824">
        <v>1</v>
      </c>
      <c r="I5025" s="825">
        <v>13.56</v>
      </c>
      <c r="J5025" s="825">
        <v>13.56</v>
      </c>
    </row>
    <row r="5026" spans="1:10" ht="25.5">
      <c r="A5026" s="827"/>
      <c r="B5026" s="827"/>
      <c r="C5026" s="827"/>
      <c r="D5026" s="827"/>
      <c r="E5026" s="827" t="s">
        <v>13503</v>
      </c>
      <c r="F5026" s="826">
        <v>13.68</v>
      </c>
      <c r="G5026" s="827" t="s">
        <v>13504</v>
      </c>
      <c r="H5026" s="826">
        <v>0</v>
      </c>
      <c r="I5026" s="827" t="s">
        <v>13505</v>
      </c>
      <c r="J5026" s="826">
        <v>13.68</v>
      </c>
    </row>
    <row r="5027" spans="1:10" ht="13.5" customHeight="1" thickBot="1">
      <c r="A5027" s="827"/>
      <c r="B5027" s="827"/>
      <c r="C5027" s="827"/>
      <c r="D5027" s="827"/>
      <c r="E5027" s="827" t="s">
        <v>13506</v>
      </c>
      <c r="F5027" s="826">
        <v>5.21</v>
      </c>
      <c r="G5027" s="827"/>
      <c r="H5027" s="1018" t="s">
        <v>13507</v>
      </c>
      <c r="I5027" s="1018"/>
      <c r="J5027" s="826">
        <v>23.67</v>
      </c>
    </row>
    <row r="5028" spans="1:10" ht="13.5" thickTop="1">
      <c r="A5028" s="828"/>
      <c r="B5028" s="828"/>
      <c r="C5028" s="828"/>
      <c r="D5028" s="828"/>
      <c r="E5028" s="828"/>
      <c r="F5028" s="828"/>
      <c r="G5028" s="828"/>
      <c r="H5028" s="828"/>
      <c r="I5028" s="828"/>
      <c r="J5028" s="828"/>
    </row>
    <row r="5029" spans="1:10" ht="15">
      <c r="A5029" s="809"/>
      <c r="B5029" s="808" t="s">
        <v>13481</v>
      </c>
      <c r="C5029" s="809" t="s">
        <v>13482</v>
      </c>
      <c r="D5029" s="809" t="s">
        <v>13483</v>
      </c>
      <c r="E5029" s="1019" t="s">
        <v>13484</v>
      </c>
      <c r="F5029" s="1019"/>
      <c r="G5029" s="810" t="s">
        <v>13485</v>
      </c>
      <c r="H5029" s="808" t="s">
        <v>13486</v>
      </c>
      <c r="I5029" s="808" t="s">
        <v>13487</v>
      </c>
      <c r="J5029" s="808" t="s">
        <v>4867</v>
      </c>
    </row>
    <row r="5030" spans="1:10" ht="25.5" customHeight="1">
      <c r="A5030" s="812" t="s">
        <v>13488</v>
      </c>
      <c r="B5030" s="811" t="s">
        <v>14233</v>
      </c>
      <c r="C5030" s="812" t="s">
        <v>6</v>
      </c>
      <c r="D5030" s="812" t="s">
        <v>38</v>
      </c>
      <c r="E5030" s="1020" t="s">
        <v>14194</v>
      </c>
      <c r="F5030" s="1020"/>
      <c r="G5030" s="813" t="s">
        <v>24</v>
      </c>
      <c r="H5030" s="814">
        <v>1</v>
      </c>
      <c r="I5030" s="815">
        <v>23.92</v>
      </c>
      <c r="J5030" s="815">
        <v>23.92</v>
      </c>
    </row>
    <row r="5031" spans="1:10" ht="38.25" customHeight="1">
      <c r="A5031" s="817" t="s">
        <v>13491</v>
      </c>
      <c r="B5031" s="816" t="s">
        <v>13567</v>
      </c>
      <c r="C5031" s="817" t="s">
        <v>6</v>
      </c>
      <c r="D5031" s="817" t="s">
        <v>35</v>
      </c>
      <c r="E5031" s="1021" t="s">
        <v>13490</v>
      </c>
      <c r="F5031" s="1021"/>
      <c r="G5031" s="818" t="s">
        <v>19</v>
      </c>
      <c r="H5031" s="819">
        <v>0.496</v>
      </c>
      <c r="I5031" s="820">
        <v>19.53</v>
      </c>
      <c r="J5031" s="820">
        <v>9.68</v>
      </c>
    </row>
    <row r="5032" spans="1:10" ht="38.25" customHeight="1">
      <c r="A5032" s="817" t="s">
        <v>13491</v>
      </c>
      <c r="B5032" s="816" t="s">
        <v>14121</v>
      </c>
      <c r="C5032" s="817" t="s">
        <v>6</v>
      </c>
      <c r="D5032" s="817" t="s">
        <v>37</v>
      </c>
      <c r="E5032" s="1021" t="s">
        <v>13490</v>
      </c>
      <c r="F5032" s="1021"/>
      <c r="G5032" s="818" t="s">
        <v>19</v>
      </c>
      <c r="H5032" s="819">
        <v>0.496</v>
      </c>
      <c r="I5032" s="820">
        <v>15.19</v>
      </c>
      <c r="J5032" s="820">
        <v>7.53</v>
      </c>
    </row>
    <row r="5033" spans="1:10">
      <c r="A5033" s="822" t="s">
        <v>13493</v>
      </c>
      <c r="B5033" s="821" t="s">
        <v>14697</v>
      </c>
      <c r="C5033" s="822" t="s">
        <v>6</v>
      </c>
      <c r="D5033" s="822" t="s">
        <v>4806</v>
      </c>
      <c r="E5033" s="1017" t="s">
        <v>13514</v>
      </c>
      <c r="F5033" s="1017"/>
      <c r="G5033" s="823" t="s">
        <v>24</v>
      </c>
      <c r="H5033" s="824">
        <v>1</v>
      </c>
      <c r="I5033" s="825">
        <v>6.71</v>
      </c>
      <c r="J5033" s="825">
        <v>6.71</v>
      </c>
    </row>
    <row r="5034" spans="1:10" ht="25.5">
      <c r="A5034" s="827"/>
      <c r="B5034" s="827"/>
      <c r="C5034" s="827"/>
      <c r="D5034" s="827"/>
      <c r="E5034" s="827" t="s">
        <v>13503</v>
      </c>
      <c r="F5034" s="826">
        <v>12.33</v>
      </c>
      <c r="G5034" s="827" t="s">
        <v>13504</v>
      </c>
      <c r="H5034" s="826">
        <v>0</v>
      </c>
      <c r="I5034" s="827" t="s">
        <v>13505</v>
      </c>
      <c r="J5034" s="826">
        <v>12.33</v>
      </c>
    </row>
    <row r="5035" spans="1:10" ht="13.5" customHeight="1" thickBot="1">
      <c r="A5035" s="827"/>
      <c r="B5035" s="827"/>
      <c r="C5035" s="827"/>
      <c r="D5035" s="827"/>
      <c r="E5035" s="827" t="s">
        <v>13506</v>
      </c>
      <c r="F5035" s="826">
        <v>6.75</v>
      </c>
      <c r="G5035" s="827"/>
      <c r="H5035" s="1018" t="s">
        <v>13507</v>
      </c>
      <c r="I5035" s="1018"/>
      <c r="J5035" s="826">
        <v>30.67</v>
      </c>
    </row>
    <row r="5036" spans="1:10" ht="13.5" thickTop="1">
      <c r="A5036" s="828"/>
      <c r="B5036" s="828"/>
      <c r="C5036" s="828"/>
      <c r="D5036" s="828"/>
      <c r="E5036" s="828"/>
      <c r="F5036" s="828"/>
      <c r="G5036" s="828"/>
      <c r="H5036" s="828"/>
      <c r="I5036" s="828"/>
      <c r="J5036" s="828"/>
    </row>
    <row r="5037" spans="1:10" ht="15">
      <c r="A5037" s="809"/>
      <c r="B5037" s="808" t="s">
        <v>13481</v>
      </c>
      <c r="C5037" s="809" t="s">
        <v>13482</v>
      </c>
      <c r="D5037" s="809" t="s">
        <v>13483</v>
      </c>
      <c r="E5037" s="1019" t="s">
        <v>13484</v>
      </c>
      <c r="F5037" s="1019"/>
      <c r="G5037" s="810" t="s">
        <v>13485</v>
      </c>
      <c r="H5037" s="808" t="s">
        <v>13486</v>
      </c>
      <c r="I5037" s="808" t="s">
        <v>13487</v>
      </c>
      <c r="J5037" s="808" t="s">
        <v>4867</v>
      </c>
    </row>
    <row r="5038" spans="1:10" ht="25.5" customHeight="1">
      <c r="A5038" s="812" t="s">
        <v>13488</v>
      </c>
      <c r="B5038" s="811" t="s">
        <v>14245</v>
      </c>
      <c r="C5038" s="812" t="s">
        <v>6</v>
      </c>
      <c r="D5038" s="812" t="s">
        <v>432</v>
      </c>
      <c r="E5038" s="1020" t="s">
        <v>14194</v>
      </c>
      <c r="F5038" s="1020"/>
      <c r="G5038" s="813" t="s">
        <v>24</v>
      </c>
      <c r="H5038" s="814">
        <v>1</v>
      </c>
      <c r="I5038" s="815">
        <v>25.8</v>
      </c>
      <c r="J5038" s="815">
        <v>25.8</v>
      </c>
    </row>
    <row r="5039" spans="1:10" ht="38.25" customHeight="1">
      <c r="A5039" s="817" t="s">
        <v>13491</v>
      </c>
      <c r="B5039" s="816" t="s">
        <v>13567</v>
      </c>
      <c r="C5039" s="817" t="s">
        <v>6</v>
      </c>
      <c r="D5039" s="817" t="s">
        <v>35</v>
      </c>
      <c r="E5039" s="1021" t="s">
        <v>13490</v>
      </c>
      <c r="F5039" s="1021"/>
      <c r="G5039" s="818" t="s">
        <v>19</v>
      </c>
      <c r="H5039" s="819">
        <v>0.496</v>
      </c>
      <c r="I5039" s="820">
        <v>19.53</v>
      </c>
      <c r="J5039" s="820">
        <v>9.68</v>
      </c>
    </row>
    <row r="5040" spans="1:10" ht="38.25" customHeight="1">
      <c r="A5040" s="817" t="s">
        <v>13491</v>
      </c>
      <c r="B5040" s="816" t="s">
        <v>14121</v>
      </c>
      <c r="C5040" s="817" t="s">
        <v>6</v>
      </c>
      <c r="D5040" s="817" t="s">
        <v>37</v>
      </c>
      <c r="E5040" s="1021" t="s">
        <v>13490</v>
      </c>
      <c r="F5040" s="1021"/>
      <c r="G5040" s="818" t="s">
        <v>19</v>
      </c>
      <c r="H5040" s="819">
        <v>0.496</v>
      </c>
      <c r="I5040" s="820">
        <v>15.19</v>
      </c>
      <c r="J5040" s="820">
        <v>7.53</v>
      </c>
    </row>
    <row r="5041" spans="1:10">
      <c r="A5041" s="822" t="s">
        <v>13493</v>
      </c>
      <c r="B5041" s="821" t="s">
        <v>14740</v>
      </c>
      <c r="C5041" s="822" t="s">
        <v>6</v>
      </c>
      <c r="D5041" s="822" t="s">
        <v>4807</v>
      </c>
      <c r="E5041" s="1017" t="s">
        <v>13514</v>
      </c>
      <c r="F5041" s="1017"/>
      <c r="G5041" s="823" t="s">
        <v>24</v>
      </c>
      <c r="H5041" s="824">
        <v>1</v>
      </c>
      <c r="I5041" s="825">
        <v>8.59</v>
      </c>
      <c r="J5041" s="825">
        <v>8.59</v>
      </c>
    </row>
    <row r="5042" spans="1:10" ht="25.5">
      <c r="A5042" s="827"/>
      <c r="B5042" s="827"/>
      <c r="C5042" s="827"/>
      <c r="D5042" s="827"/>
      <c r="E5042" s="827" t="s">
        <v>13503</v>
      </c>
      <c r="F5042" s="826">
        <v>12.33</v>
      </c>
      <c r="G5042" s="827" t="s">
        <v>13504</v>
      </c>
      <c r="H5042" s="826">
        <v>0</v>
      </c>
      <c r="I5042" s="827" t="s">
        <v>13505</v>
      </c>
      <c r="J5042" s="826">
        <v>12.33</v>
      </c>
    </row>
    <row r="5043" spans="1:10" ht="13.5" customHeight="1" thickBot="1">
      <c r="A5043" s="827"/>
      <c r="B5043" s="827"/>
      <c r="C5043" s="827"/>
      <c r="D5043" s="827"/>
      <c r="E5043" s="827" t="s">
        <v>13506</v>
      </c>
      <c r="F5043" s="826">
        <v>7.28</v>
      </c>
      <c r="G5043" s="827"/>
      <c r="H5043" s="1018" t="s">
        <v>13507</v>
      </c>
      <c r="I5043" s="1018"/>
      <c r="J5043" s="826">
        <v>33.08</v>
      </c>
    </row>
    <row r="5044" spans="1:10" ht="13.5" thickTop="1">
      <c r="A5044" s="828"/>
      <c r="B5044" s="828"/>
      <c r="C5044" s="828"/>
      <c r="D5044" s="828"/>
      <c r="E5044" s="828"/>
      <c r="F5044" s="828"/>
      <c r="G5044" s="828"/>
      <c r="H5044" s="828"/>
      <c r="I5044" s="828"/>
      <c r="J5044" s="828"/>
    </row>
    <row r="5045" spans="1:10" ht="15">
      <c r="A5045" s="809"/>
      <c r="B5045" s="808" t="s">
        <v>13481</v>
      </c>
      <c r="C5045" s="809" t="s">
        <v>13482</v>
      </c>
      <c r="D5045" s="809" t="s">
        <v>13483</v>
      </c>
      <c r="E5045" s="1019" t="s">
        <v>13484</v>
      </c>
      <c r="F5045" s="1019"/>
      <c r="G5045" s="810" t="s">
        <v>13485</v>
      </c>
      <c r="H5045" s="808" t="s">
        <v>13486</v>
      </c>
      <c r="I5045" s="808" t="s">
        <v>13487</v>
      </c>
      <c r="J5045" s="808" t="s">
        <v>4867</v>
      </c>
    </row>
    <row r="5046" spans="1:10" ht="25.5" customHeight="1">
      <c r="A5046" s="812" t="s">
        <v>13488</v>
      </c>
      <c r="B5046" s="811" t="s">
        <v>14248</v>
      </c>
      <c r="C5046" s="812" t="s">
        <v>6</v>
      </c>
      <c r="D5046" s="812" t="s">
        <v>435</v>
      </c>
      <c r="E5046" s="1020" t="s">
        <v>14194</v>
      </c>
      <c r="F5046" s="1020"/>
      <c r="G5046" s="813" t="s">
        <v>24</v>
      </c>
      <c r="H5046" s="814">
        <v>1</v>
      </c>
      <c r="I5046" s="815">
        <v>14.85</v>
      </c>
      <c r="J5046" s="815">
        <v>14.85</v>
      </c>
    </row>
    <row r="5047" spans="1:10" ht="38.25" customHeight="1">
      <c r="A5047" s="817" t="s">
        <v>13491</v>
      </c>
      <c r="B5047" s="816" t="s">
        <v>14121</v>
      </c>
      <c r="C5047" s="817" t="s">
        <v>6</v>
      </c>
      <c r="D5047" s="817" t="s">
        <v>37</v>
      </c>
      <c r="E5047" s="1021" t="s">
        <v>13490</v>
      </c>
      <c r="F5047" s="1021"/>
      <c r="G5047" s="818" t="s">
        <v>19</v>
      </c>
      <c r="H5047" s="819">
        <v>0.23499999999999999</v>
      </c>
      <c r="I5047" s="820">
        <v>15.19</v>
      </c>
      <c r="J5047" s="820">
        <v>3.56</v>
      </c>
    </row>
    <row r="5048" spans="1:10" ht="38.25" customHeight="1">
      <c r="A5048" s="817" t="s">
        <v>13491</v>
      </c>
      <c r="B5048" s="816" t="s">
        <v>13567</v>
      </c>
      <c r="C5048" s="817" t="s">
        <v>6</v>
      </c>
      <c r="D5048" s="817" t="s">
        <v>35</v>
      </c>
      <c r="E5048" s="1021" t="s">
        <v>13490</v>
      </c>
      <c r="F5048" s="1021"/>
      <c r="G5048" s="818" t="s">
        <v>19</v>
      </c>
      <c r="H5048" s="819">
        <v>0.23499999999999999</v>
      </c>
      <c r="I5048" s="820">
        <v>19.53</v>
      </c>
      <c r="J5048" s="820">
        <v>4.58</v>
      </c>
    </row>
    <row r="5049" spans="1:10">
      <c r="A5049" s="822" t="s">
        <v>13493</v>
      </c>
      <c r="B5049" s="821" t="s">
        <v>14697</v>
      </c>
      <c r="C5049" s="822" t="s">
        <v>6</v>
      </c>
      <c r="D5049" s="822" t="s">
        <v>4806</v>
      </c>
      <c r="E5049" s="1017" t="s">
        <v>13514</v>
      </c>
      <c r="F5049" s="1017"/>
      <c r="G5049" s="823" t="s">
        <v>24</v>
      </c>
      <c r="H5049" s="824">
        <v>1</v>
      </c>
      <c r="I5049" s="825">
        <v>6.71</v>
      </c>
      <c r="J5049" s="825">
        <v>6.71</v>
      </c>
    </row>
    <row r="5050" spans="1:10" ht="25.5">
      <c r="A5050" s="827"/>
      <c r="B5050" s="827"/>
      <c r="C5050" s="827"/>
      <c r="D5050" s="827"/>
      <c r="E5050" s="827" t="s">
        <v>13503</v>
      </c>
      <c r="F5050" s="826">
        <v>5.84</v>
      </c>
      <c r="G5050" s="827" t="s">
        <v>13504</v>
      </c>
      <c r="H5050" s="826">
        <v>0</v>
      </c>
      <c r="I5050" s="827" t="s">
        <v>13505</v>
      </c>
      <c r="J5050" s="826">
        <v>5.84</v>
      </c>
    </row>
    <row r="5051" spans="1:10" ht="13.5" customHeight="1" thickBot="1">
      <c r="A5051" s="827"/>
      <c r="B5051" s="827"/>
      <c r="C5051" s="827"/>
      <c r="D5051" s="827"/>
      <c r="E5051" s="827" t="s">
        <v>13506</v>
      </c>
      <c r="F5051" s="826">
        <v>4.1900000000000004</v>
      </c>
      <c r="G5051" s="827"/>
      <c r="H5051" s="1018" t="s">
        <v>13507</v>
      </c>
      <c r="I5051" s="1018"/>
      <c r="J5051" s="826">
        <v>19.04</v>
      </c>
    </row>
    <row r="5052" spans="1:10" ht="13.5" thickTop="1">
      <c r="A5052" s="828"/>
      <c r="B5052" s="828"/>
      <c r="C5052" s="828"/>
      <c r="D5052" s="828"/>
      <c r="E5052" s="828"/>
      <c r="F5052" s="828"/>
      <c r="G5052" s="828"/>
      <c r="H5052" s="828"/>
      <c r="I5052" s="828"/>
      <c r="J5052" s="828"/>
    </row>
    <row r="5053" spans="1:10" ht="15">
      <c r="A5053" s="809"/>
      <c r="B5053" s="808" t="s">
        <v>13481</v>
      </c>
      <c r="C5053" s="809" t="s">
        <v>13482</v>
      </c>
      <c r="D5053" s="809" t="s">
        <v>13483</v>
      </c>
      <c r="E5053" s="1019" t="s">
        <v>13484</v>
      </c>
      <c r="F5053" s="1019"/>
      <c r="G5053" s="810" t="s">
        <v>13485</v>
      </c>
      <c r="H5053" s="808" t="s">
        <v>13486</v>
      </c>
      <c r="I5053" s="808" t="s">
        <v>13487</v>
      </c>
      <c r="J5053" s="808" t="s">
        <v>4867</v>
      </c>
    </row>
    <row r="5054" spans="1:10" ht="25.5" customHeight="1">
      <c r="A5054" s="812" t="s">
        <v>13488</v>
      </c>
      <c r="B5054" s="811" t="s">
        <v>14242</v>
      </c>
      <c r="C5054" s="812" t="s">
        <v>6</v>
      </c>
      <c r="D5054" s="812" t="s">
        <v>1900</v>
      </c>
      <c r="E5054" s="1020" t="s">
        <v>14194</v>
      </c>
      <c r="F5054" s="1020"/>
      <c r="G5054" s="813" t="s">
        <v>24</v>
      </c>
      <c r="H5054" s="814">
        <v>1</v>
      </c>
      <c r="I5054" s="815">
        <v>27.61</v>
      </c>
      <c r="J5054" s="815">
        <v>27.61</v>
      </c>
    </row>
    <row r="5055" spans="1:10" ht="38.25" customHeight="1">
      <c r="A5055" s="817" t="s">
        <v>13491</v>
      </c>
      <c r="B5055" s="816" t="s">
        <v>14121</v>
      </c>
      <c r="C5055" s="817" t="s">
        <v>6</v>
      </c>
      <c r="D5055" s="817" t="s">
        <v>37</v>
      </c>
      <c r="E5055" s="1021" t="s">
        <v>13490</v>
      </c>
      <c r="F5055" s="1021"/>
      <c r="G5055" s="818" t="s">
        <v>19</v>
      </c>
      <c r="H5055" s="819">
        <v>0.40899999999999997</v>
      </c>
      <c r="I5055" s="820">
        <v>15.19</v>
      </c>
      <c r="J5055" s="820">
        <v>6.21</v>
      </c>
    </row>
    <row r="5056" spans="1:10" ht="38.25" customHeight="1">
      <c r="A5056" s="817" t="s">
        <v>13491</v>
      </c>
      <c r="B5056" s="816" t="s">
        <v>13567</v>
      </c>
      <c r="C5056" s="817" t="s">
        <v>6</v>
      </c>
      <c r="D5056" s="817" t="s">
        <v>35</v>
      </c>
      <c r="E5056" s="1021" t="s">
        <v>13490</v>
      </c>
      <c r="F5056" s="1021"/>
      <c r="G5056" s="818" t="s">
        <v>19</v>
      </c>
      <c r="H5056" s="819">
        <v>0.40899999999999997</v>
      </c>
      <c r="I5056" s="820">
        <v>19.53</v>
      </c>
      <c r="J5056" s="820">
        <v>7.98</v>
      </c>
    </row>
    <row r="5057" spans="1:10">
      <c r="A5057" s="822" t="s">
        <v>13493</v>
      </c>
      <c r="B5057" s="821" t="s">
        <v>14697</v>
      </c>
      <c r="C5057" s="822" t="s">
        <v>6</v>
      </c>
      <c r="D5057" s="822" t="s">
        <v>4806</v>
      </c>
      <c r="E5057" s="1017" t="s">
        <v>13514</v>
      </c>
      <c r="F5057" s="1017"/>
      <c r="G5057" s="823" t="s">
        <v>24</v>
      </c>
      <c r="H5057" s="824">
        <v>2</v>
      </c>
      <c r="I5057" s="825">
        <v>6.71</v>
      </c>
      <c r="J5057" s="825">
        <v>13.42</v>
      </c>
    </row>
    <row r="5058" spans="1:10" ht="25.5">
      <c r="A5058" s="827"/>
      <c r="B5058" s="827"/>
      <c r="C5058" s="827"/>
      <c r="D5058" s="827"/>
      <c r="E5058" s="827" t="s">
        <v>13503</v>
      </c>
      <c r="F5058" s="826">
        <v>10.17</v>
      </c>
      <c r="G5058" s="827" t="s">
        <v>13504</v>
      </c>
      <c r="H5058" s="826">
        <v>0</v>
      </c>
      <c r="I5058" s="827" t="s">
        <v>13505</v>
      </c>
      <c r="J5058" s="826">
        <v>10.17</v>
      </c>
    </row>
    <row r="5059" spans="1:10" ht="13.5" customHeight="1" thickBot="1">
      <c r="A5059" s="827"/>
      <c r="B5059" s="827"/>
      <c r="C5059" s="827"/>
      <c r="D5059" s="827"/>
      <c r="E5059" s="827" t="s">
        <v>13506</v>
      </c>
      <c r="F5059" s="826">
        <v>7.79</v>
      </c>
      <c r="G5059" s="827"/>
      <c r="H5059" s="1018" t="s">
        <v>13507</v>
      </c>
      <c r="I5059" s="1018"/>
      <c r="J5059" s="826">
        <v>35.4</v>
      </c>
    </row>
    <row r="5060" spans="1:10" ht="13.5" thickTop="1">
      <c r="A5060" s="828"/>
      <c r="B5060" s="828"/>
      <c r="C5060" s="828"/>
      <c r="D5060" s="828"/>
      <c r="E5060" s="828"/>
      <c r="F5060" s="828"/>
      <c r="G5060" s="828"/>
      <c r="H5060" s="828"/>
      <c r="I5060" s="828"/>
      <c r="J5060" s="828"/>
    </row>
    <row r="5061" spans="1:10" ht="15">
      <c r="A5061" s="809"/>
      <c r="B5061" s="808" t="s">
        <v>13481</v>
      </c>
      <c r="C5061" s="809" t="s">
        <v>13482</v>
      </c>
      <c r="D5061" s="809" t="s">
        <v>13483</v>
      </c>
      <c r="E5061" s="1019" t="s">
        <v>13484</v>
      </c>
      <c r="F5061" s="1019"/>
      <c r="G5061" s="810" t="s">
        <v>13485</v>
      </c>
      <c r="H5061" s="808" t="s">
        <v>13486</v>
      </c>
      <c r="I5061" s="808" t="s">
        <v>13487</v>
      </c>
      <c r="J5061" s="808" t="s">
        <v>4867</v>
      </c>
    </row>
    <row r="5062" spans="1:10" ht="25.5" customHeight="1">
      <c r="A5062" s="812" t="s">
        <v>13488</v>
      </c>
      <c r="B5062" s="811" t="s">
        <v>14236</v>
      </c>
      <c r="C5062" s="812" t="s">
        <v>6</v>
      </c>
      <c r="D5062" s="812" t="s">
        <v>433</v>
      </c>
      <c r="E5062" s="1020" t="s">
        <v>14194</v>
      </c>
      <c r="F5062" s="1020"/>
      <c r="G5062" s="813" t="s">
        <v>24</v>
      </c>
      <c r="H5062" s="814">
        <v>1</v>
      </c>
      <c r="I5062" s="815">
        <v>17.39</v>
      </c>
      <c r="J5062" s="815">
        <v>17.39</v>
      </c>
    </row>
    <row r="5063" spans="1:10" ht="38.25" customHeight="1">
      <c r="A5063" s="817" t="s">
        <v>13491</v>
      </c>
      <c r="B5063" s="816" t="s">
        <v>13567</v>
      </c>
      <c r="C5063" s="817" t="s">
        <v>6</v>
      </c>
      <c r="D5063" s="817" t="s">
        <v>35</v>
      </c>
      <c r="E5063" s="1021" t="s">
        <v>13490</v>
      </c>
      <c r="F5063" s="1021"/>
      <c r="G5063" s="818" t="s">
        <v>19</v>
      </c>
      <c r="H5063" s="819">
        <v>0.308</v>
      </c>
      <c r="I5063" s="820">
        <v>19.53</v>
      </c>
      <c r="J5063" s="820">
        <v>6.01</v>
      </c>
    </row>
    <row r="5064" spans="1:10" ht="38.25" customHeight="1">
      <c r="A5064" s="817" t="s">
        <v>13491</v>
      </c>
      <c r="B5064" s="816" t="s">
        <v>14121</v>
      </c>
      <c r="C5064" s="817" t="s">
        <v>6</v>
      </c>
      <c r="D5064" s="817" t="s">
        <v>37</v>
      </c>
      <c r="E5064" s="1021" t="s">
        <v>13490</v>
      </c>
      <c r="F5064" s="1021"/>
      <c r="G5064" s="818" t="s">
        <v>19</v>
      </c>
      <c r="H5064" s="819">
        <v>0.308</v>
      </c>
      <c r="I5064" s="820">
        <v>15.19</v>
      </c>
      <c r="J5064" s="820">
        <v>4.67</v>
      </c>
    </row>
    <row r="5065" spans="1:10">
      <c r="A5065" s="822" t="s">
        <v>13493</v>
      </c>
      <c r="B5065" s="821" t="s">
        <v>14697</v>
      </c>
      <c r="C5065" s="822" t="s">
        <v>6</v>
      </c>
      <c r="D5065" s="822" t="s">
        <v>4806</v>
      </c>
      <c r="E5065" s="1017" t="s">
        <v>13514</v>
      </c>
      <c r="F5065" s="1017"/>
      <c r="G5065" s="823" t="s">
        <v>24</v>
      </c>
      <c r="H5065" s="824">
        <v>1</v>
      </c>
      <c r="I5065" s="825">
        <v>6.71</v>
      </c>
      <c r="J5065" s="825">
        <v>6.71</v>
      </c>
    </row>
    <row r="5066" spans="1:10" ht="25.5">
      <c r="A5066" s="827"/>
      <c r="B5066" s="827"/>
      <c r="C5066" s="827"/>
      <c r="D5066" s="827"/>
      <c r="E5066" s="827" t="s">
        <v>13503</v>
      </c>
      <c r="F5066" s="826">
        <v>7.65</v>
      </c>
      <c r="G5066" s="827" t="s">
        <v>13504</v>
      </c>
      <c r="H5066" s="826">
        <v>0</v>
      </c>
      <c r="I5066" s="827" t="s">
        <v>13505</v>
      </c>
      <c r="J5066" s="826">
        <v>7.65</v>
      </c>
    </row>
    <row r="5067" spans="1:10" ht="13.5" customHeight="1" thickBot="1">
      <c r="A5067" s="827"/>
      <c r="B5067" s="827"/>
      <c r="C5067" s="827"/>
      <c r="D5067" s="827"/>
      <c r="E5067" s="827" t="s">
        <v>13506</v>
      </c>
      <c r="F5067" s="826">
        <v>4.91</v>
      </c>
      <c r="G5067" s="827"/>
      <c r="H5067" s="1018" t="s">
        <v>13507</v>
      </c>
      <c r="I5067" s="1018"/>
      <c r="J5067" s="826">
        <v>22.3</v>
      </c>
    </row>
    <row r="5068" spans="1:10" ht="13.5" thickTop="1">
      <c r="A5068" s="828"/>
      <c r="B5068" s="828"/>
      <c r="C5068" s="828"/>
      <c r="D5068" s="828"/>
      <c r="E5068" s="828"/>
      <c r="F5068" s="828"/>
      <c r="G5068" s="828"/>
      <c r="H5068" s="828"/>
      <c r="I5068" s="828"/>
      <c r="J5068" s="828"/>
    </row>
    <row r="5069" spans="1:10" ht="15">
      <c r="A5069" s="809"/>
      <c r="B5069" s="808" t="s">
        <v>13481</v>
      </c>
      <c r="C5069" s="809" t="s">
        <v>13482</v>
      </c>
      <c r="D5069" s="809" t="s">
        <v>13483</v>
      </c>
      <c r="E5069" s="1019" t="s">
        <v>13484</v>
      </c>
      <c r="F5069" s="1019"/>
      <c r="G5069" s="810" t="s">
        <v>13485</v>
      </c>
      <c r="H5069" s="808" t="s">
        <v>13486</v>
      </c>
      <c r="I5069" s="808" t="s">
        <v>13487</v>
      </c>
      <c r="J5069" s="808" t="s">
        <v>4867</v>
      </c>
    </row>
    <row r="5070" spans="1:10" ht="25.5" customHeight="1">
      <c r="A5070" s="812" t="s">
        <v>13488</v>
      </c>
      <c r="B5070" s="811" t="s">
        <v>14230</v>
      </c>
      <c r="C5070" s="812" t="s">
        <v>6</v>
      </c>
      <c r="D5070" s="812" t="s">
        <v>434</v>
      </c>
      <c r="E5070" s="1020" t="s">
        <v>14194</v>
      </c>
      <c r="F5070" s="1020"/>
      <c r="G5070" s="813" t="s">
        <v>24</v>
      </c>
      <c r="H5070" s="814">
        <v>1</v>
      </c>
      <c r="I5070" s="815">
        <v>19.27</v>
      </c>
      <c r="J5070" s="815">
        <v>19.27</v>
      </c>
    </row>
    <row r="5071" spans="1:10" ht="38.25" customHeight="1">
      <c r="A5071" s="817" t="s">
        <v>13491</v>
      </c>
      <c r="B5071" s="816" t="s">
        <v>13567</v>
      </c>
      <c r="C5071" s="817" t="s">
        <v>6</v>
      </c>
      <c r="D5071" s="817" t="s">
        <v>35</v>
      </c>
      <c r="E5071" s="1021" t="s">
        <v>13490</v>
      </c>
      <c r="F5071" s="1021"/>
      <c r="G5071" s="818" t="s">
        <v>19</v>
      </c>
      <c r="H5071" s="819">
        <v>0.308</v>
      </c>
      <c r="I5071" s="820">
        <v>19.53</v>
      </c>
      <c r="J5071" s="820">
        <v>6.01</v>
      </c>
    </row>
    <row r="5072" spans="1:10" ht="38.25" customHeight="1">
      <c r="A5072" s="817" t="s">
        <v>13491</v>
      </c>
      <c r="B5072" s="816" t="s">
        <v>14121</v>
      </c>
      <c r="C5072" s="817" t="s">
        <v>6</v>
      </c>
      <c r="D5072" s="817" t="s">
        <v>37</v>
      </c>
      <c r="E5072" s="1021" t="s">
        <v>13490</v>
      </c>
      <c r="F5072" s="1021"/>
      <c r="G5072" s="818" t="s">
        <v>19</v>
      </c>
      <c r="H5072" s="819">
        <v>0.308</v>
      </c>
      <c r="I5072" s="820">
        <v>15.19</v>
      </c>
      <c r="J5072" s="820">
        <v>4.67</v>
      </c>
    </row>
    <row r="5073" spans="1:10">
      <c r="A5073" s="822" t="s">
        <v>13493</v>
      </c>
      <c r="B5073" s="821" t="s">
        <v>14740</v>
      </c>
      <c r="C5073" s="822" t="s">
        <v>6</v>
      </c>
      <c r="D5073" s="822" t="s">
        <v>4807</v>
      </c>
      <c r="E5073" s="1017" t="s">
        <v>13514</v>
      </c>
      <c r="F5073" s="1017"/>
      <c r="G5073" s="823" t="s">
        <v>24</v>
      </c>
      <c r="H5073" s="824">
        <v>1</v>
      </c>
      <c r="I5073" s="825">
        <v>8.59</v>
      </c>
      <c r="J5073" s="825">
        <v>8.59</v>
      </c>
    </row>
    <row r="5074" spans="1:10" ht="25.5">
      <c r="A5074" s="827"/>
      <c r="B5074" s="827"/>
      <c r="C5074" s="827"/>
      <c r="D5074" s="827"/>
      <c r="E5074" s="827" t="s">
        <v>13503</v>
      </c>
      <c r="F5074" s="826">
        <v>7.65</v>
      </c>
      <c r="G5074" s="827" t="s">
        <v>13504</v>
      </c>
      <c r="H5074" s="826">
        <v>0</v>
      </c>
      <c r="I5074" s="827" t="s">
        <v>13505</v>
      </c>
      <c r="J5074" s="826">
        <v>7.65</v>
      </c>
    </row>
    <row r="5075" spans="1:10" ht="13.5" customHeight="1" thickBot="1">
      <c r="A5075" s="827"/>
      <c r="B5075" s="827"/>
      <c r="C5075" s="827"/>
      <c r="D5075" s="827"/>
      <c r="E5075" s="827" t="s">
        <v>13506</v>
      </c>
      <c r="F5075" s="826">
        <v>5.44</v>
      </c>
      <c r="G5075" s="827"/>
      <c r="H5075" s="1018" t="s">
        <v>13507</v>
      </c>
      <c r="I5075" s="1018"/>
      <c r="J5075" s="826">
        <v>24.71</v>
      </c>
    </row>
    <row r="5076" spans="1:10" ht="13.5" thickTop="1">
      <c r="A5076" s="828"/>
      <c r="B5076" s="828"/>
      <c r="C5076" s="828"/>
      <c r="D5076" s="828"/>
      <c r="E5076" s="828"/>
      <c r="F5076" s="828"/>
      <c r="G5076" s="828"/>
      <c r="H5076" s="828"/>
      <c r="I5076" s="828"/>
      <c r="J5076" s="828"/>
    </row>
    <row r="5077" spans="1:10" ht="15">
      <c r="A5077" s="809"/>
      <c r="B5077" s="808" t="s">
        <v>13481</v>
      </c>
      <c r="C5077" s="809" t="s">
        <v>13482</v>
      </c>
      <c r="D5077" s="809" t="s">
        <v>13483</v>
      </c>
      <c r="E5077" s="1019" t="s">
        <v>13484</v>
      </c>
      <c r="F5077" s="1019"/>
      <c r="G5077" s="810" t="s">
        <v>13485</v>
      </c>
      <c r="H5077" s="808" t="s">
        <v>13486</v>
      </c>
      <c r="I5077" s="808" t="s">
        <v>13487</v>
      </c>
      <c r="J5077" s="808" t="s">
        <v>4867</v>
      </c>
    </row>
    <row r="5078" spans="1:10" ht="25.5" customHeight="1">
      <c r="A5078" s="812" t="s">
        <v>13488</v>
      </c>
      <c r="B5078" s="811" t="s">
        <v>14239</v>
      </c>
      <c r="C5078" s="812" t="s">
        <v>6</v>
      </c>
      <c r="D5078" s="812" t="s">
        <v>1896</v>
      </c>
      <c r="E5078" s="1020" t="s">
        <v>14194</v>
      </c>
      <c r="F5078" s="1020"/>
      <c r="G5078" s="813" t="s">
        <v>24</v>
      </c>
      <c r="H5078" s="814">
        <v>1</v>
      </c>
      <c r="I5078" s="815">
        <v>32.68</v>
      </c>
      <c r="J5078" s="815">
        <v>32.68</v>
      </c>
    </row>
    <row r="5079" spans="1:10" ht="38.25" customHeight="1">
      <c r="A5079" s="817" t="s">
        <v>13491</v>
      </c>
      <c r="B5079" s="816" t="s">
        <v>13567</v>
      </c>
      <c r="C5079" s="817" t="s">
        <v>6</v>
      </c>
      <c r="D5079" s="817" t="s">
        <v>35</v>
      </c>
      <c r="E5079" s="1021" t="s">
        <v>13490</v>
      </c>
      <c r="F5079" s="1021"/>
      <c r="G5079" s="818" t="s">
        <v>19</v>
      </c>
      <c r="H5079" s="819">
        <v>0.55500000000000005</v>
      </c>
      <c r="I5079" s="820">
        <v>19.53</v>
      </c>
      <c r="J5079" s="820">
        <v>10.83</v>
      </c>
    </row>
    <row r="5080" spans="1:10" ht="38.25" customHeight="1">
      <c r="A5080" s="817" t="s">
        <v>13491</v>
      </c>
      <c r="B5080" s="816" t="s">
        <v>14121</v>
      </c>
      <c r="C5080" s="817" t="s">
        <v>6</v>
      </c>
      <c r="D5080" s="817" t="s">
        <v>37</v>
      </c>
      <c r="E5080" s="1021" t="s">
        <v>13490</v>
      </c>
      <c r="F5080" s="1021"/>
      <c r="G5080" s="818" t="s">
        <v>19</v>
      </c>
      <c r="H5080" s="819">
        <v>0.55500000000000005</v>
      </c>
      <c r="I5080" s="820">
        <v>15.19</v>
      </c>
      <c r="J5080" s="820">
        <v>8.43</v>
      </c>
    </row>
    <row r="5081" spans="1:10">
      <c r="A5081" s="822" t="s">
        <v>13493</v>
      </c>
      <c r="B5081" s="821" t="s">
        <v>14697</v>
      </c>
      <c r="C5081" s="822" t="s">
        <v>6</v>
      </c>
      <c r="D5081" s="822" t="s">
        <v>4806</v>
      </c>
      <c r="E5081" s="1017" t="s">
        <v>13514</v>
      </c>
      <c r="F5081" s="1017"/>
      <c r="G5081" s="823" t="s">
        <v>24</v>
      </c>
      <c r="H5081" s="824">
        <v>2</v>
      </c>
      <c r="I5081" s="825">
        <v>6.71</v>
      </c>
      <c r="J5081" s="825">
        <v>13.42</v>
      </c>
    </row>
    <row r="5082" spans="1:10" ht="25.5">
      <c r="A5082" s="827"/>
      <c r="B5082" s="827"/>
      <c r="C5082" s="827"/>
      <c r="D5082" s="827"/>
      <c r="E5082" s="827" t="s">
        <v>13503</v>
      </c>
      <c r="F5082" s="826">
        <v>13.79</v>
      </c>
      <c r="G5082" s="827" t="s">
        <v>13504</v>
      </c>
      <c r="H5082" s="826">
        <v>0</v>
      </c>
      <c r="I5082" s="827" t="s">
        <v>13505</v>
      </c>
      <c r="J5082" s="826">
        <v>13.79</v>
      </c>
    </row>
    <row r="5083" spans="1:10" ht="13.5" customHeight="1" thickBot="1">
      <c r="A5083" s="827"/>
      <c r="B5083" s="827"/>
      <c r="C5083" s="827"/>
      <c r="D5083" s="827"/>
      <c r="E5083" s="827" t="s">
        <v>13506</v>
      </c>
      <c r="F5083" s="826">
        <v>9.2200000000000006</v>
      </c>
      <c r="G5083" s="827"/>
      <c r="H5083" s="1018" t="s">
        <v>13507</v>
      </c>
      <c r="I5083" s="1018"/>
      <c r="J5083" s="826">
        <v>41.9</v>
      </c>
    </row>
    <row r="5084" spans="1:10" ht="13.5" thickTop="1">
      <c r="A5084" s="828"/>
      <c r="B5084" s="828"/>
      <c r="C5084" s="828"/>
      <c r="D5084" s="828"/>
      <c r="E5084" s="828"/>
      <c r="F5084" s="828"/>
      <c r="G5084" s="828"/>
      <c r="H5084" s="828"/>
      <c r="I5084" s="828"/>
      <c r="J5084" s="828"/>
    </row>
    <row r="5085" spans="1:10" ht="15">
      <c r="A5085" s="809"/>
      <c r="B5085" s="808" t="s">
        <v>13481</v>
      </c>
      <c r="C5085" s="809" t="s">
        <v>13482</v>
      </c>
      <c r="D5085" s="809" t="s">
        <v>13483</v>
      </c>
      <c r="E5085" s="1019" t="s">
        <v>13484</v>
      </c>
      <c r="F5085" s="1019"/>
      <c r="G5085" s="810" t="s">
        <v>13485</v>
      </c>
      <c r="H5085" s="808" t="s">
        <v>13486</v>
      </c>
      <c r="I5085" s="808" t="s">
        <v>13487</v>
      </c>
      <c r="J5085" s="808" t="s">
        <v>4867</v>
      </c>
    </row>
    <row r="5086" spans="1:10" ht="25.5" customHeight="1">
      <c r="A5086" s="812" t="s">
        <v>13488</v>
      </c>
      <c r="B5086" s="811" t="s">
        <v>13672</v>
      </c>
      <c r="C5086" s="812" t="s">
        <v>6</v>
      </c>
      <c r="D5086" s="812" t="s">
        <v>2620</v>
      </c>
      <c r="E5086" s="1020" t="s">
        <v>13623</v>
      </c>
      <c r="F5086" s="1020"/>
      <c r="G5086" s="813" t="s">
        <v>13543</v>
      </c>
      <c r="H5086" s="814">
        <v>1</v>
      </c>
      <c r="I5086" s="815">
        <v>1.9</v>
      </c>
      <c r="J5086" s="815">
        <v>1.9</v>
      </c>
    </row>
    <row r="5087" spans="1:10" ht="38.25" customHeight="1">
      <c r="A5087" s="817" t="s">
        <v>13491</v>
      </c>
      <c r="B5087" s="816" t="s">
        <v>13624</v>
      </c>
      <c r="C5087" s="817" t="s">
        <v>6</v>
      </c>
      <c r="D5087" s="817" t="s">
        <v>732</v>
      </c>
      <c r="E5087" s="1021" t="s">
        <v>13539</v>
      </c>
      <c r="F5087" s="1021"/>
      <c r="G5087" s="818" t="s">
        <v>28</v>
      </c>
      <c r="H5087" s="819">
        <v>6.0000000000000001E-3</v>
      </c>
      <c r="I5087" s="820">
        <v>274.42</v>
      </c>
      <c r="J5087" s="820">
        <v>1.64</v>
      </c>
    </row>
    <row r="5088" spans="1:10" ht="38.25" customHeight="1">
      <c r="A5088" s="817" t="s">
        <v>13491</v>
      </c>
      <c r="B5088" s="816" t="s">
        <v>13626</v>
      </c>
      <c r="C5088" s="817" t="s">
        <v>6</v>
      </c>
      <c r="D5088" s="817" t="s">
        <v>733</v>
      </c>
      <c r="E5088" s="1021" t="s">
        <v>13539</v>
      </c>
      <c r="F5088" s="1021"/>
      <c r="G5088" s="818" t="s">
        <v>42</v>
      </c>
      <c r="H5088" s="819">
        <v>3.0000000000000001E-3</v>
      </c>
      <c r="I5088" s="820">
        <v>45.3</v>
      </c>
      <c r="J5088" s="820">
        <v>0.13</v>
      </c>
    </row>
    <row r="5089" spans="1:10" ht="38.25" customHeight="1">
      <c r="A5089" s="817" t="s">
        <v>13491</v>
      </c>
      <c r="B5089" s="816" t="s">
        <v>13553</v>
      </c>
      <c r="C5089" s="817" t="s">
        <v>6</v>
      </c>
      <c r="D5089" s="817" t="s">
        <v>21</v>
      </c>
      <c r="E5089" s="1021" t="s">
        <v>13490</v>
      </c>
      <c r="F5089" s="1021"/>
      <c r="G5089" s="818" t="s">
        <v>19</v>
      </c>
      <c r="H5089" s="819">
        <v>8.9999999999999993E-3</v>
      </c>
      <c r="I5089" s="820">
        <v>15.16</v>
      </c>
      <c r="J5089" s="820">
        <v>0.13</v>
      </c>
    </row>
    <row r="5090" spans="1:10" ht="25.5">
      <c r="A5090" s="827"/>
      <c r="B5090" s="827"/>
      <c r="C5090" s="827"/>
      <c r="D5090" s="827"/>
      <c r="E5090" s="827" t="s">
        <v>13503</v>
      </c>
      <c r="F5090" s="826">
        <v>0.18</v>
      </c>
      <c r="G5090" s="827" t="s">
        <v>13504</v>
      </c>
      <c r="H5090" s="826">
        <v>0</v>
      </c>
      <c r="I5090" s="827" t="s">
        <v>13505</v>
      </c>
      <c r="J5090" s="826">
        <v>0.18</v>
      </c>
    </row>
    <row r="5091" spans="1:10" ht="13.5" customHeight="1" thickBot="1">
      <c r="A5091" s="827"/>
      <c r="B5091" s="827"/>
      <c r="C5091" s="827"/>
      <c r="D5091" s="827"/>
      <c r="E5091" s="827" t="s">
        <v>13506</v>
      </c>
      <c r="F5091" s="826">
        <v>0.53</v>
      </c>
      <c r="G5091" s="827"/>
      <c r="H5091" s="1018" t="s">
        <v>13507</v>
      </c>
      <c r="I5091" s="1018"/>
      <c r="J5091" s="826">
        <v>2.4300000000000002</v>
      </c>
    </row>
    <row r="5092" spans="1:10" ht="13.5" thickTop="1">
      <c r="A5092" s="828"/>
      <c r="B5092" s="828"/>
      <c r="C5092" s="828"/>
      <c r="D5092" s="828"/>
      <c r="E5092" s="828"/>
      <c r="F5092" s="828"/>
      <c r="G5092" s="828"/>
      <c r="H5092" s="828"/>
      <c r="I5092" s="828"/>
      <c r="J5092" s="828"/>
    </row>
    <row r="5093" spans="1:10" ht="15">
      <c r="A5093" s="809"/>
      <c r="B5093" s="808" t="s">
        <v>13481</v>
      </c>
      <c r="C5093" s="809" t="s">
        <v>13482</v>
      </c>
      <c r="D5093" s="809" t="s">
        <v>13483</v>
      </c>
      <c r="E5093" s="1019" t="s">
        <v>13484</v>
      </c>
      <c r="F5093" s="1019"/>
      <c r="G5093" s="810" t="s">
        <v>13485</v>
      </c>
      <c r="H5093" s="808" t="s">
        <v>13486</v>
      </c>
      <c r="I5093" s="808" t="s">
        <v>13487</v>
      </c>
      <c r="J5093" s="808" t="s">
        <v>4867</v>
      </c>
    </row>
    <row r="5094" spans="1:10" ht="25.5" customHeight="1">
      <c r="A5094" s="812" t="s">
        <v>13488</v>
      </c>
      <c r="B5094" s="811" t="s">
        <v>14140</v>
      </c>
      <c r="C5094" s="812" t="s">
        <v>6</v>
      </c>
      <c r="D5094" s="812" t="s">
        <v>4471</v>
      </c>
      <c r="E5094" s="1020" t="s">
        <v>13898</v>
      </c>
      <c r="F5094" s="1020"/>
      <c r="G5094" s="813" t="s">
        <v>24</v>
      </c>
      <c r="H5094" s="814">
        <v>1</v>
      </c>
      <c r="I5094" s="815">
        <v>274.79000000000002</v>
      </c>
      <c r="J5094" s="815">
        <v>274.79000000000002</v>
      </c>
    </row>
    <row r="5095" spans="1:10" ht="38.25" customHeight="1">
      <c r="A5095" s="817" t="s">
        <v>13491</v>
      </c>
      <c r="B5095" s="816" t="s">
        <v>13574</v>
      </c>
      <c r="C5095" s="817" t="s">
        <v>6</v>
      </c>
      <c r="D5095" s="817" t="s">
        <v>34</v>
      </c>
      <c r="E5095" s="1021" t="s">
        <v>13490</v>
      </c>
      <c r="F5095" s="1021"/>
      <c r="G5095" s="818" t="s">
        <v>19</v>
      </c>
      <c r="H5095" s="819">
        <v>0.49680000000000002</v>
      </c>
      <c r="I5095" s="820">
        <v>18.72</v>
      </c>
      <c r="J5095" s="820">
        <v>9.3000000000000007</v>
      </c>
    </row>
    <row r="5096" spans="1:10" ht="38.25" customHeight="1">
      <c r="A5096" s="817" t="s">
        <v>13491</v>
      </c>
      <c r="B5096" s="816" t="s">
        <v>13553</v>
      </c>
      <c r="C5096" s="817" t="s">
        <v>6</v>
      </c>
      <c r="D5096" s="817" t="s">
        <v>21</v>
      </c>
      <c r="E5096" s="1021" t="s">
        <v>13490</v>
      </c>
      <c r="F5096" s="1021"/>
      <c r="G5096" s="818" t="s">
        <v>19</v>
      </c>
      <c r="H5096" s="819">
        <v>0.34949999999999998</v>
      </c>
      <c r="I5096" s="820">
        <v>15.16</v>
      </c>
      <c r="J5096" s="820">
        <v>5.29</v>
      </c>
    </row>
    <row r="5097" spans="1:10" ht="25.5">
      <c r="A5097" s="822" t="s">
        <v>13493</v>
      </c>
      <c r="B5097" s="821" t="s">
        <v>14741</v>
      </c>
      <c r="C5097" s="822" t="s">
        <v>6</v>
      </c>
      <c r="D5097" s="822" t="s">
        <v>8603</v>
      </c>
      <c r="E5097" s="1017" t="s">
        <v>13514</v>
      </c>
      <c r="F5097" s="1017"/>
      <c r="G5097" s="823" t="s">
        <v>24</v>
      </c>
      <c r="H5097" s="824">
        <v>1</v>
      </c>
      <c r="I5097" s="825">
        <v>11.55</v>
      </c>
      <c r="J5097" s="825">
        <v>11.55</v>
      </c>
    </row>
    <row r="5098" spans="1:10" ht="25.5">
      <c r="A5098" s="822" t="s">
        <v>13493</v>
      </c>
      <c r="B5098" s="821" t="s">
        <v>14742</v>
      </c>
      <c r="C5098" s="822" t="s">
        <v>6</v>
      </c>
      <c r="D5098" s="822" t="s">
        <v>8768</v>
      </c>
      <c r="E5098" s="1017" t="s">
        <v>13514</v>
      </c>
      <c r="F5098" s="1017"/>
      <c r="G5098" s="823" t="s">
        <v>24</v>
      </c>
      <c r="H5098" s="824">
        <v>1</v>
      </c>
      <c r="I5098" s="825">
        <v>188.4</v>
      </c>
      <c r="J5098" s="825">
        <v>188.4</v>
      </c>
    </row>
    <row r="5099" spans="1:10" ht="38.25">
      <c r="A5099" s="822" t="s">
        <v>13493</v>
      </c>
      <c r="B5099" s="821" t="s">
        <v>14743</v>
      </c>
      <c r="C5099" s="822" t="s">
        <v>6</v>
      </c>
      <c r="D5099" s="822" t="s">
        <v>4742</v>
      </c>
      <c r="E5099" s="1017" t="s">
        <v>13514</v>
      </c>
      <c r="F5099" s="1017"/>
      <c r="G5099" s="823" t="s">
        <v>24</v>
      </c>
      <c r="H5099" s="824">
        <v>2</v>
      </c>
      <c r="I5099" s="825">
        <v>25.66</v>
      </c>
      <c r="J5099" s="825">
        <v>51.32</v>
      </c>
    </row>
    <row r="5100" spans="1:10">
      <c r="A5100" s="822" t="s">
        <v>13493</v>
      </c>
      <c r="B5100" s="821" t="s">
        <v>14704</v>
      </c>
      <c r="C5100" s="822" t="s">
        <v>6</v>
      </c>
      <c r="D5100" s="822" t="s">
        <v>5395</v>
      </c>
      <c r="E5100" s="1017" t="s">
        <v>13514</v>
      </c>
      <c r="F5100" s="1017"/>
      <c r="G5100" s="823" t="s">
        <v>16</v>
      </c>
      <c r="H5100" s="824">
        <v>8.8099999999999998E-2</v>
      </c>
      <c r="I5100" s="825">
        <v>101.41</v>
      </c>
      <c r="J5100" s="825">
        <v>8.93</v>
      </c>
    </row>
    <row r="5101" spans="1:10" ht="25.5">
      <c r="A5101" s="827"/>
      <c r="B5101" s="827"/>
      <c r="C5101" s="827"/>
      <c r="D5101" s="827"/>
      <c r="E5101" s="827" t="s">
        <v>13503</v>
      </c>
      <c r="F5101" s="826">
        <v>10.76</v>
      </c>
      <c r="G5101" s="827" t="s">
        <v>13504</v>
      </c>
      <c r="H5101" s="826">
        <v>0</v>
      </c>
      <c r="I5101" s="827" t="s">
        <v>13505</v>
      </c>
      <c r="J5101" s="826">
        <v>10.76</v>
      </c>
    </row>
    <row r="5102" spans="1:10" ht="13.5" customHeight="1" thickBot="1">
      <c r="A5102" s="827"/>
      <c r="B5102" s="827"/>
      <c r="C5102" s="827"/>
      <c r="D5102" s="827"/>
      <c r="E5102" s="827" t="s">
        <v>13506</v>
      </c>
      <c r="F5102" s="826">
        <v>77.599999999999994</v>
      </c>
      <c r="G5102" s="827"/>
      <c r="H5102" s="1018" t="s">
        <v>13507</v>
      </c>
      <c r="I5102" s="1018"/>
      <c r="J5102" s="826">
        <v>352.39</v>
      </c>
    </row>
    <row r="5103" spans="1:10" ht="13.5" thickTop="1">
      <c r="A5103" s="828"/>
      <c r="B5103" s="828"/>
      <c r="C5103" s="828"/>
      <c r="D5103" s="828"/>
      <c r="E5103" s="828"/>
      <c r="F5103" s="828"/>
      <c r="G5103" s="828"/>
      <c r="H5103" s="828"/>
      <c r="I5103" s="828"/>
      <c r="J5103" s="828"/>
    </row>
    <row r="5104" spans="1:10" ht="15">
      <c r="A5104" s="809"/>
      <c r="B5104" s="808" t="s">
        <v>13481</v>
      </c>
      <c r="C5104" s="809" t="s">
        <v>13482</v>
      </c>
      <c r="D5104" s="809" t="s">
        <v>13483</v>
      </c>
      <c r="E5104" s="1019" t="s">
        <v>13484</v>
      </c>
      <c r="F5104" s="1019"/>
      <c r="G5104" s="810" t="s">
        <v>13485</v>
      </c>
      <c r="H5104" s="808" t="s">
        <v>13486</v>
      </c>
      <c r="I5104" s="808" t="s">
        <v>13487</v>
      </c>
      <c r="J5104" s="808" t="s">
        <v>4867</v>
      </c>
    </row>
    <row r="5105" spans="1:10" ht="25.5" customHeight="1">
      <c r="A5105" s="812" t="s">
        <v>13488</v>
      </c>
      <c r="B5105" s="811" t="s">
        <v>14144</v>
      </c>
      <c r="C5105" s="812" t="s">
        <v>6</v>
      </c>
      <c r="D5105" s="812" t="s">
        <v>4472</v>
      </c>
      <c r="E5105" s="1020" t="s">
        <v>13898</v>
      </c>
      <c r="F5105" s="1020"/>
      <c r="G5105" s="813" t="s">
        <v>24</v>
      </c>
      <c r="H5105" s="814">
        <v>1</v>
      </c>
      <c r="I5105" s="815">
        <v>694.54</v>
      </c>
      <c r="J5105" s="815">
        <v>694.54</v>
      </c>
    </row>
    <row r="5106" spans="1:10" ht="38.25" customHeight="1">
      <c r="A5106" s="817" t="s">
        <v>13491</v>
      </c>
      <c r="B5106" s="816" t="s">
        <v>13574</v>
      </c>
      <c r="C5106" s="817" t="s">
        <v>6</v>
      </c>
      <c r="D5106" s="817" t="s">
        <v>34</v>
      </c>
      <c r="E5106" s="1021" t="s">
        <v>13490</v>
      </c>
      <c r="F5106" s="1021"/>
      <c r="G5106" s="818" t="s">
        <v>19</v>
      </c>
      <c r="H5106" s="819">
        <v>1.1539999999999999</v>
      </c>
      <c r="I5106" s="820">
        <v>18.72</v>
      </c>
      <c r="J5106" s="820">
        <v>21.6</v>
      </c>
    </row>
    <row r="5107" spans="1:10" ht="38.25" customHeight="1">
      <c r="A5107" s="817" t="s">
        <v>13491</v>
      </c>
      <c r="B5107" s="816" t="s">
        <v>13553</v>
      </c>
      <c r="C5107" s="817" t="s">
        <v>6</v>
      </c>
      <c r="D5107" s="817" t="s">
        <v>21</v>
      </c>
      <c r="E5107" s="1021" t="s">
        <v>13490</v>
      </c>
      <c r="F5107" s="1021"/>
      <c r="G5107" s="818" t="s">
        <v>19</v>
      </c>
      <c r="H5107" s="819">
        <v>0.55649999999999999</v>
      </c>
      <c r="I5107" s="820">
        <v>15.16</v>
      </c>
      <c r="J5107" s="820">
        <v>8.43</v>
      </c>
    </row>
    <row r="5108" spans="1:10" ht="25.5">
      <c r="A5108" s="822" t="s">
        <v>13493</v>
      </c>
      <c r="B5108" s="821" t="s">
        <v>14741</v>
      </c>
      <c r="C5108" s="822" t="s">
        <v>6</v>
      </c>
      <c r="D5108" s="822" t="s">
        <v>8603</v>
      </c>
      <c r="E5108" s="1017" t="s">
        <v>13514</v>
      </c>
      <c r="F5108" s="1017"/>
      <c r="G5108" s="823" t="s">
        <v>24</v>
      </c>
      <c r="H5108" s="824">
        <v>1</v>
      </c>
      <c r="I5108" s="825">
        <v>11.55</v>
      </c>
      <c r="J5108" s="825">
        <v>11.55</v>
      </c>
    </row>
    <row r="5109" spans="1:10" ht="25.5">
      <c r="A5109" s="822" t="s">
        <v>13493</v>
      </c>
      <c r="B5109" s="821" t="s">
        <v>14744</v>
      </c>
      <c r="C5109" s="822" t="s">
        <v>6</v>
      </c>
      <c r="D5109" s="822" t="s">
        <v>8766</v>
      </c>
      <c r="E5109" s="1017" t="s">
        <v>13514</v>
      </c>
      <c r="F5109" s="1017"/>
      <c r="G5109" s="823" t="s">
        <v>24</v>
      </c>
      <c r="H5109" s="824">
        <v>1</v>
      </c>
      <c r="I5109" s="825">
        <v>592.71</v>
      </c>
      <c r="J5109" s="825">
        <v>592.71</v>
      </c>
    </row>
    <row r="5110" spans="1:10" ht="38.25">
      <c r="A5110" s="822" t="s">
        <v>13493</v>
      </c>
      <c r="B5110" s="821" t="s">
        <v>14743</v>
      </c>
      <c r="C5110" s="822" t="s">
        <v>6</v>
      </c>
      <c r="D5110" s="822" t="s">
        <v>4742</v>
      </c>
      <c r="E5110" s="1017" t="s">
        <v>13514</v>
      </c>
      <c r="F5110" s="1017"/>
      <c r="G5110" s="823" t="s">
        <v>24</v>
      </c>
      <c r="H5110" s="824">
        <v>2</v>
      </c>
      <c r="I5110" s="825">
        <v>25.66</v>
      </c>
      <c r="J5110" s="825">
        <v>51.32</v>
      </c>
    </row>
    <row r="5111" spans="1:10">
      <c r="A5111" s="822" t="s">
        <v>13493</v>
      </c>
      <c r="B5111" s="821" t="s">
        <v>14704</v>
      </c>
      <c r="C5111" s="822" t="s">
        <v>6</v>
      </c>
      <c r="D5111" s="822" t="s">
        <v>5395</v>
      </c>
      <c r="E5111" s="1017" t="s">
        <v>13514</v>
      </c>
      <c r="F5111" s="1017"/>
      <c r="G5111" s="823" t="s">
        <v>16</v>
      </c>
      <c r="H5111" s="824">
        <v>8.8099999999999998E-2</v>
      </c>
      <c r="I5111" s="825">
        <v>101.41</v>
      </c>
      <c r="J5111" s="825">
        <v>8.93</v>
      </c>
    </row>
    <row r="5112" spans="1:10" ht="25.5">
      <c r="A5112" s="827"/>
      <c r="B5112" s="827"/>
      <c r="C5112" s="827"/>
      <c r="D5112" s="827"/>
      <c r="E5112" s="827" t="s">
        <v>13503</v>
      </c>
      <c r="F5112" s="826">
        <v>22.37</v>
      </c>
      <c r="G5112" s="827" t="s">
        <v>13504</v>
      </c>
      <c r="H5112" s="826">
        <v>0</v>
      </c>
      <c r="I5112" s="827" t="s">
        <v>13505</v>
      </c>
      <c r="J5112" s="826">
        <v>22.37</v>
      </c>
    </row>
    <row r="5113" spans="1:10" ht="13.5" customHeight="1" thickBot="1">
      <c r="A5113" s="827"/>
      <c r="B5113" s="827"/>
      <c r="C5113" s="827"/>
      <c r="D5113" s="827"/>
      <c r="E5113" s="827" t="s">
        <v>13506</v>
      </c>
      <c r="F5113" s="826">
        <v>196.13</v>
      </c>
      <c r="G5113" s="827"/>
      <c r="H5113" s="1018" t="s">
        <v>13507</v>
      </c>
      <c r="I5113" s="1018"/>
      <c r="J5113" s="826">
        <v>890.67</v>
      </c>
    </row>
    <row r="5114" spans="1:10" ht="13.5" thickTop="1">
      <c r="A5114" s="828"/>
      <c r="B5114" s="828"/>
      <c r="C5114" s="828"/>
      <c r="D5114" s="828"/>
      <c r="E5114" s="828"/>
      <c r="F5114" s="828"/>
      <c r="G5114" s="828"/>
      <c r="H5114" s="828"/>
      <c r="I5114" s="828"/>
      <c r="J5114" s="828"/>
    </row>
    <row r="5115" spans="1:10" ht="15">
      <c r="A5115" s="809"/>
      <c r="B5115" s="808" t="s">
        <v>13481</v>
      </c>
      <c r="C5115" s="809" t="s">
        <v>13482</v>
      </c>
      <c r="D5115" s="809" t="s">
        <v>13483</v>
      </c>
      <c r="E5115" s="1019" t="s">
        <v>13484</v>
      </c>
      <c r="F5115" s="1019"/>
      <c r="G5115" s="810" t="s">
        <v>13485</v>
      </c>
      <c r="H5115" s="808" t="s">
        <v>13486</v>
      </c>
      <c r="I5115" s="808" t="s">
        <v>13487</v>
      </c>
      <c r="J5115" s="808" t="s">
        <v>4867</v>
      </c>
    </row>
    <row r="5116" spans="1:10" ht="25.5" customHeight="1">
      <c r="A5116" s="812" t="s">
        <v>13488</v>
      </c>
      <c r="B5116" s="811" t="s">
        <v>13663</v>
      </c>
      <c r="C5116" s="812" t="s">
        <v>6</v>
      </c>
      <c r="D5116" s="812" t="s">
        <v>1601</v>
      </c>
      <c r="E5116" s="1020" t="s">
        <v>13539</v>
      </c>
      <c r="F5116" s="1020"/>
      <c r="G5116" s="813" t="s">
        <v>42</v>
      </c>
      <c r="H5116" s="814">
        <v>1</v>
      </c>
      <c r="I5116" s="815">
        <v>0.44</v>
      </c>
      <c r="J5116" s="815">
        <v>0.44</v>
      </c>
    </row>
    <row r="5117" spans="1:10" ht="38.25" customHeight="1">
      <c r="A5117" s="817" t="s">
        <v>13491</v>
      </c>
      <c r="B5117" s="816" t="s">
        <v>14745</v>
      </c>
      <c r="C5117" s="817" t="s">
        <v>6</v>
      </c>
      <c r="D5117" s="817" t="s">
        <v>1596</v>
      </c>
      <c r="E5117" s="1021" t="s">
        <v>13539</v>
      </c>
      <c r="F5117" s="1021"/>
      <c r="G5117" s="818" t="s">
        <v>19</v>
      </c>
      <c r="H5117" s="819">
        <v>1</v>
      </c>
      <c r="I5117" s="820">
        <v>0.4</v>
      </c>
      <c r="J5117" s="820">
        <v>0.4</v>
      </c>
    </row>
    <row r="5118" spans="1:10" ht="38.25" customHeight="1">
      <c r="A5118" s="817" t="s">
        <v>13491</v>
      </c>
      <c r="B5118" s="816" t="s">
        <v>14746</v>
      </c>
      <c r="C5118" s="817" t="s">
        <v>6</v>
      </c>
      <c r="D5118" s="817" t="s">
        <v>1597</v>
      </c>
      <c r="E5118" s="1021" t="s">
        <v>13539</v>
      </c>
      <c r="F5118" s="1021"/>
      <c r="G5118" s="818" t="s">
        <v>19</v>
      </c>
      <c r="H5118" s="819">
        <v>1</v>
      </c>
      <c r="I5118" s="820">
        <v>0.04</v>
      </c>
      <c r="J5118" s="820">
        <v>0.04</v>
      </c>
    </row>
    <row r="5119" spans="1:10" ht="25.5">
      <c r="A5119" s="827"/>
      <c r="B5119" s="827"/>
      <c r="C5119" s="827"/>
      <c r="D5119" s="827"/>
      <c r="E5119" s="827" t="s">
        <v>13503</v>
      </c>
      <c r="F5119" s="826">
        <v>0</v>
      </c>
      <c r="G5119" s="827" t="s">
        <v>13504</v>
      </c>
      <c r="H5119" s="826">
        <v>0</v>
      </c>
      <c r="I5119" s="827" t="s">
        <v>13505</v>
      </c>
      <c r="J5119" s="826">
        <v>0</v>
      </c>
    </row>
    <row r="5120" spans="1:10" ht="13.5" customHeight="1" thickBot="1">
      <c r="A5120" s="827"/>
      <c r="B5120" s="827"/>
      <c r="C5120" s="827"/>
      <c r="D5120" s="827"/>
      <c r="E5120" s="827" t="s">
        <v>13506</v>
      </c>
      <c r="F5120" s="826">
        <v>0.12</v>
      </c>
      <c r="G5120" s="827"/>
      <c r="H5120" s="1018" t="s">
        <v>13507</v>
      </c>
      <c r="I5120" s="1018"/>
      <c r="J5120" s="826">
        <v>0.56000000000000005</v>
      </c>
    </row>
    <row r="5121" spans="1:10" ht="13.5" thickTop="1">
      <c r="A5121" s="828"/>
      <c r="B5121" s="828"/>
      <c r="C5121" s="828"/>
      <c r="D5121" s="828"/>
      <c r="E5121" s="828"/>
      <c r="F5121" s="828"/>
      <c r="G5121" s="828"/>
      <c r="H5121" s="828"/>
      <c r="I5121" s="828"/>
      <c r="J5121" s="828"/>
    </row>
    <row r="5122" spans="1:10" ht="15">
      <c r="A5122" s="809"/>
      <c r="B5122" s="808" t="s">
        <v>13481</v>
      </c>
      <c r="C5122" s="809" t="s">
        <v>13482</v>
      </c>
      <c r="D5122" s="809" t="s">
        <v>13483</v>
      </c>
      <c r="E5122" s="1019" t="s">
        <v>13484</v>
      </c>
      <c r="F5122" s="1019"/>
      <c r="G5122" s="810" t="s">
        <v>13485</v>
      </c>
      <c r="H5122" s="808" t="s">
        <v>13486</v>
      </c>
      <c r="I5122" s="808" t="s">
        <v>13487</v>
      </c>
      <c r="J5122" s="808" t="s">
        <v>4867</v>
      </c>
    </row>
    <row r="5123" spans="1:10" ht="25.5" customHeight="1">
      <c r="A5123" s="812" t="s">
        <v>13488</v>
      </c>
      <c r="B5123" s="811" t="s">
        <v>13662</v>
      </c>
      <c r="C5123" s="812" t="s">
        <v>6</v>
      </c>
      <c r="D5123" s="812" t="s">
        <v>1600</v>
      </c>
      <c r="E5123" s="1020" t="s">
        <v>13539</v>
      </c>
      <c r="F5123" s="1020"/>
      <c r="G5123" s="813" t="s">
        <v>28</v>
      </c>
      <c r="H5123" s="814">
        <v>1</v>
      </c>
      <c r="I5123" s="815">
        <v>1.22</v>
      </c>
      <c r="J5123" s="815">
        <v>1.22</v>
      </c>
    </row>
    <row r="5124" spans="1:10" ht="38.25" customHeight="1">
      <c r="A5124" s="817" t="s">
        <v>13491</v>
      </c>
      <c r="B5124" s="816" t="s">
        <v>14746</v>
      </c>
      <c r="C5124" s="817" t="s">
        <v>6</v>
      </c>
      <c r="D5124" s="817" t="s">
        <v>1597</v>
      </c>
      <c r="E5124" s="1021" t="s">
        <v>13539</v>
      </c>
      <c r="F5124" s="1021"/>
      <c r="G5124" s="818" t="s">
        <v>19</v>
      </c>
      <c r="H5124" s="819">
        <v>1</v>
      </c>
      <c r="I5124" s="820">
        <v>0.04</v>
      </c>
      <c r="J5124" s="820">
        <v>0.04</v>
      </c>
    </row>
    <row r="5125" spans="1:10" ht="38.25" customHeight="1">
      <c r="A5125" s="817" t="s">
        <v>13491</v>
      </c>
      <c r="B5125" s="816" t="s">
        <v>14747</v>
      </c>
      <c r="C5125" s="817" t="s">
        <v>6</v>
      </c>
      <c r="D5125" s="817" t="s">
        <v>1599</v>
      </c>
      <c r="E5125" s="1021" t="s">
        <v>13539</v>
      </c>
      <c r="F5125" s="1021"/>
      <c r="G5125" s="818" t="s">
        <v>19</v>
      </c>
      <c r="H5125" s="819">
        <v>1</v>
      </c>
      <c r="I5125" s="820">
        <v>0.47</v>
      </c>
      <c r="J5125" s="820">
        <v>0.47</v>
      </c>
    </row>
    <row r="5126" spans="1:10" ht="38.25" customHeight="1">
      <c r="A5126" s="817" t="s">
        <v>13491</v>
      </c>
      <c r="B5126" s="816" t="s">
        <v>14748</v>
      </c>
      <c r="C5126" s="817" t="s">
        <v>6</v>
      </c>
      <c r="D5126" s="817" t="s">
        <v>1598</v>
      </c>
      <c r="E5126" s="1021" t="s">
        <v>13539</v>
      </c>
      <c r="F5126" s="1021"/>
      <c r="G5126" s="818" t="s">
        <v>19</v>
      </c>
      <c r="H5126" s="819">
        <v>1</v>
      </c>
      <c r="I5126" s="820">
        <v>0.31</v>
      </c>
      <c r="J5126" s="820">
        <v>0.31</v>
      </c>
    </row>
    <row r="5127" spans="1:10" ht="38.25" customHeight="1">
      <c r="A5127" s="817" t="s">
        <v>13491</v>
      </c>
      <c r="B5127" s="816" t="s">
        <v>14745</v>
      </c>
      <c r="C5127" s="817" t="s">
        <v>6</v>
      </c>
      <c r="D5127" s="817" t="s">
        <v>1596</v>
      </c>
      <c r="E5127" s="1021" t="s">
        <v>13539</v>
      </c>
      <c r="F5127" s="1021"/>
      <c r="G5127" s="818" t="s">
        <v>19</v>
      </c>
      <c r="H5127" s="819">
        <v>1</v>
      </c>
      <c r="I5127" s="820">
        <v>0.4</v>
      </c>
      <c r="J5127" s="820">
        <v>0.4</v>
      </c>
    </row>
    <row r="5128" spans="1:10" ht="25.5">
      <c r="A5128" s="827"/>
      <c r="B5128" s="827"/>
      <c r="C5128" s="827"/>
      <c r="D5128" s="827"/>
      <c r="E5128" s="827" t="s">
        <v>13503</v>
      </c>
      <c r="F5128" s="826">
        <v>0</v>
      </c>
      <c r="G5128" s="827" t="s">
        <v>13504</v>
      </c>
      <c r="H5128" s="826">
        <v>0</v>
      </c>
      <c r="I5128" s="827" t="s">
        <v>13505</v>
      </c>
      <c r="J5128" s="826">
        <v>0</v>
      </c>
    </row>
    <row r="5129" spans="1:10" ht="13.5" customHeight="1" thickBot="1">
      <c r="A5129" s="827"/>
      <c r="B5129" s="827"/>
      <c r="C5129" s="827"/>
      <c r="D5129" s="827"/>
      <c r="E5129" s="827" t="s">
        <v>13506</v>
      </c>
      <c r="F5129" s="826">
        <v>0.34</v>
      </c>
      <c r="G5129" s="827"/>
      <c r="H5129" s="1018" t="s">
        <v>13507</v>
      </c>
      <c r="I5129" s="1018"/>
      <c r="J5129" s="826">
        <v>1.56</v>
      </c>
    </row>
    <row r="5130" spans="1:10" ht="13.5" thickTop="1">
      <c r="A5130" s="828"/>
      <c r="B5130" s="828"/>
      <c r="C5130" s="828"/>
      <c r="D5130" s="828"/>
      <c r="E5130" s="828"/>
      <c r="F5130" s="828"/>
      <c r="G5130" s="828"/>
      <c r="H5130" s="828"/>
      <c r="I5130" s="828"/>
      <c r="J5130" s="828"/>
    </row>
    <row r="5131" spans="1:10" ht="15">
      <c r="A5131" s="809"/>
      <c r="B5131" s="808" t="s">
        <v>13481</v>
      </c>
      <c r="C5131" s="809" t="s">
        <v>13482</v>
      </c>
      <c r="D5131" s="809" t="s">
        <v>13483</v>
      </c>
      <c r="E5131" s="1019" t="s">
        <v>13484</v>
      </c>
      <c r="F5131" s="1019"/>
      <c r="G5131" s="810" t="s">
        <v>13485</v>
      </c>
      <c r="H5131" s="808" t="s">
        <v>13486</v>
      </c>
      <c r="I5131" s="808" t="s">
        <v>13487</v>
      </c>
      <c r="J5131" s="808" t="s">
        <v>4867</v>
      </c>
    </row>
    <row r="5132" spans="1:10" ht="25.5" customHeight="1">
      <c r="A5132" s="812" t="s">
        <v>13488</v>
      </c>
      <c r="B5132" s="811" t="s">
        <v>14745</v>
      </c>
      <c r="C5132" s="812" t="s">
        <v>6</v>
      </c>
      <c r="D5132" s="812" t="s">
        <v>1596</v>
      </c>
      <c r="E5132" s="1020" t="s">
        <v>13539</v>
      </c>
      <c r="F5132" s="1020"/>
      <c r="G5132" s="813" t="s">
        <v>19</v>
      </c>
      <c r="H5132" s="814">
        <v>1</v>
      </c>
      <c r="I5132" s="815">
        <v>0.4</v>
      </c>
      <c r="J5132" s="815">
        <v>0.4</v>
      </c>
    </row>
    <row r="5133" spans="1:10" ht="25.5">
      <c r="A5133" s="822" t="s">
        <v>13493</v>
      </c>
      <c r="B5133" s="821" t="s">
        <v>14749</v>
      </c>
      <c r="C5133" s="822" t="s">
        <v>6</v>
      </c>
      <c r="D5133" s="822" t="s">
        <v>4820</v>
      </c>
      <c r="E5133" s="1017" t="s">
        <v>13497</v>
      </c>
      <c r="F5133" s="1017"/>
      <c r="G5133" s="823" t="s">
        <v>24</v>
      </c>
      <c r="H5133" s="824">
        <v>1.2799999999999999E-4</v>
      </c>
      <c r="I5133" s="825">
        <v>3139.8</v>
      </c>
      <c r="J5133" s="825">
        <v>0.4</v>
      </c>
    </row>
    <row r="5134" spans="1:10" ht="25.5">
      <c r="A5134" s="827"/>
      <c r="B5134" s="827"/>
      <c r="C5134" s="827"/>
      <c r="D5134" s="827"/>
      <c r="E5134" s="827" t="s">
        <v>13503</v>
      </c>
      <c r="F5134" s="826">
        <v>0</v>
      </c>
      <c r="G5134" s="827" t="s">
        <v>13504</v>
      </c>
      <c r="H5134" s="826">
        <v>0</v>
      </c>
      <c r="I5134" s="827" t="s">
        <v>13505</v>
      </c>
      <c r="J5134" s="826">
        <v>0</v>
      </c>
    </row>
    <row r="5135" spans="1:10" ht="13.5" customHeight="1" thickBot="1">
      <c r="A5135" s="827"/>
      <c r="B5135" s="827"/>
      <c r="C5135" s="827"/>
      <c r="D5135" s="827"/>
      <c r="E5135" s="827" t="s">
        <v>13506</v>
      </c>
      <c r="F5135" s="826">
        <v>0.11</v>
      </c>
      <c r="G5135" s="827"/>
      <c r="H5135" s="1018" t="s">
        <v>13507</v>
      </c>
      <c r="I5135" s="1018"/>
      <c r="J5135" s="826">
        <v>0.51</v>
      </c>
    </row>
    <row r="5136" spans="1:10" ht="13.5" thickTop="1">
      <c r="A5136" s="828"/>
      <c r="B5136" s="828"/>
      <c r="C5136" s="828"/>
      <c r="D5136" s="828"/>
      <c r="E5136" s="828"/>
      <c r="F5136" s="828"/>
      <c r="G5136" s="828"/>
      <c r="H5136" s="828"/>
      <c r="I5136" s="828"/>
      <c r="J5136" s="828"/>
    </row>
    <row r="5137" spans="1:10" ht="15">
      <c r="A5137" s="809"/>
      <c r="B5137" s="808" t="s">
        <v>13481</v>
      </c>
      <c r="C5137" s="809" t="s">
        <v>13482</v>
      </c>
      <c r="D5137" s="809" t="s">
        <v>13483</v>
      </c>
      <c r="E5137" s="1019" t="s">
        <v>13484</v>
      </c>
      <c r="F5137" s="1019"/>
      <c r="G5137" s="810" t="s">
        <v>13485</v>
      </c>
      <c r="H5137" s="808" t="s">
        <v>13486</v>
      </c>
      <c r="I5137" s="808" t="s">
        <v>13487</v>
      </c>
      <c r="J5137" s="808" t="s">
        <v>4867</v>
      </c>
    </row>
    <row r="5138" spans="1:10" ht="25.5" customHeight="1">
      <c r="A5138" s="812" t="s">
        <v>13488</v>
      </c>
      <c r="B5138" s="811" t="s">
        <v>14746</v>
      </c>
      <c r="C5138" s="812" t="s">
        <v>6</v>
      </c>
      <c r="D5138" s="812" t="s">
        <v>1597</v>
      </c>
      <c r="E5138" s="1020" t="s">
        <v>13539</v>
      </c>
      <c r="F5138" s="1020"/>
      <c r="G5138" s="813" t="s">
        <v>19</v>
      </c>
      <c r="H5138" s="814">
        <v>1</v>
      </c>
      <c r="I5138" s="815">
        <v>0.04</v>
      </c>
      <c r="J5138" s="815">
        <v>0.04</v>
      </c>
    </row>
    <row r="5139" spans="1:10" ht="25.5">
      <c r="A5139" s="822" t="s">
        <v>13493</v>
      </c>
      <c r="B5139" s="821" t="s">
        <v>14749</v>
      </c>
      <c r="C5139" s="822" t="s">
        <v>6</v>
      </c>
      <c r="D5139" s="822" t="s">
        <v>4820</v>
      </c>
      <c r="E5139" s="1017" t="s">
        <v>13497</v>
      </c>
      <c r="F5139" s="1017"/>
      <c r="G5139" s="823" t="s">
        <v>24</v>
      </c>
      <c r="H5139" s="824">
        <v>1.5099999999999999E-5</v>
      </c>
      <c r="I5139" s="825">
        <v>3139.8</v>
      </c>
      <c r="J5139" s="825">
        <v>0.04</v>
      </c>
    </row>
    <row r="5140" spans="1:10" ht="25.5">
      <c r="A5140" s="827"/>
      <c r="B5140" s="827"/>
      <c r="C5140" s="827"/>
      <c r="D5140" s="827"/>
      <c r="E5140" s="827" t="s">
        <v>13503</v>
      </c>
      <c r="F5140" s="826">
        <v>0</v>
      </c>
      <c r="G5140" s="827" t="s">
        <v>13504</v>
      </c>
      <c r="H5140" s="826">
        <v>0</v>
      </c>
      <c r="I5140" s="827" t="s">
        <v>13505</v>
      </c>
      <c r="J5140" s="826">
        <v>0</v>
      </c>
    </row>
    <row r="5141" spans="1:10" ht="13.5" customHeight="1" thickBot="1">
      <c r="A5141" s="827"/>
      <c r="B5141" s="827"/>
      <c r="C5141" s="827"/>
      <c r="D5141" s="827"/>
      <c r="E5141" s="827" t="s">
        <v>13506</v>
      </c>
      <c r="F5141" s="826">
        <v>0.01</v>
      </c>
      <c r="G5141" s="827"/>
      <c r="H5141" s="1018" t="s">
        <v>13507</v>
      </c>
      <c r="I5141" s="1018"/>
      <c r="J5141" s="826">
        <v>0.05</v>
      </c>
    </row>
    <row r="5142" spans="1:10" ht="13.5" thickTop="1">
      <c r="A5142" s="828"/>
      <c r="B5142" s="828"/>
      <c r="C5142" s="828"/>
      <c r="D5142" s="828"/>
      <c r="E5142" s="828"/>
      <c r="F5142" s="828"/>
      <c r="G5142" s="828"/>
      <c r="H5142" s="828"/>
      <c r="I5142" s="828"/>
      <c r="J5142" s="828"/>
    </row>
    <row r="5143" spans="1:10" ht="15">
      <c r="A5143" s="809"/>
      <c r="B5143" s="808" t="s">
        <v>13481</v>
      </c>
      <c r="C5143" s="809" t="s">
        <v>13482</v>
      </c>
      <c r="D5143" s="809" t="s">
        <v>13483</v>
      </c>
      <c r="E5143" s="1019" t="s">
        <v>13484</v>
      </c>
      <c r="F5143" s="1019"/>
      <c r="G5143" s="810" t="s">
        <v>13485</v>
      </c>
      <c r="H5143" s="808" t="s">
        <v>13486</v>
      </c>
      <c r="I5143" s="808" t="s">
        <v>13487</v>
      </c>
      <c r="J5143" s="808" t="s">
        <v>4867</v>
      </c>
    </row>
    <row r="5144" spans="1:10" ht="25.5" customHeight="1">
      <c r="A5144" s="812" t="s">
        <v>13488</v>
      </c>
      <c r="B5144" s="811" t="s">
        <v>14748</v>
      </c>
      <c r="C5144" s="812" t="s">
        <v>6</v>
      </c>
      <c r="D5144" s="812" t="s">
        <v>1598</v>
      </c>
      <c r="E5144" s="1020" t="s">
        <v>13539</v>
      </c>
      <c r="F5144" s="1020"/>
      <c r="G5144" s="813" t="s">
        <v>19</v>
      </c>
      <c r="H5144" s="814">
        <v>1</v>
      </c>
      <c r="I5144" s="815">
        <v>0.31</v>
      </c>
      <c r="J5144" s="815">
        <v>0.31</v>
      </c>
    </row>
    <row r="5145" spans="1:10" ht="25.5">
      <c r="A5145" s="822" t="s">
        <v>13493</v>
      </c>
      <c r="B5145" s="821" t="s">
        <v>14749</v>
      </c>
      <c r="C5145" s="822" t="s">
        <v>6</v>
      </c>
      <c r="D5145" s="822" t="s">
        <v>4820</v>
      </c>
      <c r="E5145" s="1017" t="s">
        <v>13497</v>
      </c>
      <c r="F5145" s="1017"/>
      <c r="G5145" s="823" t="s">
        <v>24</v>
      </c>
      <c r="H5145" s="824">
        <v>1E-4</v>
      </c>
      <c r="I5145" s="825">
        <v>3139.8</v>
      </c>
      <c r="J5145" s="825">
        <v>0.31</v>
      </c>
    </row>
    <row r="5146" spans="1:10" ht="25.5">
      <c r="A5146" s="827"/>
      <c r="B5146" s="827"/>
      <c r="C5146" s="827"/>
      <c r="D5146" s="827"/>
      <c r="E5146" s="827" t="s">
        <v>13503</v>
      </c>
      <c r="F5146" s="826">
        <v>0</v>
      </c>
      <c r="G5146" s="827" t="s">
        <v>13504</v>
      </c>
      <c r="H5146" s="826">
        <v>0</v>
      </c>
      <c r="I5146" s="827" t="s">
        <v>13505</v>
      </c>
      <c r="J5146" s="826">
        <v>0</v>
      </c>
    </row>
    <row r="5147" spans="1:10" ht="13.5" customHeight="1" thickBot="1">
      <c r="A5147" s="827"/>
      <c r="B5147" s="827"/>
      <c r="C5147" s="827"/>
      <c r="D5147" s="827"/>
      <c r="E5147" s="827" t="s">
        <v>13506</v>
      </c>
      <c r="F5147" s="826">
        <v>0.08</v>
      </c>
      <c r="G5147" s="827"/>
      <c r="H5147" s="1018" t="s">
        <v>13507</v>
      </c>
      <c r="I5147" s="1018"/>
      <c r="J5147" s="826">
        <v>0.39</v>
      </c>
    </row>
    <row r="5148" spans="1:10" ht="13.5" thickTop="1">
      <c r="A5148" s="828"/>
      <c r="B5148" s="828"/>
      <c r="C5148" s="828"/>
      <c r="D5148" s="828"/>
      <c r="E5148" s="828"/>
      <c r="F5148" s="828"/>
      <c r="G5148" s="828"/>
      <c r="H5148" s="828"/>
      <c r="I5148" s="828"/>
      <c r="J5148" s="828"/>
    </row>
    <row r="5149" spans="1:10" ht="15">
      <c r="A5149" s="809"/>
      <c r="B5149" s="808" t="s">
        <v>13481</v>
      </c>
      <c r="C5149" s="809" t="s">
        <v>13482</v>
      </c>
      <c r="D5149" s="809" t="s">
        <v>13483</v>
      </c>
      <c r="E5149" s="1019" t="s">
        <v>13484</v>
      </c>
      <c r="F5149" s="1019"/>
      <c r="G5149" s="810" t="s">
        <v>13485</v>
      </c>
      <c r="H5149" s="808" t="s">
        <v>13486</v>
      </c>
      <c r="I5149" s="808" t="s">
        <v>13487</v>
      </c>
      <c r="J5149" s="808" t="s">
        <v>4867</v>
      </c>
    </row>
    <row r="5150" spans="1:10" ht="25.5" customHeight="1">
      <c r="A5150" s="812" t="s">
        <v>13488</v>
      </c>
      <c r="B5150" s="811" t="s">
        <v>14747</v>
      </c>
      <c r="C5150" s="812" t="s">
        <v>6</v>
      </c>
      <c r="D5150" s="812" t="s">
        <v>1599</v>
      </c>
      <c r="E5150" s="1020" t="s">
        <v>13539</v>
      </c>
      <c r="F5150" s="1020"/>
      <c r="G5150" s="813" t="s">
        <v>19</v>
      </c>
      <c r="H5150" s="814">
        <v>1</v>
      </c>
      <c r="I5150" s="815">
        <v>0.47</v>
      </c>
      <c r="J5150" s="815">
        <v>0.47</v>
      </c>
    </row>
    <row r="5151" spans="1:10">
      <c r="A5151" s="822" t="s">
        <v>13493</v>
      </c>
      <c r="B5151" s="821" t="s">
        <v>14583</v>
      </c>
      <c r="C5151" s="822" t="s">
        <v>6</v>
      </c>
      <c r="D5151" s="822" t="s">
        <v>4647</v>
      </c>
      <c r="E5151" s="1017" t="s">
        <v>13514</v>
      </c>
      <c r="F5151" s="1017"/>
      <c r="G5151" s="823" t="s">
        <v>14584</v>
      </c>
      <c r="H5151" s="824">
        <v>0.52</v>
      </c>
      <c r="I5151" s="825">
        <v>0.91</v>
      </c>
      <c r="J5151" s="825">
        <v>0.47</v>
      </c>
    </row>
    <row r="5152" spans="1:10" ht="25.5">
      <c r="A5152" s="827"/>
      <c r="B5152" s="827"/>
      <c r="C5152" s="827"/>
      <c r="D5152" s="827"/>
      <c r="E5152" s="827" t="s">
        <v>13503</v>
      </c>
      <c r="F5152" s="826">
        <v>0</v>
      </c>
      <c r="G5152" s="827" t="s">
        <v>13504</v>
      </c>
      <c r="H5152" s="826">
        <v>0</v>
      </c>
      <c r="I5152" s="827" t="s">
        <v>13505</v>
      </c>
      <c r="J5152" s="826">
        <v>0</v>
      </c>
    </row>
    <row r="5153" spans="1:10" ht="13.5" customHeight="1" thickBot="1">
      <c r="A5153" s="827"/>
      <c r="B5153" s="827"/>
      <c r="C5153" s="827"/>
      <c r="D5153" s="827"/>
      <c r="E5153" s="827" t="s">
        <v>13506</v>
      </c>
      <c r="F5153" s="826">
        <v>0.13</v>
      </c>
      <c r="G5153" s="827"/>
      <c r="H5153" s="1018" t="s">
        <v>13507</v>
      </c>
      <c r="I5153" s="1018"/>
      <c r="J5153" s="826">
        <v>0.6</v>
      </c>
    </row>
    <row r="5154" spans="1:10" ht="13.5" thickTop="1">
      <c r="A5154" s="828"/>
      <c r="B5154" s="828"/>
      <c r="C5154" s="828"/>
      <c r="D5154" s="828"/>
      <c r="E5154" s="828"/>
      <c r="F5154" s="828"/>
      <c r="G5154" s="828"/>
      <c r="H5154" s="828"/>
      <c r="I5154" s="828"/>
      <c r="J5154" s="828"/>
    </row>
    <row r="5155" spans="1:10">
      <c r="A5155" s="832"/>
      <c r="B5155" s="832"/>
      <c r="C5155" s="832"/>
      <c r="D5155" s="832"/>
      <c r="E5155" s="832"/>
      <c r="F5155" s="832"/>
      <c r="G5155" s="832"/>
      <c r="H5155" s="832"/>
      <c r="I5155" s="832"/>
      <c r="J5155" s="832"/>
    </row>
    <row r="5156" spans="1:10" ht="12.75" customHeight="1">
      <c r="A5156" s="1012"/>
      <c r="B5156" s="1012"/>
      <c r="C5156" s="1012"/>
      <c r="D5156" s="829"/>
      <c r="E5156" s="830"/>
      <c r="F5156" s="1013" t="s">
        <v>14750</v>
      </c>
      <c r="G5156" s="1012"/>
      <c r="H5156" s="1014">
        <v>1491298.09</v>
      </c>
      <c r="I5156" s="1012"/>
      <c r="J5156" s="1012"/>
    </row>
    <row r="5157" spans="1:10" ht="12.75" customHeight="1">
      <c r="A5157" s="1012"/>
      <c r="B5157" s="1012"/>
      <c r="C5157" s="1012"/>
      <c r="D5157" s="829"/>
      <c r="E5157" s="830"/>
      <c r="F5157" s="1013" t="s">
        <v>14751</v>
      </c>
      <c r="G5157" s="1012"/>
      <c r="H5157" s="1014">
        <v>420738.4</v>
      </c>
      <c r="I5157" s="1012"/>
      <c r="J5157" s="1012"/>
    </row>
    <row r="5158" spans="1:10" ht="12.75" customHeight="1">
      <c r="A5158" s="1012"/>
      <c r="B5158" s="1012"/>
      <c r="C5158" s="1012"/>
      <c r="D5158" s="829"/>
      <c r="E5158" s="830"/>
      <c r="F5158" s="1013" t="s">
        <v>14752</v>
      </c>
      <c r="G5158" s="1012"/>
      <c r="H5158" s="1014">
        <v>1912036.49</v>
      </c>
      <c r="I5158" s="1012"/>
      <c r="J5158" s="1012"/>
    </row>
    <row r="5159" spans="1:10">
      <c r="A5159" s="831"/>
      <c r="B5159" s="831"/>
      <c r="C5159" s="831"/>
      <c r="D5159" s="831"/>
      <c r="E5159" s="831"/>
      <c r="F5159" s="831"/>
      <c r="G5159" s="831"/>
      <c r="H5159" s="831"/>
      <c r="I5159" s="831"/>
      <c r="J5159" s="831"/>
    </row>
    <row r="5160" spans="1:10" ht="12.75" customHeight="1">
      <c r="A5160" s="1015" t="s">
        <v>14753</v>
      </c>
      <c r="B5160" s="1016"/>
      <c r="C5160" s="1016"/>
      <c r="D5160" s="1016"/>
      <c r="E5160" s="1016"/>
      <c r="F5160" s="1016"/>
      <c r="G5160" s="1016"/>
      <c r="H5160" s="1016"/>
      <c r="I5160" s="1016"/>
      <c r="J5160" s="1016"/>
    </row>
  </sheetData>
  <mergeCells count="4026">
    <mergeCell ref="E2677:F2677"/>
    <mergeCell ref="H2679:I2679"/>
    <mergeCell ref="H2716:I2716"/>
    <mergeCell ref="E2718:F2718"/>
    <mergeCell ref="E2719:F2719"/>
    <mergeCell ref="E2720:F2720"/>
    <mergeCell ref="H2726:I2726"/>
    <mergeCell ref="E2730:F2730"/>
    <mergeCell ref="E2731:F2731"/>
    <mergeCell ref="E2732:F2732"/>
    <mergeCell ref="H2735:I2735"/>
    <mergeCell ref="E2740:F2740"/>
    <mergeCell ref="E2741:F2741"/>
    <mergeCell ref="E2742:F2742"/>
    <mergeCell ref="H2747:I2747"/>
    <mergeCell ref="E2749:F2749"/>
    <mergeCell ref="E2750:F2750"/>
    <mergeCell ref="C1:D1"/>
    <mergeCell ref="E1:F1"/>
    <mergeCell ref="G1:H1"/>
    <mergeCell ref="I1:J1"/>
    <mergeCell ref="C2:D2"/>
    <mergeCell ref="E2:F2"/>
    <mergeCell ref="G2:H2"/>
    <mergeCell ref="I2:J2"/>
    <mergeCell ref="H2598:I2598"/>
    <mergeCell ref="E2600:F2600"/>
    <mergeCell ref="E2615:F2615"/>
    <mergeCell ref="H2617:I2617"/>
    <mergeCell ref="E2623:F2623"/>
    <mergeCell ref="H2625:I2625"/>
    <mergeCell ref="H2649:I2649"/>
    <mergeCell ref="E2651:F2651"/>
    <mergeCell ref="E2652:F2652"/>
    <mergeCell ref="E17:F17"/>
    <mergeCell ref="E18:F18"/>
    <mergeCell ref="E19:F19"/>
    <mergeCell ref="E20:F20"/>
    <mergeCell ref="E21:F21"/>
    <mergeCell ref="E22:F22"/>
    <mergeCell ref="E9:F9"/>
    <mergeCell ref="E10:F10"/>
    <mergeCell ref="E11:F11"/>
    <mergeCell ref="E12:F12"/>
    <mergeCell ref="H14:I14"/>
    <mergeCell ref="E16:F16"/>
    <mergeCell ref="A3:J3"/>
    <mergeCell ref="A4:J4"/>
    <mergeCell ref="E5:F5"/>
    <mergeCell ref="E6:F6"/>
    <mergeCell ref="E7:F7"/>
    <mergeCell ref="E8:F8"/>
    <mergeCell ref="H38:I38"/>
    <mergeCell ref="E40:F40"/>
    <mergeCell ref="E41:F41"/>
    <mergeCell ref="E42:F42"/>
    <mergeCell ref="E43:F43"/>
    <mergeCell ref="E44:F44"/>
    <mergeCell ref="E31:F31"/>
    <mergeCell ref="E32:F32"/>
    <mergeCell ref="E33:F33"/>
    <mergeCell ref="E34:F34"/>
    <mergeCell ref="E35:F35"/>
    <mergeCell ref="E36:F36"/>
    <mergeCell ref="E23:F23"/>
    <mergeCell ref="H25:I25"/>
    <mergeCell ref="E27:F27"/>
    <mergeCell ref="E28:F28"/>
    <mergeCell ref="E29:F29"/>
    <mergeCell ref="E30:F30"/>
    <mergeCell ref="E59:F59"/>
    <mergeCell ref="E60:F60"/>
    <mergeCell ref="E61:F61"/>
    <mergeCell ref="E62:F62"/>
    <mergeCell ref="E63:F63"/>
    <mergeCell ref="H65:I65"/>
    <mergeCell ref="E53:F53"/>
    <mergeCell ref="E54:F54"/>
    <mergeCell ref="E55:F55"/>
    <mergeCell ref="E56:F56"/>
    <mergeCell ref="E57:F57"/>
    <mergeCell ref="E58:F58"/>
    <mergeCell ref="E45:F45"/>
    <mergeCell ref="E46:F46"/>
    <mergeCell ref="E47:F47"/>
    <mergeCell ref="E48:F48"/>
    <mergeCell ref="E49:F49"/>
    <mergeCell ref="H51:I51"/>
    <mergeCell ref="E83:F83"/>
    <mergeCell ref="E84:F84"/>
    <mergeCell ref="H86:I86"/>
    <mergeCell ref="E88:F88"/>
    <mergeCell ref="E89:F89"/>
    <mergeCell ref="E90:F90"/>
    <mergeCell ref="E75:F75"/>
    <mergeCell ref="E76:F76"/>
    <mergeCell ref="E77:F77"/>
    <mergeCell ref="H79:I79"/>
    <mergeCell ref="E81:F81"/>
    <mergeCell ref="E82:F82"/>
    <mergeCell ref="E67:F67"/>
    <mergeCell ref="E68:F68"/>
    <mergeCell ref="E69:F69"/>
    <mergeCell ref="E70:F70"/>
    <mergeCell ref="H72:I72"/>
    <mergeCell ref="E74:F74"/>
    <mergeCell ref="E109:F109"/>
    <mergeCell ref="E110:F110"/>
    <mergeCell ref="E111:F111"/>
    <mergeCell ref="E112:F112"/>
    <mergeCell ref="H114:I114"/>
    <mergeCell ref="E116:F116"/>
    <mergeCell ref="H100:I100"/>
    <mergeCell ref="E102:F102"/>
    <mergeCell ref="E103:F103"/>
    <mergeCell ref="E104:F104"/>
    <mergeCell ref="E105:F105"/>
    <mergeCell ref="H107:I107"/>
    <mergeCell ref="E91:F91"/>
    <mergeCell ref="H93:I93"/>
    <mergeCell ref="E95:F95"/>
    <mergeCell ref="E96:F96"/>
    <mergeCell ref="E97:F97"/>
    <mergeCell ref="E98:F98"/>
    <mergeCell ref="E133:F133"/>
    <mergeCell ref="E134:F134"/>
    <mergeCell ref="H136:I136"/>
    <mergeCell ref="E138:F138"/>
    <mergeCell ref="E139:F139"/>
    <mergeCell ref="E140:F140"/>
    <mergeCell ref="E125:F125"/>
    <mergeCell ref="E126:F126"/>
    <mergeCell ref="H128:I128"/>
    <mergeCell ref="E130:F130"/>
    <mergeCell ref="E131:F131"/>
    <mergeCell ref="E132:F132"/>
    <mergeCell ref="E117:F117"/>
    <mergeCell ref="E118:F118"/>
    <mergeCell ref="E119:F119"/>
    <mergeCell ref="H121:I121"/>
    <mergeCell ref="E123:F123"/>
    <mergeCell ref="E124:F124"/>
    <mergeCell ref="E159:F159"/>
    <mergeCell ref="E160:F160"/>
    <mergeCell ref="E161:F161"/>
    <mergeCell ref="E162:F162"/>
    <mergeCell ref="H164:I164"/>
    <mergeCell ref="E166:F166"/>
    <mergeCell ref="H150:I150"/>
    <mergeCell ref="E152:F152"/>
    <mergeCell ref="E153:F153"/>
    <mergeCell ref="E154:F154"/>
    <mergeCell ref="E155:F155"/>
    <mergeCell ref="H157:I157"/>
    <mergeCell ref="E141:F141"/>
    <mergeCell ref="H143:I143"/>
    <mergeCell ref="E145:F145"/>
    <mergeCell ref="E146:F146"/>
    <mergeCell ref="E147:F147"/>
    <mergeCell ref="E148:F148"/>
    <mergeCell ref="E181:F181"/>
    <mergeCell ref="H183:I183"/>
    <mergeCell ref="E185:F185"/>
    <mergeCell ref="E186:F186"/>
    <mergeCell ref="E187:F187"/>
    <mergeCell ref="E188:F188"/>
    <mergeCell ref="H174:I174"/>
    <mergeCell ref="E176:F176"/>
    <mergeCell ref="E177:F177"/>
    <mergeCell ref="E178:F178"/>
    <mergeCell ref="E179:F179"/>
    <mergeCell ref="E180:F180"/>
    <mergeCell ref="E167:F167"/>
    <mergeCell ref="E168:F168"/>
    <mergeCell ref="E169:F169"/>
    <mergeCell ref="E170:F170"/>
    <mergeCell ref="E171:F171"/>
    <mergeCell ref="E172:F172"/>
    <mergeCell ref="E205:F205"/>
    <mergeCell ref="E206:F206"/>
    <mergeCell ref="H208:I208"/>
    <mergeCell ref="E210:F210"/>
    <mergeCell ref="E211:F211"/>
    <mergeCell ref="E212:F212"/>
    <mergeCell ref="E197:F197"/>
    <mergeCell ref="H199:I199"/>
    <mergeCell ref="E201:F201"/>
    <mergeCell ref="E202:F202"/>
    <mergeCell ref="E203:F203"/>
    <mergeCell ref="E204:F204"/>
    <mergeCell ref="H190:I190"/>
    <mergeCell ref="E192:F192"/>
    <mergeCell ref="E193:F193"/>
    <mergeCell ref="E194:F194"/>
    <mergeCell ref="E195:F195"/>
    <mergeCell ref="E196:F196"/>
    <mergeCell ref="E229:F229"/>
    <mergeCell ref="E230:F230"/>
    <mergeCell ref="E231:F231"/>
    <mergeCell ref="H233:I233"/>
    <mergeCell ref="E235:F235"/>
    <mergeCell ref="E236:F236"/>
    <mergeCell ref="E221:F221"/>
    <mergeCell ref="E222:F222"/>
    <mergeCell ref="E223:F223"/>
    <mergeCell ref="E224:F224"/>
    <mergeCell ref="H226:I226"/>
    <mergeCell ref="E228:F228"/>
    <mergeCell ref="E213:F213"/>
    <mergeCell ref="E214:F214"/>
    <mergeCell ref="E215:F215"/>
    <mergeCell ref="H217:I217"/>
    <mergeCell ref="E219:F219"/>
    <mergeCell ref="E220:F220"/>
    <mergeCell ref="E251:F251"/>
    <mergeCell ref="H253:I253"/>
    <mergeCell ref="E255:F255"/>
    <mergeCell ref="E256:F256"/>
    <mergeCell ref="E257:F257"/>
    <mergeCell ref="E258:F258"/>
    <mergeCell ref="H244:I244"/>
    <mergeCell ref="E246:F246"/>
    <mergeCell ref="E247:F247"/>
    <mergeCell ref="E248:F248"/>
    <mergeCell ref="E249:F249"/>
    <mergeCell ref="E250:F250"/>
    <mergeCell ref="E237:F237"/>
    <mergeCell ref="E238:F238"/>
    <mergeCell ref="E239:F239"/>
    <mergeCell ref="E240:F240"/>
    <mergeCell ref="E241:F241"/>
    <mergeCell ref="E242:F242"/>
    <mergeCell ref="E275:F275"/>
    <mergeCell ref="E276:F276"/>
    <mergeCell ref="E277:F277"/>
    <mergeCell ref="E278:F278"/>
    <mergeCell ref="E279:F279"/>
    <mergeCell ref="H281:I281"/>
    <mergeCell ref="E267:F267"/>
    <mergeCell ref="E268:F268"/>
    <mergeCell ref="E269:F269"/>
    <mergeCell ref="H271:I271"/>
    <mergeCell ref="E273:F273"/>
    <mergeCell ref="E274:F274"/>
    <mergeCell ref="E259:F259"/>
    <mergeCell ref="H261:I261"/>
    <mergeCell ref="E263:F263"/>
    <mergeCell ref="E264:F264"/>
    <mergeCell ref="E265:F265"/>
    <mergeCell ref="E266:F266"/>
    <mergeCell ref="H296:I296"/>
    <mergeCell ref="E298:F298"/>
    <mergeCell ref="E299:F299"/>
    <mergeCell ref="E300:F300"/>
    <mergeCell ref="E301:F301"/>
    <mergeCell ref="E302:F302"/>
    <mergeCell ref="E289:F289"/>
    <mergeCell ref="E290:F290"/>
    <mergeCell ref="E291:F291"/>
    <mergeCell ref="E292:F292"/>
    <mergeCell ref="E293:F293"/>
    <mergeCell ref="E294:F294"/>
    <mergeCell ref="E283:F283"/>
    <mergeCell ref="E284:F284"/>
    <mergeCell ref="E285:F285"/>
    <mergeCell ref="E286:F286"/>
    <mergeCell ref="E287:F287"/>
    <mergeCell ref="E288:F288"/>
    <mergeCell ref="H318:I318"/>
    <mergeCell ref="E320:F320"/>
    <mergeCell ref="E321:F321"/>
    <mergeCell ref="E322:F322"/>
    <mergeCell ref="E323:F323"/>
    <mergeCell ref="E324:F324"/>
    <mergeCell ref="E311:F311"/>
    <mergeCell ref="E312:F312"/>
    <mergeCell ref="E313:F313"/>
    <mergeCell ref="E314:F314"/>
    <mergeCell ref="E315:F315"/>
    <mergeCell ref="E316:F316"/>
    <mergeCell ref="E303:F303"/>
    <mergeCell ref="E304:F304"/>
    <mergeCell ref="E305:F305"/>
    <mergeCell ref="E306:F306"/>
    <mergeCell ref="H308:I308"/>
    <mergeCell ref="E310:F310"/>
    <mergeCell ref="E341:F341"/>
    <mergeCell ref="E342:F342"/>
    <mergeCell ref="E343:F343"/>
    <mergeCell ref="E344:F344"/>
    <mergeCell ref="H346:I346"/>
    <mergeCell ref="E348:F348"/>
    <mergeCell ref="E333:F333"/>
    <mergeCell ref="E334:F334"/>
    <mergeCell ref="E335:F335"/>
    <mergeCell ref="H337:I337"/>
    <mergeCell ref="E339:F339"/>
    <mergeCell ref="E340:F340"/>
    <mergeCell ref="H326:I326"/>
    <mergeCell ref="E328:F328"/>
    <mergeCell ref="E329:F329"/>
    <mergeCell ref="E330:F330"/>
    <mergeCell ref="E331:F331"/>
    <mergeCell ref="E332:F332"/>
    <mergeCell ref="E365:F365"/>
    <mergeCell ref="E366:F366"/>
    <mergeCell ref="E367:F367"/>
    <mergeCell ref="E368:F368"/>
    <mergeCell ref="E369:F369"/>
    <mergeCell ref="E370:F370"/>
    <mergeCell ref="E357:F357"/>
    <mergeCell ref="E358:F358"/>
    <mergeCell ref="E359:F359"/>
    <mergeCell ref="E360:F360"/>
    <mergeCell ref="H362:I362"/>
    <mergeCell ref="E364:F364"/>
    <mergeCell ref="E349:F349"/>
    <mergeCell ref="E350:F350"/>
    <mergeCell ref="E351:F351"/>
    <mergeCell ref="H353:I353"/>
    <mergeCell ref="E355:F355"/>
    <mergeCell ref="E356:F356"/>
    <mergeCell ref="E385:F385"/>
    <mergeCell ref="H387:I387"/>
    <mergeCell ref="E389:F389"/>
    <mergeCell ref="E390:F390"/>
    <mergeCell ref="E391:F391"/>
    <mergeCell ref="E392:F392"/>
    <mergeCell ref="E379:F379"/>
    <mergeCell ref="E380:F380"/>
    <mergeCell ref="E381:F381"/>
    <mergeCell ref="E382:F382"/>
    <mergeCell ref="E383:F383"/>
    <mergeCell ref="E384:F384"/>
    <mergeCell ref="H372:I372"/>
    <mergeCell ref="E374:F374"/>
    <mergeCell ref="E375:F375"/>
    <mergeCell ref="E376:F376"/>
    <mergeCell ref="E377:F377"/>
    <mergeCell ref="E378:F378"/>
    <mergeCell ref="E409:F409"/>
    <mergeCell ref="E410:F410"/>
    <mergeCell ref="E411:F411"/>
    <mergeCell ref="E412:F412"/>
    <mergeCell ref="E413:F413"/>
    <mergeCell ref="E414:F414"/>
    <mergeCell ref="E401:F401"/>
    <mergeCell ref="E402:F402"/>
    <mergeCell ref="E403:F403"/>
    <mergeCell ref="E404:F404"/>
    <mergeCell ref="H406:I406"/>
    <mergeCell ref="E408:F408"/>
    <mergeCell ref="E393:F393"/>
    <mergeCell ref="E394:F394"/>
    <mergeCell ref="H396:I396"/>
    <mergeCell ref="E398:F398"/>
    <mergeCell ref="E399:F399"/>
    <mergeCell ref="E400:F400"/>
    <mergeCell ref="E431:F431"/>
    <mergeCell ref="E432:F432"/>
    <mergeCell ref="E433:F433"/>
    <mergeCell ref="E434:F434"/>
    <mergeCell ref="E435:F435"/>
    <mergeCell ref="E436:F436"/>
    <mergeCell ref="E423:F423"/>
    <mergeCell ref="E424:F424"/>
    <mergeCell ref="H426:I426"/>
    <mergeCell ref="E428:F428"/>
    <mergeCell ref="E429:F429"/>
    <mergeCell ref="E430:F430"/>
    <mergeCell ref="H416:I416"/>
    <mergeCell ref="E418:F418"/>
    <mergeCell ref="E419:F419"/>
    <mergeCell ref="E420:F420"/>
    <mergeCell ref="E421:F421"/>
    <mergeCell ref="E422:F422"/>
    <mergeCell ref="E453:F453"/>
    <mergeCell ref="E454:F454"/>
    <mergeCell ref="E455:F455"/>
    <mergeCell ref="E456:F456"/>
    <mergeCell ref="E457:F457"/>
    <mergeCell ref="E458:F458"/>
    <mergeCell ref="E445:F445"/>
    <mergeCell ref="E446:F446"/>
    <mergeCell ref="E447:F447"/>
    <mergeCell ref="H449:I449"/>
    <mergeCell ref="E451:F451"/>
    <mergeCell ref="E452:F452"/>
    <mergeCell ref="E437:F437"/>
    <mergeCell ref="H439:I439"/>
    <mergeCell ref="E441:F441"/>
    <mergeCell ref="E442:F442"/>
    <mergeCell ref="E443:F443"/>
    <mergeCell ref="E444:F444"/>
    <mergeCell ref="E475:F475"/>
    <mergeCell ref="E476:F476"/>
    <mergeCell ref="E477:F477"/>
    <mergeCell ref="E478:F478"/>
    <mergeCell ref="E479:F479"/>
    <mergeCell ref="E480:F480"/>
    <mergeCell ref="E467:F467"/>
    <mergeCell ref="E468:F468"/>
    <mergeCell ref="E469:F469"/>
    <mergeCell ref="E470:F470"/>
    <mergeCell ref="H472:I472"/>
    <mergeCell ref="E474:F474"/>
    <mergeCell ref="E459:F459"/>
    <mergeCell ref="H461:I461"/>
    <mergeCell ref="E463:F463"/>
    <mergeCell ref="E464:F464"/>
    <mergeCell ref="E465:F465"/>
    <mergeCell ref="E466:F466"/>
    <mergeCell ref="E497:F497"/>
    <mergeCell ref="E498:F498"/>
    <mergeCell ref="E499:F499"/>
    <mergeCell ref="E500:F500"/>
    <mergeCell ref="E501:F501"/>
    <mergeCell ref="E502:F502"/>
    <mergeCell ref="E489:F489"/>
    <mergeCell ref="E490:F490"/>
    <mergeCell ref="E491:F491"/>
    <mergeCell ref="E492:F492"/>
    <mergeCell ref="H494:I494"/>
    <mergeCell ref="E496:F496"/>
    <mergeCell ref="E481:F481"/>
    <mergeCell ref="H483:I483"/>
    <mergeCell ref="E485:F485"/>
    <mergeCell ref="E486:F486"/>
    <mergeCell ref="E487:F487"/>
    <mergeCell ref="E488:F488"/>
    <mergeCell ref="E517:F517"/>
    <mergeCell ref="E518:F518"/>
    <mergeCell ref="H520:I520"/>
    <mergeCell ref="E522:F522"/>
    <mergeCell ref="E523:F523"/>
    <mergeCell ref="E524:F524"/>
    <mergeCell ref="E511:F511"/>
    <mergeCell ref="E512:F512"/>
    <mergeCell ref="E513:F513"/>
    <mergeCell ref="E514:F514"/>
    <mergeCell ref="E515:F515"/>
    <mergeCell ref="E516:F516"/>
    <mergeCell ref="E503:F503"/>
    <mergeCell ref="E504:F504"/>
    <mergeCell ref="E505:F505"/>
    <mergeCell ref="H507:I507"/>
    <mergeCell ref="E509:F509"/>
    <mergeCell ref="E510:F510"/>
    <mergeCell ref="E539:F539"/>
    <mergeCell ref="H541:I541"/>
    <mergeCell ref="E543:F543"/>
    <mergeCell ref="E544:F544"/>
    <mergeCell ref="E545:F545"/>
    <mergeCell ref="E546:F546"/>
    <mergeCell ref="E531:F531"/>
    <mergeCell ref="H533:I533"/>
    <mergeCell ref="E535:F535"/>
    <mergeCell ref="E536:F536"/>
    <mergeCell ref="E537:F537"/>
    <mergeCell ref="E538:F538"/>
    <mergeCell ref="E525:F525"/>
    <mergeCell ref="E526:F526"/>
    <mergeCell ref="E527:F527"/>
    <mergeCell ref="E528:F528"/>
    <mergeCell ref="E529:F529"/>
    <mergeCell ref="E530:F530"/>
    <mergeCell ref="E563:F563"/>
    <mergeCell ref="E564:F564"/>
    <mergeCell ref="E565:F565"/>
    <mergeCell ref="E566:F566"/>
    <mergeCell ref="H568:I568"/>
    <mergeCell ref="E570:F570"/>
    <mergeCell ref="E555:F555"/>
    <mergeCell ref="E556:F556"/>
    <mergeCell ref="H558:I558"/>
    <mergeCell ref="E560:F560"/>
    <mergeCell ref="E561:F561"/>
    <mergeCell ref="E562:F562"/>
    <mergeCell ref="E547:F547"/>
    <mergeCell ref="E548:F548"/>
    <mergeCell ref="H550:I550"/>
    <mergeCell ref="E552:F552"/>
    <mergeCell ref="E553:F553"/>
    <mergeCell ref="E554:F554"/>
    <mergeCell ref="E585:F585"/>
    <mergeCell ref="E586:F586"/>
    <mergeCell ref="E587:F587"/>
    <mergeCell ref="H589:I589"/>
    <mergeCell ref="E591:F591"/>
    <mergeCell ref="E592:F592"/>
    <mergeCell ref="E577:F577"/>
    <mergeCell ref="E578:F578"/>
    <mergeCell ref="H580:I580"/>
    <mergeCell ref="E582:F582"/>
    <mergeCell ref="E583:F583"/>
    <mergeCell ref="E584:F584"/>
    <mergeCell ref="E571:F571"/>
    <mergeCell ref="E572:F572"/>
    <mergeCell ref="E573:F573"/>
    <mergeCell ref="E574:F574"/>
    <mergeCell ref="E575:F575"/>
    <mergeCell ref="E576:F576"/>
    <mergeCell ref="E609:F609"/>
    <mergeCell ref="E610:F610"/>
    <mergeCell ref="E611:F611"/>
    <mergeCell ref="E612:F612"/>
    <mergeCell ref="H614:I614"/>
    <mergeCell ref="E616:F616"/>
    <mergeCell ref="E601:F601"/>
    <mergeCell ref="E602:F602"/>
    <mergeCell ref="E603:F603"/>
    <mergeCell ref="E604:F604"/>
    <mergeCell ref="H606:I606"/>
    <mergeCell ref="E608:F608"/>
    <mergeCell ref="E593:F593"/>
    <mergeCell ref="E594:F594"/>
    <mergeCell ref="E595:F595"/>
    <mergeCell ref="H597:I597"/>
    <mergeCell ref="E599:F599"/>
    <mergeCell ref="E600:F600"/>
    <mergeCell ref="E633:F633"/>
    <mergeCell ref="E634:F634"/>
    <mergeCell ref="E635:F635"/>
    <mergeCell ref="E636:F636"/>
    <mergeCell ref="E637:F637"/>
    <mergeCell ref="H639:I639"/>
    <mergeCell ref="E625:F625"/>
    <mergeCell ref="E626:F626"/>
    <mergeCell ref="E627:F627"/>
    <mergeCell ref="E628:F628"/>
    <mergeCell ref="H630:I630"/>
    <mergeCell ref="E632:F632"/>
    <mergeCell ref="E617:F617"/>
    <mergeCell ref="E618:F618"/>
    <mergeCell ref="E619:F619"/>
    <mergeCell ref="E620:F620"/>
    <mergeCell ref="H622:I622"/>
    <mergeCell ref="E624:F624"/>
    <mergeCell ref="E655:F655"/>
    <mergeCell ref="E656:F656"/>
    <mergeCell ref="E657:F657"/>
    <mergeCell ref="H659:I659"/>
    <mergeCell ref="E661:F661"/>
    <mergeCell ref="E662:F662"/>
    <mergeCell ref="H648:I648"/>
    <mergeCell ref="E650:F650"/>
    <mergeCell ref="E651:F651"/>
    <mergeCell ref="E652:F652"/>
    <mergeCell ref="E653:F653"/>
    <mergeCell ref="E654:F654"/>
    <mergeCell ref="E641:F641"/>
    <mergeCell ref="E642:F642"/>
    <mergeCell ref="E643:F643"/>
    <mergeCell ref="E644:F644"/>
    <mergeCell ref="E645:F645"/>
    <mergeCell ref="E646:F646"/>
    <mergeCell ref="E677:F677"/>
    <mergeCell ref="E678:F678"/>
    <mergeCell ref="E679:F679"/>
    <mergeCell ref="H681:I681"/>
    <mergeCell ref="E683:F683"/>
    <mergeCell ref="E684:F684"/>
    <mergeCell ref="H670:I670"/>
    <mergeCell ref="E672:F672"/>
    <mergeCell ref="E673:F673"/>
    <mergeCell ref="E674:F674"/>
    <mergeCell ref="E675:F675"/>
    <mergeCell ref="E676:F676"/>
    <mergeCell ref="E663:F663"/>
    <mergeCell ref="E664:F664"/>
    <mergeCell ref="E665:F665"/>
    <mergeCell ref="E666:F666"/>
    <mergeCell ref="E667:F667"/>
    <mergeCell ref="E668:F668"/>
    <mergeCell ref="E699:F699"/>
    <mergeCell ref="E700:F700"/>
    <mergeCell ref="E701:F701"/>
    <mergeCell ref="E702:F702"/>
    <mergeCell ref="E703:F703"/>
    <mergeCell ref="H705:I705"/>
    <mergeCell ref="E691:F691"/>
    <mergeCell ref="E692:F692"/>
    <mergeCell ref="E693:F693"/>
    <mergeCell ref="H695:I695"/>
    <mergeCell ref="E697:F697"/>
    <mergeCell ref="E698:F698"/>
    <mergeCell ref="E685:F685"/>
    <mergeCell ref="E686:F686"/>
    <mergeCell ref="E687:F687"/>
    <mergeCell ref="E688:F688"/>
    <mergeCell ref="E689:F689"/>
    <mergeCell ref="E690:F690"/>
    <mergeCell ref="E721:F721"/>
    <mergeCell ref="E722:F722"/>
    <mergeCell ref="E723:F723"/>
    <mergeCell ref="E724:F724"/>
    <mergeCell ref="H726:I726"/>
    <mergeCell ref="E728:F728"/>
    <mergeCell ref="E713:F713"/>
    <mergeCell ref="H715:I715"/>
    <mergeCell ref="E717:F717"/>
    <mergeCell ref="E718:F718"/>
    <mergeCell ref="E719:F719"/>
    <mergeCell ref="E720:F720"/>
    <mergeCell ref="E707:F707"/>
    <mergeCell ref="E708:F708"/>
    <mergeCell ref="E709:F709"/>
    <mergeCell ref="E710:F710"/>
    <mergeCell ref="E711:F711"/>
    <mergeCell ref="E712:F712"/>
    <mergeCell ref="E743:F743"/>
    <mergeCell ref="E744:F744"/>
    <mergeCell ref="E745:F745"/>
    <mergeCell ref="E746:F746"/>
    <mergeCell ref="H748:I748"/>
    <mergeCell ref="E750:F750"/>
    <mergeCell ref="E735:F735"/>
    <mergeCell ref="H737:I737"/>
    <mergeCell ref="E739:F739"/>
    <mergeCell ref="E740:F740"/>
    <mergeCell ref="E741:F741"/>
    <mergeCell ref="E742:F742"/>
    <mergeCell ref="E729:F729"/>
    <mergeCell ref="E730:F730"/>
    <mergeCell ref="E731:F731"/>
    <mergeCell ref="E732:F732"/>
    <mergeCell ref="E733:F733"/>
    <mergeCell ref="E734:F734"/>
    <mergeCell ref="E765:F765"/>
    <mergeCell ref="E766:F766"/>
    <mergeCell ref="E767:F767"/>
    <mergeCell ref="E768:F768"/>
    <mergeCell ref="H770:I770"/>
    <mergeCell ref="E772:F772"/>
    <mergeCell ref="E757:F757"/>
    <mergeCell ref="H759:I759"/>
    <mergeCell ref="E761:F761"/>
    <mergeCell ref="E762:F762"/>
    <mergeCell ref="E763:F763"/>
    <mergeCell ref="E764:F764"/>
    <mergeCell ref="E751:F751"/>
    <mergeCell ref="E752:F752"/>
    <mergeCell ref="E753:F753"/>
    <mergeCell ref="E754:F754"/>
    <mergeCell ref="E755:F755"/>
    <mergeCell ref="E756:F756"/>
    <mergeCell ref="E787:F787"/>
    <mergeCell ref="E788:F788"/>
    <mergeCell ref="E789:F789"/>
    <mergeCell ref="E790:F790"/>
    <mergeCell ref="H792:I792"/>
    <mergeCell ref="E794:F794"/>
    <mergeCell ref="E779:F779"/>
    <mergeCell ref="H781:I781"/>
    <mergeCell ref="E783:F783"/>
    <mergeCell ref="E784:F784"/>
    <mergeCell ref="E785:F785"/>
    <mergeCell ref="E786:F786"/>
    <mergeCell ref="E773:F773"/>
    <mergeCell ref="E774:F774"/>
    <mergeCell ref="E775:F775"/>
    <mergeCell ref="E776:F776"/>
    <mergeCell ref="E777:F777"/>
    <mergeCell ref="E778:F778"/>
    <mergeCell ref="E809:F809"/>
    <mergeCell ref="H811:I811"/>
    <mergeCell ref="E813:F813"/>
    <mergeCell ref="E814:F814"/>
    <mergeCell ref="E815:F815"/>
    <mergeCell ref="E816:F816"/>
    <mergeCell ref="E801:F801"/>
    <mergeCell ref="H803:I803"/>
    <mergeCell ref="E805:F805"/>
    <mergeCell ref="E806:F806"/>
    <mergeCell ref="E807:F807"/>
    <mergeCell ref="E808:F808"/>
    <mergeCell ref="E795:F795"/>
    <mergeCell ref="E796:F796"/>
    <mergeCell ref="E797:F797"/>
    <mergeCell ref="E798:F798"/>
    <mergeCell ref="E799:F799"/>
    <mergeCell ref="E800:F800"/>
    <mergeCell ref="E831:F831"/>
    <mergeCell ref="E832:F832"/>
    <mergeCell ref="E833:F833"/>
    <mergeCell ref="H835:I835"/>
    <mergeCell ref="E837:F837"/>
    <mergeCell ref="E838:F838"/>
    <mergeCell ref="E825:F825"/>
    <mergeCell ref="E826:F826"/>
    <mergeCell ref="E827:F827"/>
    <mergeCell ref="E828:F828"/>
    <mergeCell ref="E829:F829"/>
    <mergeCell ref="E830:F830"/>
    <mergeCell ref="E817:F817"/>
    <mergeCell ref="E818:F818"/>
    <mergeCell ref="E819:F819"/>
    <mergeCell ref="E820:F820"/>
    <mergeCell ref="E821:F821"/>
    <mergeCell ref="H823:I823"/>
    <mergeCell ref="E853:F853"/>
    <mergeCell ref="E854:F854"/>
    <mergeCell ref="E855:F855"/>
    <mergeCell ref="E856:F856"/>
    <mergeCell ref="E857:F857"/>
    <mergeCell ref="E858:F858"/>
    <mergeCell ref="E845:F845"/>
    <mergeCell ref="E846:F846"/>
    <mergeCell ref="E847:F847"/>
    <mergeCell ref="H849:I849"/>
    <mergeCell ref="E851:F851"/>
    <mergeCell ref="E852:F852"/>
    <mergeCell ref="E839:F839"/>
    <mergeCell ref="E840:F840"/>
    <mergeCell ref="E841:F841"/>
    <mergeCell ref="E842:F842"/>
    <mergeCell ref="E843:F843"/>
    <mergeCell ref="E844:F844"/>
    <mergeCell ref="E875:F875"/>
    <mergeCell ref="E876:F876"/>
    <mergeCell ref="E877:F877"/>
    <mergeCell ref="H879:I879"/>
    <mergeCell ref="E881:F881"/>
    <mergeCell ref="E882:F882"/>
    <mergeCell ref="E867:F867"/>
    <mergeCell ref="E868:F868"/>
    <mergeCell ref="H870:I870"/>
    <mergeCell ref="E872:F872"/>
    <mergeCell ref="E873:F873"/>
    <mergeCell ref="E874:F874"/>
    <mergeCell ref="E859:F859"/>
    <mergeCell ref="E860:F860"/>
    <mergeCell ref="H862:I862"/>
    <mergeCell ref="E864:F864"/>
    <mergeCell ref="E865:F865"/>
    <mergeCell ref="E866:F866"/>
    <mergeCell ref="E899:F899"/>
    <mergeCell ref="E900:F900"/>
    <mergeCell ref="E901:F901"/>
    <mergeCell ref="E902:F902"/>
    <mergeCell ref="E903:F903"/>
    <mergeCell ref="H905:I905"/>
    <mergeCell ref="E891:F891"/>
    <mergeCell ref="E892:F892"/>
    <mergeCell ref="E893:F893"/>
    <mergeCell ref="E894:F894"/>
    <mergeCell ref="H896:I896"/>
    <mergeCell ref="E898:F898"/>
    <mergeCell ref="E883:F883"/>
    <mergeCell ref="E884:F884"/>
    <mergeCell ref="E885:F885"/>
    <mergeCell ref="H887:I887"/>
    <mergeCell ref="E889:F889"/>
    <mergeCell ref="E890:F890"/>
    <mergeCell ref="E921:F921"/>
    <mergeCell ref="H923:I923"/>
    <mergeCell ref="E925:F925"/>
    <mergeCell ref="E926:F926"/>
    <mergeCell ref="E927:F927"/>
    <mergeCell ref="E928:F928"/>
    <mergeCell ref="E913:F913"/>
    <mergeCell ref="H915:I915"/>
    <mergeCell ref="E917:F917"/>
    <mergeCell ref="E918:F918"/>
    <mergeCell ref="E919:F919"/>
    <mergeCell ref="E920:F920"/>
    <mergeCell ref="E907:F907"/>
    <mergeCell ref="E908:F908"/>
    <mergeCell ref="E909:F909"/>
    <mergeCell ref="E910:F910"/>
    <mergeCell ref="E911:F911"/>
    <mergeCell ref="E912:F912"/>
    <mergeCell ref="E943:F943"/>
    <mergeCell ref="E944:F944"/>
    <mergeCell ref="E945:F945"/>
    <mergeCell ref="E946:F946"/>
    <mergeCell ref="H948:I948"/>
    <mergeCell ref="E950:F950"/>
    <mergeCell ref="E937:F937"/>
    <mergeCell ref="E938:F938"/>
    <mergeCell ref="E939:F939"/>
    <mergeCell ref="E940:F940"/>
    <mergeCell ref="E941:F941"/>
    <mergeCell ref="E942:F942"/>
    <mergeCell ref="E929:F929"/>
    <mergeCell ref="E930:F930"/>
    <mergeCell ref="E931:F931"/>
    <mergeCell ref="H933:I933"/>
    <mergeCell ref="E935:F935"/>
    <mergeCell ref="E936:F936"/>
    <mergeCell ref="E965:F965"/>
    <mergeCell ref="E966:F966"/>
    <mergeCell ref="E967:F967"/>
    <mergeCell ref="E968:F968"/>
    <mergeCell ref="E969:F969"/>
    <mergeCell ref="E970:F970"/>
    <mergeCell ref="E957:F957"/>
    <mergeCell ref="E958:F958"/>
    <mergeCell ref="E959:F959"/>
    <mergeCell ref="E960:F960"/>
    <mergeCell ref="E961:F961"/>
    <mergeCell ref="H963:I963"/>
    <mergeCell ref="E951:F951"/>
    <mergeCell ref="E952:F952"/>
    <mergeCell ref="E953:F953"/>
    <mergeCell ref="E954:F954"/>
    <mergeCell ref="E955:F955"/>
    <mergeCell ref="E956:F956"/>
    <mergeCell ref="E985:F985"/>
    <mergeCell ref="E986:F986"/>
    <mergeCell ref="E987:F987"/>
    <mergeCell ref="H989:I989"/>
    <mergeCell ref="E991:F991"/>
    <mergeCell ref="E992:F992"/>
    <mergeCell ref="E979:F979"/>
    <mergeCell ref="E980:F980"/>
    <mergeCell ref="E981:F981"/>
    <mergeCell ref="E982:F982"/>
    <mergeCell ref="E983:F983"/>
    <mergeCell ref="E984:F984"/>
    <mergeCell ref="E971:F971"/>
    <mergeCell ref="E972:F972"/>
    <mergeCell ref="E973:F973"/>
    <mergeCell ref="E974:F974"/>
    <mergeCell ref="H976:I976"/>
    <mergeCell ref="E978:F978"/>
    <mergeCell ref="E1007:F1007"/>
    <mergeCell ref="H1009:I1009"/>
    <mergeCell ref="E1011:F1011"/>
    <mergeCell ref="E1012:F1012"/>
    <mergeCell ref="E1013:F1013"/>
    <mergeCell ref="E1014:F1014"/>
    <mergeCell ref="H1000:I1000"/>
    <mergeCell ref="E1002:F1002"/>
    <mergeCell ref="E1003:F1003"/>
    <mergeCell ref="E1004:F1004"/>
    <mergeCell ref="E1005:F1005"/>
    <mergeCell ref="E1006:F1006"/>
    <mergeCell ref="E993:F993"/>
    <mergeCell ref="E994:F994"/>
    <mergeCell ref="E995:F995"/>
    <mergeCell ref="E996:F996"/>
    <mergeCell ref="E997:F997"/>
    <mergeCell ref="E998:F998"/>
    <mergeCell ref="E1031:F1031"/>
    <mergeCell ref="E1032:F1032"/>
    <mergeCell ref="E1033:F1033"/>
    <mergeCell ref="E1034:F1034"/>
    <mergeCell ref="E1035:F1035"/>
    <mergeCell ref="E1036:F1036"/>
    <mergeCell ref="E1023:F1023"/>
    <mergeCell ref="E1024:F1024"/>
    <mergeCell ref="E1025:F1025"/>
    <mergeCell ref="E1026:F1026"/>
    <mergeCell ref="E1027:F1027"/>
    <mergeCell ref="H1029:I1029"/>
    <mergeCell ref="E1015:F1015"/>
    <mergeCell ref="E1016:F1016"/>
    <mergeCell ref="H1018:I1018"/>
    <mergeCell ref="E1020:F1020"/>
    <mergeCell ref="E1021:F1021"/>
    <mergeCell ref="E1022:F1022"/>
    <mergeCell ref="E1053:F1053"/>
    <mergeCell ref="E1054:F1054"/>
    <mergeCell ref="E1055:F1055"/>
    <mergeCell ref="E1056:F1056"/>
    <mergeCell ref="E1057:F1057"/>
    <mergeCell ref="E1058:F1058"/>
    <mergeCell ref="E1045:F1045"/>
    <mergeCell ref="E1046:F1046"/>
    <mergeCell ref="E1047:F1047"/>
    <mergeCell ref="E1048:F1048"/>
    <mergeCell ref="H1050:I1050"/>
    <mergeCell ref="E1052:F1052"/>
    <mergeCell ref="E1037:F1037"/>
    <mergeCell ref="H1039:I1039"/>
    <mergeCell ref="E1041:F1041"/>
    <mergeCell ref="E1042:F1042"/>
    <mergeCell ref="E1043:F1043"/>
    <mergeCell ref="E1044:F1044"/>
    <mergeCell ref="E1075:F1075"/>
    <mergeCell ref="E1076:F1076"/>
    <mergeCell ref="E1077:F1077"/>
    <mergeCell ref="E1078:F1078"/>
    <mergeCell ref="H1080:I1080"/>
    <mergeCell ref="E1082:F1082"/>
    <mergeCell ref="E1067:F1067"/>
    <mergeCell ref="E1068:F1068"/>
    <mergeCell ref="H1070:I1070"/>
    <mergeCell ref="E1072:F1072"/>
    <mergeCell ref="E1073:F1073"/>
    <mergeCell ref="E1074:F1074"/>
    <mergeCell ref="H1060:I1060"/>
    <mergeCell ref="E1062:F1062"/>
    <mergeCell ref="E1063:F1063"/>
    <mergeCell ref="E1064:F1064"/>
    <mergeCell ref="E1065:F1065"/>
    <mergeCell ref="E1066:F1066"/>
    <mergeCell ref="E1097:F1097"/>
    <mergeCell ref="E1098:F1098"/>
    <mergeCell ref="E1099:F1099"/>
    <mergeCell ref="H1101:I1101"/>
    <mergeCell ref="E1103:F1103"/>
    <mergeCell ref="E1104:F1104"/>
    <mergeCell ref="H1090:I1090"/>
    <mergeCell ref="E1092:F1092"/>
    <mergeCell ref="E1093:F1093"/>
    <mergeCell ref="E1094:F1094"/>
    <mergeCell ref="E1095:F1095"/>
    <mergeCell ref="E1096:F1096"/>
    <mergeCell ref="E1083:F1083"/>
    <mergeCell ref="E1084:F1084"/>
    <mergeCell ref="E1085:F1085"/>
    <mergeCell ref="E1086:F1086"/>
    <mergeCell ref="E1087:F1087"/>
    <mergeCell ref="E1088:F1088"/>
    <mergeCell ref="E1119:F1119"/>
    <mergeCell ref="E1120:F1120"/>
    <mergeCell ref="H1122:I1122"/>
    <mergeCell ref="E1124:F1124"/>
    <mergeCell ref="E1125:F1125"/>
    <mergeCell ref="E1126:F1126"/>
    <mergeCell ref="E1113:F1113"/>
    <mergeCell ref="E1114:F1114"/>
    <mergeCell ref="E1115:F1115"/>
    <mergeCell ref="E1116:F1116"/>
    <mergeCell ref="E1117:F1117"/>
    <mergeCell ref="E1118:F1118"/>
    <mergeCell ref="E1105:F1105"/>
    <mergeCell ref="E1106:F1106"/>
    <mergeCell ref="E1107:F1107"/>
    <mergeCell ref="E1108:F1108"/>
    <mergeCell ref="E1109:F1109"/>
    <mergeCell ref="H1111:I1111"/>
    <mergeCell ref="H1142:I1142"/>
    <mergeCell ref="E1144:F1144"/>
    <mergeCell ref="E1145:F1145"/>
    <mergeCell ref="E1146:F1146"/>
    <mergeCell ref="E1147:F1147"/>
    <mergeCell ref="E1148:F1148"/>
    <mergeCell ref="E1135:F1135"/>
    <mergeCell ref="E1136:F1136"/>
    <mergeCell ref="E1137:F1137"/>
    <mergeCell ref="E1138:F1138"/>
    <mergeCell ref="E1139:F1139"/>
    <mergeCell ref="E1140:F1140"/>
    <mergeCell ref="E1127:F1127"/>
    <mergeCell ref="E1128:F1128"/>
    <mergeCell ref="E1129:F1129"/>
    <mergeCell ref="H1131:I1131"/>
    <mergeCell ref="E1133:F1133"/>
    <mergeCell ref="E1134:F1134"/>
    <mergeCell ref="E1163:F1163"/>
    <mergeCell ref="E1164:F1164"/>
    <mergeCell ref="E1165:F1165"/>
    <mergeCell ref="H1167:I1167"/>
    <mergeCell ref="E1169:F1169"/>
    <mergeCell ref="E1170:F1170"/>
    <mergeCell ref="E1157:F1157"/>
    <mergeCell ref="E1158:F1158"/>
    <mergeCell ref="E1159:F1159"/>
    <mergeCell ref="E1160:F1160"/>
    <mergeCell ref="E1161:F1161"/>
    <mergeCell ref="E1162:F1162"/>
    <mergeCell ref="E1149:F1149"/>
    <mergeCell ref="E1150:F1150"/>
    <mergeCell ref="E1151:F1151"/>
    <mergeCell ref="H1153:I1153"/>
    <mergeCell ref="E1155:F1155"/>
    <mergeCell ref="E1156:F1156"/>
    <mergeCell ref="E1185:F1185"/>
    <mergeCell ref="E1186:F1186"/>
    <mergeCell ref="E1187:F1187"/>
    <mergeCell ref="E1188:F1188"/>
    <mergeCell ref="E1189:F1189"/>
    <mergeCell ref="E1190:F1190"/>
    <mergeCell ref="E1177:F1177"/>
    <mergeCell ref="E1178:F1178"/>
    <mergeCell ref="E1179:F1179"/>
    <mergeCell ref="E1180:F1180"/>
    <mergeCell ref="E1181:F1181"/>
    <mergeCell ref="H1183:I1183"/>
    <mergeCell ref="E1171:F1171"/>
    <mergeCell ref="E1172:F1172"/>
    <mergeCell ref="E1173:F1173"/>
    <mergeCell ref="E1174:F1174"/>
    <mergeCell ref="E1175:F1175"/>
    <mergeCell ref="E1176:F1176"/>
    <mergeCell ref="E1205:F1205"/>
    <mergeCell ref="H1207:I1207"/>
    <mergeCell ref="E1209:F1209"/>
    <mergeCell ref="E1210:F1210"/>
    <mergeCell ref="E1211:F1211"/>
    <mergeCell ref="E1212:F1212"/>
    <mergeCell ref="E1199:F1199"/>
    <mergeCell ref="E1200:F1200"/>
    <mergeCell ref="E1201:F1201"/>
    <mergeCell ref="E1202:F1202"/>
    <mergeCell ref="E1203:F1203"/>
    <mergeCell ref="E1204:F1204"/>
    <mergeCell ref="E1191:F1191"/>
    <mergeCell ref="E1192:F1192"/>
    <mergeCell ref="E1193:F1193"/>
    <mergeCell ref="E1194:F1194"/>
    <mergeCell ref="E1195:F1195"/>
    <mergeCell ref="H1197:I1197"/>
    <mergeCell ref="H1228:I1228"/>
    <mergeCell ref="E1230:F1230"/>
    <mergeCell ref="E1231:F1231"/>
    <mergeCell ref="E1232:F1232"/>
    <mergeCell ref="E1233:F1233"/>
    <mergeCell ref="E1234:F1234"/>
    <mergeCell ref="E1221:F1221"/>
    <mergeCell ref="E1222:F1222"/>
    <mergeCell ref="E1223:F1223"/>
    <mergeCell ref="E1224:F1224"/>
    <mergeCell ref="E1225:F1225"/>
    <mergeCell ref="E1226:F1226"/>
    <mergeCell ref="E1213:F1213"/>
    <mergeCell ref="E1214:F1214"/>
    <mergeCell ref="E1215:F1215"/>
    <mergeCell ref="E1216:F1216"/>
    <mergeCell ref="H1218:I1218"/>
    <mergeCell ref="E1220:F1220"/>
    <mergeCell ref="E1251:F1251"/>
    <mergeCell ref="E1252:F1252"/>
    <mergeCell ref="E1253:F1253"/>
    <mergeCell ref="H1255:I1255"/>
    <mergeCell ref="E1257:F1257"/>
    <mergeCell ref="E1258:F1258"/>
    <mergeCell ref="E1243:F1243"/>
    <mergeCell ref="E1244:F1244"/>
    <mergeCell ref="H1246:I1246"/>
    <mergeCell ref="E1248:F1248"/>
    <mergeCell ref="E1249:F1249"/>
    <mergeCell ref="E1250:F1250"/>
    <mergeCell ref="E1235:F1235"/>
    <mergeCell ref="H1237:I1237"/>
    <mergeCell ref="E1239:F1239"/>
    <mergeCell ref="E1240:F1240"/>
    <mergeCell ref="E1241:F1241"/>
    <mergeCell ref="E1242:F1242"/>
    <mergeCell ref="E1275:F1275"/>
    <mergeCell ref="E1276:F1276"/>
    <mergeCell ref="E1277:F1277"/>
    <mergeCell ref="E1278:F1278"/>
    <mergeCell ref="E1279:F1279"/>
    <mergeCell ref="E1280:F1280"/>
    <mergeCell ref="E1267:F1267"/>
    <mergeCell ref="E1268:F1268"/>
    <mergeCell ref="E1269:F1269"/>
    <mergeCell ref="E1270:F1270"/>
    <mergeCell ref="E1271:F1271"/>
    <mergeCell ref="H1273:I1273"/>
    <mergeCell ref="E1259:F1259"/>
    <mergeCell ref="E1260:F1260"/>
    <mergeCell ref="E1261:F1261"/>
    <mergeCell ref="E1262:F1262"/>
    <mergeCell ref="H1264:I1264"/>
    <mergeCell ref="E1266:F1266"/>
    <mergeCell ref="E1297:F1297"/>
    <mergeCell ref="E1298:F1298"/>
    <mergeCell ref="H1300:I1300"/>
    <mergeCell ref="E1302:F1302"/>
    <mergeCell ref="E1303:F1303"/>
    <mergeCell ref="E1304:F1304"/>
    <mergeCell ref="E1289:F1289"/>
    <mergeCell ref="H1291:I1291"/>
    <mergeCell ref="E1293:F1293"/>
    <mergeCell ref="E1294:F1294"/>
    <mergeCell ref="E1295:F1295"/>
    <mergeCell ref="E1296:F1296"/>
    <mergeCell ref="H1282:I1282"/>
    <mergeCell ref="E1284:F1284"/>
    <mergeCell ref="E1285:F1285"/>
    <mergeCell ref="E1286:F1286"/>
    <mergeCell ref="E1287:F1287"/>
    <mergeCell ref="E1288:F1288"/>
    <mergeCell ref="E1321:F1321"/>
    <mergeCell ref="E1322:F1322"/>
    <mergeCell ref="E1323:F1323"/>
    <mergeCell ref="E1324:F1324"/>
    <mergeCell ref="E1325:F1325"/>
    <mergeCell ref="E1326:F1326"/>
    <mergeCell ref="E1313:F1313"/>
    <mergeCell ref="E1314:F1314"/>
    <mergeCell ref="E1315:F1315"/>
    <mergeCell ref="E1316:F1316"/>
    <mergeCell ref="H1318:I1318"/>
    <mergeCell ref="E1320:F1320"/>
    <mergeCell ref="E1305:F1305"/>
    <mergeCell ref="E1306:F1306"/>
    <mergeCell ref="E1307:F1307"/>
    <mergeCell ref="H1309:I1309"/>
    <mergeCell ref="E1311:F1311"/>
    <mergeCell ref="E1312:F1312"/>
    <mergeCell ref="E1343:F1343"/>
    <mergeCell ref="E1344:F1344"/>
    <mergeCell ref="E1345:F1345"/>
    <mergeCell ref="E1346:F1346"/>
    <mergeCell ref="E1347:F1347"/>
    <mergeCell ref="E1348:F1348"/>
    <mergeCell ref="E1335:F1335"/>
    <mergeCell ref="E1336:F1336"/>
    <mergeCell ref="E1337:F1337"/>
    <mergeCell ref="E1338:F1338"/>
    <mergeCell ref="H1340:I1340"/>
    <mergeCell ref="E1342:F1342"/>
    <mergeCell ref="E1327:F1327"/>
    <mergeCell ref="H1329:I1329"/>
    <mergeCell ref="E1331:F1331"/>
    <mergeCell ref="E1332:F1332"/>
    <mergeCell ref="E1333:F1333"/>
    <mergeCell ref="E1334:F1334"/>
    <mergeCell ref="E1365:F1365"/>
    <mergeCell ref="E1366:F1366"/>
    <mergeCell ref="E1367:F1367"/>
    <mergeCell ref="E1368:F1368"/>
    <mergeCell ref="E1369:F1369"/>
    <mergeCell ref="E1370:F1370"/>
    <mergeCell ref="E1357:F1357"/>
    <mergeCell ref="E1358:F1358"/>
    <mergeCell ref="E1359:F1359"/>
    <mergeCell ref="E1360:F1360"/>
    <mergeCell ref="H1362:I1362"/>
    <mergeCell ref="E1364:F1364"/>
    <mergeCell ref="E1349:F1349"/>
    <mergeCell ref="H1351:I1351"/>
    <mergeCell ref="E1353:F1353"/>
    <mergeCell ref="E1354:F1354"/>
    <mergeCell ref="E1355:F1355"/>
    <mergeCell ref="E1356:F1356"/>
    <mergeCell ref="E1387:F1387"/>
    <mergeCell ref="E1388:F1388"/>
    <mergeCell ref="E1389:F1389"/>
    <mergeCell ref="E1390:F1390"/>
    <mergeCell ref="E1391:F1391"/>
    <mergeCell ref="E1392:F1392"/>
    <mergeCell ref="E1379:F1379"/>
    <mergeCell ref="E1380:F1380"/>
    <mergeCell ref="E1381:F1381"/>
    <mergeCell ref="E1382:F1382"/>
    <mergeCell ref="H1384:I1384"/>
    <mergeCell ref="E1386:F1386"/>
    <mergeCell ref="E1371:F1371"/>
    <mergeCell ref="H1373:I1373"/>
    <mergeCell ref="E1375:F1375"/>
    <mergeCell ref="E1376:F1376"/>
    <mergeCell ref="E1377:F1377"/>
    <mergeCell ref="E1378:F1378"/>
    <mergeCell ref="E1409:F1409"/>
    <mergeCell ref="E1410:F1410"/>
    <mergeCell ref="E1411:F1411"/>
    <mergeCell ref="E1412:F1412"/>
    <mergeCell ref="E1413:F1413"/>
    <mergeCell ref="E1414:F1414"/>
    <mergeCell ref="E1401:F1401"/>
    <mergeCell ref="E1402:F1402"/>
    <mergeCell ref="E1403:F1403"/>
    <mergeCell ref="E1404:F1404"/>
    <mergeCell ref="H1406:I1406"/>
    <mergeCell ref="E1408:F1408"/>
    <mergeCell ref="E1393:F1393"/>
    <mergeCell ref="H1395:I1395"/>
    <mergeCell ref="E1397:F1397"/>
    <mergeCell ref="E1398:F1398"/>
    <mergeCell ref="E1399:F1399"/>
    <mergeCell ref="E1400:F1400"/>
    <mergeCell ref="E1431:F1431"/>
    <mergeCell ref="E1432:F1432"/>
    <mergeCell ref="E1433:F1433"/>
    <mergeCell ref="E1434:F1434"/>
    <mergeCell ref="E1435:F1435"/>
    <mergeCell ref="E1436:F1436"/>
    <mergeCell ref="E1423:F1423"/>
    <mergeCell ref="E1424:F1424"/>
    <mergeCell ref="E1425:F1425"/>
    <mergeCell ref="E1426:F1426"/>
    <mergeCell ref="H1428:I1428"/>
    <mergeCell ref="E1430:F1430"/>
    <mergeCell ref="E1415:F1415"/>
    <mergeCell ref="H1417:I1417"/>
    <mergeCell ref="E1419:F1419"/>
    <mergeCell ref="E1420:F1420"/>
    <mergeCell ref="E1421:F1421"/>
    <mergeCell ref="E1422:F1422"/>
    <mergeCell ref="E1453:F1453"/>
    <mergeCell ref="E1454:F1454"/>
    <mergeCell ref="E1455:F1455"/>
    <mergeCell ref="E1456:F1456"/>
    <mergeCell ref="E1457:F1457"/>
    <mergeCell ref="E1458:F1458"/>
    <mergeCell ref="E1445:F1445"/>
    <mergeCell ref="E1446:F1446"/>
    <mergeCell ref="E1447:F1447"/>
    <mergeCell ref="E1448:F1448"/>
    <mergeCell ref="H1450:I1450"/>
    <mergeCell ref="E1452:F1452"/>
    <mergeCell ref="E1437:F1437"/>
    <mergeCell ref="H1439:I1439"/>
    <mergeCell ref="E1441:F1441"/>
    <mergeCell ref="E1442:F1442"/>
    <mergeCell ref="E1443:F1443"/>
    <mergeCell ref="E1444:F1444"/>
    <mergeCell ref="E1475:F1475"/>
    <mergeCell ref="E1476:F1476"/>
    <mergeCell ref="E1477:F1477"/>
    <mergeCell ref="E1478:F1478"/>
    <mergeCell ref="E1479:F1479"/>
    <mergeCell ref="E1480:F1480"/>
    <mergeCell ref="E1467:F1467"/>
    <mergeCell ref="E1468:F1468"/>
    <mergeCell ref="E1469:F1469"/>
    <mergeCell ref="E1470:F1470"/>
    <mergeCell ref="H1472:I1472"/>
    <mergeCell ref="E1474:F1474"/>
    <mergeCell ref="E1459:F1459"/>
    <mergeCell ref="H1461:I1461"/>
    <mergeCell ref="E1463:F1463"/>
    <mergeCell ref="E1464:F1464"/>
    <mergeCell ref="E1465:F1465"/>
    <mergeCell ref="E1466:F1466"/>
    <mergeCell ref="E1497:F1497"/>
    <mergeCell ref="E1498:F1498"/>
    <mergeCell ref="E1499:F1499"/>
    <mergeCell ref="E1500:F1500"/>
    <mergeCell ref="E1501:F1501"/>
    <mergeCell ref="E1502:F1502"/>
    <mergeCell ref="E1489:F1489"/>
    <mergeCell ref="E1490:F1490"/>
    <mergeCell ref="E1491:F1491"/>
    <mergeCell ref="E1492:F1492"/>
    <mergeCell ref="H1494:I1494"/>
    <mergeCell ref="E1496:F1496"/>
    <mergeCell ref="E1481:F1481"/>
    <mergeCell ref="H1483:I1483"/>
    <mergeCell ref="E1485:F1485"/>
    <mergeCell ref="E1486:F1486"/>
    <mergeCell ref="E1487:F1487"/>
    <mergeCell ref="E1488:F1488"/>
    <mergeCell ref="E1519:F1519"/>
    <mergeCell ref="E1520:F1520"/>
    <mergeCell ref="E1521:F1521"/>
    <mergeCell ref="E1522:F1522"/>
    <mergeCell ref="E1523:F1523"/>
    <mergeCell ref="E1524:F1524"/>
    <mergeCell ref="E1511:F1511"/>
    <mergeCell ref="E1512:F1512"/>
    <mergeCell ref="E1513:F1513"/>
    <mergeCell ref="E1514:F1514"/>
    <mergeCell ref="H1516:I1516"/>
    <mergeCell ref="E1518:F1518"/>
    <mergeCell ref="E1503:F1503"/>
    <mergeCell ref="H1505:I1505"/>
    <mergeCell ref="E1507:F1507"/>
    <mergeCell ref="E1508:F1508"/>
    <mergeCell ref="E1509:F1509"/>
    <mergeCell ref="E1510:F1510"/>
    <mergeCell ref="E1541:F1541"/>
    <mergeCell ref="E1542:F1542"/>
    <mergeCell ref="H1544:I1544"/>
    <mergeCell ref="E1546:F1546"/>
    <mergeCell ref="E1547:F1547"/>
    <mergeCell ref="E1548:F1548"/>
    <mergeCell ref="E1533:F1533"/>
    <mergeCell ref="H1535:I1535"/>
    <mergeCell ref="E1537:F1537"/>
    <mergeCell ref="E1538:F1538"/>
    <mergeCell ref="E1539:F1539"/>
    <mergeCell ref="E1540:F1540"/>
    <mergeCell ref="E1525:F1525"/>
    <mergeCell ref="H1527:I1527"/>
    <mergeCell ref="E1529:F1529"/>
    <mergeCell ref="E1530:F1530"/>
    <mergeCell ref="E1531:F1531"/>
    <mergeCell ref="E1532:F1532"/>
    <mergeCell ref="E1565:F1565"/>
    <mergeCell ref="E1566:F1566"/>
    <mergeCell ref="E1567:F1567"/>
    <mergeCell ref="E1568:F1568"/>
    <mergeCell ref="E1569:F1569"/>
    <mergeCell ref="E1570:F1570"/>
    <mergeCell ref="E1557:F1557"/>
    <mergeCell ref="E1558:F1558"/>
    <mergeCell ref="E1559:F1559"/>
    <mergeCell ref="E1560:F1560"/>
    <mergeCell ref="H1562:I1562"/>
    <mergeCell ref="E1564:F1564"/>
    <mergeCell ref="E1549:F1549"/>
    <mergeCell ref="E1550:F1550"/>
    <mergeCell ref="E1551:F1551"/>
    <mergeCell ref="H1553:I1553"/>
    <mergeCell ref="E1555:F1555"/>
    <mergeCell ref="E1556:F1556"/>
    <mergeCell ref="E1587:F1587"/>
    <mergeCell ref="E1588:F1588"/>
    <mergeCell ref="E1589:F1589"/>
    <mergeCell ref="E1590:F1590"/>
    <mergeCell ref="E1591:F1591"/>
    <mergeCell ref="E1592:F1592"/>
    <mergeCell ref="E1579:F1579"/>
    <mergeCell ref="E1580:F1580"/>
    <mergeCell ref="E1581:F1581"/>
    <mergeCell ref="E1582:F1582"/>
    <mergeCell ref="H1584:I1584"/>
    <mergeCell ref="E1586:F1586"/>
    <mergeCell ref="E1571:F1571"/>
    <mergeCell ref="H1573:I1573"/>
    <mergeCell ref="E1575:F1575"/>
    <mergeCell ref="E1576:F1576"/>
    <mergeCell ref="E1577:F1577"/>
    <mergeCell ref="E1578:F1578"/>
    <mergeCell ref="E1609:F1609"/>
    <mergeCell ref="E1610:F1610"/>
    <mergeCell ref="E1611:F1611"/>
    <mergeCell ref="E1612:F1612"/>
    <mergeCell ref="E1613:F1613"/>
    <mergeCell ref="E1614:F1614"/>
    <mergeCell ref="E1601:F1601"/>
    <mergeCell ref="E1602:F1602"/>
    <mergeCell ref="E1603:F1603"/>
    <mergeCell ref="E1604:F1604"/>
    <mergeCell ref="H1606:I1606"/>
    <mergeCell ref="E1608:F1608"/>
    <mergeCell ref="E1593:F1593"/>
    <mergeCell ref="H1595:I1595"/>
    <mergeCell ref="E1597:F1597"/>
    <mergeCell ref="E1598:F1598"/>
    <mergeCell ref="E1599:F1599"/>
    <mergeCell ref="E1600:F1600"/>
    <mergeCell ref="E1631:F1631"/>
    <mergeCell ref="E1632:F1632"/>
    <mergeCell ref="E1633:F1633"/>
    <mergeCell ref="E1634:F1634"/>
    <mergeCell ref="E1635:F1635"/>
    <mergeCell ref="E1636:F1636"/>
    <mergeCell ref="E1623:F1623"/>
    <mergeCell ref="E1624:F1624"/>
    <mergeCell ref="E1625:F1625"/>
    <mergeCell ref="E1626:F1626"/>
    <mergeCell ref="H1628:I1628"/>
    <mergeCell ref="E1630:F1630"/>
    <mergeCell ref="E1615:F1615"/>
    <mergeCell ref="H1617:I1617"/>
    <mergeCell ref="E1619:F1619"/>
    <mergeCell ref="E1620:F1620"/>
    <mergeCell ref="E1621:F1621"/>
    <mergeCell ref="E1622:F1622"/>
    <mergeCell ref="E1653:F1653"/>
    <mergeCell ref="E1654:F1654"/>
    <mergeCell ref="E1655:F1655"/>
    <mergeCell ref="E1656:F1656"/>
    <mergeCell ref="E1657:F1657"/>
    <mergeCell ref="E1658:F1658"/>
    <mergeCell ref="E1645:F1645"/>
    <mergeCell ref="E1646:F1646"/>
    <mergeCell ref="E1647:F1647"/>
    <mergeCell ref="H1649:I1649"/>
    <mergeCell ref="E1651:F1651"/>
    <mergeCell ref="E1652:F1652"/>
    <mergeCell ref="E1637:F1637"/>
    <mergeCell ref="H1639:I1639"/>
    <mergeCell ref="E1641:F1641"/>
    <mergeCell ref="E1642:F1642"/>
    <mergeCell ref="E1643:F1643"/>
    <mergeCell ref="E1644:F1644"/>
    <mergeCell ref="E1675:F1675"/>
    <mergeCell ref="E1676:F1676"/>
    <mergeCell ref="E1677:F1677"/>
    <mergeCell ref="E1678:F1678"/>
    <mergeCell ref="H1680:I1680"/>
    <mergeCell ref="E1682:F1682"/>
    <mergeCell ref="E1667:F1667"/>
    <mergeCell ref="E1668:F1668"/>
    <mergeCell ref="E1669:F1669"/>
    <mergeCell ref="H1671:I1671"/>
    <mergeCell ref="E1673:F1673"/>
    <mergeCell ref="E1674:F1674"/>
    <mergeCell ref="E1659:F1659"/>
    <mergeCell ref="E1660:F1660"/>
    <mergeCell ref="H1662:I1662"/>
    <mergeCell ref="E1664:F1664"/>
    <mergeCell ref="E1665:F1665"/>
    <mergeCell ref="E1666:F1666"/>
    <mergeCell ref="H1698:I1698"/>
    <mergeCell ref="E1700:F1700"/>
    <mergeCell ref="E1701:F1701"/>
    <mergeCell ref="E1702:F1702"/>
    <mergeCell ref="E1703:F1703"/>
    <mergeCell ref="H1705:I1705"/>
    <mergeCell ref="E1691:F1691"/>
    <mergeCell ref="E1692:F1692"/>
    <mergeCell ref="E1693:F1693"/>
    <mergeCell ref="E1694:F1694"/>
    <mergeCell ref="E1695:F1695"/>
    <mergeCell ref="E1696:F1696"/>
    <mergeCell ref="E1683:F1683"/>
    <mergeCell ref="E1684:F1684"/>
    <mergeCell ref="E1685:F1685"/>
    <mergeCell ref="E1686:F1686"/>
    <mergeCell ref="E1687:F1687"/>
    <mergeCell ref="H1689:I1689"/>
    <mergeCell ref="E1723:F1723"/>
    <mergeCell ref="E1724:F1724"/>
    <mergeCell ref="E1725:F1725"/>
    <mergeCell ref="E1726:F1726"/>
    <mergeCell ref="H1728:I1728"/>
    <mergeCell ref="E1730:F1730"/>
    <mergeCell ref="E1715:F1715"/>
    <mergeCell ref="E1716:F1716"/>
    <mergeCell ref="E1717:F1717"/>
    <mergeCell ref="E1718:F1718"/>
    <mergeCell ref="H1720:I1720"/>
    <mergeCell ref="E1722:F1722"/>
    <mergeCell ref="E1707:F1707"/>
    <mergeCell ref="E1708:F1708"/>
    <mergeCell ref="E1709:F1709"/>
    <mergeCell ref="E1710:F1710"/>
    <mergeCell ref="H1712:I1712"/>
    <mergeCell ref="E1714:F1714"/>
    <mergeCell ref="E1747:F1747"/>
    <mergeCell ref="E1748:F1748"/>
    <mergeCell ref="E1749:F1749"/>
    <mergeCell ref="E1750:F1750"/>
    <mergeCell ref="E1751:F1751"/>
    <mergeCell ref="E1752:F1752"/>
    <mergeCell ref="E1739:F1739"/>
    <mergeCell ref="E1740:F1740"/>
    <mergeCell ref="E1741:F1741"/>
    <mergeCell ref="E1742:F1742"/>
    <mergeCell ref="E1743:F1743"/>
    <mergeCell ref="H1745:I1745"/>
    <mergeCell ref="E1731:F1731"/>
    <mergeCell ref="E1732:F1732"/>
    <mergeCell ref="E1733:F1733"/>
    <mergeCell ref="E1734:F1734"/>
    <mergeCell ref="H1736:I1736"/>
    <mergeCell ref="E1738:F1738"/>
    <mergeCell ref="E1769:F1769"/>
    <mergeCell ref="E1770:F1770"/>
    <mergeCell ref="H1772:I1772"/>
    <mergeCell ref="E1774:F1774"/>
    <mergeCell ref="E1775:F1775"/>
    <mergeCell ref="E1776:F1776"/>
    <mergeCell ref="H1762:I1762"/>
    <mergeCell ref="E1764:F1764"/>
    <mergeCell ref="E1765:F1765"/>
    <mergeCell ref="E1766:F1766"/>
    <mergeCell ref="E1767:F1767"/>
    <mergeCell ref="E1768:F1768"/>
    <mergeCell ref="H1754:I1754"/>
    <mergeCell ref="E1756:F1756"/>
    <mergeCell ref="E1757:F1757"/>
    <mergeCell ref="E1758:F1758"/>
    <mergeCell ref="E1759:F1759"/>
    <mergeCell ref="E1760:F1760"/>
    <mergeCell ref="E1793:F1793"/>
    <mergeCell ref="E1794:F1794"/>
    <mergeCell ref="E1795:F1795"/>
    <mergeCell ref="E1796:F1796"/>
    <mergeCell ref="E1797:F1797"/>
    <mergeCell ref="E1798:F1798"/>
    <mergeCell ref="E1785:F1785"/>
    <mergeCell ref="E1786:F1786"/>
    <mergeCell ref="E1787:F1787"/>
    <mergeCell ref="H1789:I1789"/>
    <mergeCell ref="E1791:F1791"/>
    <mergeCell ref="E1792:F1792"/>
    <mergeCell ref="E1777:F1777"/>
    <mergeCell ref="E1778:F1778"/>
    <mergeCell ref="H1780:I1780"/>
    <mergeCell ref="E1782:F1782"/>
    <mergeCell ref="E1783:F1783"/>
    <mergeCell ref="E1784:F1784"/>
    <mergeCell ref="E1815:F1815"/>
    <mergeCell ref="E1816:F1816"/>
    <mergeCell ref="E1817:F1817"/>
    <mergeCell ref="E1818:F1818"/>
    <mergeCell ref="E1819:F1819"/>
    <mergeCell ref="E1820:F1820"/>
    <mergeCell ref="E1807:F1807"/>
    <mergeCell ref="E1808:F1808"/>
    <mergeCell ref="H1810:I1810"/>
    <mergeCell ref="E1812:F1812"/>
    <mergeCell ref="E1813:F1813"/>
    <mergeCell ref="E1814:F1814"/>
    <mergeCell ref="H1800:I1800"/>
    <mergeCell ref="E1802:F1802"/>
    <mergeCell ref="E1803:F1803"/>
    <mergeCell ref="E1804:F1804"/>
    <mergeCell ref="E1805:F1805"/>
    <mergeCell ref="E1806:F1806"/>
    <mergeCell ref="E1837:F1837"/>
    <mergeCell ref="E1838:F1838"/>
    <mergeCell ref="E1839:F1839"/>
    <mergeCell ref="E1840:F1840"/>
    <mergeCell ref="E1841:F1841"/>
    <mergeCell ref="E1842:F1842"/>
    <mergeCell ref="E1829:F1829"/>
    <mergeCell ref="E1830:F1830"/>
    <mergeCell ref="E1831:F1831"/>
    <mergeCell ref="E1832:F1832"/>
    <mergeCell ref="E1833:F1833"/>
    <mergeCell ref="H1835:I1835"/>
    <mergeCell ref="E1821:F1821"/>
    <mergeCell ref="E1822:F1822"/>
    <mergeCell ref="H1824:I1824"/>
    <mergeCell ref="E1826:F1826"/>
    <mergeCell ref="E1827:F1827"/>
    <mergeCell ref="E1828:F1828"/>
    <mergeCell ref="E1859:F1859"/>
    <mergeCell ref="E1860:F1860"/>
    <mergeCell ref="E1861:F1861"/>
    <mergeCell ref="H1863:I1863"/>
    <mergeCell ref="E1865:F1865"/>
    <mergeCell ref="E1866:F1866"/>
    <mergeCell ref="E1851:F1851"/>
    <mergeCell ref="E1852:F1852"/>
    <mergeCell ref="H1854:I1854"/>
    <mergeCell ref="E1856:F1856"/>
    <mergeCell ref="E1857:F1857"/>
    <mergeCell ref="E1858:F1858"/>
    <mergeCell ref="E1843:F1843"/>
    <mergeCell ref="H1845:I1845"/>
    <mergeCell ref="E1847:F1847"/>
    <mergeCell ref="E1848:F1848"/>
    <mergeCell ref="E1849:F1849"/>
    <mergeCell ref="E1850:F1850"/>
    <mergeCell ref="E1883:F1883"/>
    <mergeCell ref="E1884:F1884"/>
    <mergeCell ref="E1885:F1885"/>
    <mergeCell ref="E1886:F1886"/>
    <mergeCell ref="E1887:F1887"/>
    <mergeCell ref="E1888:F1888"/>
    <mergeCell ref="E1875:F1875"/>
    <mergeCell ref="E1876:F1876"/>
    <mergeCell ref="E1877:F1877"/>
    <mergeCell ref="E1878:F1878"/>
    <mergeCell ref="E1879:F1879"/>
    <mergeCell ref="H1881:I1881"/>
    <mergeCell ref="E1867:F1867"/>
    <mergeCell ref="E1868:F1868"/>
    <mergeCell ref="E1869:F1869"/>
    <mergeCell ref="E1870:F1870"/>
    <mergeCell ref="H1872:I1872"/>
    <mergeCell ref="E1874:F1874"/>
    <mergeCell ref="H1906:I1906"/>
    <mergeCell ref="E1908:F1908"/>
    <mergeCell ref="E1909:F1909"/>
    <mergeCell ref="E1910:F1910"/>
    <mergeCell ref="E1911:F1911"/>
    <mergeCell ref="E1912:F1912"/>
    <mergeCell ref="E1899:F1899"/>
    <mergeCell ref="E1900:F1900"/>
    <mergeCell ref="E1901:F1901"/>
    <mergeCell ref="E1902:F1902"/>
    <mergeCell ref="E1903:F1903"/>
    <mergeCell ref="E1904:F1904"/>
    <mergeCell ref="H1890:I1890"/>
    <mergeCell ref="E1892:F1892"/>
    <mergeCell ref="E1893:F1893"/>
    <mergeCell ref="E1894:F1894"/>
    <mergeCell ref="E1895:F1895"/>
    <mergeCell ref="H1897:I1897"/>
    <mergeCell ref="E1931:F1931"/>
    <mergeCell ref="E1932:F1932"/>
    <mergeCell ref="E1933:F1933"/>
    <mergeCell ref="E1934:F1934"/>
    <mergeCell ref="H1936:I1936"/>
    <mergeCell ref="E1938:F1938"/>
    <mergeCell ref="H1922:I1922"/>
    <mergeCell ref="E1924:F1924"/>
    <mergeCell ref="E1925:F1925"/>
    <mergeCell ref="E1926:F1926"/>
    <mergeCell ref="E1927:F1927"/>
    <mergeCell ref="H1929:I1929"/>
    <mergeCell ref="E1913:F1913"/>
    <mergeCell ref="H1915:I1915"/>
    <mergeCell ref="E1917:F1917"/>
    <mergeCell ref="E1918:F1918"/>
    <mergeCell ref="E1919:F1919"/>
    <mergeCell ref="E1920:F1920"/>
    <mergeCell ref="E1955:F1955"/>
    <mergeCell ref="H1957:I1957"/>
    <mergeCell ref="E1959:F1959"/>
    <mergeCell ref="E1960:F1960"/>
    <mergeCell ref="E1961:F1961"/>
    <mergeCell ref="E1962:F1962"/>
    <mergeCell ref="E1947:F1947"/>
    <mergeCell ref="E1948:F1948"/>
    <mergeCell ref="H1950:I1950"/>
    <mergeCell ref="E1952:F1952"/>
    <mergeCell ref="E1953:F1953"/>
    <mergeCell ref="E1954:F1954"/>
    <mergeCell ref="E1939:F1939"/>
    <mergeCell ref="E1940:F1940"/>
    <mergeCell ref="E1941:F1941"/>
    <mergeCell ref="H1943:I1943"/>
    <mergeCell ref="E1945:F1945"/>
    <mergeCell ref="E1946:F1946"/>
    <mergeCell ref="E1981:F1981"/>
    <mergeCell ref="E1982:F1982"/>
    <mergeCell ref="E1983:F1983"/>
    <mergeCell ref="H1985:I1985"/>
    <mergeCell ref="E1987:F1987"/>
    <mergeCell ref="E1988:F1988"/>
    <mergeCell ref="E1973:F1973"/>
    <mergeCell ref="E1974:F1974"/>
    <mergeCell ref="E1975:F1975"/>
    <mergeCell ref="E1976:F1976"/>
    <mergeCell ref="H1978:I1978"/>
    <mergeCell ref="E1980:F1980"/>
    <mergeCell ref="H1964:I1964"/>
    <mergeCell ref="E1966:F1966"/>
    <mergeCell ref="E1967:F1967"/>
    <mergeCell ref="E1968:F1968"/>
    <mergeCell ref="E1969:F1969"/>
    <mergeCell ref="H1971:I1971"/>
    <mergeCell ref="E2005:F2005"/>
    <mergeCell ref="E2006:F2006"/>
    <mergeCell ref="E2007:F2007"/>
    <mergeCell ref="E2008:F2008"/>
    <mergeCell ref="E2009:F2009"/>
    <mergeCell ref="E2010:F2010"/>
    <mergeCell ref="E1997:F1997"/>
    <mergeCell ref="E1998:F1998"/>
    <mergeCell ref="E1999:F1999"/>
    <mergeCell ref="E2000:F2000"/>
    <mergeCell ref="E2001:F2001"/>
    <mergeCell ref="H2003:I2003"/>
    <mergeCell ref="E1989:F1989"/>
    <mergeCell ref="E1990:F1990"/>
    <mergeCell ref="E1991:F1991"/>
    <mergeCell ref="E1992:F1992"/>
    <mergeCell ref="H1994:I1994"/>
    <mergeCell ref="E1996:F1996"/>
    <mergeCell ref="E2027:F2027"/>
    <mergeCell ref="E2028:F2028"/>
    <mergeCell ref="E2029:F2029"/>
    <mergeCell ref="E2030:F2030"/>
    <mergeCell ref="H2032:I2032"/>
    <mergeCell ref="E2034:F2034"/>
    <mergeCell ref="E2019:F2019"/>
    <mergeCell ref="E2020:F2020"/>
    <mergeCell ref="E2021:F2021"/>
    <mergeCell ref="E2022:F2022"/>
    <mergeCell ref="H2024:I2024"/>
    <mergeCell ref="E2026:F2026"/>
    <mergeCell ref="H2012:I2012"/>
    <mergeCell ref="E2014:F2014"/>
    <mergeCell ref="E2015:F2015"/>
    <mergeCell ref="E2016:F2016"/>
    <mergeCell ref="E2017:F2017"/>
    <mergeCell ref="E2018:F2018"/>
    <mergeCell ref="E2051:F2051"/>
    <mergeCell ref="H2053:I2053"/>
    <mergeCell ref="E2055:F2055"/>
    <mergeCell ref="E2056:F2056"/>
    <mergeCell ref="E2057:F2057"/>
    <mergeCell ref="E2058:F2058"/>
    <mergeCell ref="E2043:F2043"/>
    <mergeCell ref="E2044:F2044"/>
    <mergeCell ref="H2046:I2046"/>
    <mergeCell ref="E2048:F2048"/>
    <mergeCell ref="E2049:F2049"/>
    <mergeCell ref="E2050:F2050"/>
    <mergeCell ref="E2035:F2035"/>
    <mergeCell ref="E2036:F2036"/>
    <mergeCell ref="E2037:F2037"/>
    <mergeCell ref="H2039:I2039"/>
    <mergeCell ref="E2041:F2041"/>
    <mergeCell ref="E2042:F2042"/>
    <mergeCell ref="E2075:F2075"/>
    <mergeCell ref="E2076:F2076"/>
    <mergeCell ref="H2078:I2078"/>
    <mergeCell ref="E2080:F2080"/>
    <mergeCell ref="E2081:F2081"/>
    <mergeCell ref="E2082:F2082"/>
    <mergeCell ref="E2067:F2067"/>
    <mergeCell ref="H2069:I2069"/>
    <mergeCell ref="E2071:F2071"/>
    <mergeCell ref="E2072:F2072"/>
    <mergeCell ref="E2073:F2073"/>
    <mergeCell ref="E2074:F2074"/>
    <mergeCell ref="E2059:F2059"/>
    <mergeCell ref="E2060:F2060"/>
    <mergeCell ref="H2062:I2062"/>
    <mergeCell ref="E2064:F2064"/>
    <mergeCell ref="E2065:F2065"/>
    <mergeCell ref="E2066:F2066"/>
    <mergeCell ref="E2099:F2099"/>
    <mergeCell ref="E2100:F2100"/>
    <mergeCell ref="E2101:F2101"/>
    <mergeCell ref="E2102:F2102"/>
    <mergeCell ref="E2103:F2103"/>
    <mergeCell ref="H2105:I2105"/>
    <mergeCell ref="E2091:F2091"/>
    <mergeCell ref="E2092:F2092"/>
    <mergeCell ref="E2093:F2093"/>
    <mergeCell ref="E2094:F2094"/>
    <mergeCell ref="H2096:I2096"/>
    <mergeCell ref="E2098:F2098"/>
    <mergeCell ref="E2083:F2083"/>
    <mergeCell ref="E2084:F2084"/>
    <mergeCell ref="E2085:F2085"/>
    <mergeCell ref="H2087:I2087"/>
    <mergeCell ref="E2089:F2089"/>
    <mergeCell ref="E2090:F2090"/>
    <mergeCell ref="E2121:F2121"/>
    <mergeCell ref="H2123:I2123"/>
    <mergeCell ref="E2125:F2125"/>
    <mergeCell ref="E2126:F2126"/>
    <mergeCell ref="E2127:F2127"/>
    <mergeCell ref="E2128:F2128"/>
    <mergeCell ref="H2114:I2114"/>
    <mergeCell ref="E2116:F2116"/>
    <mergeCell ref="E2117:F2117"/>
    <mergeCell ref="E2118:F2118"/>
    <mergeCell ref="E2119:F2119"/>
    <mergeCell ref="E2120:F2120"/>
    <mergeCell ref="E2107:F2107"/>
    <mergeCell ref="E2108:F2108"/>
    <mergeCell ref="E2109:F2109"/>
    <mergeCell ref="E2110:F2110"/>
    <mergeCell ref="E2111:F2111"/>
    <mergeCell ref="E2112:F2112"/>
    <mergeCell ref="E2145:F2145"/>
    <mergeCell ref="E2146:F2146"/>
    <mergeCell ref="E2147:F2147"/>
    <mergeCell ref="E2148:F2148"/>
    <mergeCell ref="H2150:I2150"/>
    <mergeCell ref="E2152:F2152"/>
    <mergeCell ref="E2137:F2137"/>
    <mergeCell ref="E2138:F2138"/>
    <mergeCell ref="E2139:F2139"/>
    <mergeCell ref="H2141:I2141"/>
    <mergeCell ref="E2143:F2143"/>
    <mergeCell ref="E2144:F2144"/>
    <mergeCell ref="E2129:F2129"/>
    <mergeCell ref="E2130:F2130"/>
    <mergeCell ref="H2132:I2132"/>
    <mergeCell ref="E2134:F2134"/>
    <mergeCell ref="E2135:F2135"/>
    <mergeCell ref="E2136:F2136"/>
    <mergeCell ref="E2169:F2169"/>
    <mergeCell ref="E2170:F2170"/>
    <mergeCell ref="E2171:F2171"/>
    <mergeCell ref="E2172:F2172"/>
    <mergeCell ref="E2173:F2173"/>
    <mergeCell ref="H2175:I2175"/>
    <mergeCell ref="E2161:F2161"/>
    <mergeCell ref="E2162:F2162"/>
    <mergeCell ref="E2163:F2163"/>
    <mergeCell ref="E2164:F2164"/>
    <mergeCell ref="E2165:F2165"/>
    <mergeCell ref="H2167:I2167"/>
    <mergeCell ref="E2153:F2153"/>
    <mergeCell ref="E2154:F2154"/>
    <mergeCell ref="E2155:F2155"/>
    <mergeCell ref="E2156:F2156"/>
    <mergeCell ref="E2157:F2157"/>
    <mergeCell ref="H2159:I2159"/>
    <mergeCell ref="H2192:I2192"/>
    <mergeCell ref="E2194:F2194"/>
    <mergeCell ref="E2195:F2195"/>
    <mergeCell ref="E2196:F2196"/>
    <mergeCell ref="E2197:F2197"/>
    <mergeCell ref="E2198:F2198"/>
    <mergeCell ref="E2185:F2185"/>
    <mergeCell ref="E2186:F2186"/>
    <mergeCell ref="E2187:F2187"/>
    <mergeCell ref="E2188:F2188"/>
    <mergeCell ref="E2189:F2189"/>
    <mergeCell ref="E2190:F2190"/>
    <mergeCell ref="E2177:F2177"/>
    <mergeCell ref="E2178:F2178"/>
    <mergeCell ref="E2179:F2179"/>
    <mergeCell ref="E2180:F2180"/>
    <mergeCell ref="E2181:F2181"/>
    <mergeCell ref="H2183:I2183"/>
    <mergeCell ref="E2215:F2215"/>
    <mergeCell ref="H2217:I2217"/>
    <mergeCell ref="E2219:F2219"/>
    <mergeCell ref="E2220:F2220"/>
    <mergeCell ref="E2221:F2221"/>
    <mergeCell ref="E2222:F2222"/>
    <mergeCell ref="E2207:F2207"/>
    <mergeCell ref="H2209:I2209"/>
    <mergeCell ref="E2211:F2211"/>
    <mergeCell ref="E2212:F2212"/>
    <mergeCell ref="E2213:F2213"/>
    <mergeCell ref="E2214:F2214"/>
    <mergeCell ref="E2199:F2199"/>
    <mergeCell ref="H2201:I2201"/>
    <mergeCell ref="E2203:F2203"/>
    <mergeCell ref="E2204:F2204"/>
    <mergeCell ref="E2205:F2205"/>
    <mergeCell ref="E2206:F2206"/>
    <mergeCell ref="E2239:F2239"/>
    <mergeCell ref="E2240:F2240"/>
    <mergeCell ref="H2242:I2242"/>
    <mergeCell ref="E2244:F2244"/>
    <mergeCell ref="E2245:F2245"/>
    <mergeCell ref="E2246:F2246"/>
    <mergeCell ref="E2231:F2231"/>
    <mergeCell ref="H2233:I2233"/>
    <mergeCell ref="E2235:F2235"/>
    <mergeCell ref="E2236:F2236"/>
    <mergeCell ref="E2237:F2237"/>
    <mergeCell ref="E2238:F2238"/>
    <mergeCell ref="E2223:F2223"/>
    <mergeCell ref="H2225:I2225"/>
    <mergeCell ref="E2227:F2227"/>
    <mergeCell ref="E2228:F2228"/>
    <mergeCell ref="E2229:F2229"/>
    <mergeCell ref="E2230:F2230"/>
    <mergeCell ref="H2262:I2262"/>
    <mergeCell ref="E2264:F2264"/>
    <mergeCell ref="E2265:F2265"/>
    <mergeCell ref="E2266:F2266"/>
    <mergeCell ref="E2267:F2267"/>
    <mergeCell ref="E2268:F2268"/>
    <mergeCell ref="E2255:F2255"/>
    <mergeCell ref="E2256:F2256"/>
    <mergeCell ref="E2257:F2257"/>
    <mergeCell ref="E2258:F2258"/>
    <mergeCell ref="E2259:F2259"/>
    <mergeCell ref="E2260:F2260"/>
    <mergeCell ref="E2247:F2247"/>
    <mergeCell ref="E2248:F2248"/>
    <mergeCell ref="E2249:F2249"/>
    <mergeCell ref="H2251:I2251"/>
    <mergeCell ref="E2253:F2253"/>
    <mergeCell ref="E2254:F2254"/>
    <mergeCell ref="H2284:I2284"/>
    <mergeCell ref="E2286:F2286"/>
    <mergeCell ref="E2287:F2287"/>
    <mergeCell ref="E2288:F2288"/>
    <mergeCell ref="E2289:F2289"/>
    <mergeCell ref="E2290:F2290"/>
    <mergeCell ref="E2277:F2277"/>
    <mergeCell ref="E2278:F2278"/>
    <mergeCell ref="E2279:F2279"/>
    <mergeCell ref="E2280:F2280"/>
    <mergeCell ref="E2281:F2281"/>
    <mergeCell ref="E2282:F2282"/>
    <mergeCell ref="E2269:F2269"/>
    <mergeCell ref="E2270:F2270"/>
    <mergeCell ref="E2271:F2271"/>
    <mergeCell ref="H2273:I2273"/>
    <mergeCell ref="E2275:F2275"/>
    <mergeCell ref="E2276:F2276"/>
    <mergeCell ref="E2307:F2307"/>
    <mergeCell ref="H2309:I2309"/>
    <mergeCell ref="E2311:F2311"/>
    <mergeCell ref="E2312:F2312"/>
    <mergeCell ref="E2313:F2313"/>
    <mergeCell ref="E2314:F2314"/>
    <mergeCell ref="E2299:F2299"/>
    <mergeCell ref="H2301:I2301"/>
    <mergeCell ref="E2303:F2303"/>
    <mergeCell ref="E2304:F2304"/>
    <mergeCell ref="E2305:F2305"/>
    <mergeCell ref="E2306:F2306"/>
    <mergeCell ref="E2291:F2291"/>
    <mergeCell ref="H2293:I2293"/>
    <mergeCell ref="E2295:F2295"/>
    <mergeCell ref="E2296:F2296"/>
    <mergeCell ref="E2297:F2297"/>
    <mergeCell ref="E2298:F2298"/>
    <mergeCell ref="E2331:F2331"/>
    <mergeCell ref="H2333:I2333"/>
    <mergeCell ref="E2335:F2335"/>
    <mergeCell ref="E2336:F2336"/>
    <mergeCell ref="E2337:F2337"/>
    <mergeCell ref="H2339:I2339"/>
    <mergeCell ref="E2323:F2323"/>
    <mergeCell ref="E2324:F2324"/>
    <mergeCell ref="E2325:F2325"/>
    <mergeCell ref="H2327:I2327"/>
    <mergeCell ref="E2329:F2329"/>
    <mergeCell ref="E2330:F2330"/>
    <mergeCell ref="E2315:F2315"/>
    <mergeCell ref="E2316:F2316"/>
    <mergeCell ref="H2318:I2318"/>
    <mergeCell ref="E2320:F2320"/>
    <mergeCell ref="E2321:F2321"/>
    <mergeCell ref="E2322:F2322"/>
    <mergeCell ref="E2355:F2355"/>
    <mergeCell ref="H2357:I2357"/>
    <mergeCell ref="E2359:F2359"/>
    <mergeCell ref="E2360:F2360"/>
    <mergeCell ref="E2361:F2361"/>
    <mergeCell ref="E2362:F2362"/>
    <mergeCell ref="H2348:I2348"/>
    <mergeCell ref="E2350:F2350"/>
    <mergeCell ref="E2351:F2351"/>
    <mergeCell ref="E2352:F2352"/>
    <mergeCell ref="E2353:F2353"/>
    <mergeCell ref="E2354:F2354"/>
    <mergeCell ref="E2341:F2341"/>
    <mergeCell ref="E2342:F2342"/>
    <mergeCell ref="E2343:F2343"/>
    <mergeCell ref="E2344:F2344"/>
    <mergeCell ref="E2345:F2345"/>
    <mergeCell ref="E2346:F2346"/>
    <mergeCell ref="E2379:F2379"/>
    <mergeCell ref="E2380:F2380"/>
    <mergeCell ref="E2381:F2381"/>
    <mergeCell ref="E2382:F2382"/>
    <mergeCell ref="E2383:F2383"/>
    <mergeCell ref="E2384:F2384"/>
    <mergeCell ref="E2371:F2371"/>
    <mergeCell ref="E2372:F2372"/>
    <mergeCell ref="E2373:F2373"/>
    <mergeCell ref="E2374:F2374"/>
    <mergeCell ref="H2376:I2376"/>
    <mergeCell ref="E2378:F2378"/>
    <mergeCell ref="E2363:F2363"/>
    <mergeCell ref="H2365:I2365"/>
    <mergeCell ref="E2367:F2367"/>
    <mergeCell ref="E2368:F2368"/>
    <mergeCell ref="E2369:F2369"/>
    <mergeCell ref="E2370:F2370"/>
    <mergeCell ref="E2403:F2403"/>
    <mergeCell ref="E2404:F2404"/>
    <mergeCell ref="E2405:F2405"/>
    <mergeCell ref="E2406:F2406"/>
    <mergeCell ref="H2408:I2408"/>
    <mergeCell ref="E2410:F2410"/>
    <mergeCell ref="E2393:F2393"/>
    <mergeCell ref="H2395:I2395"/>
    <mergeCell ref="E2397:F2397"/>
    <mergeCell ref="E2398:F2398"/>
    <mergeCell ref="E2399:F2399"/>
    <mergeCell ref="H2401:I2401"/>
    <mergeCell ref="E2385:F2385"/>
    <mergeCell ref="E2386:F2386"/>
    <mergeCell ref="E2387:F2387"/>
    <mergeCell ref="H2389:I2389"/>
    <mergeCell ref="E2391:F2391"/>
    <mergeCell ref="E2392:F2392"/>
    <mergeCell ref="E2425:F2425"/>
    <mergeCell ref="H2427:I2427"/>
    <mergeCell ref="E2429:F2429"/>
    <mergeCell ref="E2430:F2430"/>
    <mergeCell ref="E2431:F2431"/>
    <mergeCell ref="E2432:F2432"/>
    <mergeCell ref="E2417:F2417"/>
    <mergeCell ref="H2419:I2419"/>
    <mergeCell ref="E2421:F2421"/>
    <mergeCell ref="E2422:F2422"/>
    <mergeCell ref="E2423:F2423"/>
    <mergeCell ref="E2424:F2424"/>
    <mergeCell ref="E2411:F2411"/>
    <mergeCell ref="E2412:F2412"/>
    <mergeCell ref="E2413:F2413"/>
    <mergeCell ref="E2414:F2414"/>
    <mergeCell ref="E2415:F2415"/>
    <mergeCell ref="E2416:F2416"/>
    <mergeCell ref="E2447:F2447"/>
    <mergeCell ref="H2449:I2449"/>
    <mergeCell ref="E2451:F2451"/>
    <mergeCell ref="E2452:F2452"/>
    <mergeCell ref="E2453:F2453"/>
    <mergeCell ref="E2454:F2454"/>
    <mergeCell ref="E2441:F2441"/>
    <mergeCell ref="E2442:F2442"/>
    <mergeCell ref="E2443:F2443"/>
    <mergeCell ref="E2444:F2444"/>
    <mergeCell ref="E2445:F2445"/>
    <mergeCell ref="E2446:F2446"/>
    <mergeCell ref="E2433:F2433"/>
    <mergeCell ref="E2434:F2434"/>
    <mergeCell ref="E2435:F2435"/>
    <mergeCell ref="E2436:F2436"/>
    <mergeCell ref="E2437:F2437"/>
    <mergeCell ref="H2439:I2439"/>
    <mergeCell ref="H2470:I2470"/>
    <mergeCell ref="E2472:F2472"/>
    <mergeCell ref="E2473:F2473"/>
    <mergeCell ref="E2474:F2474"/>
    <mergeCell ref="E2475:F2475"/>
    <mergeCell ref="E2476:F2476"/>
    <mergeCell ref="E2463:F2463"/>
    <mergeCell ref="E2464:F2464"/>
    <mergeCell ref="E2465:F2465"/>
    <mergeCell ref="E2466:F2466"/>
    <mergeCell ref="E2467:F2467"/>
    <mergeCell ref="E2468:F2468"/>
    <mergeCell ref="E2455:F2455"/>
    <mergeCell ref="H2457:I2457"/>
    <mergeCell ref="E2459:F2459"/>
    <mergeCell ref="E2460:F2460"/>
    <mergeCell ref="E2461:F2461"/>
    <mergeCell ref="E2462:F2462"/>
    <mergeCell ref="E2491:F2491"/>
    <mergeCell ref="E2492:F2492"/>
    <mergeCell ref="E2493:F2493"/>
    <mergeCell ref="E2494:F2494"/>
    <mergeCell ref="H2496:I2496"/>
    <mergeCell ref="E2498:F2498"/>
    <mergeCell ref="E2485:F2485"/>
    <mergeCell ref="E2486:F2486"/>
    <mergeCell ref="E2487:F2487"/>
    <mergeCell ref="E2488:F2488"/>
    <mergeCell ref="E2489:F2489"/>
    <mergeCell ref="E2490:F2490"/>
    <mergeCell ref="E2477:F2477"/>
    <mergeCell ref="E2478:F2478"/>
    <mergeCell ref="E2479:F2479"/>
    <mergeCell ref="E2480:F2480"/>
    <mergeCell ref="E2481:F2481"/>
    <mergeCell ref="H2483:I2483"/>
    <mergeCell ref="E2515:F2515"/>
    <mergeCell ref="E2516:F2516"/>
    <mergeCell ref="E2517:F2517"/>
    <mergeCell ref="E2518:F2518"/>
    <mergeCell ref="E2519:F2519"/>
    <mergeCell ref="E2520:F2520"/>
    <mergeCell ref="E2507:F2507"/>
    <mergeCell ref="E2508:F2508"/>
    <mergeCell ref="E2509:F2509"/>
    <mergeCell ref="H2511:I2511"/>
    <mergeCell ref="E2513:F2513"/>
    <mergeCell ref="E2514:F2514"/>
    <mergeCell ref="E2499:F2499"/>
    <mergeCell ref="E2500:F2500"/>
    <mergeCell ref="E2501:F2501"/>
    <mergeCell ref="H2503:I2503"/>
    <mergeCell ref="E2505:F2505"/>
    <mergeCell ref="E2506:F2506"/>
    <mergeCell ref="E2535:F2535"/>
    <mergeCell ref="H2537:I2537"/>
    <mergeCell ref="E2539:F2539"/>
    <mergeCell ref="E2540:F2540"/>
    <mergeCell ref="E2541:F2541"/>
    <mergeCell ref="E2542:F2542"/>
    <mergeCell ref="E2529:F2529"/>
    <mergeCell ref="E2530:F2530"/>
    <mergeCell ref="E2531:F2531"/>
    <mergeCell ref="E2532:F2532"/>
    <mergeCell ref="E2533:F2533"/>
    <mergeCell ref="E2534:F2534"/>
    <mergeCell ref="E2521:F2521"/>
    <mergeCell ref="E2522:F2522"/>
    <mergeCell ref="H2524:I2524"/>
    <mergeCell ref="E2526:F2526"/>
    <mergeCell ref="E2527:F2527"/>
    <mergeCell ref="E2528:F2528"/>
    <mergeCell ref="E2557:F2557"/>
    <mergeCell ref="E2558:F2558"/>
    <mergeCell ref="E2559:F2559"/>
    <mergeCell ref="E2560:F2560"/>
    <mergeCell ref="E2561:F2561"/>
    <mergeCell ref="H2563:I2563"/>
    <mergeCell ref="H2550:I2550"/>
    <mergeCell ref="E2552:F2552"/>
    <mergeCell ref="E2553:F2553"/>
    <mergeCell ref="E2554:F2554"/>
    <mergeCell ref="E2555:F2555"/>
    <mergeCell ref="E2556:F2556"/>
    <mergeCell ref="E2543:F2543"/>
    <mergeCell ref="E2544:F2544"/>
    <mergeCell ref="E2545:F2545"/>
    <mergeCell ref="E2546:F2546"/>
    <mergeCell ref="E2547:F2547"/>
    <mergeCell ref="E2548:F2548"/>
    <mergeCell ref="E2579:F2579"/>
    <mergeCell ref="E2580:F2580"/>
    <mergeCell ref="E2581:F2581"/>
    <mergeCell ref="E2582:F2582"/>
    <mergeCell ref="E2583:F2583"/>
    <mergeCell ref="E2584:F2584"/>
    <mergeCell ref="E2571:F2571"/>
    <mergeCell ref="E2572:F2572"/>
    <mergeCell ref="E2573:F2573"/>
    <mergeCell ref="E2574:F2574"/>
    <mergeCell ref="H2576:I2576"/>
    <mergeCell ref="E2578:F2578"/>
    <mergeCell ref="E2565:F2565"/>
    <mergeCell ref="E2566:F2566"/>
    <mergeCell ref="E2567:F2567"/>
    <mergeCell ref="E2568:F2568"/>
    <mergeCell ref="E2569:F2569"/>
    <mergeCell ref="E2570:F2570"/>
    <mergeCell ref="E2601:F2601"/>
    <mergeCell ref="E2602:F2602"/>
    <mergeCell ref="E2603:F2603"/>
    <mergeCell ref="E2604:F2604"/>
    <mergeCell ref="E2605:F2605"/>
    <mergeCell ref="E2606:F2606"/>
    <mergeCell ref="E2593:F2593"/>
    <mergeCell ref="E2594:F2594"/>
    <mergeCell ref="E2595:F2595"/>
    <mergeCell ref="E2596:F2596"/>
    <mergeCell ref="E2585:F2585"/>
    <mergeCell ref="E2586:F2586"/>
    <mergeCell ref="E2587:F2587"/>
    <mergeCell ref="H2589:I2589"/>
    <mergeCell ref="E2591:F2591"/>
    <mergeCell ref="E2592:F2592"/>
    <mergeCell ref="E2627:F2627"/>
    <mergeCell ref="E2628:F2628"/>
    <mergeCell ref="E2629:F2629"/>
    <mergeCell ref="E2630:F2630"/>
    <mergeCell ref="E2619:F2619"/>
    <mergeCell ref="E2620:F2620"/>
    <mergeCell ref="E2621:F2621"/>
    <mergeCell ref="E2622:F2622"/>
    <mergeCell ref="H2608:I2608"/>
    <mergeCell ref="E2610:F2610"/>
    <mergeCell ref="E2611:F2611"/>
    <mergeCell ref="E2612:F2612"/>
    <mergeCell ref="E2613:F2613"/>
    <mergeCell ref="E2614:F2614"/>
    <mergeCell ref="E2647:F2647"/>
    <mergeCell ref="E2653:F2653"/>
    <mergeCell ref="E2654:F2654"/>
    <mergeCell ref="E2641:F2641"/>
    <mergeCell ref="E2642:F2642"/>
    <mergeCell ref="E2643:F2643"/>
    <mergeCell ref="E2644:F2644"/>
    <mergeCell ref="E2645:F2645"/>
    <mergeCell ref="E2646:F2646"/>
    <mergeCell ref="E2631:F2631"/>
    <mergeCell ref="H2633:I2633"/>
    <mergeCell ref="E2635:F2635"/>
    <mergeCell ref="E2636:F2636"/>
    <mergeCell ref="E2637:F2637"/>
    <mergeCell ref="H2639:I2639"/>
    <mergeCell ref="E2671:F2671"/>
    <mergeCell ref="E2672:F2672"/>
    <mergeCell ref="E2673:F2673"/>
    <mergeCell ref="E2674:F2674"/>
    <mergeCell ref="E2675:F2675"/>
    <mergeCell ref="E2676:F2676"/>
    <mergeCell ref="E2663:F2663"/>
    <mergeCell ref="E2664:F2664"/>
    <mergeCell ref="E2665:F2665"/>
    <mergeCell ref="E2666:F2666"/>
    <mergeCell ref="E2667:F2667"/>
    <mergeCell ref="H2669:I2669"/>
    <mergeCell ref="E2655:F2655"/>
    <mergeCell ref="E2661:F2661"/>
    <mergeCell ref="E2662:F2662"/>
    <mergeCell ref="H2657:I2657"/>
    <mergeCell ref="E2659:F2659"/>
    <mergeCell ref="E2660:F2660"/>
    <mergeCell ref="E2693:F2693"/>
    <mergeCell ref="E2694:F2694"/>
    <mergeCell ref="E2695:F2695"/>
    <mergeCell ref="H2697:I2697"/>
    <mergeCell ref="E2699:F2699"/>
    <mergeCell ref="E2700:F2700"/>
    <mergeCell ref="E2685:F2685"/>
    <mergeCell ref="E2686:F2686"/>
    <mergeCell ref="H2688:I2688"/>
    <mergeCell ref="E2690:F2690"/>
    <mergeCell ref="E2691:F2691"/>
    <mergeCell ref="E2692:F2692"/>
    <mergeCell ref="E2681:F2681"/>
    <mergeCell ref="E2682:F2682"/>
    <mergeCell ref="E2683:F2683"/>
    <mergeCell ref="E2684:F2684"/>
    <mergeCell ref="E2721:F2721"/>
    <mergeCell ref="E2722:F2722"/>
    <mergeCell ref="E2709:F2709"/>
    <mergeCell ref="E2710:F2710"/>
    <mergeCell ref="E2711:F2711"/>
    <mergeCell ref="E2712:F2712"/>
    <mergeCell ref="E2713:F2713"/>
    <mergeCell ref="E2714:F2714"/>
    <mergeCell ref="E2701:F2701"/>
    <mergeCell ref="E2702:F2702"/>
    <mergeCell ref="E2703:F2703"/>
    <mergeCell ref="E2704:F2704"/>
    <mergeCell ref="E2705:F2705"/>
    <mergeCell ref="H2707:I2707"/>
    <mergeCell ref="E2737:F2737"/>
    <mergeCell ref="E2738:F2738"/>
    <mergeCell ref="E2739:F2739"/>
    <mergeCell ref="E2743:F2743"/>
    <mergeCell ref="E2744:F2744"/>
    <mergeCell ref="E2729:F2729"/>
    <mergeCell ref="E2733:F2733"/>
    <mergeCell ref="E2723:F2723"/>
    <mergeCell ref="E2724:F2724"/>
    <mergeCell ref="E2728:F2728"/>
    <mergeCell ref="E2761:F2761"/>
    <mergeCell ref="E2762:F2762"/>
    <mergeCell ref="E2763:F2763"/>
    <mergeCell ref="E2764:F2764"/>
    <mergeCell ref="E2765:F2765"/>
    <mergeCell ref="E2766:F2766"/>
    <mergeCell ref="E2753:F2753"/>
    <mergeCell ref="E2754:F2754"/>
    <mergeCell ref="E2755:F2755"/>
    <mergeCell ref="E2756:F2756"/>
    <mergeCell ref="E2757:F2757"/>
    <mergeCell ref="H2759:I2759"/>
    <mergeCell ref="E2745:F2745"/>
    <mergeCell ref="E2752:F2752"/>
    <mergeCell ref="E2751:F2751"/>
    <mergeCell ref="E2783:F2783"/>
    <mergeCell ref="H2785:I2785"/>
    <mergeCell ref="E2787:F2787"/>
    <mergeCell ref="E2788:F2788"/>
    <mergeCell ref="E2789:F2789"/>
    <mergeCell ref="E2790:F2790"/>
    <mergeCell ref="E2779:F2779"/>
    <mergeCell ref="E2780:F2780"/>
    <mergeCell ref="E2781:F2781"/>
    <mergeCell ref="E2782:F2782"/>
    <mergeCell ref="H2768:I2768"/>
    <mergeCell ref="E2770:F2770"/>
    <mergeCell ref="E2771:F2771"/>
    <mergeCell ref="E2772:F2772"/>
    <mergeCell ref="E2773:F2773"/>
    <mergeCell ref="E2774:F2774"/>
    <mergeCell ref="E2775:F2775"/>
    <mergeCell ref="H2777:I2777"/>
    <mergeCell ref="E2807:F2807"/>
    <mergeCell ref="H2809:I2809"/>
    <mergeCell ref="E2811:F2811"/>
    <mergeCell ref="E2812:F2812"/>
    <mergeCell ref="E2813:F2813"/>
    <mergeCell ref="E2814:F2814"/>
    <mergeCell ref="E2799:F2799"/>
    <mergeCell ref="H2801:I2801"/>
    <mergeCell ref="E2803:F2803"/>
    <mergeCell ref="E2804:F2804"/>
    <mergeCell ref="E2805:F2805"/>
    <mergeCell ref="E2806:F2806"/>
    <mergeCell ref="E2791:F2791"/>
    <mergeCell ref="H2793:I2793"/>
    <mergeCell ref="E2795:F2795"/>
    <mergeCell ref="E2796:F2796"/>
    <mergeCell ref="E2797:F2797"/>
    <mergeCell ref="E2798:F2798"/>
    <mergeCell ref="E2829:F2829"/>
    <mergeCell ref="E2830:F2830"/>
    <mergeCell ref="E2831:F2831"/>
    <mergeCell ref="E2832:F2832"/>
    <mergeCell ref="E2833:F2833"/>
    <mergeCell ref="H2835:I2835"/>
    <mergeCell ref="E2821:F2821"/>
    <mergeCell ref="E2822:F2822"/>
    <mergeCell ref="E2823:F2823"/>
    <mergeCell ref="H2825:I2825"/>
    <mergeCell ref="E2827:F2827"/>
    <mergeCell ref="E2828:F2828"/>
    <mergeCell ref="E2815:F2815"/>
    <mergeCell ref="E2816:F2816"/>
    <mergeCell ref="E2817:F2817"/>
    <mergeCell ref="E2818:F2818"/>
    <mergeCell ref="E2819:F2819"/>
    <mergeCell ref="E2820:F2820"/>
    <mergeCell ref="E2851:F2851"/>
    <mergeCell ref="E2852:F2852"/>
    <mergeCell ref="E2853:F2853"/>
    <mergeCell ref="E2854:F2854"/>
    <mergeCell ref="H2856:I2856"/>
    <mergeCell ref="E2858:F2858"/>
    <mergeCell ref="E2843:F2843"/>
    <mergeCell ref="H2845:I2845"/>
    <mergeCell ref="E2847:F2847"/>
    <mergeCell ref="E2848:F2848"/>
    <mergeCell ref="E2849:F2849"/>
    <mergeCell ref="E2850:F2850"/>
    <mergeCell ref="E2837:F2837"/>
    <mergeCell ref="E2838:F2838"/>
    <mergeCell ref="E2839:F2839"/>
    <mergeCell ref="E2840:F2840"/>
    <mergeCell ref="E2841:F2841"/>
    <mergeCell ref="E2842:F2842"/>
    <mergeCell ref="E2873:F2873"/>
    <mergeCell ref="E2874:F2874"/>
    <mergeCell ref="H2876:I2876"/>
    <mergeCell ref="E2878:F2878"/>
    <mergeCell ref="E2879:F2879"/>
    <mergeCell ref="E2880:F2880"/>
    <mergeCell ref="E2865:F2865"/>
    <mergeCell ref="H2867:I2867"/>
    <mergeCell ref="E2869:F2869"/>
    <mergeCell ref="E2870:F2870"/>
    <mergeCell ref="E2871:F2871"/>
    <mergeCell ref="E2872:F2872"/>
    <mergeCell ref="E2859:F2859"/>
    <mergeCell ref="E2860:F2860"/>
    <mergeCell ref="E2861:F2861"/>
    <mergeCell ref="E2862:F2862"/>
    <mergeCell ref="E2863:F2863"/>
    <mergeCell ref="E2864:F2864"/>
    <mergeCell ref="E2897:F2897"/>
    <mergeCell ref="E2898:F2898"/>
    <mergeCell ref="E2899:F2899"/>
    <mergeCell ref="E2900:F2900"/>
    <mergeCell ref="E2901:F2901"/>
    <mergeCell ref="H2903:I2903"/>
    <mergeCell ref="E2889:F2889"/>
    <mergeCell ref="E2890:F2890"/>
    <mergeCell ref="E2891:F2891"/>
    <mergeCell ref="E2892:F2892"/>
    <mergeCell ref="H2894:I2894"/>
    <mergeCell ref="E2896:F2896"/>
    <mergeCell ref="E2881:F2881"/>
    <mergeCell ref="E2882:F2882"/>
    <mergeCell ref="E2883:F2883"/>
    <mergeCell ref="H2885:I2885"/>
    <mergeCell ref="E2887:F2887"/>
    <mergeCell ref="E2888:F2888"/>
    <mergeCell ref="E2919:F2919"/>
    <mergeCell ref="H2921:I2921"/>
    <mergeCell ref="E2923:F2923"/>
    <mergeCell ref="E2924:F2924"/>
    <mergeCell ref="E2925:F2925"/>
    <mergeCell ref="E2926:F2926"/>
    <mergeCell ref="H2912:I2912"/>
    <mergeCell ref="E2914:F2914"/>
    <mergeCell ref="E2915:F2915"/>
    <mergeCell ref="E2916:F2916"/>
    <mergeCell ref="E2917:F2917"/>
    <mergeCell ref="E2918:F2918"/>
    <mergeCell ref="E2905:F2905"/>
    <mergeCell ref="E2906:F2906"/>
    <mergeCell ref="E2907:F2907"/>
    <mergeCell ref="E2908:F2908"/>
    <mergeCell ref="E2909:F2909"/>
    <mergeCell ref="E2910:F2910"/>
    <mergeCell ref="E2943:F2943"/>
    <mergeCell ref="E2944:F2944"/>
    <mergeCell ref="H2946:I2946"/>
    <mergeCell ref="E2948:F2948"/>
    <mergeCell ref="E2949:F2949"/>
    <mergeCell ref="E2950:F2950"/>
    <mergeCell ref="E2935:F2935"/>
    <mergeCell ref="H2937:I2937"/>
    <mergeCell ref="E2939:F2939"/>
    <mergeCell ref="E2940:F2940"/>
    <mergeCell ref="E2941:F2941"/>
    <mergeCell ref="E2942:F2942"/>
    <mergeCell ref="E2927:F2927"/>
    <mergeCell ref="E2928:F2928"/>
    <mergeCell ref="H2930:I2930"/>
    <mergeCell ref="E2932:F2932"/>
    <mergeCell ref="E2933:F2933"/>
    <mergeCell ref="E2934:F2934"/>
    <mergeCell ref="E2967:F2967"/>
    <mergeCell ref="E2968:F2968"/>
    <mergeCell ref="H2970:I2970"/>
    <mergeCell ref="E2972:F2972"/>
    <mergeCell ref="E2973:F2973"/>
    <mergeCell ref="E2974:F2974"/>
    <mergeCell ref="E2959:F2959"/>
    <mergeCell ref="E2960:F2960"/>
    <mergeCell ref="H2962:I2962"/>
    <mergeCell ref="E2964:F2964"/>
    <mergeCell ref="E2965:F2965"/>
    <mergeCell ref="E2966:F2966"/>
    <mergeCell ref="E2951:F2951"/>
    <mergeCell ref="E2952:F2952"/>
    <mergeCell ref="H2954:I2954"/>
    <mergeCell ref="E2956:F2956"/>
    <mergeCell ref="E2957:F2957"/>
    <mergeCell ref="E2958:F2958"/>
    <mergeCell ref="E2991:F2991"/>
    <mergeCell ref="E2992:F2992"/>
    <mergeCell ref="H2994:I2994"/>
    <mergeCell ref="E2996:F2996"/>
    <mergeCell ref="E2997:F2997"/>
    <mergeCell ref="E2998:F2998"/>
    <mergeCell ref="E2983:F2983"/>
    <mergeCell ref="E2984:F2984"/>
    <mergeCell ref="H2986:I2986"/>
    <mergeCell ref="E2988:F2988"/>
    <mergeCell ref="E2989:F2989"/>
    <mergeCell ref="E2990:F2990"/>
    <mergeCell ref="E2975:F2975"/>
    <mergeCell ref="E2976:F2976"/>
    <mergeCell ref="H2978:I2978"/>
    <mergeCell ref="E2980:F2980"/>
    <mergeCell ref="E2981:F2981"/>
    <mergeCell ref="E2982:F2982"/>
    <mergeCell ref="E3015:F3015"/>
    <mergeCell ref="E3016:F3016"/>
    <mergeCell ref="E3017:F3017"/>
    <mergeCell ref="H3019:I3019"/>
    <mergeCell ref="E3021:F3021"/>
    <mergeCell ref="E3022:F3022"/>
    <mergeCell ref="E3007:F3007"/>
    <mergeCell ref="E3008:F3008"/>
    <mergeCell ref="E3009:F3009"/>
    <mergeCell ref="H3011:I3011"/>
    <mergeCell ref="E3013:F3013"/>
    <mergeCell ref="E3014:F3014"/>
    <mergeCell ref="E2999:F2999"/>
    <mergeCell ref="E3000:F3000"/>
    <mergeCell ref="E3005:F3005"/>
    <mergeCell ref="E3006:F3006"/>
    <mergeCell ref="E3001:F3001"/>
    <mergeCell ref="H3003:I3003"/>
    <mergeCell ref="E3039:F3039"/>
    <mergeCell ref="E3040:F3040"/>
    <mergeCell ref="E3041:F3041"/>
    <mergeCell ref="E3042:F3042"/>
    <mergeCell ref="H3044:I3044"/>
    <mergeCell ref="E3046:F3046"/>
    <mergeCell ref="E3031:F3031"/>
    <mergeCell ref="E3032:F3032"/>
    <mergeCell ref="E3033:F3033"/>
    <mergeCell ref="E3034:F3034"/>
    <mergeCell ref="E3035:F3035"/>
    <mergeCell ref="H3037:I3037"/>
    <mergeCell ref="E3023:F3023"/>
    <mergeCell ref="E3024:F3024"/>
    <mergeCell ref="E3025:F3025"/>
    <mergeCell ref="E3026:F3026"/>
    <mergeCell ref="H3028:I3028"/>
    <mergeCell ref="E3030:F3030"/>
    <mergeCell ref="E3061:F3061"/>
    <mergeCell ref="E3062:F3062"/>
    <mergeCell ref="E3066:F3066"/>
    <mergeCell ref="E3053:F3053"/>
    <mergeCell ref="E3054:F3054"/>
    <mergeCell ref="E3055:F3055"/>
    <mergeCell ref="E3059:F3059"/>
    <mergeCell ref="E3060:F3060"/>
    <mergeCell ref="E3047:F3047"/>
    <mergeCell ref="E3048:F3048"/>
    <mergeCell ref="E3049:F3049"/>
    <mergeCell ref="H3051:I3051"/>
    <mergeCell ref="E3056:F3056"/>
    <mergeCell ref="E3057:F3057"/>
    <mergeCell ref="E3058:F3058"/>
    <mergeCell ref="H3064:I3064"/>
    <mergeCell ref="E3083:F3083"/>
    <mergeCell ref="E3084:F3084"/>
    <mergeCell ref="E3085:F3085"/>
    <mergeCell ref="E3086:F3086"/>
    <mergeCell ref="E3087:F3087"/>
    <mergeCell ref="E3088:F3088"/>
    <mergeCell ref="E3075:F3075"/>
    <mergeCell ref="H3077:I3077"/>
    <mergeCell ref="E3079:F3079"/>
    <mergeCell ref="E3080:F3080"/>
    <mergeCell ref="E3081:F3081"/>
    <mergeCell ref="E3082:F3082"/>
    <mergeCell ref="E3067:F3067"/>
    <mergeCell ref="E3068:F3068"/>
    <mergeCell ref="E3072:F3072"/>
    <mergeCell ref="E3073:F3073"/>
    <mergeCell ref="E3074:F3074"/>
    <mergeCell ref="E3069:F3069"/>
    <mergeCell ref="E3070:F3070"/>
    <mergeCell ref="E3071:F3071"/>
    <mergeCell ref="E3105:F3105"/>
    <mergeCell ref="E3106:F3106"/>
    <mergeCell ref="E3107:F3107"/>
    <mergeCell ref="E3108:F3108"/>
    <mergeCell ref="E3109:F3109"/>
    <mergeCell ref="E3110:F3110"/>
    <mergeCell ref="E3097:F3097"/>
    <mergeCell ref="E3098:F3098"/>
    <mergeCell ref="E3099:F3099"/>
    <mergeCell ref="E3100:F3100"/>
    <mergeCell ref="E3101:F3101"/>
    <mergeCell ref="H3103:I3103"/>
    <mergeCell ref="H3090:I3090"/>
    <mergeCell ref="E3092:F3092"/>
    <mergeCell ref="E3093:F3093"/>
    <mergeCell ref="E3094:F3094"/>
    <mergeCell ref="E3095:F3095"/>
    <mergeCell ref="E3096:F3096"/>
    <mergeCell ref="E3125:F3125"/>
    <mergeCell ref="E3126:F3126"/>
    <mergeCell ref="E3127:F3127"/>
    <mergeCell ref="H3129:I3129"/>
    <mergeCell ref="E3131:F3131"/>
    <mergeCell ref="E3132:F3132"/>
    <mergeCell ref="E3119:F3119"/>
    <mergeCell ref="E3120:F3120"/>
    <mergeCell ref="E3121:F3121"/>
    <mergeCell ref="E3122:F3122"/>
    <mergeCell ref="E3123:F3123"/>
    <mergeCell ref="E3124:F3124"/>
    <mergeCell ref="E3111:F3111"/>
    <mergeCell ref="E3112:F3112"/>
    <mergeCell ref="E3113:F3113"/>
    <mergeCell ref="E3114:F3114"/>
    <mergeCell ref="H3116:I3116"/>
    <mergeCell ref="E3118:F3118"/>
    <mergeCell ref="E3147:F3147"/>
    <mergeCell ref="E3148:F3148"/>
    <mergeCell ref="E3149:F3149"/>
    <mergeCell ref="E3150:F3150"/>
    <mergeCell ref="E3151:F3151"/>
    <mergeCell ref="E3152:F3152"/>
    <mergeCell ref="E3139:F3139"/>
    <mergeCell ref="E3140:F3140"/>
    <mergeCell ref="H3142:I3142"/>
    <mergeCell ref="E3144:F3144"/>
    <mergeCell ref="E3145:F3145"/>
    <mergeCell ref="E3146:F3146"/>
    <mergeCell ref="E3133:F3133"/>
    <mergeCell ref="E3134:F3134"/>
    <mergeCell ref="E3135:F3135"/>
    <mergeCell ref="E3136:F3136"/>
    <mergeCell ref="E3137:F3137"/>
    <mergeCell ref="E3138:F3138"/>
    <mergeCell ref="H3168:I3168"/>
    <mergeCell ref="A3170:J3170"/>
    <mergeCell ref="E3171:F3171"/>
    <mergeCell ref="E3172:F3172"/>
    <mergeCell ref="E3173:F3173"/>
    <mergeCell ref="E3174:F3174"/>
    <mergeCell ref="E3161:F3161"/>
    <mergeCell ref="E3162:F3162"/>
    <mergeCell ref="E3163:F3163"/>
    <mergeCell ref="E3164:F3164"/>
    <mergeCell ref="E3165:F3165"/>
    <mergeCell ref="E3166:F3166"/>
    <mergeCell ref="E3153:F3153"/>
    <mergeCell ref="H3155:I3155"/>
    <mergeCell ref="E3157:F3157"/>
    <mergeCell ref="E3158:F3158"/>
    <mergeCell ref="E3159:F3159"/>
    <mergeCell ref="E3160:F3160"/>
    <mergeCell ref="E3189:F3189"/>
    <mergeCell ref="E3190:F3190"/>
    <mergeCell ref="E3191:F3191"/>
    <mergeCell ref="H3193:I3193"/>
    <mergeCell ref="E3195:F3195"/>
    <mergeCell ref="E3196:F3196"/>
    <mergeCell ref="E3183:F3183"/>
    <mergeCell ref="E3184:F3184"/>
    <mergeCell ref="E3185:F3185"/>
    <mergeCell ref="E3186:F3186"/>
    <mergeCell ref="E3187:F3187"/>
    <mergeCell ref="E3188:F3188"/>
    <mergeCell ref="E3175:F3175"/>
    <mergeCell ref="E3176:F3176"/>
    <mergeCell ref="E3177:F3177"/>
    <mergeCell ref="E3178:F3178"/>
    <mergeCell ref="H3180:I3180"/>
    <mergeCell ref="E3182:F3182"/>
    <mergeCell ref="E3215:F3215"/>
    <mergeCell ref="E3216:F3216"/>
    <mergeCell ref="H3218:I3218"/>
    <mergeCell ref="E3220:F3220"/>
    <mergeCell ref="E3221:F3221"/>
    <mergeCell ref="E3222:F3222"/>
    <mergeCell ref="E3207:F3207"/>
    <mergeCell ref="E3208:F3208"/>
    <mergeCell ref="E3209:F3209"/>
    <mergeCell ref="H3211:I3211"/>
    <mergeCell ref="E3213:F3213"/>
    <mergeCell ref="E3214:F3214"/>
    <mergeCell ref="E3197:F3197"/>
    <mergeCell ref="H3199:I3199"/>
    <mergeCell ref="E3201:F3201"/>
    <mergeCell ref="E3202:F3202"/>
    <mergeCell ref="E3203:F3203"/>
    <mergeCell ref="H3205:I3205"/>
    <mergeCell ref="H3238:I3238"/>
    <mergeCell ref="E3240:F3240"/>
    <mergeCell ref="E3241:F3241"/>
    <mergeCell ref="E3242:F3242"/>
    <mergeCell ref="E3243:F3243"/>
    <mergeCell ref="E3244:F3244"/>
    <mergeCell ref="E3231:F3231"/>
    <mergeCell ref="E3232:F3232"/>
    <mergeCell ref="E3233:F3233"/>
    <mergeCell ref="E3234:F3234"/>
    <mergeCell ref="E3235:F3235"/>
    <mergeCell ref="E3236:F3236"/>
    <mergeCell ref="E3223:F3223"/>
    <mergeCell ref="E3224:F3224"/>
    <mergeCell ref="E3225:F3225"/>
    <mergeCell ref="E3226:F3226"/>
    <mergeCell ref="E3227:F3227"/>
    <mergeCell ref="H3229:I3229"/>
    <mergeCell ref="E3259:F3259"/>
    <mergeCell ref="H3261:I3261"/>
    <mergeCell ref="E3263:F3263"/>
    <mergeCell ref="E3264:F3264"/>
    <mergeCell ref="E3265:F3265"/>
    <mergeCell ref="E3266:F3266"/>
    <mergeCell ref="E3253:F3253"/>
    <mergeCell ref="E3254:F3254"/>
    <mergeCell ref="E3255:F3255"/>
    <mergeCell ref="E3256:F3256"/>
    <mergeCell ref="E3257:F3257"/>
    <mergeCell ref="E3258:F3258"/>
    <mergeCell ref="E3245:F3245"/>
    <mergeCell ref="E3246:F3246"/>
    <mergeCell ref="E3247:F3247"/>
    <mergeCell ref="H3249:I3249"/>
    <mergeCell ref="E3251:F3251"/>
    <mergeCell ref="E3252:F3252"/>
    <mergeCell ref="H3282:I3282"/>
    <mergeCell ref="E3284:F3284"/>
    <mergeCell ref="E3285:F3285"/>
    <mergeCell ref="E3286:F3286"/>
    <mergeCell ref="E3287:F3287"/>
    <mergeCell ref="E3288:F3288"/>
    <mergeCell ref="E3275:F3275"/>
    <mergeCell ref="E3276:F3276"/>
    <mergeCell ref="E3277:F3277"/>
    <mergeCell ref="E3278:F3278"/>
    <mergeCell ref="E3279:F3279"/>
    <mergeCell ref="E3280:F3280"/>
    <mergeCell ref="E3267:F3267"/>
    <mergeCell ref="E3268:F3268"/>
    <mergeCell ref="E3269:F3269"/>
    <mergeCell ref="H3271:I3271"/>
    <mergeCell ref="E3273:F3273"/>
    <mergeCell ref="E3274:F3274"/>
    <mergeCell ref="E3305:F3305"/>
    <mergeCell ref="E3306:F3306"/>
    <mergeCell ref="E3307:F3307"/>
    <mergeCell ref="E3308:F3308"/>
    <mergeCell ref="H3310:I3310"/>
    <mergeCell ref="E3312:F3312"/>
    <mergeCell ref="E3297:F3297"/>
    <mergeCell ref="E3298:F3298"/>
    <mergeCell ref="H3300:I3300"/>
    <mergeCell ref="E3302:F3302"/>
    <mergeCell ref="E3303:F3303"/>
    <mergeCell ref="E3304:F3304"/>
    <mergeCell ref="E3289:F3289"/>
    <mergeCell ref="E3290:F3290"/>
    <mergeCell ref="H3292:I3292"/>
    <mergeCell ref="E3294:F3294"/>
    <mergeCell ref="E3295:F3295"/>
    <mergeCell ref="E3296:F3296"/>
    <mergeCell ref="E3327:F3327"/>
    <mergeCell ref="E3328:F3328"/>
    <mergeCell ref="H3330:I3330"/>
    <mergeCell ref="E3332:F3332"/>
    <mergeCell ref="E3333:F3333"/>
    <mergeCell ref="E3334:F3334"/>
    <mergeCell ref="H3320:I3320"/>
    <mergeCell ref="E3322:F3322"/>
    <mergeCell ref="E3323:F3323"/>
    <mergeCell ref="E3324:F3324"/>
    <mergeCell ref="E3325:F3325"/>
    <mergeCell ref="E3326:F3326"/>
    <mergeCell ref="E3313:F3313"/>
    <mergeCell ref="E3314:F3314"/>
    <mergeCell ref="E3315:F3315"/>
    <mergeCell ref="E3316:F3316"/>
    <mergeCell ref="E3317:F3317"/>
    <mergeCell ref="E3318:F3318"/>
    <mergeCell ref="E3349:F3349"/>
    <mergeCell ref="H3351:I3351"/>
    <mergeCell ref="E3353:F3353"/>
    <mergeCell ref="E3354:F3354"/>
    <mergeCell ref="E3355:F3355"/>
    <mergeCell ref="E3356:F3356"/>
    <mergeCell ref="E3343:F3343"/>
    <mergeCell ref="E3344:F3344"/>
    <mergeCell ref="E3345:F3345"/>
    <mergeCell ref="E3346:F3346"/>
    <mergeCell ref="E3347:F3347"/>
    <mergeCell ref="E3348:F3348"/>
    <mergeCell ref="E3335:F3335"/>
    <mergeCell ref="E3336:F3336"/>
    <mergeCell ref="E3337:F3337"/>
    <mergeCell ref="E3338:F3338"/>
    <mergeCell ref="E3339:F3339"/>
    <mergeCell ref="H3341:I3341"/>
    <mergeCell ref="E3373:F3373"/>
    <mergeCell ref="E3374:F3374"/>
    <mergeCell ref="E3375:F3375"/>
    <mergeCell ref="H3377:I3377"/>
    <mergeCell ref="E3379:F3379"/>
    <mergeCell ref="E3380:F3380"/>
    <mergeCell ref="E3365:F3365"/>
    <mergeCell ref="E3366:F3366"/>
    <mergeCell ref="H3368:I3368"/>
    <mergeCell ref="E3370:F3370"/>
    <mergeCell ref="E3371:F3371"/>
    <mergeCell ref="E3372:F3372"/>
    <mergeCell ref="E3357:F3357"/>
    <mergeCell ref="E3358:F3358"/>
    <mergeCell ref="E3359:F3359"/>
    <mergeCell ref="H3361:I3361"/>
    <mergeCell ref="E3363:F3363"/>
    <mergeCell ref="E3364:F3364"/>
    <mergeCell ref="E3399:F3399"/>
    <mergeCell ref="H3401:I3401"/>
    <mergeCell ref="E3403:F3403"/>
    <mergeCell ref="E3404:F3404"/>
    <mergeCell ref="E3405:F3405"/>
    <mergeCell ref="E3406:F3406"/>
    <mergeCell ref="E3391:F3391"/>
    <mergeCell ref="E3392:F3392"/>
    <mergeCell ref="E3393:F3393"/>
    <mergeCell ref="H3395:I3395"/>
    <mergeCell ref="E3397:F3397"/>
    <mergeCell ref="E3398:F3398"/>
    <mergeCell ref="E3381:F3381"/>
    <mergeCell ref="H3383:I3383"/>
    <mergeCell ref="E3385:F3385"/>
    <mergeCell ref="E3386:F3386"/>
    <mergeCell ref="E3387:F3387"/>
    <mergeCell ref="H3389:I3389"/>
    <mergeCell ref="E3425:F3425"/>
    <mergeCell ref="E3426:F3426"/>
    <mergeCell ref="E3427:F3427"/>
    <mergeCell ref="H3429:I3429"/>
    <mergeCell ref="E3431:F3431"/>
    <mergeCell ref="E3432:F3432"/>
    <mergeCell ref="E3415:F3415"/>
    <mergeCell ref="H3417:I3417"/>
    <mergeCell ref="E3419:F3419"/>
    <mergeCell ref="E3420:F3420"/>
    <mergeCell ref="E3421:F3421"/>
    <mergeCell ref="H3423:I3423"/>
    <mergeCell ref="H3408:I3408"/>
    <mergeCell ref="E3410:F3410"/>
    <mergeCell ref="E3411:F3411"/>
    <mergeCell ref="E3412:F3412"/>
    <mergeCell ref="E3413:F3413"/>
    <mergeCell ref="E3414:F3414"/>
    <mergeCell ref="E3449:F3449"/>
    <mergeCell ref="E3450:F3450"/>
    <mergeCell ref="E3451:F3451"/>
    <mergeCell ref="E3452:F3452"/>
    <mergeCell ref="H3454:I3454"/>
    <mergeCell ref="E3456:F3456"/>
    <mergeCell ref="E3443:F3443"/>
    <mergeCell ref="E3444:F3444"/>
    <mergeCell ref="E3445:F3445"/>
    <mergeCell ref="E3446:F3446"/>
    <mergeCell ref="E3447:F3447"/>
    <mergeCell ref="E3448:F3448"/>
    <mergeCell ref="E3433:F3433"/>
    <mergeCell ref="H3435:I3435"/>
    <mergeCell ref="E3437:F3437"/>
    <mergeCell ref="E3438:F3438"/>
    <mergeCell ref="E3439:F3439"/>
    <mergeCell ref="H3441:I3441"/>
    <mergeCell ref="E3471:F3471"/>
    <mergeCell ref="E3472:F3472"/>
    <mergeCell ref="H3474:I3474"/>
    <mergeCell ref="E3476:F3476"/>
    <mergeCell ref="E3477:F3477"/>
    <mergeCell ref="E3478:F3478"/>
    <mergeCell ref="E3465:F3465"/>
    <mergeCell ref="E3466:F3466"/>
    <mergeCell ref="E3467:F3467"/>
    <mergeCell ref="E3468:F3468"/>
    <mergeCell ref="E3469:F3469"/>
    <mergeCell ref="E3470:F3470"/>
    <mergeCell ref="E3457:F3457"/>
    <mergeCell ref="E3458:F3458"/>
    <mergeCell ref="E3459:F3459"/>
    <mergeCell ref="E3460:F3460"/>
    <mergeCell ref="E3461:F3461"/>
    <mergeCell ref="H3463:I3463"/>
    <mergeCell ref="E3497:F3497"/>
    <mergeCell ref="E3498:F3498"/>
    <mergeCell ref="E3499:F3499"/>
    <mergeCell ref="E3500:F3500"/>
    <mergeCell ref="H3502:I3502"/>
    <mergeCell ref="E3504:F3504"/>
    <mergeCell ref="H3488:I3488"/>
    <mergeCell ref="E3490:F3490"/>
    <mergeCell ref="E3491:F3491"/>
    <mergeCell ref="E3492:F3492"/>
    <mergeCell ref="E3493:F3493"/>
    <mergeCell ref="H3495:I3495"/>
    <mergeCell ref="E3479:F3479"/>
    <mergeCell ref="H3481:I3481"/>
    <mergeCell ref="E3483:F3483"/>
    <mergeCell ref="E3484:F3484"/>
    <mergeCell ref="E3485:F3485"/>
    <mergeCell ref="E3486:F3486"/>
    <mergeCell ref="E3521:F3521"/>
    <mergeCell ref="E3522:F3522"/>
    <mergeCell ref="E3523:F3523"/>
    <mergeCell ref="E3524:F3524"/>
    <mergeCell ref="E3525:F3525"/>
    <mergeCell ref="E3526:F3526"/>
    <mergeCell ref="E3513:F3513"/>
    <mergeCell ref="E3514:F3514"/>
    <mergeCell ref="E3515:F3515"/>
    <mergeCell ref="H3517:I3517"/>
    <mergeCell ref="E3519:F3519"/>
    <mergeCell ref="E3520:F3520"/>
    <mergeCell ref="E3505:F3505"/>
    <mergeCell ref="E3506:F3506"/>
    <mergeCell ref="H3508:I3508"/>
    <mergeCell ref="E3510:F3510"/>
    <mergeCell ref="E3511:F3511"/>
    <mergeCell ref="E3512:F3512"/>
    <mergeCell ref="E3545:F3545"/>
    <mergeCell ref="E3546:F3546"/>
    <mergeCell ref="E3547:F3547"/>
    <mergeCell ref="H3549:I3549"/>
    <mergeCell ref="E3551:F3551"/>
    <mergeCell ref="E3552:F3552"/>
    <mergeCell ref="E3537:F3537"/>
    <mergeCell ref="E3538:F3538"/>
    <mergeCell ref="E3539:F3539"/>
    <mergeCell ref="E3540:F3540"/>
    <mergeCell ref="H3542:I3542"/>
    <mergeCell ref="E3544:F3544"/>
    <mergeCell ref="H3528:I3528"/>
    <mergeCell ref="E3530:F3530"/>
    <mergeCell ref="E3531:F3531"/>
    <mergeCell ref="E3532:F3532"/>
    <mergeCell ref="E3533:F3533"/>
    <mergeCell ref="H3535:I3535"/>
    <mergeCell ref="E3569:F3569"/>
    <mergeCell ref="H3571:I3571"/>
    <mergeCell ref="E3573:F3573"/>
    <mergeCell ref="E3574:F3574"/>
    <mergeCell ref="E3575:F3575"/>
    <mergeCell ref="E3576:F3576"/>
    <mergeCell ref="H3562:I3562"/>
    <mergeCell ref="E3564:F3564"/>
    <mergeCell ref="E3565:F3565"/>
    <mergeCell ref="E3566:F3566"/>
    <mergeCell ref="E3567:F3567"/>
    <mergeCell ref="E3568:F3568"/>
    <mergeCell ref="E3553:F3553"/>
    <mergeCell ref="E3554:F3554"/>
    <mergeCell ref="H3556:I3556"/>
    <mergeCell ref="E3558:F3558"/>
    <mergeCell ref="E3559:F3559"/>
    <mergeCell ref="E3560:F3560"/>
    <mergeCell ref="E3593:F3593"/>
    <mergeCell ref="E3594:F3594"/>
    <mergeCell ref="H3596:I3596"/>
    <mergeCell ref="E3598:F3598"/>
    <mergeCell ref="E3599:F3599"/>
    <mergeCell ref="E3600:F3600"/>
    <mergeCell ref="E3585:F3585"/>
    <mergeCell ref="E3586:F3586"/>
    <mergeCell ref="E3587:F3587"/>
    <mergeCell ref="H3589:I3589"/>
    <mergeCell ref="E3591:F3591"/>
    <mergeCell ref="E3592:F3592"/>
    <mergeCell ref="E3577:F3577"/>
    <mergeCell ref="E3578:F3578"/>
    <mergeCell ref="E3579:F3579"/>
    <mergeCell ref="E3580:F3580"/>
    <mergeCell ref="H3582:I3582"/>
    <mergeCell ref="E3584:F3584"/>
    <mergeCell ref="E3619:F3619"/>
    <mergeCell ref="E3620:F3620"/>
    <mergeCell ref="E3621:F3621"/>
    <mergeCell ref="E3622:F3622"/>
    <mergeCell ref="E3623:F3623"/>
    <mergeCell ref="E3624:F3624"/>
    <mergeCell ref="H3610:I3610"/>
    <mergeCell ref="E3612:F3612"/>
    <mergeCell ref="E3613:F3613"/>
    <mergeCell ref="E3614:F3614"/>
    <mergeCell ref="H3616:I3616"/>
    <mergeCell ref="E3618:F3618"/>
    <mergeCell ref="E3601:F3601"/>
    <mergeCell ref="H3603:I3603"/>
    <mergeCell ref="E3605:F3605"/>
    <mergeCell ref="E3606:F3606"/>
    <mergeCell ref="E3607:F3607"/>
    <mergeCell ref="E3608:F3608"/>
    <mergeCell ref="E3641:F3641"/>
    <mergeCell ref="E3642:F3642"/>
    <mergeCell ref="E3643:F3643"/>
    <mergeCell ref="E3644:F3644"/>
    <mergeCell ref="E3645:F3645"/>
    <mergeCell ref="H3647:I3647"/>
    <mergeCell ref="E3633:F3633"/>
    <mergeCell ref="E3634:F3634"/>
    <mergeCell ref="E3635:F3635"/>
    <mergeCell ref="H3637:I3637"/>
    <mergeCell ref="E3639:F3639"/>
    <mergeCell ref="E3640:F3640"/>
    <mergeCell ref="E3625:F3625"/>
    <mergeCell ref="E3626:F3626"/>
    <mergeCell ref="E3627:F3627"/>
    <mergeCell ref="H3629:I3629"/>
    <mergeCell ref="E3631:F3631"/>
    <mergeCell ref="E3632:F3632"/>
    <mergeCell ref="E3667:F3667"/>
    <mergeCell ref="E3668:F3668"/>
    <mergeCell ref="E3669:F3669"/>
    <mergeCell ref="H3671:I3671"/>
    <mergeCell ref="E3673:F3673"/>
    <mergeCell ref="E3674:F3674"/>
    <mergeCell ref="E3657:F3657"/>
    <mergeCell ref="H3659:I3659"/>
    <mergeCell ref="E3661:F3661"/>
    <mergeCell ref="E3662:F3662"/>
    <mergeCell ref="E3663:F3663"/>
    <mergeCell ref="H3665:I3665"/>
    <mergeCell ref="E3649:F3649"/>
    <mergeCell ref="E3650:F3650"/>
    <mergeCell ref="E3651:F3651"/>
    <mergeCell ref="H3653:I3653"/>
    <mergeCell ref="E3655:F3655"/>
    <mergeCell ref="E3656:F3656"/>
    <mergeCell ref="E3689:F3689"/>
    <mergeCell ref="E3690:F3690"/>
    <mergeCell ref="E3691:F3691"/>
    <mergeCell ref="E3692:F3692"/>
    <mergeCell ref="E3693:F3693"/>
    <mergeCell ref="H3695:I3695"/>
    <mergeCell ref="E3681:F3681"/>
    <mergeCell ref="H3683:I3683"/>
    <mergeCell ref="E3685:F3685"/>
    <mergeCell ref="E3686:F3686"/>
    <mergeCell ref="E3687:F3687"/>
    <mergeCell ref="E3688:F3688"/>
    <mergeCell ref="E3675:F3675"/>
    <mergeCell ref="E3676:F3676"/>
    <mergeCell ref="E3677:F3677"/>
    <mergeCell ref="E3678:F3678"/>
    <mergeCell ref="E3679:F3679"/>
    <mergeCell ref="E3680:F3680"/>
    <mergeCell ref="E3711:F3711"/>
    <mergeCell ref="E3712:F3712"/>
    <mergeCell ref="E3713:F3713"/>
    <mergeCell ref="E3714:F3714"/>
    <mergeCell ref="H3716:I3716"/>
    <mergeCell ref="E3718:F3718"/>
    <mergeCell ref="H3704:I3704"/>
    <mergeCell ref="E3706:F3706"/>
    <mergeCell ref="E3707:F3707"/>
    <mergeCell ref="E3708:F3708"/>
    <mergeCell ref="E3709:F3709"/>
    <mergeCell ref="E3710:F3710"/>
    <mergeCell ref="E3697:F3697"/>
    <mergeCell ref="E3698:F3698"/>
    <mergeCell ref="E3699:F3699"/>
    <mergeCell ref="E3700:F3700"/>
    <mergeCell ref="E3701:F3701"/>
    <mergeCell ref="E3702:F3702"/>
    <mergeCell ref="E3735:F3735"/>
    <mergeCell ref="E3736:F3736"/>
    <mergeCell ref="E3737:F3737"/>
    <mergeCell ref="H3739:I3739"/>
    <mergeCell ref="E3741:F3741"/>
    <mergeCell ref="E3742:F3742"/>
    <mergeCell ref="E3727:F3727"/>
    <mergeCell ref="E3728:F3728"/>
    <mergeCell ref="E3729:F3729"/>
    <mergeCell ref="E3730:F3730"/>
    <mergeCell ref="H3732:I3732"/>
    <mergeCell ref="E3734:F3734"/>
    <mergeCell ref="E3719:F3719"/>
    <mergeCell ref="E3720:F3720"/>
    <mergeCell ref="E3721:F3721"/>
    <mergeCell ref="H3723:I3723"/>
    <mergeCell ref="E3725:F3725"/>
    <mergeCell ref="E3726:F3726"/>
    <mergeCell ref="E3761:F3761"/>
    <mergeCell ref="E3762:F3762"/>
    <mergeCell ref="E3763:F3763"/>
    <mergeCell ref="E3764:F3764"/>
    <mergeCell ref="H3766:I3766"/>
    <mergeCell ref="E3768:F3768"/>
    <mergeCell ref="H3752:I3752"/>
    <mergeCell ref="E3754:F3754"/>
    <mergeCell ref="E3755:F3755"/>
    <mergeCell ref="E3756:F3756"/>
    <mergeCell ref="H3758:I3758"/>
    <mergeCell ref="E3760:F3760"/>
    <mergeCell ref="E3743:F3743"/>
    <mergeCell ref="H3745:I3745"/>
    <mergeCell ref="E3747:F3747"/>
    <mergeCell ref="E3748:F3748"/>
    <mergeCell ref="E3749:F3749"/>
    <mergeCell ref="E3750:F3750"/>
    <mergeCell ref="E3785:F3785"/>
    <mergeCell ref="E3786:F3786"/>
    <mergeCell ref="E3787:F3787"/>
    <mergeCell ref="E3788:F3788"/>
    <mergeCell ref="H3790:I3790"/>
    <mergeCell ref="E3792:F3792"/>
    <mergeCell ref="E3777:F3777"/>
    <mergeCell ref="E3778:F3778"/>
    <mergeCell ref="E3779:F3779"/>
    <mergeCell ref="E3780:F3780"/>
    <mergeCell ref="H3782:I3782"/>
    <mergeCell ref="E3784:F3784"/>
    <mergeCell ref="E3769:F3769"/>
    <mergeCell ref="E3770:F3770"/>
    <mergeCell ref="E3771:F3771"/>
    <mergeCell ref="E3772:F3772"/>
    <mergeCell ref="H3774:I3774"/>
    <mergeCell ref="E3776:F3776"/>
    <mergeCell ref="E3809:F3809"/>
    <mergeCell ref="E3810:F3810"/>
    <mergeCell ref="E3811:F3811"/>
    <mergeCell ref="E3812:F3812"/>
    <mergeCell ref="H3814:I3814"/>
    <mergeCell ref="E3816:F3816"/>
    <mergeCell ref="E3801:F3801"/>
    <mergeCell ref="E3802:F3802"/>
    <mergeCell ref="E3803:F3803"/>
    <mergeCell ref="E3804:F3804"/>
    <mergeCell ref="H3806:I3806"/>
    <mergeCell ref="E3808:F3808"/>
    <mergeCell ref="E3793:F3793"/>
    <mergeCell ref="E3794:F3794"/>
    <mergeCell ref="E3795:F3795"/>
    <mergeCell ref="E3796:F3796"/>
    <mergeCell ref="H3798:I3798"/>
    <mergeCell ref="E3800:F3800"/>
    <mergeCell ref="H3832:I3832"/>
    <mergeCell ref="E3834:F3834"/>
    <mergeCell ref="E3835:F3835"/>
    <mergeCell ref="E3836:F3836"/>
    <mergeCell ref="H3838:I3838"/>
    <mergeCell ref="E3840:F3840"/>
    <mergeCell ref="E3825:F3825"/>
    <mergeCell ref="E3826:F3826"/>
    <mergeCell ref="E3827:F3827"/>
    <mergeCell ref="E3828:F3828"/>
    <mergeCell ref="E3829:F3829"/>
    <mergeCell ref="E3830:F3830"/>
    <mergeCell ref="E3817:F3817"/>
    <mergeCell ref="E3818:F3818"/>
    <mergeCell ref="E3819:F3819"/>
    <mergeCell ref="E3820:F3820"/>
    <mergeCell ref="E3821:F3821"/>
    <mergeCell ref="H3823:I3823"/>
    <mergeCell ref="E3859:F3859"/>
    <mergeCell ref="E3860:F3860"/>
    <mergeCell ref="H3862:I3862"/>
    <mergeCell ref="E3864:F3864"/>
    <mergeCell ref="E3865:F3865"/>
    <mergeCell ref="E3866:F3866"/>
    <mergeCell ref="H3850:I3850"/>
    <mergeCell ref="E3852:F3852"/>
    <mergeCell ref="E3853:F3853"/>
    <mergeCell ref="E3854:F3854"/>
    <mergeCell ref="H3856:I3856"/>
    <mergeCell ref="E3858:F3858"/>
    <mergeCell ref="E3841:F3841"/>
    <mergeCell ref="E3842:F3842"/>
    <mergeCell ref="H3844:I3844"/>
    <mergeCell ref="E3846:F3846"/>
    <mergeCell ref="E3847:F3847"/>
    <mergeCell ref="E3848:F3848"/>
    <mergeCell ref="H3886:I3886"/>
    <mergeCell ref="E3888:F3888"/>
    <mergeCell ref="E3889:F3889"/>
    <mergeCell ref="E3890:F3890"/>
    <mergeCell ref="H3892:I3892"/>
    <mergeCell ref="E3894:F3894"/>
    <mergeCell ref="E3877:F3877"/>
    <mergeCell ref="E3878:F3878"/>
    <mergeCell ref="H3880:I3880"/>
    <mergeCell ref="E3882:F3882"/>
    <mergeCell ref="E3883:F3883"/>
    <mergeCell ref="E3884:F3884"/>
    <mergeCell ref="H3868:I3868"/>
    <mergeCell ref="E3870:F3870"/>
    <mergeCell ref="E3871:F3871"/>
    <mergeCell ref="E3872:F3872"/>
    <mergeCell ref="H3874:I3874"/>
    <mergeCell ref="E3876:F3876"/>
    <mergeCell ref="E3913:F3913"/>
    <mergeCell ref="E3914:F3914"/>
    <mergeCell ref="H3916:I3916"/>
    <mergeCell ref="E3918:F3918"/>
    <mergeCell ref="E3919:F3919"/>
    <mergeCell ref="E3920:F3920"/>
    <mergeCell ref="H3904:I3904"/>
    <mergeCell ref="E3906:F3906"/>
    <mergeCell ref="E3907:F3907"/>
    <mergeCell ref="E3908:F3908"/>
    <mergeCell ref="H3910:I3910"/>
    <mergeCell ref="E3912:F3912"/>
    <mergeCell ref="E3895:F3895"/>
    <mergeCell ref="E3896:F3896"/>
    <mergeCell ref="H3898:I3898"/>
    <mergeCell ref="E3900:F3900"/>
    <mergeCell ref="E3901:F3901"/>
    <mergeCell ref="E3902:F3902"/>
    <mergeCell ref="H3940:I3940"/>
    <mergeCell ref="E3942:F3942"/>
    <mergeCell ref="E3943:F3943"/>
    <mergeCell ref="E3944:F3944"/>
    <mergeCell ref="H3946:I3946"/>
    <mergeCell ref="E3948:F3948"/>
    <mergeCell ref="E3931:F3931"/>
    <mergeCell ref="E3932:F3932"/>
    <mergeCell ref="H3934:I3934"/>
    <mergeCell ref="E3936:F3936"/>
    <mergeCell ref="E3937:F3937"/>
    <mergeCell ref="E3938:F3938"/>
    <mergeCell ref="H3922:I3922"/>
    <mergeCell ref="E3924:F3924"/>
    <mergeCell ref="E3925:F3925"/>
    <mergeCell ref="E3926:F3926"/>
    <mergeCell ref="H3928:I3928"/>
    <mergeCell ref="E3930:F3930"/>
    <mergeCell ref="E3967:F3967"/>
    <mergeCell ref="E3968:F3968"/>
    <mergeCell ref="H3970:I3970"/>
    <mergeCell ref="E3972:F3972"/>
    <mergeCell ref="E3973:F3973"/>
    <mergeCell ref="E3974:F3974"/>
    <mergeCell ref="H3958:I3958"/>
    <mergeCell ref="E3960:F3960"/>
    <mergeCell ref="E3961:F3961"/>
    <mergeCell ref="E3962:F3962"/>
    <mergeCell ref="H3964:I3964"/>
    <mergeCell ref="E3966:F3966"/>
    <mergeCell ref="E3949:F3949"/>
    <mergeCell ref="E3950:F3950"/>
    <mergeCell ref="H3952:I3952"/>
    <mergeCell ref="E3954:F3954"/>
    <mergeCell ref="E3955:F3955"/>
    <mergeCell ref="E3956:F3956"/>
    <mergeCell ref="H3994:I3994"/>
    <mergeCell ref="E3996:F3996"/>
    <mergeCell ref="E3997:F3997"/>
    <mergeCell ref="E3998:F3998"/>
    <mergeCell ref="H4000:I4000"/>
    <mergeCell ref="E4002:F4002"/>
    <mergeCell ref="E3985:F3985"/>
    <mergeCell ref="E3986:F3986"/>
    <mergeCell ref="H3988:I3988"/>
    <mergeCell ref="E3990:F3990"/>
    <mergeCell ref="E3991:F3991"/>
    <mergeCell ref="E3992:F3992"/>
    <mergeCell ref="H3976:I3976"/>
    <mergeCell ref="E3978:F3978"/>
    <mergeCell ref="E3979:F3979"/>
    <mergeCell ref="E3980:F3980"/>
    <mergeCell ref="H3982:I3982"/>
    <mergeCell ref="E3984:F3984"/>
    <mergeCell ref="E4021:F4021"/>
    <mergeCell ref="E4022:F4022"/>
    <mergeCell ref="H4024:I4024"/>
    <mergeCell ref="E4026:F4026"/>
    <mergeCell ref="E4027:F4027"/>
    <mergeCell ref="E4028:F4028"/>
    <mergeCell ref="H4012:I4012"/>
    <mergeCell ref="E4014:F4014"/>
    <mergeCell ref="E4015:F4015"/>
    <mergeCell ref="E4016:F4016"/>
    <mergeCell ref="H4018:I4018"/>
    <mergeCell ref="E4020:F4020"/>
    <mergeCell ref="E4003:F4003"/>
    <mergeCell ref="E4004:F4004"/>
    <mergeCell ref="H4006:I4006"/>
    <mergeCell ref="E4008:F4008"/>
    <mergeCell ref="E4009:F4009"/>
    <mergeCell ref="E4010:F4010"/>
    <mergeCell ref="H4048:I4048"/>
    <mergeCell ref="E4050:F4050"/>
    <mergeCell ref="E4051:F4051"/>
    <mergeCell ref="E4052:F4052"/>
    <mergeCell ref="H4054:I4054"/>
    <mergeCell ref="E4056:F4056"/>
    <mergeCell ref="E4039:F4039"/>
    <mergeCell ref="E4040:F4040"/>
    <mergeCell ref="H4042:I4042"/>
    <mergeCell ref="E4044:F4044"/>
    <mergeCell ref="E4045:F4045"/>
    <mergeCell ref="E4046:F4046"/>
    <mergeCell ref="H4030:I4030"/>
    <mergeCell ref="E4032:F4032"/>
    <mergeCell ref="E4033:F4033"/>
    <mergeCell ref="E4034:F4034"/>
    <mergeCell ref="H4036:I4036"/>
    <mergeCell ref="E4038:F4038"/>
    <mergeCell ref="E4075:F4075"/>
    <mergeCell ref="E4076:F4076"/>
    <mergeCell ref="E4077:F4077"/>
    <mergeCell ref="E4078:F4078"/>
    <mergeCell ref="H4080:I4080"/>
    <mergeCell ref="E4082:F4082"/>
    <mergeCell ref="H4066:I4066"/>
    <mergeCell ref="E4068:F4068"/>
    <mergeCell ref="E4069:F4069"/>
    <mergeCell ref="E4070:F4070"/>
    <mergeCell ref="H4072:I4072"/>
    <mergeCell ref="E4074:F4074"/>
    <mergeCell ref="E4057:F4057"/>
    <mergeCell ref="E4058:F4058"/>
    <mergeCell ref="H4060:I4060"/>
    <mergeCell ref="E4062:F4062"/>
    <mergeCell ref="E4063:F4063"/>
    <mergeCell ref="E4064:F4064"/>
    <mergeCell ref="E4099:F4099"/>
    <mergeCell ref="E4100:F4100"/>
    <mergeCell ref="H4102:I4102"/>
    <mergeCell ref="E4104:F4104"/>
    <mergeCell ref="E4105:F4105"/>
    <mergeCell ref="E4106:F4106"/>
    <mergeCell ref="H4090:I4090"/>
    <mergeCell ref="E4092:F4092"/>
    <mergeCell ref="E4093:F4093"/>
    <mergeCell ref="E4094:F4094"/>
    <mergeCell ref="H4096:I4096"/>
    <mergeCell ref="E4098:F4098"/>
    <mergeCell ref="E4083:F4083"/>
    <mergeCell ref="E4084:F4084"/>
    <mergeCell ref="E4085:F4085"/>
    <mergeCell ref="E4086:F4086"/>
    <mergeCell ref="E4087:F4087"/>
    <mergeCell ref="E4088:F4088"/>
    <mergeCell ref="E4123:F4123"/>
    <mergeCell ref="E4124:F4124"/>
    <mergeCell ref="E4125:F4125"/>
    <mergeCell ref="H4127:I4127"/>
    <mergeCell ref="E4129:F4129"/>
    <mergeCell ref="E4130:F4130"/>
    <mergeCell ref="E4117:F4117"/>
    <mergeCell ref="E4118:F4118"/>
    <mergeCell ref="E4119:F4119"/>
    <mergeCell ref="E4120:F4120"/>
    <mergeCell ref="E4121:F4121"/>
    <mergeCell ref="E4122:F4122"/>
    <mergeCell ref="H4108:I4108"/>
    <mergeCell ref="E4110:F4110"/>
    <mergeCell ref="E4111:F4111"/>
    <mergeCell ref="E4112:F4112"/>
    <mergeCell ref="H4114:I4114"/>
    <mergeCell ref="E4116:F4116"/>
    <mergeCell ref="E4145:F4145"/>
    <mergeCell ref="E4146:F4146"/>
    <mergeCell ref="E4147:F4147"/>
    <mergeCell ref="E4148:F4148"/>
    <mergeCell ref="E4149:F4149"/>
    <mergeCell ref="H4151:I4151"/>
    <mergeCell ref="E4137:F4137"/>
    <mergeCell ref="H4139:I4139"/>
    <mergeCell ref="E4141:F4141"/>
    <mergeCell ref="E4142:F4142"/>
    <mergeCell ref="E4143:F4143"/>
    <mergeCell ref="E4144:F4144"/>
    <mergeCell ref="E4131:F4131"/>
    <mergeCell ref="E4132:F4132"/>
    <mergeCell ref="E4133:F4133"/>
    <mergeCell ref="E4134:F4134"/>
    <mergeCell ref="E4135:F4135"/>
    <mergeCell ref="E4136:F4136"/>
    <mergeCell ref="E4169:F4169"/>
    <mergeCell ref="E4170:F4170"/>
    <mergeCell ref="E4171:F4171"/>
    <mergeCell ref="E4172:F4172"/>
    <mergeCell ref="E4173:F4173"/>
    <mergeCell ref="E4174:F4174"/>
    <mergeCell ref="E4161:F4161"/>
    <mergeCell ref="E4162:F4162"/>
    <mergeCell ref="E4163:F4163"/>
    <mergeCell ref="E4164:F4164"/>
    <mergeCell ref="E4165:F4165"/>
    <mergeCell ref="H4167:I4167"/>
    <mergeCell ref="E4153:F4153"/>
    <mergeCell ref="E4154:F4154"/>
    <mergeCell ref="E4155:F4155"/>
    <mergeCell ref="E4156:F4156"/>
    <mergeCell ref="E4157:F4157"/>
    <mergeCell ref="H4159:I4159"/>
    <mergeCell ref="E4189:F4189"/>
    <mergeCell ref="E4190:F4190"/>
    <mergeCell ref="E4191:F4191"/>
    <mergeCell ref="H4193:I4193"/>
    <mergeCell ref="E4195:F4195"/>
    <mergeCell ref="E4196:F4196"/>
    <mergeCell ref="E4183:F4183"/>
    <mergeCell ref="E4184:F4184"/>
    <mergeCell ref="E4185:F4185"/>
    <mergeCell ref="E4186:F4186"/>
    <mergeCell ref="E4187:F4187"/>
    <mergeCell ref="E4188:F4188"/>
    <mergeCell ref="E4175:F4175"/>
    <mergeCell ref="E4176:F4176"/>
    <mergeCell ref="E4177:F4177"/>
    <mergeCell ref="E4178:F4178"/>
    <mergeCell ref="H4180:I4180"/>
    <mergeCell ref="E4182:F4182"/>
    <mergeCell ref="E4213:F4213"/>
    <mergeCell ref="E4214:F4214"/>
    <mergeCell ref="E4215:F4215"/>
    <mergeCell ref="H4217:I4217"/>
    <mergeCell ref="E4219:F4219"/>
    <mergeCell ref="E4220:F4220"/>
    <mergeCell ref="E4205:F4205"/>
    <mergeCell ref="E4206:F4206"/>
    <mergeCell ref="E4207:F4207"/>
    <mergeCell ref="E4208:F4208"/>
    <mergeCell ref="E4209:F4209"/>
    <mergeCell ref="H4211:I4211"/>
    <mergeCell ref="E4197:F4197"/>
    <mergeCell ref="E4198:F4198"/>
    <mergeCell ref="E4199:F4199"/>
    <mergeCell ref="H4201:I4201"/>
    <mergeCell ref="E4203:F4203"/>
    <mergeCell ref="E4204:F4204"/>
    <mergeCell ref="E4239:F4239"/>
    <mergeCell ref="E4240:F4240"/>
    <mergeCell ref="E4241:F4241"/>
    <mergeCell ref="E4242:F4242"/>
    <mergeCell ref="H4244:I4244"/>
    <mergeCell ref="E4246:F4246"/>
    <mergeCell ref="E4231:F4231"/>
    <mergeCell ref="E4232:F4232"/>
    <mergeCell ref="E4233:F4233"/>
    <mergeCell ref="H4235:I4235"/>
    <mergeCell ref="E4237:F4237"/>
    <mergeCell ref="E4238:F4238"/>
    <mergeCell ref="E4221:F4221"/>
    <mergeCell ref="H4223:I4223"/>
    <mergeCell ref="E4225:F4225"/>
    <mergeCell ref="E4226:F4226"/>
    <mergeCell ref="E4227:F4227"/>
    <mergeCell ref="H4229:I4229"/>
    <mergeCell ref="E4265:F4265"/>
    <mergeCell ref="E4266:F4266"/>
    <mergeCell ref="H4268:I4268"/>
    <mergeCell ref="E4270:F4270"/>
    <mergeCell ref="E4271:F4271"/>
    <mergeCell ref="E4272:F4272"/>
    <mergeCell ref="H4256:I4256"/>
    <mergeCell ref="E4258:F4258"/>
    <mergeCell ref="E4259:F4259"/>
    <mergeCell ref="E4260:F4260"/>
    <mergeCell ref="H4262:I4262"/>
    <mergeCell ref="E4264:F4264"/>
    <mergeCell ref="E4247:F4247"/>
    <mergeCell ref="E4248:F4248"/>
    <mergeCell ref="H4250:I4250"/>
    <mergeCell ref="E4252:F4252"/>
    <mergeCell ref="E4253:F4253"/>
    <mergeCell ref="E4254:F4254"/>
    <mergeCell ref="E4289:F4289"/>
    <mergeCell ref="E4290:F4290"/>
    <mergeCell ref="E4291:F4291"/>
    <mergeCell ref="E4292:F4292"/>
    <mergeCell ref="H4294:I4294"/>
    <mergeCell ref="E4296:F4296"/>
    <mergeCell ref="E4281:F4281"/>
    <mergeCell ref="H4283:I4283"/>
    <mergeCell ref="E4285:F4285"/>
    <mergeCell ref="E4286:F4286"/>
    <mergeCell ref="E4287:F4287"/>
    <mergeCell ref="E4288:F4288"/>
    <mergeCell ref="H4274:I4274"/>
    <mergeCell ref="E4276:F4276"/>
    <mergeCell ref="E4277:F4277"/>
    <mergeCell ref="E4278:F4278"/>
    <mergeCell ref="E4279:F4279"/>
    <mergeCell ref="E4280:F4280"/>
    <mergeCell ref="E4315:F4315"/>
    <mergeCell ref="E4316:F4316"/>
    <mergeCell ref="H4318:I4318"/>
    <mergeCell ref="E4320:F4320"/>
    <mergeCell ref="E4321:F4321"/>
    <mergeCell ref="E4322:F4322"/>
    <mergeCell ref="H4306:I4306"/>
    <mergeCell ref="E4308:F4308"/>
    <mergeCell ref="E4309:F4309"/>
    <mergeCell ref="E4310:F4310"/>
    <mergeCell ref="H4312:I4312"/>
    <mergeCell ref="E4314:F4314"/>
    <mergeCell ref="E4297:F4297"/>
    <mergeCell ref="E4298:F4298"/>
    <mergeCell ref="H4300:I4300"/>
    <mergeCell ref="E4302:F4302"/>
    <mergeCell ref="E4303:F4303"/>
    <mergeCell ref="E4304:F4304"/>
    <mergeCell ref="E4339:F4339"/>
    <mergeCell ref="E4340:F4340"/>
    <mergeCell ref="E4341:F4341"/>
    <mergeCell ref="E4342:F4342"/>
    <mergeCell ref="H4344:I4344"/>
    <mergeCell ref="E4346:F4346"/>
    <mergeCell ref="E4331:F4331"/>
    <mergeCell ref="H4333:I4333"/>
    <mergeCell ref="E4335:F4335"/>
    <mergeCell ref="E4336:F4336"/>
    <mergeCell ref="E4337:F4337"/>
    <mergeCell ref="E4338:F4338"/>
    <mergeCell ref="H4324:I4324"/>
    <mergeCell ref="E4326:F4326"/>
    <mergeCell ref="E4327:F4327"/>
    <mergeCell ref="E4328:F4328"/>
    <mergeCell ref="E4329:F4329"/>
    <mergeCell ref="E4330:F4330"/>
    <mergeCell ref="E4363:F4363"/>
    <mergeCell ref="H4365:I4365"/>
    <mergeCell ref="E4367:F4367"/>
    <mergeCell ref="E4368:F4368"/>
    <mergeCell ref="E4369:F4369"/>
    <mergeCell ref="E4370:F4370"/>
    <mergeCell ref="E4355:F4355"/>
    <mergeCell ref="E4356:F4356"/>
    <mergeCell ref="H4358:I4358"/>
    <mergeCell ref="E4360:F4360"/>
    <mergeCell ref="E4361:F4361"/>
    <mergeCell ref="E4362:F4362"/>
    <mergeCell ref="E4347:F4347"/>
    <mergeCell ref="E4348:F4348"/>
    <mergeCell ref="E4349:F4349"/>
    <mergeCell ref="H4351:I4351"/>
    <mergeCell ref="E4353:F4353"/>
    <mergeCell ref="E4354:F4354"/>
    <mergeCell ref="E4387:F4387"/>
    <mergeCell ref="E4388:F4388"/>
    <mergeCell ref="E4389:F4389"/>
    <mergeCell ref="H4391:I4391"/>
    <mergeCell ref="E4393:F4393"/>
    <mergeCell ref="E4394:F4394"/>
    <mergeCell ref="E4381:F4381"/>
    <mergeCell ref="E4382:F4382"/>
    <mergeCell ref="E4383:F4383"/>
    <mergeCell ref="E4384:F4384"/>
    <mergeCell ref="E4385:F4385"/>
    <mergeCell ref="E4386:F4386"/>
    <mergeCell ref="H4372:I4372"/>
    <mergeCell ref="E4374:F4374"/>
    <mergeCell ref="E4375:F4375"/>
    <mergeCell ref="E4376:F4376"/>
    <mergeCell ref="H4378:I4378"/>
    <mergeCell ref="E4380:F4380"/>
    <mergeCell ref="E4409:F4409"/>
    <mergeCell ref="H4411:I4411"/>
    <mergeCell ref="E4413:F4413"/>
    <mergeCell ref="E4414:F4414"/>
    <mergeCell ref="E4415:F4415"/>
    <mergeCell ref="E4416:F4416"/>
    <mergeCell ref="E4403:F4403"/>
    <mergeCell ref="E4404:F4404"/>
    <mergeCell ref="E4405:F4405"/>
    <mergeCell ref="E4406:F4406"/>
    <mergeCell ref="E4407:F4407"/>
    <mergeCell ref="E4408:F4408"/>
    <mergeCell ref="E4395:F4395"/>
    <mergeCell ref="E4396:F4396"/>
    <mergeCell ref="E4397:F4397"/>
    <mergeCell ref="E4398:F4398"/>
    <mergeCell ref="E4399:F4399"/>
    <mergeCell ref="H4401:I4401"/>
    <mergeCell ref="E4433:F4433"/>
    <mergeCell ref="E4434:F4434"/>
    <mergeCell ref="E4435:F4435"/>
    <mergeCell ref="E4436:F4436"/>
    <mergeCell ref="H4438:I4438"/>
    <mergeCell ref="E4440:F4440"/>
    <mergeCell ref="E4425:F4425"/>
    <mergeCell ref="E4426:F4426"/>
    <mergeCell ref="E4427:F4427"/>
    <mergeCell ref="E4428:F4428"/>
    <mergeCell ref="H4430:I4430"/>
    <mergeCell ref="E4432:F4432"/>
    <mergeCell ref="E4417:F4417"/>
    <mergeCell ref="E4418:F4418"/>
    <mergeCell ref="E4419:F4419"/>
    <mergeCell ref="H4421:I4421"/>
    <mergeCell ref="E4423:F4423"/>
    <mergeCell ref="E4424:F4424"/>
    <mergeCell ref="E4455:F4455"/>
    <mergeCell ref="E4456:F4456"/>
    <mergeCell ref="E4457:F4457"/>
    <mergeCell ref="E4458:F4458"/>
    <mergeCell ref="H4460:I4460"/>
    <mergeCell ref="E4462:F4462"/>
    <mergeCell ref="E4447:F4447"/>
    <mergeCell ref="E4448:F4448"/>
    <mergeCell ref="E4449:F4449"/>
    <mergeCell ref="H4451:I4451"/>
    <mergeCell ref="E4453:F4453"/>
    <mergeCell ref="E4454:F4454"/>
    <mergeCell ref="E4441:F4441"/>
    <mergeCell ref="E4442:F4442"/>
    <mergeCell ref="E4443:F4443"/>
    <mergeCell ref="E4444:F4444"/>
    <mergeCell ref="E4445:F4445"/>
    <mergeCell ref="E4446:F4446"/>
    <mergeCell ref="E4481:F4481"/>
    <mergeCell ref="E4482:F4482"/>
    <mergeCell ref="H4484:I4484"/>
    <mergeCell ref="E4486:F4486"/>
    <mergeCell ref="E4487:F4487"/>
    <mergeCell ref="E4488:F4488"/>
    <mergeCell ref="H4472:I4472"/>
    <mergeCell ref="E4474:F4474"/>
    <mergeCell ref="E4475:F4475"/>
    <mergeCell ref="E4476:F4476"/>
    <mergeCell ref="H4478:I4478"/>
    <mergeCell ref="E4480:F4480"/>
    <mergeCell ref="E4463:F4463"/>
    <mergeCell ref="E4464:F4464"/>
    <mergeCell ref="H4466:I4466"/>
    <mergeCell ref="E4468:F4468"/>
    <mergeCell ref="E4469:F4469"/>
    <mergeCell ref="E4470:F4470"/>
    <mergeCell ref="H4506:I4506"/>
    <mergeCell ref="E4508:F4508"/>
    <mergeCell ref="E4509:F4509"/>
    <mergeCell ref="E4510:F4510"/>
    <mergeCell ref="H4512:I4512"/>
    <mergeCell ref="E4514:F4514"/>
    <mergeCell ref="E4497:F4497"/>
    <mergeCell ref="E4498:F4498"/>
    <mergeCell ref="H4500:I4500"/>
    <mergeCell ref="E4502:F4502"/>
    <mergeCell ref="E4503:F4503"/>
    <mergeCell ref="E4504:F4504"/>
    <mergeCell ref="E4489:F4489"/>
    <mergeCell ref="E4490:F4490"/>
    <mergeCell ref="E4491:F4491"/>
    <mergeCell ref="E4492:F4492"/>
    <mergeCell ref="H4494:I4494"/>
    <mergeCell ref="E4496:F4496"/>
    <mergeCell ref="H4530:I4530"/>
    <mergeCell ref="E4532:F4532"/>
    <mergeCell ref="E4533:F4533"/>
    <mergeCell ref="E4534:F4534"/>
    <mergeCell ref="H4536:I4536"/>
    <mergeCell ref="E4538:F4538"/>
    <mergeCell ref="E4523:F4523"/>
    <mergeCell ref="E4524:F4524"/>
    <mergeCell ref="E4525:F4525"/>
    <mergeCell ref="E4526:F4526"/>
    <mergeCell ref="E4527:F4527"/>
    <mergeCell ref="E4528:F4528"/>
    <mergeCell ref="E4515:F4515"/>
    <mergeCell ref="E4516:F4516"/>
    <mergeCell ref="E4517:F4517"/>
    <mergeCell ref="E4518:F4518"/>
    <mergeCell ref="H4520:I4520"/>
    <mergeCell ref="E4522:F4522"/>
    <mergeCell ref="E4557:F4557"/>
    <mergeCell ref="E4558:F4558"/>
    <mergeCell ref="E4559:F4559"/>
    <mergeCell ref="E4560:F4560"/>
    <mergeCell ref="E4561:F4561"/>
    <mergeCell ref="E4562:F4562"/>
    <mergeCell ref="H4548:I4548"/>
    <mergeCell ref="E4550:F4550"/>
    <mergeCell ref="E4551:F4551"/>
    <mergeCell ref="E4552:F4552"/>
    <mergeCell ref="H4554:I4554"/>
    <mergeCell ref="E4556:F4556"/>
    <mergeCell ref="E4539:F4539"/>
    <mergeCell ref="E4540:F4540"/>
    <mergeCell ref="H4542:I4542"/>
    <mergeCell ref="E4544:F4544"/>
    <mergeCell ref="E4545:F4545"/>
    <mergeCell ref="E4546:F4546"/>
    <mergeCell ref="E4577:F4577"/>
    <mergeCell ref="E4578:F4578"/>
    <mergeCell ref="H4580:I4580"/>
    <mergeCell ref="E4582:F4582"/>
    <mergeCell ref="E4583:F4583"/>
    <mergeCell ref="E4584:F4584"/>
    <mergeCell ref="E4571:F4571"/>
    <mergeCell ref="E4572:F4572"/>
    <mergeCell ref="E4573:F4573"/>
    <mergeCell ref="E4574:F4574"/>
    <mergeCell ref="E4575:F4575"/>
    <mergeCell ref="E4576:F4576"/>
    <mergeCell ref="E4563:F4563"/>
    <mergeCell ref="E4564:F4564"/>
    <mergeCell ref="E4565:F4565"/>
    <mergeCell ref="H4567:I4567"/>
    <mergeCell ref="E4569:F4569"/>
    <mergeCell ref="E4570:F4570"/>
    <mergeCell ref="E4599:F4599"/>
    <mergeCell ref="E4600:F4600"/>
    <mergeCell ref="E4601:F4601"/>
    <mergeCell ref="E4602:F4602"/>
    <mergeCell ref="E4603:F4603"/>
    <mergeCell ref="E4604:F4604"/>
    <mergeCell ref="E4591:F4591"/>
    <mergeCell ref="H4593:I4593"/>
    <mergeCell ref="E4595:F4595"/>
    <mergeCell ref="E4596:F4596"/>
    <mergeCell ref="E4597:F4597"/>
    <mergeCell ref="E4598:F4598"/>
    <mergeCell ref="E4585:F4585"/>
    <mergeCell ref="E4586:F4586"/>
    <mergeCell ref="E4587:F4587"/>
    <mergeCell ref="E4588:F4588"/>
    <mergeCell ref="E4589:F4589"/>
    <mergeCell ref="E4590:F4590"/>
    <mergeCell ref="E4621:F4621"/>
    <mergeCell ref="E4622:F4622"/>
    <mergeCell ref="E4623:F4623"/>
    <mergeCell ref="E4624:F4624"/>
    <mergeCell ref="E4625:F4625"/>
    <mergeCell ref="E4626:F4626"/>
    <mergeCell ref="E4613:F4613"/>
    <mergeCell ref="E4614:F4614"/>
    <mergeCell ref="E4615:F4615"/>
    <mergeCell ref="E4616:F4616"/>
    <mergeCell ref="E4617:F4617"/>
    <mergeCell ref="H4619:I4619"/>
    <mergeCell ref="H4606:I4606"/>
    <mergeCell ref="E4608:F4608"/>
    <mergeCell ref="E4609:F4609"/>
    <mergeCell ref="E4610:F4610"/>
    <mergeCell ref="E4611:F4611"/>
    <mergeCell ref="E4612:F4612"/>
    <mergeCell ref="E4641:F4641"/>
    <mergeCell ref="E4642:F4642"/>
    <mergeCell ref="E4643:F4643"/>
    <mergeCell ref="H4645:I4645"/>
    <mergeCell ref="E4647:F4647"/>
    <mergeCell ref="E4648:F4648"/>
    <mergeCell ref="E4635:F4635"/>
    <mergeCell ref="E4636:F4636"/>
    <mergeCell ref="E4637:F4637"/>
    <mergeCell ref="E4638:F4638"/>
    <mergeCell ref="E4639:F4639"/>
    <mergeCell ref="E4640:F4640"/>
    <mergeCell ref="E4627:F4627"/>
    <mergeCell ref="E4628:F4628"/>
    <mergeCell ref="E4629:F4629"/>
    <mergeCell ref="E4630:F4630"/>
    <mergeCell ref="H4632:I4632"/>
    <mergeCell ref="E4634:F4634"/>
    <mergeCell ref="E4663:F4663"/>
    <mergeCell ref="E4664:F4664"/>
    <mergeCell ref="E4665:F4665"/>
    <mergeCell ref="E4666:F4666"/>
    <mergeCell ref="E4667:F4667"/>
    <mergeCell ref="E4668:F4668"/>
    <mergeCell ref="E4655:F4655"/>
    <mergeCell ref="E4656:F4656"/>
    <mergeCell ref="H4658:I4658"/>
    <mergeCell ref="E4660:F4660"/>
    <mergeCell ref="E4661:F4661"/>
    <mergeCell ref="E4662:F4662"/>
    <mergeCell ref="E4649:F4649"/>
    <mergeCell ref="E4650:F4650"/>
    <mergeCell ref="E4651:F4651"/>
    <mergeCell ref="E4652:F4652"/>
    <mergeCell ref="E4653:F4653"/>
    <mergeCell ref="E4654:F4654"/>
    <mergeCell ref="H4684:I4684"/>
    <mergeCell ref="E4686:F4686"/>
    <mergeCell ref="E4687:F4687"/>
    <mergeCell ref="E4688:F4688"/>
    <mergeCell ref="E4689:F4689"/>
    <mergeCell ref="E4690:F4690"/>
    <mergeCell ref="E4677:F4677"/>
    <mergeCell ref="E4678:F4678"/>
    <mergeCell ref="E4679:F4679"/>
    <mergeCell ref="E4680:F4680"/>
    <mergeCell ref="E4681:F4681"/>
    <mergeCell ref="E4682:F4682"/>
    <mergeCell ref="E4669:F4669"/>
    <mergeCell ref="H4671:I4671"/>
    <mergeCell ref="E4673:F4673"/>
    <mergeCell ref="E4674:F4674"/>
    <mergeCell ref="E4675:F4675"/>
    <mergeCell ref="E4676:F4676"/>
    <mergeCell ref="E4703:F4703"/>
    <mergeCell ref="E4704:F4704"/>
    <mergeCell ref="E4705:F4705"/>
    <mergeCell ref="H4707:I4707"/>
    <mergeCell ref="E4709:F4709"/>
    <mergeCell ref="E4710:F4710"/>
    <mergeCell ref="E4697:F4697"/>
    <mergeCell ref="E4698:F4698"/>
    <mergeCell ref="E4699:F4699"/>
    <mergeCell ref="E4700:F4700"/>
    <mergeCell ref="E4701:F4701"/>
    <mergeCell ref="E4702:F4702"/>
    <mergeCell ref="E4691:F4691"/>
    <mergeCell ref="E4692:F4692"/>
    <mergeCell ref="E4693:F4693"/>
    <mergeCell ref="E4694:F4694"/>
    <mergeCell ref="E4695:F4695"/>
    <mergeCell ref="E4696:F4696"/>
    <mergeCell ref="E4723:F4723"/>
    <mergeCell ref="E4724:F4724"/>
    <mergeCell ref="H4726:I4726"/>
    <mergeCell ref="E4728:F4728"/>
    <mergeCell ref="E4729:F4729"/>
    <mergeCell ref="E4730:F4730"/>
    <mergeCell ref="E4717:F4717"/>
    <mergeCell ref="E4718:F4718"/>
    <mergeCell ref="E4719:F4719"/>
    <mergeCell ref="E4720:F4720"/>
    <mergeCell ref="E4721:F4721"/>
    <mergeCell ref="E4722:F4722"/>
    <mergeCell ref="E4711:F4711"/>
    <mergeCell ref="E4712:F4712"/>
    <mergeCell ref="E4713:F4713"/>
    <mergeCell ref="E4714:F4714"/>
    <mergeCell ref="E4715:F4715"/>
    <mergeCell ref="E4716:F4716"/>
    <mergeCell ref="E4743:F4743"/>
    <mergeCell ref="H4745:I4745"/>
    <mergeCell ref="E4747:F4747"/>
    <mergeCell ref="E4748:F4748"/>
    <mergeCell ref="E4749:F4749"/>
    <mergeCell ref="E4750:F4750"/>
    <mergeCell ref="E4737:F4737"/>
    <mergeCell ref="E4738:F4738"/>
    <mergeCell ref="E4739:F4739"/>
    <mergeCell ref="E4740:F4740"/>
    <mergeCell ref="E4741:F4741"/>
    <mergeCell ref="E4742:F4742"/>
    <mergeCell ref="E4731:F4731"/>
    <mergeCell ref="E4732:F4732"/>
    <mergeCell ref="E4733:F4733"/>
    <mergeCell ref="E4734:F4734"/>
    <mergeCell ref="E4735:F4735"/>
    <mergeCell ref="E4736:F4736"/>
    <mergeCell ref="H4764:I4764"/>
    <mergeCell ref="E4766:F4766"/>
    <mergeCell ref="E4767:F4767"/>
    <mergeCell ref="E4768:F4768"/>
    <mergeCell ref="E4769:F4769"/>
    <mergeCell ref="E4770:F4770"/>
    <mergeCell ref="E4757:F4757"/>
    <mergeCell ref="E4758:F4758"/>
    <mergeCell ref="E4759:F4759"/>
    <mergeCell ref="E4760:F4760"/>
    <mergeCell ref="E4761:F4761"/>
    <mergeCell ref="E4762:F4762"/>
    <mergeCell ref="E4751:F4751"/>
    <mergeCell ref="E4752:F4752"/>
    <mergeCell ref="E4753:F4753"/>
    <mergeCell ref="E4754:F4754"/>
    <mergeCell ref="E4755:F4755"/>
    <mergeCell ref="E4756:F4756"/>
    <mergeCell ref="E4787:F4787"/>
    <mergeCell ref="E4788:F4788"/>
    <mergeCell ref="E4789:F4789"/>
    <mergeCell ref="E4790:F4790"/>
    <mergeCell ref="E4791:F4791"/>
    <mergeCell ref="H4793:I4793"/>
    <mergeCell ref="E4779:F4779"/>
    <mergeCell ref="E4780:F4780"/>
    <mergeCell ref="E4781:F4781"/>
    <mergeCell ref="E4782:F4782"/>
    <mergeCell ref="H4784:I4784"/>
    <mergeCell ref="E4786:F4786"/>
    <mergeCell ref="E4771:F4771"/>
    <mergeCell ref="E4772:F4772"/>
    <mergeCell ref="E4773:F4773"/>
    <mergeCell ref="E4774:F4774"/>
    <mergeCell ref="E4775:F4775"/>
    <mergeCell ref="H4777:I4777"/>
    <mergeCell ref="E4813:F4813"/>
    <mergeCell ref="E4814:F4814"/>
    <mergeCell ref="E4815:F4815"/>
    <mergeCell ref="H4817:I4817"/>
    <mergeCell ref="E4819:F4819"/>
    <mergeCell ref="E4820:F4820"/>
    <mergeCell ref="E4803:F4803"/>
    <mergeCell ref="H4805:I4805"/>
    <mergeCell ref="E4807:F4807"/>
    <mergeCell ref="E4808:F4808"/>
    <mergeCell ref="E4809:F4809"/>
    <mergeCell ref="H4811:I4811"/>
    <mergeCell ref="E4795:F4795"/>
    <mergeCell ref="E4796:F4796"/>
    <mergeCell ref="E4797:F4797"/>
    <mergeCell ref="H4799:I4799"/>
    <mergeCell ref="E4801:F4801"/>
    <mergeCell ref="E4802:F4802"/>
    <mergeCell ref="E4837:F4837"/>
    <mergeCell ref="H4839:I4839"/>
    <mergeCell ref="E4841:F4841"/>
    <mergeCell ref="E4842:F4842"/>
    <mergeCell ref="E4843:F4843"/>
    <mergeCell ref="H4845:I4845"/>
    <mergeCell ref="E4829:F4829"/>
    <mergeCell ref="E4830:F4830"/>
    <mergeCell ref="E4831:F4831"/>
    <mergeCell ref="H4833:I4833"/>
    <mergeCell ref="E4835:F4835"/>
    <mergeCell ref="E4836:F4836"/>
    <mergeCell ref="E4821:F4821"/>
    <mergeCell ref="E4822:F4822"/>
    <mergeCell ref="H4824:I4824"/>
    <mergeCell ref="E4826:F4826"/>
    <mergeCell ref="E4827:F4827"/>
    <mergeCell ref="E4828:F4828"/>
    <mergeCell ref="E4863:F4863"/>
    <mergeCell ref="E4864:F4864"/>
    <mergeCell ref="E4865:F4865"/>
    <mergeCell ref="E4866:F4866"/>
    <mergeCell ref="E4867:F4867"/>
    <mergeCell ref="H4869:I4869"/>
    <mergeCell ref="E4855:F4855"/>
    <mergeCell ref="H4857:I4857"/>
    <mergeCell ref="E4859:F4859"/>
    <mergeCell ref="E4860:F4860"/>
    <mergeCell ref="E4861:F4861"/>
    <mergeCell ref="E4862:F4862"/>
    <mergeCell ref="E4847:F4847"/>
    <mergeCell ref="E4848:F4848"/>
    <mergeCell ref="E4849:F4849"/>
    <mergeCell ref="H4851:I4851"/>
    <mergeCell ref="E4853:F4853"/>
    <mergeCell ref="E4854:F4854"/>
    <mergeCell ref="E4885:F4885"/>
    <mergeCell ref="E4886:F4886"/>
    <mergeCell ref="H4888:I4888"/>
    <mergeCell ref="E4890:F4890"/>
    <mergeCell ref="E4891:F4891"/>
    <mergeCell ref="E4892:F4892"/>
    <mergeCell ref="H4878:I4878"/>
    <mergeCell ref="E4880:F4880"/>
    <mergeCell ref="E4881:F4881"/>
    <mergeCell ref="E4882:F4882"/>
    <mergeCell ref="E4883:F4883"/>
    <mergeCell ref="E4884:F4884"/>
    <mergeCell ref="E4871:F4871"/>
    <mergeCell ref="E4872:F4872"/>
    <mergeCell ref="E4873:F4873"/>
    <mergeCell ref="E4874:F4874"/>
    <mergeCell ref="E4875:F4875"/>
    <mergeCell ref="E4876:F4876"/>
    <mergeCell ref="E4909:F4909"/>
    <mergeCell ref="E4910:F4910"/>
    <mergeCell ref="E4911:F4911"/>
    <mergeCell ref="E4912:F4912"/>
    <mergeCell ref="E4913:F4913"/>
    <mergeCell ref="E4914:F4914"/>
    <mergeCell ref="E4901:F4901"/>
    <mergeCell ref="E4902:F4902"/>
    <mergeCell ref="E4903:F4903"/>
    <mergeCell ref="E4904:F4904"/>
    <mergeCell ref="H4906:I4906"/>
    <mergeCell ref="E4908:F4908"/>
    <mergeCell ref="E4893:F4893"/>
    <mergeCell ref="E4894:F4894"/>
    <mergeCell ref="E4895:F4895"/>
    <mergeCell ref="E4896:F4896"/>
    <mergeCell ref="H4898:I4898"/>
    <mergeCell ref="E4900:F4900"/>
    <mergeCell ref="H4934:I4934"/>
    <mergeCell ref="E4936:F4936"/>
    <mergeCell ref="E4937:F4937"/>
    <mergeCell ref="E4938:F4938"/>
    <mergeCell ref="H4940:I4940"/>
    <mergeCell ref="E4942:F4942"/>
    <mergeCell ref="E4925:F4925"/>
    <mergeCell ref="E4926:F4926"/>
    <mergeCell ref="H4928:I4928"/>
    <mergeCell ref="E4930:F4930"/>
    <mergeCell ref="E4931:F4931"/>
    <mergeCell ref="E4932:F4932"/>
    <mergeCell ref="H4916:I4916"/>
    <mergeCell ref="E4918:F4918"/>
    <mergeCell ref="E4919:F4919"/>
    <mergeCell ref="E4920:F4920"/>
    <mergeCell ref="H4922:I4922"/>
    <mergeCell ref="E4924:F4924"/>
    <mergeCell ref="E4961:F4961"/>
    <mergeCell ref="E4962:F4962"/>
    <mergeCell ref="H4964:I4964"/>
    <mergeCell ref="E4966:F4966"/>
    <mergeCell ref="E4967:F4967"/>
    <mergeCell ref="E4968:F4968"/>
    <mergeCell ref="H4952:I4952"/>
    <mergeCell ref="E4954:F4954"/>
    <mergeCell ref="E4955:F4955"/>
    <mergeCell ref="E4956:F4956"/>
    <mergeCell ref="H4958:I4958"/>
    <mergeCell ref="E4960:F4960"/>
    <mergeCell ref="E4943:F4943"/>
    <mergeCell ref="E4944:F4944"/>
    <mergeCell ref="H4946:I4946"/>
    <mergeCell ref="E4948:F4948"/>
    <mergeCell ref="E4949:F4949"/>
    <mergeCell ref="E4950:F4950"/>
    <mergeCell ref="E4985:F4985"/>
    <mergeCell ref="E4986:F4986"/>
    <mergeCell ref="H4988:I4988"/>
    <mergeCell ref="E4990:F4990"/>
    <mergeCell ref="E4991:F4991"/>
    <mergeCell ref="E4992:F4992"/>
    <mergeCell ref="E4977:F4977"/>
    <mergeCell ref="E4978:F4978"/>
    <mergeCell ref="E4979:F4979"/>
    <mergeCell ref="E4980:F4980"/>
    <mergeCell ref="H4982:I4982"/>
    <mergeCell ref="E4984:F4984"/>
    <mergeCell ref="E4969:F4969"/>
    <mergeCell ref="E4970:F4970"/>
    <mergeCell ref="H4972:I4972"/>
    <mergeCell ref="E4974:F4974"/>
    <mergeCell ref="E4975:F4975"/>
    <mergeCell ref="E4976:F4976"/>
    <mergeCell ref="E5011:F5011"/>
    <mergeCell ref="E5012:F5012"/>
    <mergeCell ref="H5014:I5014"/>
    <mergeCell ref="E5016:F5016"/>
    <mergeCell ref="E5017:F5017"/>
    <mergeCell ref="E5018:F5018"/>
    <mergeCell ref="E5003:F5003"/>
    <mergeCell ref="E5004:F5004"/>
    <mergeCell ref="H5006:I5006"/>
    <mergeCell ref="E5008:F5008"/>
    <mergeCell ref="E5009:F5009"/>
    <mergeCell ref="E5010:F5010"/>
    <mergeCell ref="H4994:I4994"/>
    <mergeCell ref="E4996:F4996"/>
    <mergeCell ref="E4997:F4997"/>
    <mergeCell ref="E4998:F4998"/>
    <mergeCell ref="H5000:I5000"/>
    <mergeCell ref="E5002:F5002"/>
    <mergeCell ref="E5033:F5033"/>
    <mergeCell ref="H5035:I5035"/>
    <mergeCell ref="E5037:F5037"/>
    <mergeCell ref="E5038:F5038"/>
    <mergeCell ref="E5039:F5039"/>
    <mergeCell ref="E5040:F5040"/>
    <mergeCell ref="E5025:F5025"/>
    <mergeCell ref="H5027:I5027"/>
    <mergeCell ref="E5029:F5029"/>
    <mergeCell ref="E5030:F5030"/>
    <mergeCell ref="E5031:F5031"/>
    <mergeCell ref="E5032:F5032"/>
    <mergeCell ref="E5019:F5019"/>
    <mergeCell ref="E5020:F5020"/>
    <mergeCell ref="E5021:F5021"/>
    <mergeCell ref="E5022:F5022"/>
    <mergeCell ref="E5023:F5023"/>
    <mergeCell ref="E5024:F5024"/>
    <mergeCell ref="E5057:F5057"/>
    <mergeCell ref="H5059:I5059"/>
    <mergeCell ref="E5061:F5061"/>
    <mergeCell ref="E5062:F5062"/>
    <mergeCell ref="E5063:F5063"/>
    <mergeCell ref="E5064:F5064"/>
    <mergeCell ref="E5049:F5049"/>
    <mergeCell ref="H5051:I5051"/>
    <mergeCell ref="E5053:F5053"/>
    <mergeCell ref="E5054:F5054"/>
    <mergeCell ref="E5055:F5055"/>
    <mergeCell ref="E5056:F5056"/>
    <mergeCell ref="E5041:F5041"/>
    <mergeCell ref="H5043:I5043"/>
    <mergeCell ref="E5045:F5045"/>
    <mergeCell ref="E5046:F5046"/>
    <mergeCell ref="E5047:F5047"/>
    <mergeCell ref="E5048:F5048"/>
    <mergeCell ref="E5081:F5081"/>
    <mergeCell ref="H5083:I5083"/>
    <mergeCell ref="E5085:F5085"/>
    <mergeCell ref="E5086:F5086"/>
    <mergeCell ref="E5087:F5087"/>
    <mergeCell ref="E5088:F5088"/>
    <mergeCell ref="E5073:F5073"/>
    <mergeCell ref="H5075:I5075"/>
    <mergeCell ref="E5077:F5077"/>
    <mergeCell ref="E5078:F5078"/>
    <mergeCell ref="E5079:F5079"/>
    <mergeCell ref="E5080:F5080"/>
    <mergeCell ref="E5065:F5065"/>
    <mergeCell ref="H5067:I5067"/>
    <mergeCell ref="E5069:F5069"/>
    <mergeCell ref="E5070:F5070"/>
    <mergeCell ref="E5071:F5071"/>
    <mergeCell ref="E5072:F5072"/>
    <mergeCell ref="E5105:F5105"/>
    <mergeCell ref="E5106:F5106"/>
    <mergeCell ref="E5107:F5107"/>
    <mergeCell ref="E5108:F5108"/>
    <mergeCell ref="E5109:F5109"/>
    <mergeCell ref="E5110:F5110"/>
    <mergeCell ref="E5097:F5097"/>
    <mergeCell ref="E5098:F5098"/>
    <mergeCell ref="E5099:F5099"/>
    <mergeCell ref="E5100:F5100"/>
    <mergeCell ref="H5102:I5102"/>
    <mergeCell ref="E5104:F5104"/>
    <mergeCell ref="E5089:F5089"/>
    <mergeCell ref="H5091:I5091"/>
    <mergeCell ref="E5093:F5093"/>
    <mergeCell ref="E5094:F5094"/>
    <mergeCell ref="E5095:F5095"/>
    <mergeCell ref="E5096:F5096"/>
    <mergeCell ref="E5127:F5127"/>
    <mergeCell ref="H5129:I5129"/>
    <mergeCell ref="E5131:F5131"/>
    <mergeCell ref="E5132:F5132"/>
    <mergeCell ref="E5133:F5133"/>
    <mergeCell ref="H5135:I5135"/>
    <mergeCell ref="H5120:I5120"/>
    <mergeCell ref="E5122:F5122"/>
    <mergeCell ref="E5123:F5123"/>
    <mergeCell ref="E5124:F5124"/>
    <mergeCell ref="E5125:F5125"/>
    <mergeCell ref="E5126:F5126"/>
    <mergeCell ref="E5111:F5111"/>
    <mergeCell ref="H5113:I5113"/>
    <mergeCell ref="E5115:F5115"/>
    <mergeCell ref="E5116:F5116"/>
    <mergeCell ref="E5117:F5117"/>
    <mergeCell ref="E5118:F5118"/>
    <mergeCell ref="A5158:C5158"/>
    <mergeCell ref="F5158:G5158"/>
    <mergeCell ref="H5158:J5158"/>
    <mergeCell ref="A5160:J5160"/>
    <mergeCell ref="A5156:C5156"/>
    <mergeCell ref="F5156:G5156"/>
    <mergeCell ref="H5156:J5156"/>
    <mergeCell ref="A5157:C5157"/>
    <mergeCell ref="F5157:G5157"/>
    <mergeCell ref="H5157:J5157"/>
    <mergeCell ref="E5145:F5145"/>
    <mergeCell ref="H5147:I5147"/>
    <mergeCell ref="E5149:F5149"/>
    <mergeCell ref="E5150:F5150"/>
    <mergeCell ref="E5151:F5151"/>
    <mergeCell ref="H5153:I5153"/>
    <mergeCell ref="E5137:F5137"/>
    <mergeCell ref="E5138:F5138"/>
    <mergeCell ref="E5139:F5139"/>
    <mergeCell ref="H5141:I5141"/>
    <mergeCell ref="E5143:F5143"/>
    <mergeCell ref="E5144:F5144"/>
  </mergeCells>
  <pageMargins left="0.5" right="0.5" top="1" bottom="1" header="0.5" footer="0.5"/>
  <pageSetup paperSize="9" scale="72" fitToHeight="0" orientation="landscape" r:id="rId1"/>
  <headerFooter>
    <oddHeader>&amp;L &amp;CMinha EmpresaCNPJ:  &amp;R</oddHeader>
    <oddFooter>&amp;L &amp;C  -  -  / MT(65) 99217-4973 / aureo.emanoel10@gmail.com &amp;R</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8</vt:i4>
      </vt:variant>
    </vt:vector>
  </HeadingPairs>
  <TitlesOfParts>
    <vt:vector size="17" baseType="lpstr">
      <vt:lpstr>SINAPI FEVEREIRO 2022</vt:lpstr>
      <vt:lpstr>QUANT</vt:lpstr>
      <vt:lpstr>1-RESUMO</vt:lpstr>
      <vt:lpstr>2-ORÇAMENTO</vt:lpstr>
      <vt:lpstr>3-CRONOGRAMA</vt:lpstr>
      <vt:lpstr>4-BDI</vt:lpstr>
      <vt:lpstr>5-COMP. PROPRIA</vt:lpstr>
      <vt:lpstr>6-ENCARGOS SOCIAIS</vt:lpstr>
      <vt:lpstr>CPUs</vt:lpstr>
      <vt:lpstr>'1-RESUMO'!Area_de_impressao</vt:lpstr>
      <vt:lpstr>'2-ORÇAMENTO'!Area_de_impressao</vt:lpstr>
      <vt:lpstr>'3-CRONOGRAMA'!Area_de_impressao</vt:lpstr>
      <vt:lpstr>'4-BDI'!Area_de_impressao</vt:lpstr>
      <vt:lpstr>'5-COMP. PROPRIA'!Area_de_impressao</vt:lpstr>
      <vt:lpstr>'6-ENCARGOS SOCIAIS'!Area_de_impressao</vt:lpstr>
      <vt:lpstr>QUANT!Area_de_impressao</vt:lpstr>
      <vt:lpstr>'2-ORÇAMENTO'!Titulos_de_impressao</vt:lpstr>
    </vt:vector>
  </TitlesOfParts>
  <Company>Home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Ana Paula Botelho</cp:lastModifiedBy>
  <cp:lastPrinted>2022-03-21T14:29:09Z</cp:lastPrinted>
  <dcterms:created xsi:type="dcterms:W3CDTF">2009-03-07T19:28:34Z</dcterms:created>
  <dcterms:modified xsi:type="dcterms:W3CDTF">2022-03-21T17:52:02Z</dcterms:modified>
</cp:coreProperties>
</file>